
<file path=[Content_Types].xml><?xml version="1.0" encoding="utf-8"?>
<Types xmlns="http://schemas.openxmlformats.org/package/2006/content-types">
  <Default Extension="bin" ContentType="application/vnd.openxmlformats-officedocument.spreadsheetml.printerSettings"/>
  <Default Extension="png" ContentType="image/png"/>
  <Default Extension="xls" ContentType="application/vnd.ms-excel"/>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440" windowHeight="9408" firstSheet="1" activeTab="3"/>
  </bookViews>
  <sheets>
    <sheet name="Instruction Sheet" sheetId="13" r:id="rId1"/>
    <sheet name="Form-1" sheetId="26" r:id="rId2"/>
    <sheet name="General Information" sheetId="3" r:id="rId3"/>
    <sheet name="Form Sh" sheetId="1" r:id="rId4"/>
    <sheet name="Summary Sheet" sheetId="11" r:id="rId5"/>
    <sheet name="NF-1 Coal Quality" sheetId="5" r:id="rId6"/>
    <sheet name="NF-2 PLF" sheetId="6" r:id="rId7"/>
    <sheet name="NF-3 APC PLF" sheetId="8" r:id="rId8"/>
    <sheet name="NF-3.1 APC CQ" sheetId="30" r:id="rId9"/>
    <sheet name="NF-3.2 APC CQ" sheetId="34" r:id="rId10"/>
    <sheet name="NF-4 Gas Fuel Mix" sheetId="24" r:id="rId11"/>
    <sheet name="NF-5 Gas OC Cycle" sheetId="25" r:id="rId12"/>
    <sheet name="NF-6 Gas NCV " sheetId="32" r:id="rId13"/>
    <sheet name="NF-7 Others" sheetId="16" r:id="rId14"/>
    <sheet name="Annex PLF" sheetId="7" r:id="rId15"/>
    <sheet name="Annex APC " sheetId="10" r:id="rId16"/>
    <sheet name="NF-8 Fuel Mix for TPP" sheetId="36" r:id="rId17"/>
  </sheets>
  <definedNames>
    <definedName name="_xlnm.Print_Area" localSheetId="3">'Form Sh'!$A$1:$V$518</definedName>
    <definedName name="_xlnm.Print_Area" localSheetId="2">'General Information'!$A$1:$F$30</definedName>
  </definedNames>
  <calcPr calcId="152511"/>
</workbook>
</file>

<file path=xl/calcChain.xml><?xml version="1.0" encoding="utf-8"?>
<calcChain xmlns="http://schemas.openxmlformats.org/spreadsheetml/2006/main">
  <c r="C9" i="26" l="1"/>
  <c r="AH14" i="5" l="1"/>
  <c r="AF14" i="5" s="1"/>
  <c r="AE14" i="5"/>
  <c r="AD14" i="5" s="1"/>
  <c r="AA14" i="5"/>
  <c r="AB14" i="5"/>
  <c r="Z14" i="5" s="1"/>
  <c r="Y14" i="5"/>
  <c r="W14" i="5" s="1"/>
  <c r="V14" i="5"/>
  <c r="T14" i="5" s="1"/>
  <c r="Q14" i="5"/>
  <c r="S14" i="5"/>
  <c r="R14" i="5" s="1"/>
  <c r="P14" i="5"/>
  <c r="N14" i="5" s="1"/>
  <c r="M14" i="5"/>
  <c r="K14" i="5" s="1"/>
  <c r="J14" i="5"/>
  <c r="H14" i="5" s="1"/>
  <c r="G14" i="5"/>
  <c r="F14" i="5" s="1"/>
  <c r="E14" i="5" l="1"/>
  <c r="O14" i="5"/>
  <c r="I14" i="5"/>
  <c r="AC14" i="5"/>
  <c r="L14" i="5"/>
  <c r="X14" i="5"/>
  <c r="U14" i="5"/>
  <c r="AG14" i="5"/>
  <c r="AG6" i="5" l="1"/>
  <c r="X7" i="6" s="1"/>
  <c r="AD6" i="5"/>
  <c r="V7" i="6" s="1"/>
  <c r="AA6" i="5"/>
  <c r="T7" i="6" s="1"/>
  <c r="X6" i="5"/>
  <c r="R7" i="6" s="1"/>
  <c r="U6" i="5"/>
  <c r="P7" i="6" s="1"/>
  <c r="R6" i="5"/>
  <c r="N7" i="6" s="1"/>
  <c r="O6" i="5"/>
  <c r="L7" i="6" s="1"/>
  <c r="L6" i="5"/>
  <c r="J7" i="6" s="1"/>
  <c r="I6" i="5"/>
  <c r="H7" i="6" s="1"/>
  <c r="F6" i="5"/>
  <c r="F7" i="6" s="1"/>
  <c r="AG8" i="5"/>
  <c r="AD8" i="5"/>
  <c r="AA8" i="5"/>
  <c r="X8" i="5"/>
  <c r="U8" i="5"/>
  <c r="R8" i="5"/>
  <c r="O8" i="5"/>
  <c r="L8" i="5"/>
  <c r="I8" i="5"/>
  <c r="F8" i="5"/>
  <c r="F5" i="8" l="1"/>
  <c r="T405" i="1" l="1"/>
  <c r="T406" i="1"/>
  <c r="T407" i="1"/>
  <c r="T408" i="1"/>
  <c r="T409" i="1"/>
  <c r="T410" i="1"/>
  <c r="T411" i="1"/>
  <c r="T412" i="1"/>
  <c r="T413" i="1"/>
  <c r="T404" i="1"/>
  <c r="L405" i="1"/>
  <c r="L406" i="1"/>
  <c r="L407" i="1"/>
  <c r="L408" i="1"/>
  <c r="L409" i="1"/>
  <c r="L410" i="1"/>
  <c r="L411" i="1"/>
  <c r="L412" i="1"/>
  <c r="L413" i="1"/>
  <c r="L404" i="1"/>
  <c r="E5" i="8" l="1"/>
  <c r="C10" i="26" l="1"/>
  <c r="M78" i="1" l="1"/>
  <c r="M77" i="1"/>
  <c r="R414" i="1" l="1"/>
  <c r="J414" i="1"/>
  <c r="T28" i="1" l="1"/>
  <c r="S28" i="1"/>
  <c r="R28" i="1"/>
  <c r="J28" i="1"/>
  <c r="I28" i="1"/>
  <c r="G28" i="1"/>
  <c r="F28" i="1"/>
  <c r="S493" i="1"/>
  <c r="S494" i="1"/>
  <c r="S495" i="1"/>
  <c r="S496" i="1"/>
  <c r="S497" i="1"/>
  <c r="S498" i="1"/>
  <c r="S492" i="1"/>
  <c r="D2" i="11" l="1"/>
  <c r="D35" i="26"/>
  <c r="E16" i="16" l="1"/>
  <c r="F3" i="32"/>
  <c r="F3" i="25"/>
  <c r="F3" i="24"/>
  <c r="F3" i="34"/>
  <c r="F3" i="30"/>
  <c r="E3" i="8"/>
  <c r="E3" i="6"/>
  <c r="E3" i="5"/>
  <c r="E2" i="5"/>
  <c r="S485" i="1"/>
  <c r="E3" i="25" s="1"/>
  <c r="S484" i="1"/>
  <c r="E3" i="24" s="1"/>
  <c r="C2" i="36" l="1"/>
  <c r="N10" i="36"/>
  <c r="L10" i="36"/>
  <c r="J10" i="36"/>
  <c r="H10" i="36"/>
  <c r="M10" i="36"/>
  <c r="K10" i="36"/>
  <c r="I10" i="36"/>
  <c r="G10" i="36"/>
  <c r="F10" i="36"/>
  <c r="E10" i="36"/>
  <c r="N9" i="36"/>
  <c r="N12" i="36" s="1"/>
  <c r="M9" i="36"/>
  <c r="L9" i="36"/>
  <c r="K9" i="36"/>
  <c r="J9" i="36"/>
  <c r="I9" i="36"/>
  <c r="H9" i="36"/>
  <c r="G9" i="36"/>
  <c r="F9" i="36"/>
  <c r="E9" i="36"/>
  <c r="N6" i="36"/>
  <c r="M6" i="36"/>
  <c r="L6" i="36"/>
  <c r="K6" i="36"/>
  <c r="J6" i="36"/>
  <c r="I6" i="36"/>
  <c r="H6" i="36"/>
  <c r="G6" i="36"/>
  <c r="F6" i="36"/>
  <c r="E6" i="36"/>
  <c r="L12" i="36" l="1"/>
  <c r="G12" i="36"/>
  <c r="H12" i="36"/>
  <c r="M12" i="36"/>
  <c r="K12" i="36"/>
  <c r="I12" i="36"/>
  <c r="J12" i="36"/>
  <c r="E12" i="36"/>
  <c r="F12" i="36"/>
  <c r="J9" i="30" l="1"/>
  <c r="I9" i="34"/>
  <c r="G13" i="34" l="1"/>
  <c r="I13" i="34"/>
  <c r="K13" i="34"/>
  <c r="M13" i="34"/>
  <c r="O13" i="34"/>
  <c r="Q13" i="34"/>
  <c r="S13" i="34"/>
  <c r="U13" i="34"/>
  <c r="W13" i="34"/>
  <c r="E13" i="34"/>
  <c r="S291" i="1" l="1"/>
  <c r="X13" i="34" s="1"/>
  <c r="S274" i="1"/>
  <c r="V13" i="34" s="1"/>
  <c r="S257" i="1"/>
  <c r="T13" i="34" s="1"/>
  <c r="S240" i="1"/>
  <c r="R13" i="34" s="1"/>
  <c r="S223" i="1"/>
  <c r="P13" i="34" s="1"/>
  <c r="S206" i="1"/>
  <c r="N13" i="34" s="1"/>
  <c r="S189" i="1"/>
  <c r="L13" i="34" s="1"/>
  <c r="S172" i="1"/>
  <c r="J13" i="34" s="1"/>
  <c r="S155" i="1"/>
  <c r="H13" i="34" s="1"/>
  <c r="S138" i="1"/>
  <c r="F13" i="34" s="1"/>
  <c r="E7" i="34" l="1"/>
  <c r="F7" i="34"/>
  <c r="G7" i="34"/>
  <c r="H7" i="34"/>
  <c r="I7" i="34"/>
  <c r="J7" i="34"/>
  <c r="K7" i="34"/>
  <c r="L7" i="34"/>
  <c r="M7" i="34"/>
  <c r="N7" i="34"/>
  <c r="O7" i="34"/>
  <c r="P7" i="34"/>
  <c r="Q7" i="34"/>
  <c r="R7" i="34"/>
  <c r="S7" i="34"/>
  <c r="T7" i="34"/>
  <c r="U7" i="34"/>
  <c r="V7" i="34"/>
  <c r="W7" i="34"/>
  <c r="X7" i="34"/>
  <c r="E8" i="34"/>
  <c r="F8" i="34"/>
  <c r="G8" i="34"/>
  <c r="H8" i="34"/>
  <c r="I8" i="34"/>
  <c r="J8" i="34"/>
  <c r="K8" i="34"/>
  <c r="L8" i="34"/>
  <c r="M8" i="34"/>
  <c r="N8" i="34"/>
  <c r="O8" i="34"/>
  <c r="P8" i="34"/>
  <c r="Q8" i="34"/>
  <c r="R8" i="34"/>
  <c r="S8" i="34"/>
  <c r="T8" i="34"/>
  <c r="U8" i="34"/>
  <c r="V8" i="34"/>
  <c r="W8" i="34"/>
  <c r="X8" i="34"/>
  <c r="E9" i="34"/>
  <c r="F9" i="34"/>
  <c r="F10" i="34" s="1"/>
  <c r="G9" i="34"/>
  <c r="G10" i="34" s="1"/>
  <c r="H9" i="34"/>
  <c r="J9" i="34"/>
  <c r="J10" i="34" s="1"/>
  <c r="K9" i="34"/>
  <c r="L9" i="34"/>
  <c r="M9" i="34"/>
  <c r="N9" i="34"/>
  <c r="O9" i="34"/>
  <c r="P9" i="34"/>
  <c r="Q9" i="34"/>
  <c r="R9" i="34"/>
  <c r="S9" i="34"/>
  <c r="T9" i="34"/>
  <c r="U9" i="34"/>
  <c r="V9" i="34"/>
  <c r="W9" i="34"/>
  <c r="X9" i="34"/>
  <c r="G16" i="34"/>
  <c r="E11" i="34"/>
  <c r="G11" i="34"/>
  <c r="I11" i="34"/>
  <c r="K11" i="34"/>
  <c r="K12" i="34" s="1"/>
  <c r="M11" i="34"/>
  <c r="O11" i="34"/>
  <c r="Q11" i="34"/>
  <c r="S11" i="34"/>
  <c r="U11" i="34"/>
  <c r="W11" i="34"/>
  <c r="E11" i="30"/>
  <c r="G11" i="30"/>
  <c r="I11" i="30"/>
  <c r="K11" i="30"/>
  <c r="M11" i="30"/>
  <c r="O11" i="30"/>
  <c r="Q11" i="30"/>
  <c r="S11" i="30"/>
  <c r="U11" i="30"/>
  <c r="W11" i="30"/>
  <c r="G12" i="34" l="1"/>
  <c r="H10" i="34"/>
  <c r="H16" i="34" s="1"/>
  <c r="E10" i="34"/>
  <c r="E16" i="34" s="1"/>
  <c r="I10" i="34"/>
  <c r="I16" i="34" s="1"/>
  <c r="I17" i="34" s="1"/>
  <c r="I12" i="34"/>
  <c r="E12" i="34"/>
  <c r="F16" i="34"/>
  <c r="X10" i="34"/>
  <c r="X16" i="34" s="1"/>
  <c r="T10" i="34"/>
  <c r="T16" i="34" s="1"/>
  <c r="P10" i="34"/>
  <c r="P16" i="34" s="1"/>
  <c r="Q10" i="34"/>
  <c r="Q16" i="34" s="1"/>
  <c r="M10" i="34"/>
  <c r="M16" i="34" s="1"/>
  <c r="L10" i="34"/>
  <c r="L16" i="34" s="1"/>
  <c r="S10" i="34"/>
  <c r="S16" i="34" s="1"/>
  <c r="V10" i="34"/>
  <c r="V16" i="34" s="1"/>
  <c r="R10" i="34"/>
  <c r="R16" i="34" s="1"/>
  <c r="N10" i="34"/>
  <c r="N16" i="34" s="1"/>
  <c r="J16" i="34"/>
  <c r="G17" i="34"/>
  <c r="W10" i="34"/>
  <c r="W16" i="34" s="1"/>
  <c r="O10" i="34"/>
  <c r="O16" i="34" s="1"/>
  <c r="K10" i="34"/>
  <c r="K16" i="34" s="1"/>
  <c r="K17" i="34" s="1"/>
  <c r="U10" i="34"/>
  <c r="U16" i="34" s="1"/>
  <c r="U12" i="34"/>
  <c r="M12" i="34"/>
  <c r="Q12" i="34"/>
  <c r="W12" i="34"/>
  <c r="S12" i="34"/>
  <c r="O12" i="34"/>
  <c r="D2" i="34"/>
  <c r="E17" i="34" l="1"/>
  <c r="M17" i="34"/>
  <c r="S17" i="34"/>
  <c r="Q17" i="34"/>
  <c r="O17" i="34"/>
  <c r="U17" i="34"/>
  <c r="W17" i="34"/>
  <c r="E8" i="32"/>
  <c r="E10" i="32" s="1"/>
  <c r="C2" i="32" l="1"/>
  <c r="E8" i="30"/>
  <c r="K7" i="30" l="1"/>
  <c r="K8" i="30"/>
  <c r="L7" i="30"/>
  <c r="M7" i="30"/>
  <c r="N7" i="30"/>
  <c r="O7" i="30"/>
  <c r="X9" i="30"/>
  <c r="V9" i="30"/>
  <c r="T9" i="30"/>
  <c r="R9" i="30"/>
  <c r="P9" i="30"/>
  <c r="N9" i="30"/>
  <c r="L9" i="30"/>
  <c r="H9" i="30"/>
  <c r="F9" i="30"/>
  <c r="U9" i="30"/>
  <c r="W9" i="30"/>
  <c r="S9" i="30"/>
  <c r="Q9" i="30"/>
  <c r="O9" i="30"/>
  <c r="M9" i="30"/>
  <c r="K9" i="30"/>
  <c r="I9" i="30"/>
  <c r="G9" i="30"/>
  <c r="E9" i="30"/>
  <c r="E10" i="30" s="1"/>
  <c r="X8" i="30"/>
  <c r="X16" i="30" s="1"/>
  <c r="W16" i="30" s="1"/>
  <c r="V8" i="30"/>
  <c r="V16" i="30" s="1"/>
  <c r="T8" i="30"/>
  <c r="T16" i="30" s="1"/>
  <c r="S16" i="30" s="1"/>
  <c r="R8" i="30"/>
  <c r="R16" i="30" s="1"/>
  <c r="P8" i="30"/>
  <c r="P16" i="30" s="1"/>
  <c r="O16" i="30" s="1"/>
  <c r="N8" i="30"/>
  <c r="N16" i="30" s="1"/>
  <c r="L8" i="30"/>
  <c r="L16" i="30" s="1"/>
  <c r="K16" i="30" s="1"/>
  <c r="J8" i="30"/>
  <c r="H8" i="30"/>
  <c r="H16" i="30" s="1"/>
  <c r="G16" i="30" s="1"/>
  <c r="F8" i="30"/>
  <c r="F16" i="30" s="1"/>
  <c r="W8" i="30"/>
  <c r="U8" i="30"/>
  <c r="S8" i="30"/>
  <c r="Q8" i="30"/>
  <c r="O8" i="30"/>
  <c r="M8" i="30"/>
  <c r="I8" i="30"/>
  <c r="G8" i="30"/>
  <c r="H7" i="30"/>
  <c r="J7" i="30"/>
  <c r="P7" i="30"/>
  <c r="R7" i="30"/>
  <c r="T7" i="30"/>
  <c r="V7" i="30"/>
  <c r="X7" i="30"/>
  <c r="Q7" i="30"/>
  <c r="S7" i="30"/>
  <c r="U7" i="30"/>
  <c r="W7" i="30"/>
  <c r="I7" i="30"/>
  <c r="G7" i="30"/>
  <c r="G12" i="30" s="1"/>
  <c r="F7" i="30"/>
  <c r="E7" i="30"/>
  <c r="E12" i="30" s="1"/>
  <c r="D2" i="30"/>
  <c r="G10" i="30" l="1"/>
  <c r="I12" i="30"/>
  <c r="I10" i="30"/>
  <c r="F10" i="30"/>
  <c r="H10" i="30"/>
  <c r="J16" i="30"/>
  <c r="J10" i="30"/>
  <c r="M16" i="30"/>
  <c r="U16" i="30"/>
  <c r="I16" i="30"/>
  <c r="Q16" i="30"/>
  <c r="E16" i="30"/>
  <c r="K12" i="30"/>
  <c r="U12" i="30"/>
  <c r="K10" i="30"/>
  <c r="S12" i="30"/>
  <c r="M10" i="30"/>
  <c r="W10" i="30"/>
  <c r="R10" i="30"/>
  <c r="Q12" i="30"/>
  <c r="O10" i="30"/>
  <c r="U10" i="30"/>
  <c r="L10" i="30"/>
  <c r="T10" i="30"/>
  <c r="O12" i="30"/>
  <c r="W12" i="30"/>
  <c r="Q10" i="30"/>
  <c r="N10" i="30"/>
  <c r="V10" i="30"/>
  <c r="S10" i="30"/>
  <c r="P10" i="30"/>
  <c r="X10" i="30"/>
  <c r="M12" i="30"/>
  <c r="E18" i="6" l="1"/>
  <c r="F12" i="11" l="1"/>
  <c r="F10" i="11"/>
  <c r="F11" i="11"/>
  <c r="F9" i="11"/>
  <c r="F13" i="11" l="1"/>
  <c r="X13" i="24"/>
  <c r="V13" i="24"/>
  <c r="U13" i="24"/>
  <c r="T13" i="24"/>
  <c r="R13" i="24"/>
  <c r="P13" i="24"/>
  <c r="O13" i="24"/>
  <c r="N13" i="24"/>
  <c r="M13" i="24"/>
  <c r="L13" i="24"/>
  <c r="K13" i="24"/>
  <c r="J13" i="24"/>
  <c r="I13" i="24"/>
  <c r="H13" i="24"/>
  <c r="G13" i="24"/>
  <c r="X13" i="25"/>
  <c r="W13" i="25"/>
  <c r="V13" i="25"/>
  <c r="U13" i="25"/>
  <c r="T13" i="25"/>
  <c r="S13" i="25"/>
  <c r="R13" i="25"/>
  <c r="Q13" i="25"/>
  <c r="P13" i="25"/>
  <c r="O13" i="25"/>
  <c r="N13" i="25"/>
  <c r="M13" i="25"/>
  <c r="L13" i="25"/>
  <c r="K13" i="25"/>
  <c r="J13" i="25"/>
  <c r="I13" i="25"/>
  <c r="H13" i="25"/>
  <c r="F13" i="25"/>
  <c r="E13" i="25"/>
  <c r="G13" i="25"/>
  <c r="H11" i="25" l="1"/>
  <c r="G11" i="25"/>
  <c r="X12" i="25"/>
  <c r="V12" i="25"/>
  <c r="T12" i="25"/>
  <c r="R12" i="25"/>
  <c r="P12" i="25"/>
  <c r="N12" i="25"/>
  <c r="L12" i="25"/>
  <c r="J12" i="25"/>
  <c r="H12" i="25"/>
  <c r="E12" i="25"/>
  <c r="F12" i="25"/>
  <c r="W12" i="25"/>
  <c r="U12" i="25"/>
  <c r="S12" i="25"/>
  <c r="Q12" i="25"/>
  <c r="O12" i="25"/>
  <c r="M12" i="25"/>
  <c r="K12" i="25"/>
  <c r="I12" i="25"/>
  <c r="G12" i="25"/>
  <c r="W11" i="25"/>
  <c r="U11" i="25"/>
  <c r="U15" i="25" s="1"/>
  <c r="S11" i="25"/>
  <c r="Q11" i="25"/>
  <c r="O11" i="25"/>
  <c r="M11" i="25"/>
  <c r="M15" i="25" s="1"/>
  <c r="K11" i="25"/>
  <c r="I11" i="25"/>
  <c r="I15" i="25" s="1"/>
  <c r="X11" i="25"/>
  <c r="X15" i="25" s="1"/>
  <c r="V11" i="25"/>
  <c r="V15" i="25" s="1"/>
  <c r="T11" i="25"/>
  <c r="T15" i="25" s="1"/>
  <c r="R11" i="25"/>
  <c r="R15" i="25" s="1"/>
  <c r="P11" i="25"/>
  <c r="P15" i="25" s="1"/>
  <c r="N11" i="25"/>
  <c r="N15" i="25" s="1"/>
  <c r="L11" i="25"/>
  <c r="L15" i="25" s="1"/>
  <c r="J11" i="25"/>
  <c r="J15" i="25" s="1"/>
  <c r="X10" i="25"/>
  <c r="W10" i="25"/>
  <c r="V10" i="25"/>
  <c r="U10" i="25"/>
  <c r="T10" i="25"/>
  <c r="S10" i="25"/>
  <c r="R10" i="25"/>
  <c r="Q10" i="25"/>
  <c r="P10" i="25"/>
  <c r="O10" i="25"/>
  <c r="N10" i="25"/>
  <c r="M10" i="25"/>
  <c r="L10" i="25"/>
  <c r="K10" i="25"/>
  <c r="J10" i="25"/>
  <c r="I10" i="25"/>
  <c r="H10" i="25"/>
  <c r="G10" i="25"/>
  <c r="W9" i="25"/>
  <c r="X9" i="25"/>
  <c r="U9" i="25"/>
  <c r="V9" i="25"/>
  <c r="T9" i="25"/>
  <c r="S9" i="25"/>
  <c r="Q9" i="25"/>
  <c r="R9" i="25"/>
  <c r="P9" i="25"/>
  <c r="O9" i="25"/>
  <c r="M9" i="25"/>
  <c r="N9" i="25"/>
  <c r="K9" i="25"/>
  <c r="L9" i="25"/>
  <c r="I9" i="25"/>
  <c r="J9" i="25"/>
  <c r="G9" i="25"/>
  <c r="H9" i="25"/>
  <c r="X7" i="25"/>
  <c r="V7" i="25"/>
  <c r="T7" i="25"/>
  <c r="R7" i="25"/>
  <c r="P7" i="25"/>
  <c r="N7" i="25"/>
  <c r="L7" i="25"/>
  <c r="E13" i="24"/>
  <c r="W12" i="24"/>
  <c r="U12" i="24"/>
  <c r="S12" i="24"/>
  <c r="Q12" i="24"/>
  <c r="O12" i="24"/>
  <c r="M12" i="24"/>
  <c r="K12" i="24"/>
  <c r="I12" i="24"/>
  <c r="G12" i="24"/>
  <c r="X12" i="24"/>
  <c r="V12" i="24"/>
  <c r="T12" i="24"/>
  <c r="R12" i="24"/>
  <c r="P12" i="24"/>
  <c r="N12" i="24"/>
  <c r="L12" i="24"/>
  <c r="J12" i="24"/>
  <c r="H12" i="24"/>
  <c r="X11" i="24"/>
  <c r="V11" i="24"/>
  <c r="V15" i="24" s="1"/>
  <c r="O15" i="25" l="1"/>
  <c r="W15" i="25"/>
  <c r="Q15" i="25"/>
  <c r="G15" i="25"/>
  <c r="K15" i="25"/>
  <c r="S15" i="25"/>
  <c r="H15" i="25"/>
  <c r="X15" i="24"/>
  <c r="T11" i="24"/>
  <c r="T15" i="24" s="1"/>
  <c r="R11" i="24"/>
  <c r="R15" i="24" s="1"/>
  <c r="P11" i="24"/>
  <c r="P15" i="24" s="1"/>
  <c r="N11" i="24"/>
  <c r="N15" i="24" s="1"/>
  <c r="L11" i="24"/>
  <c r="L15" i="24" s="1"/>
  <c r="J11" i="24"/>
  <c r="H11" i="24"/>
  <c r="W11" i="24"/>
  <c r="U11" i="24"/>
  <c r="S11" i="24"/>
  <c r="Q11" i="24"/>
  <c r="O11" i="24"/>
  <c r="M11" i="24"/>
  <c r="K11" i="24"/>
  <c r="I11" i="24"/>
  <c r="G11" i="24"/>
  <c r="X10" i="24"/>
  <c r="W10" i="24"/>
  <c r="V10" i="24"/>
  <c r="U10" i="24"/>
  <c r="T10" i="24"/>
  <c r="S10" i="24"/>
  <c r="R10" i="24"/>
  <c r="Q10" i="24"/>
  <c r="P10" i="24"/>
  <c r="O10" i="24"/>
  <c r="N10" i="24"/>
  <c r="M10" i="24"/>
  <c r="L10" i="24"/>
  <c r="K10" i="24"/>
  <c r="J10" i="24"/>
  <c r="I10" i="24"/>
  <c r="H10" i="24"/>
  <c r="G10" i="24"/>
  <c r="X9" i="24"/>
  <c r="W9" i="24"/>
  <c r="V9" i="24"/>
  <c r="U9" i="24"/>
  <c r="T9" i="24"/>
  <c r="S9" i="24"/>
  <c r="R9" i="24"/>
  <c r="Q9" i="24"/>
  <c r="P9" i="24"/>
  <c r="O9" i="24"/>
  <c r="N9" i="24"/>
  <c r="M9" i="24"/>
  <c r="L9" i="24"/>
  <c r="K9" i="24"/>
  <c r="J9" i="24"/>
  <c r="I9" i="24"/>
  <c r="H9" i="24"/>
  <c r="G9" i="24"/>
  <c r="X7" i="24"/>
  <c r="V7" i="24"/>
  <c r="T7" i="24"/>
  <c r="R7" i="24"/>
  <c r="P7" i="24"/>
  <c r="N7" i="24"/>
  <c r="L7" i="24"/>
  <c r="X21" i="6"/>
  <c r="X20" i="6"/>
  <c r="X19" i="6"/>
  <c r="V21" i="6"/>
  <c r="V20" i="6"/>
  <c r="V19" i="6"/>
  <c r="T21" i="6"/>
  <c r="T20" i="6"/>
  <c r="T19" i="6"/>
  <c r="R21" i="6"/>
  <c r="R20" i="6"/>
  <c r="R19" i="6"/>
  <c r="P21" i="6"/>
  <c r="P20" i="6"/>
  <c r="P19" i="6"/>
  <c r="N21" i="6"/>
  <c r="N20" i="6"/>
  <c r="N19" i="6"/>
  <c r="L21" i="6"/>
  <c r="L20" i="6"/>
  <c r="L19" i="6"/>
  <c r="X18" i="6"/>
  <c r="V18" i="6"/>
  <c r="T18" i="6"/>
  <c r="R18" i="6"/>
  <c r="P18" i="6"/>
  <c r="N18" i="6"/>
  <c r="L18" i="6"/>
  <c r="X10" i="6"/>
  <c r="V10" i="6"/>
  <c r="T10" i="6"/>
  <c r="R10" i="6"/>
  <c r="P10" i="6"/>
  <c r="N10" i="6"/>
  <c r="L10" i="6"/>
  <c r="X9" i="6"/>
  <c r="V9" i="6"/>
  <c r="T9" i="6"/>
  <c r="R9" i="6"/>
  <c r="P9" i="6"/>
  <c r="N9" i="6"/>
  <c r="L9" i="6"/>
  <c r="AF8" i="5" l="1"/>
  <c r="AC8" i="5"/>
  <c r="Z8" i="5"/>
  <c r="W8" i="5"/>
  <c r="T8" i="5"/>
  <c r="Q8" i="5"/>
  <c r="N8" i="5"/>
  <c r="AH7" i="5"/>
  <c r="AE7" i="5"/>
  <c r="AB7" i="5"/>
  <c r="Y7" i="5"/>
  <c r="V7" i="5"/>
  <c r="S7" i="5"/>
  <c r="P7" i="5"/>
  <c r="C8" i="26"/>
  <c r="D37" i="26"/>
  <c r="E37" i="26"/>
  <c r="E35" i="26"/>
  <c r="D34" i="26"/>
  <c r="E34" i="26"/>
  <c r="C11" i="26"/>
  <c r="C6" i="26"/>
  <c r="C5" i="26"/>
  <c r="C4" i="26"/>
  <c r="Z21" i="5" l="1"/>
  <c r="Z6" i="5"/>
  <c r="Q21" i="5"/>
  <c r="Q6" i="5"/>
  <c r="AC21" i="5"/>
  <c r="AC6" i="5"/>
  <c r="W21" i="5"/>
  <c r="W6" i="5"/>
  <c r="N21" i="5"/>
  <c r="N6" i="5"/>
  <c r="T21" i="5"/>
  <c r="T6" i="5"/>
  <c r="AF21" i="5"/>
  <c r="AF6" i="5"/>
  <c r="U7" i="5"/>
  <c r="R7" i="5"/>
  <c r="W7" i="5"/>
  <c r="AC7" i="5"/>
  <c r="N7" i="5"/>
  <c r="AA7" i="5"/>
  <c r="AG7" i="5"/>
  <c r="AF7" i="5"/>
  <c r="AD7" i="5"/>
  <c r="Z7" i="5"/>
  <c r="X7" i="5"/>
  <c r="T7" i="5"/>
  <c r="Q7" i="5"/>
  <c r="O7" i="5"/>
  <c r="S434" i="1"/>
  <c r="T434" i="1"/>
  <c r="T433" i="1"/>
  <c r="S433" i="1"/>
  <c r="M11" i="16" l="1"/>
  <c r="L11" i="16"/>
  <c r="K11" i="16"/>
  <c r="Q7" i="6"/>
  <c r="M14" i="16"/>
  <c r="L14" i="16"/>
  <c r="K14" i="16"/>
  <c r="W7" i="6"/>
  <c r="K8" i="16"/>
  <c r="M8" i="16"/>
  <c r="L8" i="16"/>
  <c r="K7" i="6"/>
  <c r="L13" i="16"/>
  <c r="K13" i="16"/>
  <c r="M13" i="16"/>
  <c r="U7" i="6"/>
  <c r="K12" i="16"/>
  <c r="M12" i="16"/>
  <c r="L12" i="16"/>
  <c r="S7" i="6"/>
  <c r="M10" i="16"/>
  <c r="L10" i="16"/>
  <c r="K10" i="16"/>
  <c r="O7" i="6"/>
  <c r="L9" i="16"/>
  <c r="K9" i="16"/>
  <c r="M9" i="16"/>
  <c r="M7" i="6"/>
  <c r="K8" i="5"/>
  <c r="H8" i="5"/>
  <c r="E8" i="5"/>
  <c r="M7" i="5"/>
  <c r="J7" i="5"/>
  <c r="G7" i="5"/>
  <c r="E23" i="16"/>
  <c r="E22" i="16"/>
  <c r="F8" i="11"/>
  <c r="E8" i="11"/>
  <c r="S364" i="1"/>
  <c r="S363" i="1"/>
  <c r="S362" i="1"/>
  <c r="S361" i="1"/>
  <c r="S360" i="1"/>
  <c r="S380" i="1"/>
  <c r="S379" i="1"/>
  <c r="S378" i="1"/>
  <c r="S377" i="1"/>
  <c r="S375" i="1"/>
  <c r="S374" i="1"/>
  <c r="S373" i="1"/>
  <c r="S372" i="1"/>
  <c r="S358" i="1"/>
  <c r="S357" i="1"/>
  <c r="S356" i="1"/>
  <c r="S355" i="1"/>
  <c r="S354" i="1"/>
  <c r="S340" i="1"/>
  <c r="S339" i="1"/>
  <c r="S338" i="1"/>
  <c r="S337" i="1"/>
  <c r="F7" i="11"/>
  <c r="E7" i="11"/>
  <c r="F6" i="11"/>
  <c r="M65" i="1"/>
  <c r="F65" i="1"/>
  <c r="E6" i="11"/>
  <c r="F11" i="25"/>
  <c r="F15" i="25" s="1"/>
  <c r="E11" i="25"/>
  <c r="E15" i="25" s="1"/>
  <c r="F13" i="24"/>
  <c r="F12" i="24"/>
  <c r="F11" i="24"/>
  <c r="E12" i="24"/>
  <c r="E11" i="24"/>
  <c r="F9" i="25"/>
  <c r="E9" i="25"/>
  <c r="F10" i="25"/>
  <c r="E10" i="25"/>
  <c r="W7" i="25"/>
  <c r="U7" i="25"/>
  <c r="S7" i="25"/>
  <c r="Q7" i="25"/>
  <c r="O7" i="25"/>
  <c r="M7" i="25"/>
  <c r="K7" i="25"/>
  <c r="J7" i="25"/>
  <c r="I7" i="25"/>
  <c r="H7" i="25"/>
  <c r="G7" i="25"/>
  <c r="F7" i="25"/>
  <c r="E7" i="25"/>
  <c r="E2" i="25"/>
  <c r="U93" i="1"/>
  <c r="S100" i="1" s="1"/>
  <c r="F10" i="24"/>
  <c r="F9" i="24"/>
  <c r="E10" i="24"/>
  <c r="E9" i="24"/>
  <c r="W9" i="6"/>
  <c r="U9" i="6"/>
  <c r="S9" i="6"/>
  <c r="Q9" i="6"/>
  <c r="W7" i="24"/>
  <c r="U7" i="24"/>
  <c r="S7" i="24"/>
  <c r="Q7" i="24"/>
  <c r="O7" i="24"/>
  <c r="M7" i="24"/>
  <c r="K7" i="24"/>
  <c r="J7" i="24"/>
  <c r="I7" i="24"/>
  <c r="H7" i="24"/>
  <c r="G7" i="24"/>
  <c r="F7" i="24"/>
  <c r="E7" i="24"/>
  <c r="E2" i="24"/>
  <c r="K7" i="5" l="1"/>
  <c r="H21" i="5"/>
  <c r="H6" i="5"/>
  <c r="E21" i="5"/>
  <c r="E6" i="5"/>
  <c r="K21" i="5"/>
  <c r="K6" i="5"/>
  <c r="E7" i="5"/>
  <c r="H7" i="5"/>
  <c r="I7" i="5"/>
  <c r="L7" i="5"/>
  <c r="F7" i="5"/>
  <c r="E93" i="1"/>
  <c r="G98" i="1" s="1"/>
  <c r="F93" i="1"/>
  <c r="J98" i="1" s="1"/>
  <c r="G93" i="1"/>
  <c r="D99" i="1" s="1"/>
  <c r="H93" i="1"/>
  <c r="G99" i="1" s="1"/>
  <c r="I93" i="1"/>
  <c r="J99" i="1" s="1"/>
  <c r="J93" i="1"/>
  <c r="D100" i="1" s="1"/>
  <c r="K93" i="1"/>
  <c r="G100" i="1" s="1"/>
  <c r="L93" i="1"/>
  <c r="J100" i="1" s="1"/>
  <c r="M93" i="1"/>
  <c r="M98" i="1" s="1"/>
  <c r="N93" i="1"/>
  <c r="P98" i="1" s="1"/>
  <c r="O93" i="1"/>
  <c r="S98" i="1" s="1"/>
  <c r="P93" i="1"/>
  <c r="M99" i="1" s="1"/>
  <c r="Q93" i="1"/>
  <c r="P99" i="1" s="1"/>
  <c r="R93" i="1"/>
  <c r="S99" i="1" s="1"/>
  <c r="S93" i="1"/>
  <c r="M100" i="1" s="1"/>
  <c r="T93" i="1"/>
  <c r="P100" i="1" s="1"/>
  <c r="D93" i="1"/>
  <c r="D98" i="1" s="1"/>
  <c r="M7" i="16" l="1"/>
  <c r="L7" i="16"/>
  <c r="K7" i="16"/>
  <c r="I7" i="6"/>
  <c r="L6" i="16"/>
  <c r="K6" i="16"/>
  <c r="M6" i="16"/>
  <c r="G7" i="6"/>
  <c r="K5" i="16"/>
  <c r="L5" i="16"/>
  <c r="M5" i="16"/>
  <c r="E7" i="6"/>
  <c r="D101" i="1"/>
  <c r="G101" i="1"/>
  <c r="P101" i="1"/>
  <c r="M101" i="1"/>
  <c r="S101" i="1"/>
  <c r="J101" i="1"/>
  <c r="S102" i="1" l="1"/>
  <c r="P102" i="1"/>
  <c r="J102" i="1"/>
  <c r="G102" i="1"/>
  <c r="M102" i="1"/>
  <c r="D102" i="1"/>
  <c r="F15" i="24" l="1"/>
  <c r="E15" i="24"/>
  <c r="K25" i="7" l="1"/>
  <c r="J21" i="6" l="1"/>
  <c r="J20" i="6"/>
  <c r="J19" i="6"/>
  <c r="J18" i="6"/>
  <c r="J10" i="6"/>
  <c r="J9" i="6"/>
  <c r="S499" i="1" l="1"/>
  <c r="S480" i="1"/>
  <c r="F3" i="6" s="1"/>
  <c r="S481" i="1"/>
  <c r="F3" i="8" s="1"/>
  <c r="S482" i="1"/>
  <c r="E3" i="30" s="1"/>
  <c r="S483" i="1"/>
  <c r="E3" i="34" s="1"/>
  <c r="S486" i="1"/>
  <c r="E3" i="32" s="1"/>
  <c r="S487" i="1"/>
  <c r="F16" i="16" s="1"/>
  <c r="S479" i="1"/>
  <c r="F3" i="5" s="1"/>
  <c r="E22" i="5" s="1"/>
  <c r="S322" i="1" l="1"/>
  <c r="S321" i="1"/>
  <c r="S319" i="1"/>
  <c r="S318" i="1"/>
  <c r="S314" i="1"/>
  <c r="S311" i="1"/>
  <c r="S310" i="1"/>
  <c r="S312" i="1"/>
  <c r="S313" i="1"/>
  <c r="S309" i="1"/>
  <c r="S307" i="1"/>
  <c r="S308" i="1"/>
  <c r="S316" i="1" l="1"/>
  <c r="F8" i="32" s="1"/>
  <c r="F10" i="32" s="1"/>
  <c r="E11" i="32" s="1"/>
  <c r="D404" i="1"/>
  <c r="D405" i="1"/>
  <c r="D406" i="1"/>
  <c r="D407" i="1"/>
  <c r="D408" i="1"/>
  <c r="D409" i="1"/>
  <c r="D410" i="1"/>
  <c r="D411" i="1"/>
  <c r="D412" i="1"/>
  <c r="D413" i="1"/>
  <c r="D6" i="3"/>
  <c r="P405" i="1"/>
  <c r="P406" i="1"/>
  <c r="J12" i="6" s="1"/>
  <c r="P407" i="1"/>
  <c r="L12" i="6" s="1"/>
  <c r="L15" i="6" s="1"/>
  <c r="P408" i="1"/>
  <c r="N12" i="6" s="1"/>
  <c r="N15" i="6" s="1"/>
  <c r="P409" i="1"/>
  <c r="P12" i="6" s="1"/>
  <c r="P15" i="6" s="1"/>
  <c r="P410" i="1"/>
  <c r="R12" i="6" s="1"/>
  <c r="R15" i="6" s="1"/>
  <c r="P411" i="1"/>
  <c r="T12" i="6" s="1"/>
  <c r="T15" i="6" s="1"/>
  <c r="P412" i="1"/>
  <c r="V12" i="6" s="1"/>
  <c r="V15" i="6" s="1"/>
  <c r="P413" i="1"/>
  <c r="X12" i="6" s="1"/>
  <c r="X15" i="6" s="1"/>
  <c r="P404" i="1"/>
  <c r="H405" i="1"/>
  <c r="H406" i="1"/>
  <c r="H407" i="1"/>
  <c r="H408" i="1"/>
  <c r="H409" i="1"/>
  <c r="H410" i="1"/>
  <c r="H411" i="1"/>
  <c r="H412" i="1"/>
  <c r="H413" i="1"/>
  <c r="H404" i="1"/>
  <c r="E12" i="6" s="1"/>
  <c r="S315" i="1"/>
  <c r="S306" i="1"/>
  <c r="S367" i="1"/>
  <c r="S348" i="1"/>
  <c r="S342" i="1"/>
  <c r="S332" i="1"/>
  <c r="S369" i="1"/>
  <c r="S370" i="1"/>
  <c r="S368" i="1"/>
  <c r="S350" i="1"/>
  <c r="S352" i="1"/>
  <c r="S351" i="1"/>
  <c r="S349" i="1"/>
  <c r="S345" i="1"/>
  <c r="S344" i="1"/>
  <c r="S343" i="1"/>
  <c r="O414" i="1" l="1"/>
  <c r="N414" i="1"/>
  <c r="M414" i="1"/>
  <c r="C3" i="36"/>
  <c r="B6" i="36" s="1"/>
  <c r="D4" i="34"/>
  <c r="C4" i="32"/>
  <c r="E8" i="26"/>
  <c r="D4" i="30"/>
  <c r="J15" i="6"/>
  <c r="I12" i="6"/>
  <c r="D4" i="25"/>
  <c r="D3" i="11"/>
  <c r="D4" i="6"/>
  <c r="D4" i="24"/>
  <c r="S334" i="1"/>
  <c r="S335" i="1"/>
  <c r="S333" i="1"/>
  <c r="V25" i="5" l="1"/>
  <c r="AB25" i="5"/>
  <c r="Y25" i="5"/>
  <c r="P25" i="5"/>
  <c r="AH25" i="5"/>
  <c r="S25" i="5"/>
  <c r="AE25" i="5"/>
  <c r="AG25" i="5"/>
  <c r="AD25" i="5"/>
  <c r="W25" i="5"/>
  <c r="AF25" i="5"/>
  <c r="Q25" i="5"/>
  <c r="T25" i="5"/>
  <c r="Z25" i="5"/>
  <c r="N25" i="5"/>
  <c r="O25" i="5"/>
  <c r="AC25" i="5"/>
  <c r="R25" i="5"/>
  <c r="U25" i="5"/>
  <c r="AA25" i="5"/>
  <c r="X25" i="5"/>
  <c r="G25" i="5"/>
  <c r="J25" i="5"/>
  <c r="M25" i="5"/>
  <c r="F25" i="5"/>
  <c r="L25" i="5"/>
  <c r="I25" i="5"/>
  <c r="H25" i="5"/>
  <c r="E25" i="5"/>
  <c r="K25" i="5"/>
  <c r="X8" i="6"/>
  <c r="T8" i="6"/>
  <c r="P8" i="6"/>
  <c r="L8" i="6"/>
  <c r="W8" i="6"/>
  <c r="S8" i="6"/>
  <c r="O8" i="6"/>
  <c r="K8" i="6"/>
  <c r="G8" i="6"/>
  <c r="R8" i="6"/>
  <c r="J8" i="6"/>
  <c r="F8" i="6"/>
  <c r="U8" i="6"/>
  <c r="M8" i="6"/>
  <c r="H8" i="6"/>
  <c r="V8" i="6"/>
  <c r="N8" i="6"/>
  <c r="Q8" i="6"/>
  <c r="I8" i="6"/>
  <c r="E8" i="6"/>
  <c r="J11" i="6"/>
  <c r="B7" i="25"/>
  <c r="B7" i="24"/>
  <c r="H6" i="16"/>
  <c r="I6" i="16"/>
  <c r="J6" i="16"/>
  <c r="H7" i="16"/>
  <c r="I7" i="16"/>
  <c r="J7" i="16"/>
  <c r="H8" i="16"/>
  <c r="I8" i="16"/>
  <c r="J8" i="16"/>
  <c r="H9" i="16"/>
  <c r="I9" i="16"/>
  <c r="J9" i="16"/>
  <c r="H10" i="16"/>
  <c r="I10" i="16"/>
  <c r="J10" i="16"/>
  <c r="H11" i="16"/>
  <c r="I11" i="16"/>
  <c r="J11" i="16"/>
  <c r="H12" i="16"/>
  <c r="I12" i="16"/>
  <c r="J12" i="16"/>
  <c r="H13" i="16"/>
  <c r="I13" i="16"/>
  <c r="J13" i="16"/>
  <c r="H14" i="16"/>
  <c r="I14" i="16"/>
  <c r="J14" i="16"/>
  <c r="I5" i="16"/>
  <c r="J5" i="16"/>
  <c r="H5" i="16"/>
  <c r="S476" i="1"/>
  <c r="F23" i="16" s="1"/>
  <c r="F27" i="16" s="1"/>
  <c r="S475" i="1"/>
  <c r="F22" i="16" s="1"/>
  <c r="S436" i="1"/>
  <c r="F19" i="16" s="1"/>
  <c r="E19" i="16"/>
  <c r="E443" i="1"/>
  <c r="D6" i="16" s="1"/>
  <c r="E444" i="1"/>
  <c r="D7" i="16" s="1"/>
  <c r="E445" i="1"/>
  <c r="D8" i="16" s="1"/>
  <c r="E446" i="1"/>
  <c r="D9" i="16" s="1"/>
  <c r="E447" i="1"/>
  <c r="D10" i="16" s="1"/>
  <c r="E448" i="1"/>
  <c r="D11" i="16" s="1"/>
  <c r="E449" i="1"/>
  <c r="D12" i="16" s="1"/>
  <c r="E450" i="1"/>
  <c r="D13" i="16" s="1"/>
  <c r="E451" i="1"/>
  <c r="D14" i="16" s="1"/>
  <c r="E442" i="1"/>
  <c r="D5" i="16" s="1"/>
  <c r="R443" i="1"/>
  <c r="E6" i="16" s="1"/>
  <c r="S443" i="1"/>
  <c r="F6" i="16" s="1"/>
  <c r="T443" i="1"/>
  <c r="G6" i="16" s="1"/>
  <c r="R444" i="1"/>
  <c r="E7" i="16" s="1"/>
  <c r="S444" i="1"/>
  <c r="F7" i="16" s="1"/>
  <c r="T444" i="1"/>
  <c r="G7" i="16" s="1"/>
  <c r="R445" i="1"/>
  <c r="E8" i="16" s="1"/>
  <c r="S445" i="1"/>
  <c r="F8" i="16" s="1"/>
  <c r="T445" i="1"/>
  <c r="G8" i="16" s="1"/>
  <c r="R446" i="1"/>
  <c r="E9" i="16" s="1"/>
  <c r="S446" i="1"/>
  <c r="F9" i="16" s="1"/>
  <c r="T446" i="1"/>
  <c r="G9" i="16" s="1"/>
  <c r="R447" i="1"/>
  <c r="E10" i="16" s="1"/>
  <c r="S447" i="1"/>
  <c r="F10" i="16" s="1"/>
  <c r="T447" i="1"/>
  <c r="G10" i="16" s="1"/>
  <c r="R448" i="1"/>
  <c r="E11" i="16" s="1"/>
  <c r="S448" i="1"/>
  <c r="F11" i="16" s="1"/>
  <c r="T448" i="1"/>
  <c r="G11" i="16" s="1"/>
  <c r="R449" i="1"/>
  <c r="E12" i="16" s="1"/>
  <c r="S449" i="1"/>
  <c r="F12" i="16" s="1"/>
  <c r="T449" i="1"/>
  <c r="G12" i="16" s="1"/>
  <c r="R450" i="1"/>
  <c r="E13" i="16" s="1"/>
  <c r="S450" i="1"/>
  <c r="F13" i="16" s="1"/>
  <c r="T450" i="1"/>
  <c r="G13" i="16" s="1"/>
  <c r="R451" i="1"/>
  <c r="E14" i="16" s="1"/>
  <c r="S451" i="1"/>
  <c r="F14" i="16" s="1"/>
  <c r="T451" i="1"/>
  <c r="G14" i="16" s="1"/>
  <c r="T442" i="1"/>
  <c r="G5" i="16" s="1"/>
  <c r="S442" i="1"/>
  <c r="F5" i="16" s="1"/>
  <c r="R442" i="1"/>
  <c r="E5" i="16" s="1"/>
  <c r="J9" i="5"/>
  <c r="N13" i="16" l="1"/>
  <c r="O13" i="16"/>
  <c r="P13" i="16"/>
  <c r="O12" i="16"/>
  <c r="N12" i="16"/>
  <c r="P12" i="16"/>
  <c r="O8" i="16"/>
  <c r="N8" i="16"/>
  <c r="P8" i="16"/>
  <c r="E30" i="6"/>
  <c r="P14" i="16"/>
  <c r="N14" i="16"/>
  <c r="O14" i="16"/>
  <c r="O10" i="16"/>
  <c r="P10" i="16"/>
  <c r="N10" i="16"/>
  <c r="N6" i="16"/>
  <c r="O6" i="16"/>
  <c r="P6" i="16"/>
  <c r="O9" i="16"/>
  <c r="P9" i="16"/>
  <c r="N9" i="16"/>
  <c r="O5" i="16"/>
  <c r="N5" i="16"/>
  <c r="P5" i="16"/>
  <c r="P11" i="16"/>
  <c r="N11" i="16"/>
  <c r="O11" i="16"/>
  <c r="O7" i="16"/>
  <c r="N7" i="16"/>
  <c r="P7" i="16"/>
  <c r="F27" i="5"/>
  <c r="F17" i="11" s="1"/>
  <c r="F26" i="5"/>
  <c r="E27" i="5"/>
  <c r="E17" i="11" s="1"/>
  <c r="E26" i="5"/>
  <c r="L11" i="6"/>
  <c r="R11" i="6"/>
  <c r="V11" i="6"/>
  <c r="N11" i="6"/>
  <c r="P11" i="6"/>
  <c r="X11" i="6"/>
  <c r="T11" i="6"/>
  <c r="E38" i="26" l="1"/>
  <c r="E16" i="11"/>
  <c r="D38" i="26"/>
  <c r="F16" i="11"/>
  <c r="N15" i="16"/>
  <c r="P15" i="16"/>
  <c r="O15" i="16"/>
  <c r="E18" i="16" l="1"/>
  <c r="S290" i="1"/>
  <c r="S289" i="1"/>
  <c r="S288" i="1"/>
  <c r="S287" i="1"/>
  <c r="S286" i="1"/>
  <c r="AG12" i="5" s="1"/>
  <c r="S285" i="1"/>
  <c r="S283" i="1"/>
  <c r="S282" i="1"/>
  <c r="AG10" i="5" s="1"/>
  <c r="S281" i="1"/>
  <c r="AG9" i="5" s="1"/>
  <c r="S280" i="1"/>
  <c r="S279" i="1"/>
  <c r="S273" i="1"/>
  <c r="S272" i="1"/>
  <c r="S271" i="1"/>
  <c r="S270" i="1"/>
  <c r="S269" i="1"/>
  <c r="AD12" i="5" s="1"/>
  <c r="S268" i="1"/>
  <c r="S266" i="1"/>
  <c r="S265" i="1"/>
  <c r="AD10" i="5" s="1"/>
  <c r="S264" i="1"/>
  <c r="AD9" i="5" s="1"/>
  <c r="S263" i="1"/>
  <c r="S262" i="1"/>
  <c r="S256" i="1"/>
  <c r="S255" i="1"/>
  <c r="S254" i="1"/>
  <c r="S253" i="1"/>
  <c r="S252" i="1"/>
  <c r="AA12" i="5" s="1"/>
  <c r="S251" i="1"/>
  <c r="S249" i="1"/>
  <c r="S248" i="1"/>
  <c r="AA10" i="5" s="1"/>
  <c r="S247" i="1"/>
  <c r="AA9" i="5" s="1"/>
  <c r="S246" i="1"/>
  <c r="S245" i="1"/>
  <c r="S239" i="1"/>
  <c r="S238" i="1"/>
  <c r="S237" i="1"/>
  <c r="S236" i="1"/>
  <c r="S235" i="1"/>
  <c r="X12" i="5" s="1"/>
  <c r="S234" i="1"/>
  <c r="S232" i="1"/>
  <c r="S231" i="1"/>
  <c r="X10" i="5" s="1"/>
  <c r="S230" i="1"/>
  <c r="X9" i="5" s="1"/>
  <c r="S229" i="1"/>
  <c r="S228" i="1"/>
  <c r="S222" i="1"/>
  <c r="S221" i="1"/>
  <c r="S220" i="1"/>
  <c r="S219" i="1"/>
  <c r="S218" i="1"/>
  <c r="U12" i="5" s="1"/>
  <c r="S217" i="1"/>
  <c r="S215" i="1"/>
  <c r="S214" i="1"/>
  <c r="U10" i="5" s="1"/>
  <c r="S213" i="1"/>
  <c r="U9" i="5" s="1"/>
  <c r="S212" i="1"/>
  <c r="S211" i="1"/>
  <c r="S205" i="1"/>
  <c r="S204" i="1"/>
  <c r="S203" i="1"/>
  <c r="S202" i="1"/>
  <c r="S201" i="1"/>
  <c r="R12" i="5" s="1"/>
  <c r="S200" i="1"/>
  <c r="S198" i="1"/>
  <c r="S197" i="1"/>
  <c r="R10" i="5" s="1"/>
  <c r="S196" i="1"/>
  <c r="R9" i="5" s="1"/>
  <c r="S195" i="1"/>
  <c r="S194" i="1"/>
  <c r="S188" i="1"/>
  <c r="S187" i="1"/>
  <c r="S186" i="1"/>
  <c r="S185" i="1"/>
  <c r="S184" i="1"/>
  <c r="O12" i="5" s="1"/>
  <c r="S183" i="1"/>
  <c r="S181" i="1"/>
  <c r="S180" i="1"/>
  <c r="O10" i="5" s="1"/>
  <c r="S179" i="1"/>
  <c r="O9" i="5" s="1"/>
  <c r="S178" i="1"/>
  <c r="S177" i="1"/>
  <c r="S171" i="1"/>
  <c r="S170" i="1"/>
  <c r="S169" i="1"/>
  <c r="S168" i="1"/>
  <c r="S167" i="1"/>
  <c r="S166" i="1"/>
  <c r="S164" i="1"/>
  <c r="S163" i="1"/>
  <c r="S162" i="1"/>
  <c r="S161" i="1"/>
  <c r="S160" i="1"/>
  <c r="S154" i="1"/>
  <c r="S153" i="1"/>
  <c r="S152" i="1"/>
  <c r="S151" i="1"/>
  <c r="S150" i="1"/>
  <c r="S149" i="1"/>
  <c r="S147" i="1"/>
  <c r="S146" i="1"/>
  <c r="S145" i="1"/>
  <c r="S144" i="1"/>
  <c r="S143" i="1"/>
  <c r="S137" i="1"/>
  <c r="S136" i="1"/>
  <c r="S135" i="1"/>
  <c r="S134" i="1"/>
  <c r="S133" i="1"/>
  <c r="S132" i="1"/>
  <c r="S127" i="1"/>
  <c r="S128" i="1"/>
  <c r="S129" i="1"/>
  <c r="F10" i="5" s="1"/>
  <c r="S130" i="1"/>
  <c r="S126" i="1"/>
  <c r="X11" i="5" l="1"/>
  <c r="R11" i="34"/>
  <c r="R12" i="34" s="1"/>
  <c r="R11" i="30"/>
  <c r="R12" i="30" s="1"/>
  <c r="H11" i="30"/>
  <c r="H12" i="30" s="1"/>
  <c r="H11" i="34"/>
  <c r="H12" i="34" s="1"/>
  <c r="U11" i="5"/>
  <c r="P11" i="30"/>
  <c r="P12" i="30" s="1"/>
  <c r="P11" i="34"/>
  <c r="P12" i="34" s="1"/>
  <c r="AG11" i="5"/>
  <c r="X11" i="34"/>
  <c r="X12" i="34" s="1"/>
  <c r="X11" i="30"/>
  <c r="X12" i="30" s="1"/>
  <c r="R11" i="5"/>
  <c r="R13" i="5" s="1"/>
  <c r="N11" i="34"/>
  <c r="N12" i="34" s="1"/>
  <c r="N11" i="30"/>
  <c r="N12" i="30" s="1"/>
  <c r="J11" i="34"/>
  <c r="J12" i="34" s="1"/>
  <c r="J11" i="30"/>
  <c r="J12" i="30" s="1"/>
  <c r="AD11" i="5"/>
  <c r="AD13" i="5" s="1"/>
  <c r="V11" i="34"/>
  <c r="V12" i="34" s="1"/>
  <c r="V11" i="30"/>
  <c r="V12" i="30" s="1"/>
  <c r="F11" i="34"/>
  <c r="F12" i="34" s="1"/>
  <c r="F11" i="30"/>
  <c r="F12" i="30" s="1"/>
  <c r="O11" i="5"/>
  <c r="L11" i="34"/>
  <c r="L12" i="34" s="1"/>
  <c r="L11" i="30"/>
  <c r="L12" i="30" s="1"/>
  <c r="AA11" i="5"/>
  <c r="AA13" i="5" s="1"/>
  <c r="T11" i="34"/>
  <c r="T12" i="34" s="1"/>
  <c r="T11" i="30"/>
  <c r="T12" i="30" s="1"/>
  <c r="U13" i="5"/>
  <c r="AG13" i="5"/>
  <c r="O13" i="5"/>
  <c r="X13" i="5"/>
  <c r="I10" i="5"/>
  <c r="I11" i="5"/>
  <c r="L11" i="5"/>
  <c r="L9" i="5"/>
  <c r="L12" i="5"/>
  <c r="F12" i="5"/>
  <c r="F9" i="5"/>
  <c r="F11" i="5"/>
  <c r="I9" i="5"/>
  <c r="I12" i="5"/>
  <c r="L10" i="5"/>
  <c r="H21" i="6"/>
  <c r="H20" i="6"/>
  <c r="H19" i="6"/>
  <c r="H18" i="6"/>
  <c r="H10" i="6"/>
  <c r="H9" i="6"/>
  <c r="E2" i="6"/>
  <c r="F21" i="6"/>
  <c r="F20" i="6"/>
  <c r="F19" i="6"/>
  <c r="F18" i="6"/>
  <c r="F10" i="6"/>
  <c r="F9" i="6"/>
  <c r="E32" i="6" l="1"/>
  <c r="F30" i="6"/>
  <c r="K13" i="30"/>
  <c r="L17" i="30"/>
  <c r="L18" i="30" s="1"/>
  <c r="L19" i="30" s="1"/>
  <c r="I13" i="30"/>
  <c r="J17" i="30"/>
  <c r="J18" i="30" s="1"/>
  <c r="J19" i="30" s="1"/>
  <c r="O14" i="34"/>
  <c r="O15" i="34" s="1"/>
  <c r="P17" i="34"/>
  <c r="G13" i="30"/>
  <c r="H17" i="30"/>
  <c r="H18" i="30" s="1"/>
  <c r="H19" i="30" s="1"/>
  <c r="S13" i="30"/>
  <c r="T17" i="30"/>
  <c r="T18" i="30" s="1"/>
  <c r="T19" i="30" s="1"/>
  <c r="K14" i="34"/>
  <c r="K15" i="34" s="1"/>
  <c r="L17" i="34"/>
  <c r="U13" i="30"/>
  <c r="V17" i="30"/>
  <c r="V18" i="30" s="1"/>
  <c r="V19" i="30" s="1"/>
  <c r="I14" i="34"/>
  <c r="I15" i="34" s="1"/>
  <c r="J17" i="34"/>
  <c r="W13" i="30"/>
  <c r="X17" i="30"/>
  <c r="X18" i="30" s="1"/>
  <c r="X19" i="30" s="1"/>
  <c r="O13" i="30"/>
  <c r="P17" i="30"/>
  <c r="P18" i="30" s="1"/>
  <c r="P19" i="30" s="1"/>
  <c r="Q13" i="30"/>
  <c r="R17" i="30"/>
  <c r="R18" i="30" s="1"/>
  <c r="R19" i="30" s="1"/>
  <c r="S14" i="34"/>
  <c r="S15" i="34" s="1"/>
  <c r="T17" i="34"/>
  <c r="U14" i="34"/>
  <c r="U15" i="34" s="1"/>
  <c r="V17" i="34"/>
  <c r="M13" i="30"/>
  <c r="N17" i="30"/>
  <c r="N18" i="30" s="1"/>
  <c r="N19" i="30" s="1"/>
  <c r="W14" i="34"/>
  <c r="W15" i="34" s="1"/>
  <c r="X17" i="34"/>
  <c r="Q14" i="34"/>
  <c r="Q15" i="34" s="1"/>
  <c r="R17" i="34"/>
  <c r="E14" i="34"/>
  <c r="E15" i="34" s="1"/>
  <c r="F17" i="34"/>
  <c r="E13" i="30"/>
  <c r="F17" i="30"/>
  <c r="F18" i="30" s="1"/>
  <c r="F19" i="30" s="1"/>
  <c r="M14" i="34"/>
  <c r="M15" i="34" s="1"/>
  <c r="N17" i="34"/>
  <c r="G14" i="34"/>
  <c r="G15" i="34" s="1"/>
  <c r="H17" i="34"/>
  <c r="I13" i="5"/>
  <c r="F13" i="5"/>
  <c r="L13" i="5"/>
  <c r="H11" i="6"/>
  <c r="S405" i="1"/>
  <c r="S406" i="1"/>
  <c r="J14" i="6"/>
  <c r="J16" i="6" s="1"/>
  <c r="S407" i="1"/>
  <c r="L13" i="6" s="1"/>
  <c r="L23" i="6" s="1"/>
  <c r="L24" i="6" s="1"/>
  <c r="L14" i="6"/>
  <c r="L16" i="6" s="1"/>
  <c r="S408" i="1"/>
  <c r="N13" i="6" s="1"/>
  <c r="N23" i="6" s="1"/>
  <c r="N24" i="6" s="1"/>
  <c r="N14" i="6"/>
  <c r="N16" i="6" s="1"/>
  <c r="S409" i="1"/>
  <c r="P13" i="6" s="1"/>
  <c r="P23" i="6" s="1"/>
  <c r="P24" i="6" s="1"/>
  <c r="P14" i="6"/>
  <c r="P16" i="6" s="1"/>
  <c r="S410" i="1"/>
  <c r="R13" i="6" s="1"/>
  <c r="R23" i="6" s="1"/>
  <c r="R24" i="6" s="1"/>
  <c r="R14" i="6"/>
  <c r="R16" i="6" s="1"/>
  <c r="S411" i="1"/>
  <c r="T13" i="6" s="1"/>
  <c r="T23" i="6" s="1"/>
  <c r="T24" i="6" s="1"/>
  <c r="T14" i="6"/>
  <c r="T16" i="6" s="1"/>
  <c r="S412" i="1"/>
  <c r="V13" i="6" s="1"/>
  <c r="V23" i="6" s="1"/>
  <c r="V24" i="6" s="1"/>
  <c r="V14" i="6"/>
  <c r="V16" i="6" s="1"/>
  <c r="S413" i="1"/>
  <c r="X13" i="6" s="1"/>
  <c r="X23" i="6" s="1"/>
  <c r="X24" i="6" s="1"/>
  <c r="X14" i="6"/>
  <c r="X16" i="6" s="1"/>
  <c r="F14" i="6"/>
  <c r="S404" i="1"/>
  <c r="F13" i="6" s="1"/>
  <c r="F23" i="6" s="1"/>
  <c r="K406" i="1"/>
  <c r="K407" i="1"/>
  <c r="K408" i="1"/>
  <c r="K409" i="1"/>
  <c r="K410" i="1"/>
  <c r="K411" i="1"/>
  <c r="K412" i="1"/>
  <c r="K413" i="1"/>
  <c r="K405" i="1"/>
  <c r="K404" i="1"/>
  <c r="G18" i="34" l="1"/>
  <c r="G19" i="34" s="1"/>
  <c r="I18" i="34"/>
  <c r="I19" i="34" s="1"/>
  <c r="E18" i="34"/>
  <c r="E19" i="34" s="1"/>
  <c r="E14" i="30"/>
  <c r="E17" i="30"/>
  <c r="E18" i="30" s="1"/>
  <c r="E19" i="30" s="1"/>
  <c r="E20" i="30" s="1"/>
  <c r="E21" i="30" s="1"/>
  <c r="Q18" i="34"/>
  <c r="Q19" i="34" s="1"/>
  <c r="M14" i="30"/>
  <c r="M17" i="30"/>
  <c r="M18" i="30" s="1"/>
  <c r="M19" i="30" s="1"/>
  <c r="M20" i="30" s="1"/>
  <c r="M21" i="30" s="1"/>
  <c r="S18" i="34"/>
  <c r="S19" i="34" s="1"/>
  <c r="O14" i="30"/>
  <c r="O17" i="30"/>
  <c r="O18" i="30" s="1"/>
  <c r="O19" i="30" s="1"/>
  <c r="O20" i="30" s="1"/>
  <c r="O21" i="30" s="1"/>
  <c r="K18" i="34"/>
  <c r="K19" i="34" s="1"/>
  <c r="G14" i="30"/>
  <c r="G17" i="30"/>
  <c r="G18" i="30" s="1"/>
  <c r="G19" i="30" s="1"/>
  <c r="G20" i="30" s="1"/>
  <c r="G21" i="30" s="1"/>
  <c r="I14" i="30"/>
  <c r="I17" i="30"/>
  <c r="I18" i="30" s="1"/>
  <c r="I19" i="30" s="1"/>
  <c r="I20" i="30" s="1"/>
  <c r="I21" i="30" s="1"/>
  <c r="M18" i="34"/>
  <c r="M19" i="34" s="1"/>
  <c r="W18" i="34"/>
  <c r="W19" i="34" s="1"/>
  <c r="U18" i="34"/>
  <c r="U19" i="34" s="1"/>
  <c r="Q14" i="30"/>
  <c r="Q17" i="30"/>
  <c r="Q18" i="30" s="1"/>
  <c r="Q19" i="30" s="1"/>
  <c r="Q20" i="30" s="1"/>
  <c r="Q21" i="30" s="1"/>
  <c r="W14" i="30"/>
  <c r="W17" i="30"/>
  <c r="W18" i="30" s="1"/>
  <c r="W19" i="30" s="1"/>
  <c r="W20" i="30" s="1"/>
  <c r="W21" i="30" s="1"/>
  <c r="U14" i="30"/>
  <c r="U17" i="30"/>
  <c r="U18" i="30" s="1"/>
  <c r="U19" i="30" s="1"/>
  <c r="U20" i="30" s="1"/>
  <c r="U21" i="30" s="1"/>
  <c r="S14" i="30"/>
  <c r="S17" i="30"/>
  <c r="S18" i="30" s="1"/>
  <c r="S19" i="30" s="1"/>
  <c r="S20" i="30" s="1"/>
  <c r="S21" i="30" s="1"/>
  <c r="O18" i="34"/>
  <c r="O19" i="34" s="1"/>
  <c r="K14" i="30"/>
  <c r="K17" i="30"/>
  <c r="K18" i="30" s="1"/>
  <c r="K19" i="30" s="1"/>
  <c r="K20" i="30" s="1"/>
  <c r="K21" i="30" s="1"/>
  <c r="V25" i="6"/>
  <c r="R25" i="6"/>
  <c r="N25" i="6"/>
  <c r="X25" i="6"/>
  <c r="T25" i="6"/>
  <c r="P25" i="6"/>
  <c r="L25" i="6"/>
  <c r="W13" i="24"/>
  <c r="S13" i="24"/>
  <c r="Q13" i="24"/>
  <c r="Q15" i="24" s="1"/>
  <c r="J13" i="6"/>
  <c r="J23" i="6" s="1"/>
  <c r="J24" i="6" s="1"/>
  <c r="J25" i="6" s="1"/>
  <c r="H13" i="6"/>
  <c r="H23" i="6" s="1"/>
  <c r="H24" i="6" s="1"/>
  <c r="H14" i="6"/>
  <c r="T414" i="1"/>
  <c r="F13" i="8" s="1"/>
  <c r="C2" i="16"/>
  <c r="E20" i="34" l="1"/>
  <c r="E22" i="30"/>
  <c r="H15" i="24"/>
  <c r="J15" i="24"/>
  <c r="I15" i="24"/>
  <c r="G15" i="24"/>
  <c r="S15" i="24"/>
  <c r="W15" i="24"/>
  <c r="K15" i="24"/>
  <c r="M15" i="24"/>
  <c r="U15" i="24"/>
  <c r="O15" i="24"/>
  <c r="S469" i="1"/>
  <c r="R469" i="1"/>
  <c r="K469" i="1"/>
  <c r="E21" i="16" s="1"/>
  <c r="E27" i="16" s="1"/>
  <c r="J469" i="1"/>
  <c r="E20" i="16" s="1"/>
  <c r="E54" i="11" l="1"/>
  <c r="S398" i="1"/>
  <c r="T398" i="1" s="1"/>
  <c r="Q398" i="1"/>
  <c r="R398" i="1" s="1"/>
  <c r="O398" i="1"/>
  <c r="P398" i="1" s="1"/>
  <c r="M398" i="1"/>
  <c r="N398" i="1" s="1"/>
  <c r="K398" i="1"/>
  <c r="L398" i="1" s="1"/>
  <c r="M70" i="1"/>
  <c r="Q57" i="1"/>
  <c r="M57" i="1"/>
  <c r="E57" i="1"/>
  <c r="F24" i="11" l="1"/>
  <c r="D36" i="26"/>
  <c r="S57" i="1"/>
  <c r="F24" i="16" s="1"/>
  <c r="F26" i="16" s="1"/>
  <c r="O57" i="1"/>
  <c r="M115" i="1"/>
  <c r="M116" i="1" s="1"/>
  <c r="F20" i="11"/>
  <c r="M67" i="1"/>
  <c r="M71" i="1" s="1"/>
  <c r="F25" i="11" l="1"/>
  <c r="D40" i="26"/>
  <c r="F23" i="11"/>
  <c r="D39" i="26"/>
  <c r="M72" i="1"/>
  <c r="M73" i="1" s="1"/>
  <c r="W21" i="6"/>
  <c r="U21" i="6"/>
  <c r="S21" i="6"/>
  <c r="Q21" i="6"/>
  <c r="O21" i="6"/>
  <c r="M21" i="6"/>
  <c r="K21" i="6"/>
  <c r="I21" i="6"/>
  <c r="G21" i="6"/>
  <c r="W20" i="6"/>
  <c r="U20" i="6"/>
  <c r="S20" i="6"/>
  <c r="Q20" i="6"/>
  <c r="O20" i="6"/>
  <c r="M20" i="6"/>
  <c r="K20" i="6"/>
  <c r="I20" i="6"/>
  <c r="W19" i="6"/>
  <c r="U19" i="6"/>
  <c r="S19" i="6"/>
  <c r="Q19" i="6"/>
  <c r="O19" i="6"/>
  <c r="M19" i="6"/>
  <c r="K19" i="6"/>
  <c r="I19" i="6"/>
  <c r="D41" i="26" l="1"/>
  <c r="F7" i="32"/>
  <c r="F29" i="11"/>
  <c r="W18" i="6"/>
  <c r="U18" i="6"/>
  <c r="S18" i="6"/>
  <c r="Q18" i="6"/>
  <c r="O18" i="6"/>
  <c r="M18" i="6"/>
  <c r="K18" i="6"/>
  <c r="I18" i="6"/>
  <c r="W14" i="6"/>
  <c r="U14" i="6"/>
  <c r="S14" i="6"/>
  <c r="Q14" i="6"/>
  <c r="O14" i="6"/>
  <c r="M14" i="6"/>
  <c r="K14" i="6"/>
  <c r="I14" i="6"/>
  <c r="W13" i="6"/>
  <c r="W23" i="6" s="1"/>
  <c r="U13" i="6"/>
  <c r="U23" i="6" s="1"/>
  <c r="S13" i="6"/>
  <c r="S23" i="6" s="1"/>
  <c r="Q13" i="6"/>
  <c r="Q23" i="6" s="1"/>
  <c r="O13" i="6"/>
  <c r="O23" i="6" s="1"/>
  <c r="M13" i="6"/>
  <c r="M23" i="6" s="1"/>
  <c r="K13" i="6"/>
  <c r="K23" i="6" s="1"/>
  <c r="I13" i="6"/>
  <c r="I23" i="6" s="1"/>
  <c r="W12" i="6"/>
  <c r="W15" i="6" s="1"/>
  <c r="W16" i="6" s="1"/>
  <c r="U12" i="6"/>
  <c r="U15" i="6" s="1"/>
  <c r="U16" i="6" s="1"/>
  <c r="S12" i="6"/>
  <c r="S15" i="6" s="1"/>
  <c r="S16" i="6" s="1"/>
  <c r="Q12" i="6"/>
  <c r="Q15" i="6" s="1"/>
  <c r="Q16" i="6" s="1"/>
  <c r="O12" i="6"/>
  <c r="O15" i="6" s="1"/>
  <c r="O16" i="6" s="1"/>
  <c r="M12" i="6"/>
  <c r="M15" i="6" s="1"/>
  <c r="M16" i="6" s="1"/>
  <c r="K12" i="6"/>
  <c r="K15" i="6" s="1"/>
  <c r="K16" i="6" s="1"/>
  <c r="I15" i="6"/>
  <c r="W10" i="6"/>
  <c r="U10" i="6"/>
  <c r="S10" i="6"/>
  <c r="Q10" i="6"/>
  <c r="O10" i="6"/>
  <c r="M10" i="6"/>
  <c r="K10" i="6"/>
  <c r="I10" i="6"/>
  <c r="O9" i="6"/>
  <c r="M9" i="6"/>
  <c r="K9" i="6"/>
  <c r="I9" i="6"/>
  <c r="G9" i="6"/>
  <c r="E9" i="6"/>
  <c r="I16" i="6" l="1"/>
  <c r="I398" i="1" l="1"/>
  <c r="J398" i="1" s="1"/>
  <c r="G398" i="1"/>
  <c r="H398" i="1" s="1"/>
  <c r="E398" i="1"/>
  <c r="F398" i="1" s="1"/>
  <c r="AH12" i="5" l="1"/>
  <c r="AH10" i="5"/>
  <c r="AH11" i="5"/>
  <c r="AH9" i="5"/>
  <c r="AF12" i="5"/>
  <c r="AF10" i="5"/>
  <c r="AF11" i="5"/>
  <c r="AF9" i="5"/>
  <c r="AE12" i="5"/>
  <c r="AE10" i="5"/>
  <c r="AE11" i="5"/>
  <c r="AE9" i="5"/>
  <c r="AC12" i="5"/>
  <c r="AC10" i="5"/>
  <c r="AC11" i="5"/>
  <c r="AC9" i="5"/>
  <c r="AB12" i="5"/>
  <c r="AB10" i="5"/>
  <c r="AB11" i="5"/>
  <c r="AB9" i="5"/>
  <c r="Z12" i="5"/>
  <c r="Z10" i="5"/>
  <c r="Z11" i="5"/>
  <c r="Z9" i="5"/>
  <c r="Y12" i="5"/>
  <c r="Y10" i="5"/>
  <c r="Y11" i="5"/>
  <c r="Y9" i="5"/>
  <c r="W12" i="5"/>
  <c r="W11" i="5"/>
  <c r="W10" i="5"/>
  <c r="W9" i="5"/>
  <c r="V12" i="5"/>
  <c r="V10" i="5"/>
  <c r="V11" i="5"/>
  <c r="V9" i="5"/>
  <c r="T12" i="5"/>
  <c r="T10" i="5"/>
  <c r="T11" i="5"/>
  <c r="T9" i="5"/>
  <c r="S12" i="5"/>
  <c r="S10" i="5"/>
  <c r="S11" i="5"/>
  <c r="S9" i="5"/>
  <c r="Q12" i="5"/>
  <c r="Q10" i="5"/>
  <c r="Q11" i="5"/>
  <c r="Q9" i="5"/>
  <c r="N12" i="5"/>
  <c r="P12" i="5"/>
  <c r="P10" i="5"/>
  <c r="P11" i="5"/>
  <c r="P9" i="5"/>
  <c r="N10" i="5"/>
  <c r="N11" i="5"/>
  <c r="N9" i="5"/>
  <c r="K12" i="5"/>
  <c r="M12" i="5"/>
  <c r="M10" i="5"/>
  <c r="M11" i="5"/>
  <c r="M9" i="5"/>
  <c r="K10" i="5"/>
  <c r="K11" i="5"/>
  <c r="K9" i="5"/>
  <c r="H12" i="5"/>
  <c r="H11" i="5"/>
  <c r="H10" i="5"/>
  <c r="H9" i="5"/>
  <c r="AH6" i="5"/>
  <c r="AE6" i="5"/>
  <c r="AB6" i="5"/>
  <c r="Y6" i="5"/>
  <c r="V6" i="5"/>
  <c r="S6" i="5"/>
  <c r="P6" i="5"/>
  <c r="M6" i="5"/>
  <c r="E12" i="5"/>
  <c r="E11" i="5"/>
  <c r="E10" i="5"/>
  <c r="E9" i="5"/>
  <c r="I57" i="1"/>
  <c r="E12" i="32" l="1"/>
  <c r="K57" i="1"/>
  <c r="G57" i="1"/>
  <c r="E13" i="32"/>
  <c r="E67" i="11" s="1"/>
  <c r="E20" i="11"/>
  <c r="E55" i="11" s="1"/>
  <c r="E36" i="26"/>
  <c r="M13" i="5"/>
  <c r="N13" i="5"/>
  <c r="S13" i="5"/>
  <c r="H13" i="5"/>
  <c r="E13" i="5"/>
  <c r="K13" i="5"/>
  <c r="AH13" i="5"/>
  <c r="AF13" i="5"/>
  <c r="AE13" i="5"/>
  <c r="AC13" i="5"/>
  <c r="Z13" i="5"/>
  <c r="AB13" i="5"/>
  <c r="W13" i="5"/>
  <c r="Y13" i="5"/>
  <c r="T13" i="5"/>
  <c r="V13" i="5"/>
  <c r="Q13" i="5"/>
  <c r="P13" i="5"/>
  <c r="E39" i="26"/>
  <c r="F115" i="1"/>
  <c r="F67" i="1"/>
  <c r="I414" i="1"/>
  <c r="L16" i="5" l="1"/>
  <c r="L17" i="5" s="1"/>
  <c r="L18" i="5" s="1"/>
  <c r="K16" i="5"/>
  <c r="U16" i="5"/>
  <c r="T16" i="5"/>
  <c r="AA16" i="5"/>
  <c r="Z16" i="5"/>
  <c r="AF16" i="5"/>
  <c r="AF17" i="5" s="1"/>
  <c r="AF18" i="5" s="1"/>
  <c r="AF20" i="5" s="1"/>
  <c r="AG16" i="5"/>
  <c r="AG17" i="5" s="1"/>
  <c r="AG18" i="5" s="1"/>
  <c r="Q16" i="5"/>
  <c r="R16" i="5"/>
  <c r="AC16" i="5"/>
  <c r="AC17" i="5" s="1"/>
  <c r="AC18" i="5" s="1"/>
  <c r="AC20" i="5" s="1"/>
  <c r="AD16" i="5"/>
  <c r="AD17" i="5" s="1"/>
  <c r="AD18" i="5" s="1"/>
  <c r="N16" i="5"/>
  <c r="O16" i="5"/>
  <c r="W16" i="5"/>
  <c r="W17" i="5" s="1"/>
  <c r="W18" i="5" s="1"/>
  <c r="W20" i="5" s="1"/>
  <c r="X16" i="5"/>
  <c r="X17" i="5" s="1"/>
  <c r="X18" i="5" s="1"/>
  <c r="N17" i="5"/>
  <c r="N18" i="5" s="1"/>
  <c r="N20" i="5" s="1"/>
  <c r="O17" i="5"/>
  <c r="O18" i="5" s="1"/>
  <c r="U17" i="5"/>
  <c r="U18" i="5" s="1"/>
  <c r="T17" i="5"/>
  <c r="T18" i="5" s="1"/>
  <c r="T20" i="5" s="1"/>
  <c r="AA17" i="5"/>
  <c r="AA18" i="5" s="1"/>
  <c r="Z17" i="5"/>
  <c r="Z18" i="5" s="1"/>
  <c r="Z20" i="5" s="1"/>
  <c r="R17" i="5"/>
  <c r="R18" i="5" s="1"/>
  <c r="Q17" i="5"/>
  <c r="Q18" i="5" s="1"/>
  <c r="Q20" i="5" s="1"/>
  <c r="E23" i="11"/>
  <c r="K17" i="5"/>
  <c r="K18" i="5" s="1"/>
  <c r="K20" i="5" s="1"/>
  <c r="F72" i="1"/>
  <c r="E24" i="16"/>
  <c r="F70" i="1"/>
  <c r="F71" i="1" s="1"/>
  <c r="C2" i="8"/>
  <c r="F15" i="8"/>
  <c r="Q414" i="1"/>
  <c r="F14" i="8" s="1"/>
  <c r="H12" i="6"/>
  <c r="H15" i="6" s="1"/>
  <c r="H16" i="6" s="1"/>
  <c r="H25" i="6" s="1"/>
  <c r="S414" i="1"/>
  <c r="F12" i="8" s="1"/>
  <c r="F12" i="6"/>
  <c r="F15" i="6" s="1"/>
  <c r="F16" i="6" s="1"/>
  <c r="G12" i="6"/>
  <c r="E72" i="11" l="1"/>
  <c r="E96" i="11"/>
  <c r="E68" i="11"/>
  <c r="E90" i="11" s="1"/>
  <c r="N19" i="5"/>
  <c r="N23" i="5" s="1"/>
  <c r="Q19" i="5"/>
  <c r="Q23" i="5" s="1"/>
  <c r="AF19" i="5"/>
  <c r="AF23" i="5" s="1"/>
  <c r="AC19" i="5"/>
  <c r="AC23" i="5" s="1"/>
  <c r="Z19" i="5"/>
  <c r="Z23" i="5" s="1"/>
  <c r="W19" i="5"/>
  <c r="W23" i="5" s="1"/>
  <c r="T19" i="5"/>
  <c r="T23" i="5" s="1"/>
  <c r="E47" i="11"/>
  <c r="E83" i="11"/>
  <c r="K19" i="5"/>
  <c r="E24" i="11"/>
  <c r="E26" i="16"/>
  <c r="E28" i="16" s="1"/>
  <c r="F116" i="1"/>
  <c r="O11" i="6"/>
  <c r="O24" i="6" s="1"/>
  <c r="O25" i="6" s="1"/>
  <c r="O26" i="6" s="1"/>
  <c r="O27" i="6" s="1"/>
  <c r="I11" i="6"/>
  <c r="I24" i="6" s="1"/>
  <c r="I25" i="6" s="1"/>
  <c r="U11" i="6"/>
  <c r="M11" i="6"/>
  <c r="M24" i="6" s="1"/>
  <c r="M25" i="6" s="1"/>
  <c r="M26" i="6" s="1"/>
  <c r="M27" i="6" s="1"/>
  <c r="W11" i="6"/>
  <c r="S11" i="6"/>
  <c r="K11" i="6"/>
  <c r="D414" i="1"/>
  <c r="G414" i="1" l="1"/>
  <c r="F414" i="1"/>
  <c r="E414" i="1"/>
  <c r="K24" i="6"/>
  <c r="K25" i="6" s="1"/>
  <c r="K26" i="6" s="1"/>
  <c r="K27" i="6" s="1"/>
  <c r="S24" i="6"/>
  <c r="S25" i="6" s="1"/>
  <c r="S26" i="6" s="1"/>
  <c r="S27" i="6" s="1"/>
  <c r="W24" i="6"/>
  <c r="W25" i="6" s="1"/>
  <c r="W26" i="6" s="1"/>
  <c r="W27" i="6" s="1"/>
  <c r="U24" i="6"/>
  <c r="U25" i="6" s="1"/>
  <c r="U26" i="6" s="1"/>
  <c r="U27" i="6" s="1"/>
  <c r="E25" i="11"/>
  <c r="E97" i="11" s="1"/>
  <c r="E40" i="26"/>
  <c r="F73" i="1"/>
  <c r="E6" i="8"/>
  <c r="E58" i="11"/>
  <c r="E59" i="11" s="1"/>
  <c r="E100" i="11" s="1"/>
  <c r="K23" i="5"/>
  <c r="I26" i="6"/>
  <c r="I27" i="6" s="1"/>
  <c r="E15" i="8"/>
  <c r="E14" i="8"/>
  <c r="E48" i="11" l="1"/>
  <c r="E49" i="11" s="1"/>
  <c r="E73" i="11"/>
  <c r="E41" i="26"/>
  <c r="E7" i="32"/>
  <c r="E84" i="11"/>
  <c r="E78" i="11"/>
  <c r="E91" i="11"/>
  <c r="H414" i="1"/>
  <c r="F68" i="1" s="1"/>
  <c r="P414" i="1"/>
  <c r="M68" i="1" s="1"/>
  <c r="F11" i="8" s="1"/>
  <c r="F10" i="8"/>
  <c r="F9" i="8"/>
  <c r="F8" i="8"/>
  <c r="F7" i="8"/>
  <c r="F6" i="8"/>
  <c r="E28" i="1"/>
  <c r="E7" i="8"/>
  <c r="E10" i="8"/>
  <c r="E9" i="8"/>
  <c r="E8" i="8"/>
  <c r="F17" i="8" l="1"/>
  <c r="F20" i="8" s="1"/>
  <c r="F21" i="8" s="1"/>
  <c r="E11" i="8"/>
  <c r="J6" i="5"/>
  <c r="G6" i="5"/>
  <c r="J10" i="5"/>
  <c r="J12" i="5"/>
  <c r="J11" i="5"/>
  <c r="G27" i="5" l="1"/>
  <c r="G26" i="5"/>
  <c r="F18" i="8"/>
  <c r="J13" i="5"/>
  <c r="H16" i="5" l="1"/>
  <c r="I16" i="5"/>
  <c r="I17" i="5" s="1"/>
  <c r="F19" i="8"/>
  <c r="F22" i="8" s="1"/>
  <c r="G20" i="6"/>
  <c r="G19" i="6"/>
  <c r="E21" i="6"/>
  <c r="E20" i="6"/>
  <c r="E19" i="6"/>
  <c r="F22" i="11" l="1"/>
  <c r="I18" i="5"/>
  <c r="K414" i="1"/>
  <c r="G10" i="6"/>
  <c r="G11" i="6" s="1"/>
  <c r="E10" i="6"/>
  <c r="E11" i="6" s="1"/>
  <c r="G18" i="6"/>
  <c r="Y388" i="1"/>
  <c r="E14" i="6"/>
  <c r="G14" i="6"/>
  <c r="G13" i="6"/>
  <c r="G23" i="6" s="1"/>
  <c r="E13" i="6"/>
  <c r="E23" i="6" s="1"/>
  <c r="Y389" i="1"/>
  <c r="D13" i="7"/>
  <c r="A13" i="7"/>
  <c r="D12" i="7"/>
  <c r="A12" i="7"/>
  <c r="D11" i="7"/>
  <c r="A11" i="7"/>
  <c r="D10" i="7"/>
  <c r="A10" i="7"/>
  <c r="D9" i="7"/>
  <c r="A9" i="7"/>
  <c r="D8" i="7"/>
  <c r="A8" i="7"/>
  <c r="D7" i="7"/>
  <c r="A7" i="7"/>
  <c r="D6" i="7"/>
  <c r="A6" i="7"/>
  <c r="D5" i="7"/>
  <c r="A5" i="7"/>
  <c r="E12" i="8" l="1"/>
  <c r="L414" i="1"/>
  <c r="E13" i="8" s="1"/>
  <c r="E17" i="8" s="1"/>
  <c r="G15" i="6"/>
  <c r="G16" i="6" s="1"/>
  <c r="E15" i="6"/>
  <c r="E16" i="6" s="1"/>
  <c r="E24" i="6"/>
  <c r="G24" i="6"/>
  <c r="E20" i="8" l="1"/>
  <c r="E21" i="8" s="1"/>
  <c r="E25" i="6"/>
  <c r="G25" i="6"/>
  <c r="E18" i="8"/>
  <c r="G12" i="5"/>
  <c r="G10" i="5"/>
  <c r="G11" i="5"/>
  <c r="G9" i="5"/>
  <c r="E19" i="8" l="1"/>
  <c r="E22" i="11" s="1"/>
  <c r="G26" i="6"/>
  <c r="G27" i="6" s="1"/>
  <c r="G13" i="5"/>
  <c r="H17" i="5"/>
  <c r="H18" i="5" s="1"/>
  <c r="H20" i="5" s="1"/>
  <c r="E16" i="5" l="1"/>
  <c r="E17" i="5" s="1"/>
  <c r="F16" i="5"/>
  <c r="H19" i="5"/>
  <c r="E22" i="8"/>
  <c r="E23" i="8" s="1"/>
  <c r="E5" i="1"/>
  <c r="E4" i="1"/>
  <c r="E3" i="1"/>
  <c r="H18" i="1" l="1"/>
  <c r="H31" i="1"/>
  <c r="H30" i="1"/>
  <c r="K31" i="1"/>
  <c r="K30" i="1"/>
  <c r="H34" i="1"/>
  <c r="K33" i="1"/>
  <c r="H33" i="1"/>
  <c r="K32" i="1"/>
  <c r="H32" i="1"/>
  <c r="K34" i="1"/>
  <c r="B31" i="1"/>
  <c r="B32" i="1"/>
  <c r="B33" i="1"/>
  <c r="B30" i="1"/>
  <c r="B34" i="1"/>
  <c r="H20" i="1"/>
  <c r="K21" i="1"/>
  <c r="K25" i="1"/>
  <c r="K19" i="1"/>
  <c r="K27" i="1"/>
  <c r="K24" i="1"/>
  <c r="K22" i="1"/>
  <c r="K26" i="1"/>
  <c r="K23" i="1"/>
  <c r="K20" i="1"/>
  <c r="F17" i="5"/>
  <c r="F18" i="5" s="1"/>
  <c r="B92" i="1"/>
  <c r="B88" i="1"/>
  <c r="B84" i="1"/>
  <c r="B91" i="1"/>
  <c r="B87" i="1"/>
  <c r="B83" i="1"/>
  <c r="B90" i="1"/>
  <c r="B86" i="1"/>
  <c r="B89" i="1"/>
  <c r="B85" i="1"/>
  <c r="S45" i="1"/>
  <c r="K45" i="1"/>
  <c r="H16" i="1"/>
  <c r="H21" i="1"/>
  <c r="H25" i="1"/>
  <c r="H23" i="1"/>
  <c r="H24" i="1"/>
  <c r="H22" i="1"/>
  <c r="H26" i="1"/>
  <c r="H19" i="1"/>
  <c r="H27" i="1"/>
  <c r="B15" i="1"/>
  <c r="K18" i="1"/>
  <c r="B439" i="1"/>
  <c r="B448" i="1"/>
  <c r="B444" i="1"/>
  <c r="B413" i="1"/>
  <c r="B409" i="1"/>
  <c r="B405" i="1"/>
  <c r="B397" i="1"/>
  <c r="B393" i="1"/>
  <c r="B389" i="1"/>
  <c r="B445" i="1"/>
  <c r="B451" i="1"/>
  <c r="B447" i="1"/>
  <c r="B443" i="1"/>
  <c r="B412" i="1"/>
  <c r="B408" i="1"/>
  <c r="B404" i="1"/>
  <c r="B396" i="1"/>
  <c r="B392" i="1"/>
  <c r="B388" i="1"/>
  <c r="B449" i="1"/>
  <c r="B410" i="1"/>
  <c r="B394" i="1"/>
  <c r="B450" i="1"/>
  <c r="B446" i="1"/>
  <c r="B442" i="1"/>
  <c r="B411" i="1"/>
  <c r="B407" i="1"/>
  <c r="B395" i="1"/>
  <c r="B391" i="1"/>
  <c r="B385" i="1"/>
  <c r="B401" i="1"/>
  <c r="B406" i="1"/>
  <c r="B390" i="1"/>
  <c r="B44" i="1"/>
  <c r="B53" i="1"/>
  <c r="B49" i="1"/>
  <c r="B18" i="1"/>
  <c r="B56" i="1"/>
  <c r="B52" i="1"/>
  <c r="B48" i="1"/>
  <c r="B50" i="1"/>
  <c r="B55" i="1"/>
  <c r="B51" i="1"/>
  <c r="B47" i="1"/>
  <c r="B54" i="1"/>
  <c r="Q16" i="1"/>
  <c r="K16" i="1"/>
  <c r="I16" i="1"/>
  <c r="F16" i="1"/>
  <c r="B27" i="1"/>
  <c r="B23" i="1"/>
  <c r="B20" i="1"/>
  <c r="B26" i="1"/>
  <c r="B22" i="1"/>
  <c r="B19" i="1"/>
  <c r="B25" i="1"/>
  <c r="B21" i="1"/>
  <c r="B24" i="1"/>
  <c r="E24" i="8"/>
  <c r="E50" i="11" s="1"/>
  <c r="H23" i="5"/>
  <c r="E18" i="5"/>
  <c r="E20" i="5" s="1"/>
  <c r="H28" i="1" l="1"/>
  <c r="E8" i="36"/>
  <c r="F8" i="36" s="1"/>
  <c r="G8" i="36"/>
  <c r="H8" i="36" s="1"/>
  <c r="E7" i="36"/>
  <c r="K28" i="1"/>
  <c r="I7" i="36"/>
  <c r="I8" i="24"/>
  <c r="J8" i="24" s="1"/>
  <c r="J16" i="24" s="1"/>
  <c r="I8" i="36"/>
  <c r="J8" i="36" s="1"/>
  <c r="M7" i="36"/>
  <c r="N7" i="36" s="1"/>
  <c r="K8" i="36"/>
  <c r="L8" i="36" s="1"/>
  <c r="M8" i="36"/>
  <c r="N8" i="36" s="1"/>
  <c r="K8" i="24"/>
  <c r="L8" i="24" s="1"/>
  <c r="L16" i="24" s="1"/>
  <c r="K7" i="36"/>
  <c r="J7" i="36"/>
  <c r="G8" i="24"/>
  <c r="G16" i="24" s="1"/>
  <c r="G7" i="36"/>
  <c r="O8" i="25"/>
  <c r="P8" i="25" s="1"/>
  <c r="P16" i="25" s="1"/>
  <c r="O8" i="24"/>
  <c r="U8" i="25"/>
  <c r="U16" i="25" s="1"/>
  <c r="U8" i="24"/>
  <c r="S8" i="25"/>
  <c r="S16" i="25" s="1"/>
  <c r="S8" i="24"/>
  <c r="M8" i="25"/>
  <c r="N8" i="25" s="1"/>
  <c r="N16" i="25" s="1"/>
  <c r="M8" i="24"/>
  <c r="W8" i="25"/>
  <c r="W16" i="25" s="1"/>
  <c r="W8" i="24"/>
  <c r="Q8" i="24"/>
  <c r="R8" i="24" s="1"/>
  <c r="R16" i="24" s="1"/>
  <c r="H8" i="25"/>
  <c r="H16" i="25" s="1"/>
  <c r="G8" i="25"/>
  <c r="G16" i="25" s="1"/>
  <c r="I8" i="25"/>
  <c r="I16" i="25" s="1"/>
  <c r="J8" i="25"/>
  <c r="J16" i="25" s="1"/>
  <c r="L8" i="25"/>
  <c r="L16" i="25" s="1"/>
  <c r="K8" i="25"/>
  <c r="K16" i="25" s="1"/>
  <c r="Q8" i="25"/>
  <c r="E51" i="11"/>
  <c r="E52" i="11" s="1"/>
  <c r="E77" i="11" s="1"/>
  <c r="F8" i="25"/>
  <c r="F16" i="25" s="1"/>
  <c r="E8" i="25"/>
  <c r="E16" i="25" s="1"/>
  <c r="F11" i="6"/>
  <c r="F24" i="6" s="1"/>
  <c r="F25" i="6" s="1"/>
  <c r="E8" i="24"/>
  <c r="E16" i="24" s="1"/>
  <c r="E42" i="11"/>
  <c r="B7" i="6"/>
  <c r="B9" i="6"/>
  <c r="B10" i="6"/>
  <c r="E19" i="5"/>
  <c r="G13" i="36" l="1"/>
  <c r="E13" i="36"/>
  <c r="F7" i="36"/>
  <c r="F13" i="36" s="1"/>
  <c r="I16" i="24"/>
  <c r="I17" i="24" s="1"/>
  <c r="I18" i="24" s="1"/>
  <c r="H8" i="24"/>
  <c r="H16" i="24" s="1"/>
  <c r="G17" i="24" s="1"/>
  <c r="G18" i="24" s="1"/>
  <c r="K16" i="24"/>
  <c r="K17" i="24" s="1"/>
  <c r="K18" i="24" s="1"/>
  <c r="J13" i="36"/>
  <c r="K13" i="36"/>
  <c r="I13" i="36"/>
  <c r="N13" i="36"/>
  <c r="M13" i="36"/>
  <c r="L7" i="36"/>
  <c r="L13" i="36" s="1"/>
  <c r="H7" i="36"/>
  <c r="H13" i="36" s="1"/>
  <c r="G14" i="36" s="1"/>
  <c r="G15" i="36" s="1"/>
  <c r="T8" i="25"/>
  <c r="T16" i="25" s="1"/>
  <c r="S17" i="25" s="1"/>
  <c r="S18" i="25" s="1"/>
  <c r="O16" i="25"/>
  <c r="O17" i="25" s="1"/>
  <c r="O18" i="25" s="1"/>
  <c r="X8" i="25"/>
  <c r="X16" i="25" s="1"/>
  <c r="W17" i="25" s="1"/>
  <c r="W18" i="25" s="1"/>
  <c r="M16" i="25"/>
  <c r="M17" i="25" s="1"/>
  <c r="M18" i="25" s="1"/>
  <c r="G17" i="25"/>
  <c r="G18" i="25" s="1"/>
  <c r="V8" i="25"/>
  <c r="V16" i="25" s="1"/>
  <c r="U17" i="25" s="1"/>
  <c r="U18" i="25" s="1"/>
  <c r="Q16" i="24"/>
  <c r="Q17" i="24" s="1"/>
  <c r="Q18" i="24" s="1"/>
  <c r="V8" i="24"/>
  <c r="V16" i="24" s="1"/>
  <c r="U16" i="24"/>
  <c r="X8" i="24"/>
  <c r="X16" i="24" s="1"/>
  <c r="W16" i="24"/>
  <c r="N8" i="24"/>
  <c r="N16" i="24" s="1"/>
  <c r="M16" i="24"/>
  <c r="T8" i="24"/>
  <c r="T16" i="24" s="1"/>
  <c r="S16" i="24"/>
  <c r="P8" i="24"/>
  <c r="P16" i="24" s="1"/>
  <c r="O16" i="24"/>
  <c r="F8" i="24"/>
  <c r="F16" i="24" s="1"/>
  <c r="I17" i="25"/>
  <c r="I18" i="25" s="1"/>
  <c r="K17" i="25"/>
  <c r="K18" i="25" s="1"/>
  <c r="R8" i="25"/>
  <c r="R16" i="25" s="1"/>
  <c r="Q16" i="25"/>
  <c r="E89" i="11"/>
  <c r="E23" i="5"/>
  <c r="E24" i="5" s="1"/>
  <c r="E17" i="25"/>
  <c r="E18" i="25" s="1"/>
  <c r="E26" i="6"/>
  <c r="E27" i="6" s="1"/>
  <c r="Q11" i="6"/>
  <c r="E14" i="36" l="1"/>
  <c r="E15" i="36" s="1"/>
  <c r="I14" i="36"/>
  <c r="I15" i="36" s="1"/>
  <c r="K14" i="36"/>
  <c r="K15" i="36" s="1"/>
  <c r="M14" i="36"/>
  <c r="M15" i="36" s="1"/>
  <c r="E17" i="24"/>
  <c r="E18" i="24" s="1"/>
  <c r="S17" i="24"/>
  <c r="S18" i="24" s="1"/>
  <c r="W17" i="24"/>
  <c r="W18" i="24" s="1"/>
  <c r="O17" i="24"/>
  <c r="O18" i="24" s="1"/>
  <c r="M17" i="24"/>
  <c r="M18" i="24" s="1"/>
  <c r="U17" i="24"/>
  <c r="U18" i="24" s="1"/>
  <c r="Q17" i="25"/>
  <c r="Q18" i="25" s="1"/>
  <c r="E38" i="11"/>
  <c r="Q24" i="6"/>
  <c r="Q25" i="6" s="1"/>
  <c r="Q26" i="6" s="1"/>
  <c r="Q27" i="6" s="1"/>
  <c r="E28" i="6" s="1"/>
  <c r="E39" i="11"/>
  <c r="E75" i="11" s="1"/>
  <c r="F28" i="11"/>
  <c r="E31" i="6" l="1"/>
  <c r="E33" i="6" s="1"/>
  <c r="E44" i="11" s="1"/>
  <c r="F30" i="11"/>
  <c r="E19" i="24"/>
  <c r="E61" i="11" s="1"/>
  <c r="E19" i="25"/>
  <c r="E64" i="11" s="1"/>
  <c r="E16" i="36"/>
  <c r="F31" i="11" l="1"/>
  <c r="E32" i="11" s="1"/>
  <c r="F32" i="11" s="1"/>
  <c r="F33" i="11" s="1"/>
  <c r="F34" i="11" s="1"/>
  <c r="E99" i="11"/>
  <c r="E43" i="11"/>
  <c r="E65" i="11"/>
  <c r="E88" i="11" s="1"/>
  <c r="E62" i="11"/>
  <c r="E87" i="11" s="1"/>
  <c r="E101" i="11" l="1"/>
  <c r="E76" i="11"/>
  <c r="E86" i="11"/>
  <c r="E92" i="11" s="1"/>
  <c r="E79" i="11"/>
  <c r="E42" i="26" l="1"/>
</calcChain>
</file>

<file path=xl/sharedStrings.xml><?xml version="1.0" encoding="utf-8"?>
<sst xmlns="http://schemas.openxmlformats.org/spreadsheetml/2006/main" count="3211" uniqueCount="1244">
  <si>
    <t>Sector - Thermal Power Plant</t>
  </si>
  <si>
    <t>Year of Establishment</t>
  </si>
  <si>
    <t>Type of Thermal Power Plant</t>
  </si>
  <si>
    <t>Plant Contact Details &amp; Address</t>
  </si>
  <si>
    <t>a</t>
  </si>
  <si>
    <t>Plant Address</t>
  </si>
  <si>
    <t>City/Town/Village</t>
  </si>
  <si>
    <t>District</t>
  </si>
  <si>
    <t>State</t>
  </si>
  <si>
    <t>Pin</t>
  </si>
  <si>
    <t>Telephone</t>
  </si>
  <si>
    <t>Fax</t>
  </si>
  <si>
    <t>b</t>
  </si>
  <si>
    <t>Plant's Chief Executive Name</t>
  </si>
  <si>
    <t>Designation</t>
  </si>
  <si>
    <t>Mobile</t>
  </si>
  <si>
    <t>E-mail</t>
  </si>
  <si>
    <t>Registered Office</t>
  </si>
  <si>
    <t>Company's Chief Executive Name</t>
  </si>
  <si>
    <t>Address</t>
  </si>
  <si>
    <t>P.O.</t>
  </si>
  <si>
    <t>Energy Manager Details</t>
  </si>
  <si>
    <t xml:space="preserve">Name  </t>
  </si>
  <si>
    <t>Whether EA or EM</t>
  </si>
  <si>
    <t>EA/EM Registration No.</t>
  </si>
  <si>
    <t>E-mail ID</t>
  </si>
  <si>
    <t>Total Capacity (MW)</t>
  </si>
  <si>
    <t>Units</t>
  </si>
  <si>
    <t>MW</t>
  </si>
  <si>
    <t>As established during Performance Guarantee Test  (PG Test) **</t>
  </si>
  <si>
    <t>i</t>
  </si>
  <si>
    <t>Unit-1</t>
  </si>
  <si>
    <t>ii</t>
  </si>
  <si>
    <t>Unit-2</t>
  </si>
  <si>
    <t>iii.</t>
  </si>
  <si>
    <t>Unit-3</t>
  </si>
  <si>
    <t>iv.</t>
  </si>
  <si>
    <t>Unit-4</t>
  </si>
  <si>
    <t>v</t>
  </si>
  <si>
    <t>Unit-5</t>
  </si>
  <si>
    <t>vi</t>
  </si>
  <si>
    <t>Unit-6</t>
  </si>
  <si>
    <t>vii</t>
  </si>
  <si>
    <t>Unit-7</t>
  </si>
  <si>
    <t>viii</t>
  </si>
  <si>
    <t>Unit-8</t>
  </si>
  <si>
    <t>ix</t>
  </si>
  <si>
    <t>Unit-9</t>
  </si>
  <si>
    <t>x</t>
  </si>
  <si>
    <t>Unit-10</t>
  </si>
  <si>
    <t>c</t>
  </si>
  <si>
    <t>d</t>
  </si>
  <si>
    <t>Remarks</t>
  </si>
  <si>
    <t>Details of Electricity Purchased from the Grid (MUs)</t>
  </si>
  <si>
    <t>MUs</t>
  </si>
  <si>
    <t>Reason</t>
  </si>
  <si>
    <t xml:space="preserve">Details of Electricity Generated  </t>
  </si>
  <si>
    <t>Design Fuel</t>
  </si>
  <si>
    <t>PG Test Fuel</t>
  </si>
  <si>
    <t>Proximate Analysis</t>
  </si>
  <si>
    <t>i.</t>
  </si>
  <si>
    <t>Fixed Carbon</t>
  </si>
  <si>
    <t>%</t>
  </si>
  <si>
    <t>ii.</t>
  </si>
  <si>
    <t>Volatile Matter</t>
  </si>
  <si>
    <t>Total Moisture</t>
  </si>
  <si>
    <t>Ash</t>
  </si>
  <si>
    <t>v.</t>
  </si>
  <si>
    <t xml:space="preserve">GCV </t>
  </si>
  <si>
    <t>kcal/Kg</t>
  </si>
  <si>
    <t>Ultimate Analysis</t>
  </si>
  <si>
    <t>Carbon</t>
  </si>
  <si>
    <t>Hydrogen</t>
  </si>
  <si>
    <t>Nitrogen</t>
  </si>
  <si>
    <t>Sulphur</t>
  </si>
  <si>
    <t>Oxygen</t>
  </si>
  <si>
    <t xml:space="preserve">@ Attach all necessary Documents - </t>
  </si>
  <si>
    <t>iii</t>
  </si>
  <si>
    <t>Solid Fuel</t>
  </si>
  <si>
    <t>Gaseous Fuel</t>
  </si>
  <si>
    <t>(Signature of the Energy Manager)</t>
  </si>
  <si>
    <t>Date:</t>
  </si>
  <si>
    <t>Place:</t>
  </si>
  <si>
    <t xml:space="preserve">Name &amp; designation of the Energy Manager: </t>
  </si>
  <si>
    <t>EM/EA No:</t>
  </si>
  <si>
    <t xml:space="preserve">Mobile No:                        </t>
  </si>
  <si>
    <t xml:space="preserve">Organisation Seal:                        </t>
  </si>
  <si>
    <t xml:space="preserve">Electricity Consumption-Colony/Construction </t>
  </si>
  <si>
    <t>Coal/Lignite</t>
  </si>
  <si>
    <t>$$$$Net Heat Rate = [Gross Heat Rate / (1 - % APC)]</t>
  </si>
  <si>
    <t xml:space="preserve">$$$Power Consumption for Colony &amp; Construction to be excluded </t>
  </si>
  <si>
    <t>Purchased Electricity</t>
  </si>
  <si>
    <t>MU</t>
  </si>
  <si>
    <t xml:space="preserve">Total Gross Generation of Electricity  </t>
  </si>
  <si>
    <t>Total Net Electricity Supplied to Grid</t>
  </si>
  <si>
    <t xml:space="preserve">Total Electricity used inhouse for Power Generation i.e. APC (Without colony, construction &amp; others consumption) </t>
  </si>
  <si>
    <t xml:space="preserve">Any other (specify) </t>
  </si>
  <si>
    <t>Tonne</t>
  </si>
  <si>
    <t>Specific Coal/Lignite Consumption</t>
  </si>
  <si>
    <t>Kg/kWh</t>
  </si>
  <si>
    <t>Gross Calorific value</t>
  </si>
  <si>
    <t xml:space="preserve"> kcal/kg ©</t>
  </si>
  <si>
    <t>Gross Calorific Value</t>
  </si>
  <si>
    <t>Total Coal/Lignite Consumption</t>
  </si>
  <si>
    <t xml:space="preserve">Gross Calorific value </t>
  </si>
  <si>
    <t>Total Oil Consumption</t>
  </si>
  <si>
    <t>ml/kWh</t>
  </si>
  <si>
    <t>KL</t>
  </si>
  <si>
    <t>Type of Gas Fuel</t>
  </si>
  <si>
    <t>Specific Gas Consumption</t>
  </si>
  <si>
    <t>kcal/kWh</t>
  </si>
  <si>
    <t>If COD of some unit(s) is in between the year, total station's weighted capacity for the year $</t>
  </si>
  <si>
    <t xml:space="preserve">Station Installed Capacity </t>
  </si>
  <si>
    <t xml:space="preserve">Operating Gross Heat Rate </t>
  </si>
  <si>
    <t>(kcal/NM³)©</t>
  </si>
  <si>
    <t>Million NM³</t>
  </si>
  <si>
    <t>Average PLF during Baseline year as per baseline energy audit reports</t>
  </si>
  <si>
    <t>Normalisation Factors to be considered during assessment year</t>
  </si>
  <si>
    <t>Remarks:</t>
  </si>
  <si>
    <t>Unit wise Operating Data Details</t>
  </si>
  <si>
    <t>Unit wise Design Data Details</t>
  </si>
  <si>
    <t>Total</t>
  </si>
  <si>
    <t>Actual Gross Generation</t>
  </si>
  <si>
    <t>Plant Availability Factor</t>
  </si>
  <si>
    <t>kcal/NM3</t>
  </si>
  <si>
    <t>Total other fuel Consumption</t>
  </si>
  <si>
    <t>Specific other fuel Consumption</t>
  </si>
  <si>
    <t>Total Gas Consumption</t>
  </si>
  <si>
    <t>kcal/kwh</t>
  </si>
  <si>
    <t xml:space="preserve">Operating Load </t>
  </si>
  <si>
    <t>Gross Generation</t>
  </si>
  <si>
    <t>Boiler Efficiency</t>
  </si>
  <si>
    <t>Item</t>
  </si>
  <si>
    <t>Operating hours</t>
  </si>
  <si>
    <t>Documents Required</t>
  </si>
  <si>
    <t>COD</t>
  </si>
  <si>
    <t>Date</t>
  </si>
  <si>
    <t xml:space="preserve">Gross Generation </t>
  </si>
  <si>
    <t>Total Number of Shutdown in a year due to external factor</t>
  </si>
  <si>
    <t>Nos</t>
  </si>
  <si>
    <t>APC Linked with PLF</t>
  </si>
  <si>
    <t>Date of Commissioning</t>
  </si>
  <si>
    <t>Documents required related to Environmental compliance</t>
  </si>
  <si>
    <t>Name</t>
  </si>
  <si>
    <t>Plant Details</t>
  </si>
  <si>
    <t>APC</t>
  </si>
  <si>
    <t>Sr No</t>
  </si>
  <si>
    <t>6.a</t>
  </si>
  <si>
    <t>6.b</t>
  </si>
  <si>
    <t>10. 1.</t>
  </si>
  <si>
    <t>i. Characteristics Curve of Unit Turbine Heat Rate Vs Load, from Original Equipment Manaufacturer (OEM)</t>
  </si>
  <si>
    <t>iv. Design/PG Test Turbine Heat Rate documents</t>
  </si>
  <si>
    <t>℗Note: In case of Liquid fuels, take care of Density during calculations</t>
  </si>
  <si>
    <t>kcal/kg©</t>
  </si>
  <si>
    <t>Unit</t>
  </si>
  <si>
    <t>Station Operating  Data Details ##</t>
  </si>
  <si>
    <t xml:space="preserve">Fuel Blending Ratio </t>
  </si>
  <si>
    <t>Litre/kWh</t>
  </si>
  <si>
    <t>Specific Oil Consumption for DG Set Station</t>
  </si>
  <si>
    <t>Station Design Data Details ***</t>
  </si>
  <si>
    <t>Actual Design Boiler Efficiency of Unit (As per OEM)</t>
  </si>
  <si>
    <t>Normalization Factor for Fuel Quality in TPP</t>
  </si>
  <si>
    <t>Basis/Calculation</t>
  </si>
  <si>
    <t>Name of the Thermal Power Station</t>
  </si>
  <si>
    <t>% Load</t>
  </si>
  <si>
    <t>Gross Load (MW)</t>
  </si>
  <si>
    <t>Curve Equation/ (R2)</t>
  </si>
  <si>
    <t>Unit 1</t>
  </si>
  <si>
    <t>Unit Capacity</t>
  </si>
  <si>
    <t>Design Capacity</t>
  </si>
  <si>
    <t>Unit 2</t>
  </si>
  <si>
    <t>Hrs/Annum</t>
  </si>
  <si>
    <t>Unit 3</t>
  </si>
  <si>
    <t>Unit 4</t>
  </si>
  <si>
    <t>Unit 5</t>
  </si>
  <si>
    <t>Unit 6</t>
  </si>
  <si>
    <t>Unit 7</t>
  </si>
  <si>
    <t>Unit 8</t>
  </si>
  <si>
    <t>Unit 9</t>
  </si>
  <si>
    <t>Unit 10</t>
  </si>
  <si>
    <t>Calculation/Basis</t>
  </si>
  <si>
    <t xml:space="preserve">Degradation/Upgradation of Actual Boiler Design Efficiency </t>
  </si>
  <si>
    <t>Turbine Heat Rate as per Load Vs Heat Rate Equation due to external factor</t>
  </si>
  <si>
    <t>Normalised Design Turbine Heat rate due to external factor</t>
  </si>
  <si>
    <t>Quadratic Equation</t>
  </si>
  <si>
    <t xml:space="preserve">Design Turbine Heat Rate after Curve correction and difference correction
</t>
  </si>
  <si>
    <t>Baseline Year (BY)</t>
  </si>
  <si>
    <t>Assessment Year (AY)</t>
  </si>
  <si>
    <t>A.</t>
  </si>
  <si>
    <t>B</t>
  </si>
  <si>
    <t>C</t>
  </si>
  <si>
    <t>D</t>
  </si>
  <si>
    <t>E</t>
  </si>
  <si>
    <t>F</t>
  </si>
  <si>
    <t>G</t>
  </si>
  <si>
    <t>H</t>
  </si>
  <si>
    <t>I</t>
  </si>
  <si>
    <t>J</t>
  </si>
  <si>
    <t>Coal/Lignite Fuel</t>
  </si>
  <si>
    <t>Operating Hours</t>
  </si>
  <si>
    <t>y=ax2-bx+c</t>
  </si>
  <si>
    <t>Constant 1</t>
  </si>
  <si>
    <t>Constant 2</t>
  </si>
  <si>
    <t>Equation Constant 1</t>
  </si>
  <si>
    <t>Equation Constant 2</t>
  </si>
  <si>
    <t>Equation Constant 3</t>
  </si>
  <si>
    <t>Normalised Boiler Efficiency Design for Station</t>
  </si>
  <si>
    <t>APC during Baseline year as per baseline energy audit reports</t>
  </si>
  <si>
    <t>APC Vs Load Curve Equation</t>
  </si>
  <si>
    <t>-ax2-bx+c</t>
  </si>
  <si>
    <t>Constant 3</t>
  </si>
  <si>
    <t>R2</t>
  </si>
  <si>
    <t>hrs</t>
  </si>
  <si>
    <t>Station Capacity</t>
  </si>
  <si>
    <t>Operating hours at full Load</t>
  </si>
  <si>
    <t>Weighted Operating Station Load</t>
  </si>
  <si>
    <t>Station Average Operating Load (MW) caused by low loading due to external factor</t>
  </si>
  <si>
    <t>Weighted Average Operating hours at Low loading due to external factor</t>
  </si>
  <si>
    <t>Average Operating Load (MW) caused by low loading due to Internal factor</t>
  </si>
  <si>
    <t>Weighted Average Operating hours at Low loading due to internal factor</t>
  </si>
  <si>
    <t>Difference in APC</t>
  </si>
  <si>
    <t>Normalised APC</t>
  </si>
  <si>
    <t>Normalisation</t>
  </si>
  <si>
    <t xml:space="preserve">Sr No </t>
  </si>
  <si>
    <t>Total Operating hours in year as per Unit Availability factor</t>
  </si>
  <si>
    <t>Operating hours at full load</t>
  </si>
  <si>
    <t>Hrs</t>
  </si>
  <si>
    <t>Capacity</t>
  </si>
  <si>
    <t>Station's Generation &amp; PLF details/ Other Details</t>
  </si>
  <si>
    <t>Net Operating Heat Rate (kcal/kWh) $$$$</t>
  </si>
  <si>
    <t>Details of Fuel Consumption as fired basis</t>
  </si>
  <si>
    <t>©Weighted Average GCV i.e. sum of Heat value found in kcal in each lot on As Fired Basis, &amp; analysed (tested) and fired during the year divided by total quantity of fuel  fired during the financial year</t>
  </si>
  <si>
    <t>Element</t>
  </si>
  <si>
    <t>Loss of PLF due to non-availability of fuel/schedule/backing down/any external factor/Unforeseen factors/Internal Factor</t>
  </si>
  <si>
    <t>@ External Factors:Non-Avaialability of fuel/schedule/backing down/any other external factor/Unforeseen factors</t>
  </si>
  <si>
    <t>Normalization Factor for APC</t>
  </si>
  <si>
    <t>Forced Outage/ Unavailability</t>
  </si>
  <si>
    <t>% Boiler Efficiency (As  per Formulae)</t>
  </si>
  <si>
    <t>Target Net Heat Rate</t>
  </si>
  <si>
    <t>Startup and Stoppages due external factor/Unforeseen factors</t>
  </si>
  <si>
    <t>Loss of PLF due to non-availability of fuel/schedule/backing down/any external factor/Unforeseen factors</t>
  </si>
  <si>
    <t>Unit Availability Factor</t>
  </si>
  <si>
    <t>Details</t>
  </si>
  <si>
    <t>Please provide the name of  unit /Station</t>
  </si>
  <si>
    <t>Please provide the year of establishment of the Station</t>
  </si>
  <si>
    <t>Please provide the type of the Station</t>
  </si>
  <si>
    <t xml:space="preserve">Plant Details </t>
  </si>
  <si>
    <t>Please provide the total MW installed Capacity of the Station</t>
  </si>
  <si>
    <t>Please provide unit configuration (i.e. 3x100 + 2x250 + 2x500+ -------  etc.) of the Station</t>
  </si>
  <si>
    <t>Unit Design Heat Rate (UDHR) = Turbine Heat Rate /Boiler Efficiency,</t>
  </si>
  <si>
    <t>Please provide the Unitwise Operating details such as Operating Load, Unit Load factor,  Gross Generation, Unit Heat rate for the present year as well as for the previous year</t>
  </si>
  <si>
    <t>Please provide the Station's  Operating details such as Operating Load, Plant Load factor,  Gross Generation, Station Heat rate for the present year as well as for the previous year.</t>
  </si>
  <si>
    <t>Station Operating Gross Heat Rate = [(OGHR 1 x Generation 1 + OGHR 2 x Generation 2 + -----------) / (Total  Generation of Station)]</t>
  </si>
  <si>
    <t>if the COD of a 200 MW unit is 1st October, its weighted capacity for the whole year is</t>
  </si>
  <si>
    <t>Please provide total Gross Generation (MU) of the station for current as well as for previous year</t>
  </si>
  <si>
    <t>Total Gross Generation =  Gen1 + Gen2 +Gen3+………</t>
  </si>
  <si>
    <t>Please provide total Plant Load factor (%) of the station for current as well as for previous year</t>
  </si>
  <si>
    <t>Plant Load Factor (%) = Gross generation (MU)/(Installed Capacity (MW) X 8.76)</t>
  </si>
  <si>
    <t>APC = Gross Genration - Generation send out to grid</t>
  </si>
  <si>
    <t>ONHR  = OGHR/(1-APC/100)</t>
  </si>
  <si>
    <t>Please provide the Operation Norms for Thermal Power Stations Gross Heat rate Tariff Period - 2014 - 19 as per CERC/SERC</t>
  </si>
  <si>
    <t>Please provide the purchased electricity if any.</t>
  </si>
  <si>
    <t>Please provide the reason if plant has purchased electricity</t>
  </si>
  <si>
    <t>Unitwise Fuel Analysis Details (As Fired Basis)</t>
  </si>
  <si>
    <t>Please provide the Unitwise Solid Fuel's (Coal/Lignite Fuel) Proximate and Ultimate Analysis details in row 10.1 A to 10.1.J for design fuel, PG test fuel, current year and as well for previous year fuel used for Electricity Production/Generation.</t>
  </si>
  <si>
    <t>10. 2.</t>
  </si>
  <si>
    <t>Please provide the Gas fuel Analysis for design fuel, PG test fuel, Current year and as well for Previous year fuel used for Electricity Production/Generation.</t>
  </si>
  <si>
    <t>Please provide the Gross Calorific Value, Total Consumption and Specific Fuel Consumption of Solid Fuels (Coal/Lignite/others) as fired basis</t>
  </si>
  <si>
    <t xml:space="preserve">Specific Fuel Consumption =  Quantity of Fuel Energy input to Plant X Gross GCV of Fuel/ output generated from palnt </t>
  </si>
  <si>
    <t>Please provide the Gross Calorific Value (GCV), Total Consumption and Specific Fuel Consumption of Liquid Fuels (FO/LSHS/HSHS/Diesel/LDO/Any Other) as fired basis</t>
  </si>
  <si>
    <t>Please provide unitwise Average Operating Load (MW and Operating hours) caused by low ULF due to Coal Unavailability,due to Scheduling, due to  backing down,  or due to any other external factor for current year as well as for previous year</t>
  </si>
  <si>
    <t>Weighetd Operating Load =  [Average Operating Load (MW) due to coal unavailability X operating Hour + Average Operating Load (MW) due to scheduling X Operating hours + Average Operating Load due to backing down X Operating Hour] / [ total average operating load (MW) X Total operating Hour]</t>
  </si>
  <si>
    <t>Please provide the following Documents listed below:</t>
  </si>
  <si>
    <t>Increase in APC consumption due Environmental Compliance</t>
  </si>
  <si>
    <t>Actual PLF as reported to CERC/SERC</t>
  </si>
  <si>
    <t>A.1</t>
  </si>
  <si>
    <t>A.2</t>
  </si>
  <si>
    <t>A.3</t>
  </si>
  <si>
    <t>B.1</t>
  </si>
  <si>
    <t>B.2</t>
  </si>
  <si>
    <t>Source of Data</t>
  </si>
  <si>
    <t xml:space="preserve">The DCs have to maintain documents for additional installation of Environmental Equipment- Commissioning details, Energy meter reading etc
</t>
  </si>
  <si>
    <t>Document of CPCB/SPCB</t>
  </si>
  <si>
    <t>iv</t>
  </si>
  <si>
    <t>12.5.1</t>
  </si>
  <si>
    <t>12.4.1</t>
  </si>
  <si>
    <t>NOTE</t>
  </si>
  <si>
    <t>The curve will be plotted w.r.t. Load Vs % APC to Normalise the APC at low load due to low loading or PLF, if it is reduced due to external factor. The Load data of Plant and APC will be taken during Plant's stabilised condition. The equation with accuracy factor of R2=0.85 will be accepted for this purpose</t>
  </si>
  <si>
    <t>11.3.1</t>
  </si>
  <si>
    <t>Note</t>
  </si>
  <si>
    <t>12.1.1</t>
  </si>
  <si>
    <t>12.2.1</t>
  </si>
  <si>
    <t>10.2.1</t>
  </si>
  <si>
    <t xml:space="preserve">Gas based Power station, The design heat rate given by either OEM or taken from HBD for the site rated ambient condition or PG test value will be taken for calculation </t>
  </si>
  <si>
    <t>10.1.1</t>
  </si>
  <si>
    <t>10.1.2</t>
  </si>
  <si>
    <t>A</t>
  </si>
  <si>
    <t>Coal Analysis:</t>
  </si>
  <si>
    <t xml:space="preserve"> Design Boiler Efficiency Document from Original Equipment Manufacturer (OEM)</t>
  </si>
  <si>
    <t>Performance Guarantee Test (PG Test) report from Original Equipment Manufacturer (OEM)</t>
  </si>
  <si>
    <t>Design  Coal Analysis Document as per OEM</t>
  </si>
  <si>
    <t>12.3.1</t>
  </si>
  <si>
    <t>xi</t>
  </si>
  <si>
    <t>xii</t>
  </si>
  <si>
    <t>Total Electrical Energy consumption during shutdowns due to external factor</t>
  </si>
  <si>
    <t xml:space="preserve">Energy Consumption during Shutdowns due to external factor </t>
  </si>
  <si>
    <t>Nos of Startup and Shutdowns</t>
  </si>
  <si>
    <t>Million kcal</t>
  </si>
  <si>
    <t>APC consumption records during startups and Shutdowns</t>
  </si>
  <si>
    <t xml:space="preserve">Fuel consumption (Coal/Lignite/Liquid Fuel/NG) Records during Cold/Warm/Hot startups </t>
  </si>
  <si>
    <t>Documents</t>
  </si>
  <si>
    <t>Additional Thermal Energy Consumption</t>
  </si>
  <si>
    <t>Additional Electrical Energy Consumption</t>
  </si>
  <si>
    <t>C.1</t>
  </si>
  <si>
    <t>C.2</t>
  </si>
  <si>
    <t>C.3</t>
  </si>
  <si>
    <t>C.4</t>
  </si>
  <si>
    <t>C.5</t>
  </si>
  <si>
    <t>C.6</t>
  </si>
  <si>
    <t>Gross Heat Rate of Station</t>
  </si>
  <si>
    <t>Total Thermal Energy</t>
  </si>
  <si>
    <t>Total Energy to be subtracted</t>
  </si>
  <si>
    <t>Additional Energy due to Unforeseen circumstances (External Factor)</t>
  </si>
  <si>
    <t>Reduction Target for Deviation in Net Station Heat Rate  (%)</t>
  </si>
  <si>
    <t>Name of the Major Equipment Installed</t>
  </si>
  <si>
    <t>AY</t>
  </si>
  <si>
    <t>BY</t>
  </si>
  <si>
    <t>Factor</t>
  </si>
  <si>
    <t>Difference of Turbine Heat Rate due to external factor between AY and BY</t>
  </si>
  <si>
    <t>Normalised Design Turbine Heat rate due to external factor as compared to BY</t>
  </si>
  <si>
    <t xml:space="preserve">Normalised Designed Station Turbine Heat Rate due to ULF as comapred to BY </t>
  </si>
  <si>
    <t>Current Year [AY]</t>
  </si>
  <si>
    <t>Baseline Year [BY]</t>
  </si>
  <si>
    <t>Planned Maintenance Outage/ Planned Unavailability</t>
  </si>
  <si>
    <t>Planned Maintenance Outage /Planned Unavailability</t>
  </si>
  <si>
    <t>Design [D] for AY</t>
  </si>
  <si>
    <t>Normalised Boiler Efficiency Design for Unit for the AY as compared to the BY</t>
  </si>
  <si>
    <t>Cold Start</t>
  </si>
  <si>
    <t>Warm Start</t>
  </si>
  <si>
    <t>Hot Start</t>
  </si>
  <si>
    <t>Difference (AY)-(BY)</t>
  </si>
  <si>
    <t>kL Oil consumption</t>
  </si>
  <si>
    <t>Operation Norms for Thermal Power Stations Gross Heat Rate Tariff Period - 2014 - 19 as per CERC/SERC</t>
  </si>
  <si>
    <t>Rs/Tonne</t>
  </si>
  <si>
    <t>Landed Cost of fuel (Last purchase) [Basic Cost+Taxes+Freight]</t>
  </si>
  <si>
    <t xml:space="preserve"> (Weighted Average)@@</t>
  </si>
  <si>
    <t xml:space="preserve">Heat Rate </t>
  </si>
  <si>
    <t>(kcal/kWh)</t>
  </si>
  <si>
    <t xml:space="preserve">Heat Rate as per Equation </t>
  </si>
  <si>
    <t>(kcal/kwh)</t>
  </si>
  <si>
    <t>Turbine Heat Rate Vs Load</t>
  </si>
  <si>
    <t>Operating Load #</t>
  </si>
  <si>
    <t>Reserve Shutdown</t>
  </si>
  <si>
    <t xml:space="preserve">Forced Outage/ Unavailability </t>
  </si>
  <si>
    <t>OEM Curve or HBD data curve</t>
  </si>
  <si>
    <t>Unit/Module Configuration (i.e. 3x100 + 2x250 + 2x500+ -------  etc.)</t>
  </si>
  <si>
    <t>Name of Thermal Power Plant</t>
  </si>
  <si>
    <t xml:space="preserve">Load Vs Heat Rate or HBD (at 100% Load) as per curve </t>
  </si>
  <si>
    <t>* For Coal Based TPP- Unit Heat Rate (kcal/kWh)  = [ Turbine Heat Rate (kcal/kWh) / Boiler Efficiency (%) ]</t>
  </si>
  <si>
    <t>@@ Module stands for Gas Power Station (referred as Combined setup of GT and ST)</t>
  </si>
  <si>
    <t>Unit/Module wise Operating Data Details</t>
  </si>
  <si>
    <t>NCV</t>
  </si>
  <si>
    <t xml:space="preserve">Due to some unforeseen reasons, if Gas Turbine is operating in Open Cycle, separate documents should be maintained by the Plant for baseline as well as for assessment year
</t>
  </si>
  <si>
    <t>Average Operating Load (MW) caused by low ULF/MLF due to Fuel Unavailability @</t>
  </si>
  <si>
    <t>Average Operating Load (MW) caused by low ULF/MLF due to Scheduling @</t>
  </si>
  <si>
    <t>Average Operating Load (MW) caused by low ULF/MLF due to  backing down@</t>
  </si>
  <si>
    <t>Average Operating Load (MW) caused by low ULF/MLF due to  any other external factor@</t>
  </si>
  <si>
    <t xml:space="preserve">Average Operating Load (MW) caused by low ULF/MLF due to Internal factor </t>
  </si>
  <si>
    <t>Average Operating Load (MW) caused by low ULF/MLF due to external factor @</t>
  </si>
  <si>
    <t>Average Operating hours at Low ULF/MLF</t>
  </si>
  <si>
    <t xml:space="preserve">Unit/Module wise HBD or Curve from Original Equipment Manufacturer (OEM) at various loads
</t>
  </si>
  <si>
    <t xml:space="preserve">In case of non-availability of HBD or Curve, data from the similar Unit/Module  will be considered
</t>
  </si>
  <si>
    <t>Design/PG Test Turbine/Module Heat Rate documents</t>
  </si>
  <si>
    <t>Increase in APC consumption due to Environmental compliance</t>
  </si>
  <si>
    <t>Turbine Heat Rate (Coal based TPP)</t>
  </si>
  <si>
    <t>Average Operating Load (MW) caused by low ULF/MLF due to external factor</t>
  </si>
  <si>
    <t xml:space="preserve">Design Turbine Heat Rate @ 100% Load (OEM) </t>
  </si>
  <si>
    <t>% Difference between Design Turbine/Module Heat Rate and Design Curve or HBD Turbine/Module Heat rate</t>
  </si>
  <si>
    <t>Normalization Factor for Unit/Module Load Factor</t>
  </si>
  <si>
    <t>Unitwise Fuel Analysis Details (As Fired Basis)@ (Not to be filled up for Gas based Power Station)</t>
  </si>
  <si>
    <t xml:space="preserve">Auxiliary Power Consumption $$$ (as per Sr. no 9(iv)) </t>
  </si>
  <si>
    <t xml:space="preserve">Auxiliary Power Consumption $$$ (as per Sr No 7(iii) &amp;7(vi)) </t>
  </si>
  <si>
    <t>$ For example : if the COD of a 200 MW unit is 1st October in the current year, its weighted capacity for the whole year is 100 MW</t>
  </si>
  <si>
    <t>Wobbe Index</t>
  </si>
  <si>
    <t>Methane No</t>
  </si>
  <si>
    <t>No</t>
  </si>
  <si>
    <t>Methane (CH4)</t>
  </si>
  <si>
    <t>Ethane (C2H6)</t>
  </si>
  <si>
    <t>Propane (C3H8)</t>
  </si>
  <si>
    <t>Relative density (Specific Gravity)</t>
  </si>
  <si>
    <t>kg/NM3</t>
  </si>
  <si>
    <t>Details of Electricity Generated  and Auxiliary Power Consumption</t>
  </si>
  <si>
    <t>Other Hydro Carbons (C4+)</t>
  </si>
  <si>
    <t>@@ Weighted Average for the year: the sum of the tested coal of each lot as fired multiplied with the quantity of each lot , to be divided by the total fuel quantity during the  year.</t>
  </si>
  <si>
    <t>For Mixed fuel such as Gas, Furnace Oil &amp; Naphtha, documents related to design details of Gas/Furnace Oil/Naphtha maybe given separately.</t>
  </si>
  <si>
    <t>Naptha Analysis</t>
  </si>
  <si>
    <t>Furnace Oil Analysis</t>
  </si>
  <si>
    <t>Gas Chemical and Physical Analysis</t>
  </si>
  <si>
    <t>10.2.2</t>
  </si>
  <si>
    <t>10.2.3</t>
  </si>
  <si>
    <t>Gas/Naptha/Furnace Oil Chemical and Physical Analysis used in Gas based Power Plant</t>
  </si>
  <si>
    <t xml:space="preserve">Station's Generation, PLF &amp; Other Details </t>
  </si>
  <si>
    <t>Gas</t>
  </si>
  <si>
    <t>Naptha</t>
  </si>
  <si>
    <t>Station's Generation, PLF &amp; Other Details (Bifurcation of Sr No 7(iii), 7(vi) in case of Gas based Power Station)</t>
  </si>
  <si>
    <t>Details of Fuel Consumption (As Fired Basis)</t>
  </si>
  <si>
    <t>Other Solid fuels</t>
  </si>
  <si>
    <t>Documentation for Normalisation</t>
  </si>
  <si>
    <t>(i)</t>
  </si>
  <si>
    <t>(ii)</t>
  </si>
  <si>
    <t>(iii)</t>
  </si>
  <si>
    <t>(iv)</t>
  </si>
  <si>
    <t>(v)</t>
  </si>
  <si>
    <t>(vi)</t>
  </si>
  <si>
    <t>(viii)</t>
  </si>
  <si>
    <t>Investment made for achieving target</t>
  </si>
  <si>
    <t>Process Flow Diagram Attached</t>
  </si>
  <si>
    <t>Yes/No</t>
  </si>
  <si>
    <t>Annual</t>
  </si>
  <si>
    <t>Yes</t>
  </si>
  <si>
    <t xml:space="preserve">Difference in Normalised Boiler Efficiency between BY and AY </t>
  </si>
  <si>
    <t>% Decrease in Efficiency from calculated Boiler operating Efficiency to calculated Boiler Design Efficiency</t>
  </si>
  <si>
    <t>Thermal Energy to be subtracted due to Cold/Warm/Hot Start up (External Factor)</t>
  </si>
  <si>
    <t>92.5- {50*[3] +630*([2]+9*[5])}/[4]</t>
  </si>
  <si>
    <t>Coal</t>
  </si>
  <si>
    <t xml:space="preserve"> Loading Vs Heat Rate Equation </t>
  </si>
  <si>
    <t>Calculation</t>
  </si>
  <si>
    <t>Assessment  year[AY]</t>
  </si>
  <si>
    <t>Baseline year[BY]</t>
  </si>
  <si>
    <t xml:space="preserve">Normalised Design Station Turbine Heat Rate due to ULF as compared to BY </t>
  </si>
  <si>
    <t>Design Turbine Heat Rate</t>
  </si>
  <si>
    <t>PLF</t>
  </si>
  <si>
    <t>Loading Factor</t>
  </si>
  <si>
    <t>Actual Gross Generation -Open Cycle due to internal factor</t>
  </si>
  <si>
    <t>Actual Gross Generation-Open Cycle due to external factor</t>
  </si>
  <si>
    <t>Actual Gross Generation-Closed Cycle</t>
  </si>
  <si>
    <t>Weighted Average except  for Operating Capacity [For ex (Coal Fired):  Station Operating Heat Rate = {(OGHR 1 x Capacity 1 + OGHR 2 x Capacity2 + -----------) / (Total Capacity of Station)}] and [For ex (Gas Turbine):{(Station Operating Heat  Rate=Module HR 1 x Capacity 1 + Module HR 2 x Capacity2 + -----------) / (Total Capacity of Station Module)}</t>
  </si>
  <si>
    <t>Oil/Other Fuel</t>
  </si>
  <si>
    <t xml:space="preserve">Actual Gross Generation-Closed Cycle </t>
  </si>
  <si>
    <t>Actual Gross Generation-Open Cycle due to Internal factor</t>
  </si>
  <si>
    <t xml:space="preserve">Actual Gross Generation-Open Cycle due to External factor </t>
  </si>
  <si>
    <t>Module Heat Rate with Oil/Other Fuel (For Gas based Power station)</t>
  </si>
  <si>
    <t>Design Module Heat Rate @ 100% Load (OEM) for Oil/Other Fuel</t>
  </si>
  <si>
    <t>Design Module Heat Rate @ 100% Load (OEM) for Gas</t>
  </si>
  <si>
    <t>Normalization Factor for Fuel Mix in Gas based Power Station</t>
  </si>
  <si>
    <t>Actual Gross Generation from Gas</t>
  </si>
  <si>
    <t>Actual Gross Generation from Oil/Other Fuel</t>
  </si>
  <si>
    <t>Module Heat Rate with Fuel Mix</t>
  </si>
  <si>
    <t xml:space="preserve">Difference in Assessment year w.r.t. Baseline Year </t>
  </si>
  <si>
    <t>Gross Generation from Fuel Mix</t>
  </si>
  <si>
    <t>Module Heat Rate Open Cycle (Major Fuel)</t>
  </si>
  <si>
    <t>Unit /Module wise Design Data Details (For major fuel)</t>
  </si>
  <si>
    <t>Notion energy for Fuel Mix to be Normalised for station</t>
  </si>
  <si>
    <t>Design Module Heat Rate @ 100% Load (OEM) for Closed Cycle</t>
  </si>
  <si>
    <t>Design Module Heat Rate @ 100% Load for Open Cycle</t>
  </si>
  <si>
    <t>Actual Gross Generation during Closed Cycle</t>
  </si>
  <si>
    <t>Actual Gross Generation during Open Cycle due to external factor</t>
  </si>
  <si>
    <t>Actual Gross Generation during Open Cycle due to internal factor</t>
  </si>
  <si>
    <t>Normalization Factor for Open and Closed cycle operation in Gas based Power Station</t>
  </si>
  <si>
    <t>Design Gas Turbine Heat Rate at different condition</t>
  </si>
  <si>
    <t>Type of Thermal Power Station</t>
  </si>
  <si>
    <t>Total Capacity</t>
  </si>
  <si>
    <t>Station Configuration</t>
  </si>
  <si>
    <t>Unit Configuration</t>
  </si>
  <si>
    <t>Year</t>
  </si>
  <si>
    <t>Station Design Configuration</t>
  </si>
  <si>
    <t>Station Gross Heat Rate</t>
  </si>
  <si>
    <t>Imported Coal</t>
  </si>
  <si>
    <t>Total Coal Consumption</t>
  </si>
  <si>
    <t>Specific Coal Consumption</t>
  </si>
  <si>
    <t>Liquid Fuel (LSHS/HSHS/LDO/Any Other)</t>
  </si>
  <si>
    <t>Liquid Fuel (Naptha/ FO/Any Other)</t>
  </si>
  <si>
    <t>NG</t>
  </si>
  <si>
    <t>RLNG/LNG/ Others</t>
  </si>
  <si>
    <t>APM</t>
  </si>
  <si>
    <t>Rs/SCM</t>
  </si>
  <si>
    <t>Specific Oil Consumption for Coal/Gas fired Power Station</t>
  </si>
  <si>
    <t>Liquid Fuel (Any Other)</t>
  </si>
  <si>
    <t>Station Operating Configuration</t>
  </si>
  <si>
    <t>Gross Operating Heat Rate</t>
  </si>
  <si>
    <t>Plant Load Factor (PLF)</t>
  </si>
  <si>
    <t>D.1</t>
  </si>
  <si>
    <t>D.2</t>
  </si>
  <si>
    <t>D.3</t>
  </si>
  <si>
    <t>D.4</t>
  </si>
  <si>
    <t>Difference in DNHR and ONHR</t>
  </si>
  <si>
    <t>Station Operating Net Heat Rate (ONHR)</t>
  </si>
  <si>
    <t>D.5</t>
  </si>
  <si>
    <t>Deviation % from DNHR</t>
  </si>
  <si>
    <t>D.6</t>
  </si>
  <si>
    <t>E.1</t>
  </si>
  <si>
    <t>Coal Quality</t>
  </si>
  <si>
    <t>E.1.1</t>
  </si>
  <si>
    <t xml:space="preserve">Boiler Efficiency due to Coal Quality </t>
  </si>
  <si>
    <t>E.1.2</t>
  </si>
  <si>
    <t>Generation</t>
  </si>
  <si>
    <t>Heat Rate to be normalised in the station operating Heat Rate</t>
  </si>
  <si>
    <t>Station Turbine Heat Rate to be Normalised due to Coal Quality</t>
  </si>
  <si>
    <t>E.2</t>
  </si>
  <si>
    <t xml:space="preserve">Weighted Station Design Turbine Heat Rate </t>
  </si>
  <si>
    <t xml:space="preserve">Normalised Station Design Turbine Heat Rate due to ULF as compared to BY </t>
  </si>
  <si>
    <t>E2.1</t>
  </si>
  <si>
    <t>E2.2</t>
  </si>
  <si>
    <t>E2.3</t>
  </si>
  <si>
    <t>E.3</t>
  </si>
  <si>
    <t>Normalisation in Operating Parameters</t>
  </si>
  <si>
    <t>E.4</t>
  </si>
  <si>
    <t>Others</t>
  </si>
  <si>
    <t>E.5</t>
  </si>
  <si>
    <t>Gas Fuel Mix</t>
  </si>
  <si>
    <t>E.5.1</t>
  </si>
  <si>
    <t>E.3.1</t>
  </si>
  <si>
    <t>E.3.2</t>
  </si>
  <si>
    <t>E.4.1</t>
  </si>
  <si>
    <t>E.6</t>
  </si>
  <si>
    <t>E.6.1</t>
  </si>
  <si>
    <t>Notion energy for Gas OC Cycle to be Normalised for Module</t>
  </si>
  <si>
    <t>Notion energy for Gas OC Cycle to be Normalised for station</t>
  </si>
  <si>
    <t>E.4.2</t>
  </si>
  <si>
    <t xml:space="preserve">Heat Rate Normalisation for others </t>
  </si>
  <si>
    <t>E.5.2</t>
  </si>
  <si>
    <t>Heat Rate Normalisation for Gas Fuel mix</t>
  </si>
  <si>
    <t>E.6.2</t>
  </si>
  <si>
    <t xml:space="preserve">Heat Rate Normalisation for Gas OC Cycle </t>
  </si>
  <si>
    <t>F.1</t>
  </si>
  <si>
    <t>Station Gross Operating Heat Rate</t>
  </si>
  <si>
    <t>Coal Quality Normalisation</t>
  </si>
  <si>
    <t>PLF Normalisation</t>
  </si>
  <si>
    <t>Others Normalisation</t>
  </si>
  <si>
    <t>F.2</t>
  </si>
  <si>
    <t>F.3</t>
  </si>
  <si>
    <t>F.1.1</t>
  </si>
  <si>
    <t>F.1.2</t>
  </si>
  <si>
    <t>Operating Heat Rate</t>
  </si>
  <si>
    <t>F.2.1</t>
  </si>
  <si>
    <t>F.2.2</t>
  </si>
  <si>
    <t>F.2.3</t>
  </si>
  <si>
    <t>F.2.4</t>
  </si>
  <si>
    <t>Gas Based Thermal Power plant Normalised Operating Heat Rate Calculation</t>
  </si>
  <si>
    <t>Million Rs</t>
  </si>
  <si>
    <t>Thermal Energy Saving achieved during the year</t>
  </si>
  <si>
    <t>Petcoke</t>
  </si>
  <si>
    <t>Biomass/Waste</t>
  </si>
  <si>
    <t>Liquid Fuel (HSD/LDO/FO/Others)</t>
  </si>
  <si>
    <t>Gaseous Fuel (LPG/Propone/NG/CNG/PNG/LNG/Others)</t>
  </si>
  <si>
    <t>Electrical Saving achieved during the year</t>
  </si>
  <si>
    <t>Lakh kWh</t>
  </si>
  <si>
    <t>Investment made and Saving Achieved</t>
  </si>
  <si>
    <t>b.1</t>
  </si>
  <si>
    <t>b.1.1</t>
  </si>
  <si>
    <t>b.1.2</t>
  </si>
  <si>
    <t>b.1.3</t>
  </si>
  <si>
    <t>b.1.4</t>
  </si>
  <si>
    <t>b.2</t>
  </si>
  <si>
    <t>b.3</t>
  </si>
  <si>
    <t>(Signature of the Chief Executive)</t>
  </si>
  <si>
    <t xml:space="preserve">Name &amp; designation of the Chief Executive: </t>
  </si>
  <si>
    <t>G.1</t>
  </si>
  <si>
    <t>G.1.2</t>
  </si>
  <si>
    <t>Operating Gross Heat Rate</t>
  </si>
  <si>
    <t>Operating Net Heat Rate</t>
  </si>
  <si>
    <t>Normalised Operating Net Heat Rate</t>
  </si>
  <si>
    <t>E.3.3</t>
  </si>
  <si>
    <t>E.3.4</t>
  </si>
  <si>
    <t>E.3.5</t>
  </si>
  <si>
    <t>E.3.6</t>
  </si>
  <si>
    <t>APC Normalisation</t>
  </si>
  <si>
    <t>Normalised Loading Factor</t>
  </si>
  <si>
    <t>Actual Loading Factor</t>
  </si>
  <si>
    <t>Gas Based Thermal Power Plant Station Net Operating Heat Rate without Normalisation</t>
  </si>
  <si>
    <t>Gas Fuel Mix Normalisation</t>
  </si>
  <si>
    <t>Gas OC Cycle Normalisation</t>
  </si>
  <si>
    <t>G.2</t>
  </si>
  <si>
    <t>G.2.1</t>
  </si>
  <si>
    <t>G.2.2</t>
  </si>
  <si>
    <t>G.2.3</t>
  </si>
  <si>
    <t>G.2.4</t>
  </si>
  <si>
    <t>G.3</t>
  </si>
  <si>
    <t>Heat Rate Configuration and Baseline Target Setting</t>
  </si>
  <si>
    <t>xiii</t>
  </si>
  <si>
    <t>xiv</t>
  </si>
  <si>
    <t>Station Net Operating Heat Rate as per Notification (Baseline)</t>
  </si>
  <si>
    <t>Station Net Target Heat Rate as per Notification (Baseline)</t>
  </si>
  <si>
    <t>INSTRUCTION FOR FILLING UP THE FORM-Sh</t>
  </si>
  <si>
    <t xml:space="preserve">Form Sh-Summary Sheet </t>
  </si>
  <si>
    <t>Form-Sh (General Information)</t>
  </si>
  <si>
    <t>GTG (Gas)</t>
  </si>
  <si>
    <t>STG (Coal/Gas/Diesel)</t>
  </si>
  <si>
    <t>STG (Coal/Gas/ Diesel)</t>
  </si>
  <si>
    <t>Design Fuel Type (Coal/Lignite/ Gas/Naptha/ Oil/Other)</t>
  </si>
  <si>
    <t xml:space="preserve">Operating Coal Quality- Monthly average of the lots (As Fired Basis),Test Certificate for Coal Analysis including Proximate and Ultimate analysis (Minimum of 1 Samples Test from Government Lab for cross verification- Quarterly) </t>
  </si>
  <si>
    <t>Oil</t>
  </si>
  <si>
    <t>Form-1</t>
  </si>
  <si>
    <t>Details of information regarding Total Energy Consumed and Specific Energy Consumption Per unit of Production
(See Rule 3)</t>
  </si>
  <si>
    <t xml:space="preserve">A. </t>
  </si>
  <si>
    <t>General Details</t>
  </si>
  <si>
    <t>Description</t>
  </si>
  <si>
    <t>Name of the Unit</t>
  </si>
  <si>
    <t xml:space="preserve">i) Year of Establishment </t>
  </si>
  <si>
    <t xml:space="preserve">Sector and Sub-Sector in which the Designated Consumers falls  </t>
  </si>
  <si>
    <t>Sector</t>
  </si>
  <si>
    <t>Sub-Sector</t>
  </si>
  <si>
    <t>4. (i)</t>
  </si>
  <si>
    <r>
      <t xml:space="preserve">Complete address of DCs Unit location </t>
    </r>
    <r>
      <rPr>
        <b/>
        <sz val="11"/>
        <color theme="1"/>
        <rFont val="Palatino Linotype"/>
        <family val="1"/>
      </rPr>
      <t>(including Chief Executive's name &amp; designation)</t>
    </r>
    <r>
      <rPr>
        <sz val="11"/>
        <color theme="1"/>
        <rFont val="Palatino Linotype"/>
        <family val="1"/>
      </rPr>
      <t xml:space="preserve"> with mobile, telephone, fax nos. &amp; e-mail.</t>
    </r>
  </si>
  <si>
    <t>Registered Office address with telephone, fax nos. &amp; e-mail</t>
  </si>
  <si>
    <t xml:space="preserve">Energy Manager's Name, designation, Registration No., Address, Mobile, Telephone, Fax nos. &amp; e-mail </t>
  </si>
  <si>
    <t xml:space="preserve">B. </t>
  </si>
  <si>
    <t>Production details</t>
  </si>
  <si>
    <t>Manufacturing Industries notified as Designated Consumers</t>
  </si>
  <si>
    <t>Products</t>
  </si>
  <si>
    <t>Product 1</t>
  </si>
  <si>
    <t>Product 2</t>
  </si>
  <si>
    <t>Product 3</t>
  </si>
  <si>
    <t>Product (Please add extra rows in case of additional products)</t>
  </si>
  <si>
    <t>Total Equivalent Product</t>
  </si>
  <si>
    <t>Energy Consumption Details of Manufacturing Industries notified as Designated Consumers</t>
  </si>
  <si>
    <t>6. (i)</t>
  </si>
  <si>
    <t>Total Electricity Purchased from Grid/Other Source</t>
  </si>
  <si>
    <t>Million kwh</t>
  </si>
  <si>
    <t>Total Electricity Generated</t>
  </si>
  <si>
    <t xml:space="preserve">Total  Electricity Exported </t>
  </si>
  <si>
    <t>Total Electrical Energy Consumption</t>
  </si>
  <si>
    <t xml:space="preserve">Total Solid Fuel Consumption </t>
  </si>
  <si>
    <t>Million kCal</t>
  </si>
  <si>
    <t>Total Liquid Fuel Consumption</t>
  </si>
  <si>
    <t>(vii)</t>
  </si>
  <si>
    <t>Total Gaseous Fuel Consumption</t>
  </si>
  <si>
    <t>Total Thermal Energy Consumption</t>
  </si>
  <si>
    <t>(ix)</t>
  </si>
  <si>
    <t>Total Normalized Energy Consumption (Thermal+Electrical)</t>
  </si>
  <si>
    <t>TOE</t>
  </si>
  <si>
    <t>Specific Energy Consumption Details</t>
  </si>
  <si>
    <t>7. i</t>
  </si>
  <si>
    <t>Specific Energy Consumption(Without Normalization)</t>
  </si>
  <si>
    <t>TOE/Tonne</t>
  </si>
  <si>
    <t>Specific Energy Consumption (Normalized)</t>
  </si>
  <si>
    <t>Power Plants notified as Designated Consumer</t>
  </si>
  <si>
    <t>8. i.</t>
  </si>
  <si>
    <t xml:space="preserve">Annual Gross Generation </t>
  </si>
  <si>
    <t xml:space="preserve">Annual Plant Load Factor (PLF) </t>
  </si>
  <si>
    <t>Station Gross Design Heat Rate</t>
  </si>
  <si>
    <t>Station Gross Operative Heat Rate</t>
  </si>
  <si>
    <t xml:space="preserve">Auxiliary Power Consumption </t>
  </si>
  <si>
    <t>Operative Net Heat Rate</t>
  </si>
  <si>
    <t>Operative Net Heat Rate (Normalized)</t>
  </si>
  <si>
    <t>Million kWh</t>
  </si>
  <si>
    <t>Sector-Specific Details</t>
  </si>
  <si>
    <t>S.No</t>
  </si>
  <si>
    <t>Name of the Sector</t>
  </si>
  <si>
    <t>Form in which the details to be furnished</t>
  </si>
  <si>
    <t>Aluminium</t>
  </si>
  <si>
    <t>Refinery/Smelter</t>
  </si>
  <si>
    <r>
      <t>Sa</t>
    </r>
    <r>
      <rPr>
        <vertAlign val="subscript"/>
        <sz val="11"/>
        <color rgb="FF000000"/>
        <rFont val="Palatino Linotype"/>
        <family val="1"/>
      </rPr>
      <t>1</t>
    </r>
  </si>
  <si>
    <t>Cold Rolling Sheet</t>
  </si>
  <si>
    <r>
      <t>Sa</t>
    </r>
    <r>
      <rPr>
        <vertAlign val="subscript"/>
        <sz val="11"/>
        <color rgb="FF000000"/>
        <rFont val="Palatino Linotype"/>
        <family val="1"/>
      </rPr>
      <t>2</t>
    </r>
  </si>
  <si>
    <t>Cement</t>
  </si>
  <si>
    <t>Sb</t>
  </si>
  <si>
    <t>Chlor-Alkali</t>
  </si>
  <si>
    <t>Sc</t>
  </si>
  <si>
    <t>Fertilizer</t>
  </si>
  <si>
    <t>Sd</t>
  </si>
  <si>
    <t>Iron and Steel</t>
  </si>
  <si>
    <t>Integrated Steel</t>
  </si>
  <si>
    <r>
      <t>Se</t>
    </r>
    <r>
      <rPr>
        <vertAlign val="subscript"/>
        <sz val="11"/>
        <color rgb="FF000000"/>
        <rFont val="Palatino Linotype"/>
        <family val="1"/>
      </rPr>
      <t>1</t>
    </r>
  </si>
  <si>
    <t>Sponge Iron</t>
  </si>
  <si>
    <r>
      <t>Se</t>
    </r>
    <r>
      <rPr>
        <vertAlign val="subscript"/>
        <sz val="11"/>
        <color rgb="FF000000"/>
        <rFont val="Palatino Linotype"/>
        <family val="1"/>
      </rPr>
      <t>2</t>
    </r>
  </si>
  <si>
    <t>Pulp and Paper</t>
  </si>
  <si>
    <t>Sf</t>
  </si>
  <si>
    <t>Textile</t>
  </si>
  <si>
    <t>Composite</t>
  </si>
  <si>
    <r>
      <t>Sg</t>
    </r>
    <r>
      <rPr>
        <vertAlign val="subscript"/>
        <sz val="11"/>
        <color rgb="FF000000"/>
        <rFont val="Palatino Linotype"/>
        <family val="1"/>
      </rPr>
      <t>1</t>
    </r>
  </si>
  <si>
    <t>Fiber</t>
  </si>
  <si>
    <r>
      <t>Sg</t>
    </r>
    <r>
      <rPr>
        <vertAlign val="subscript"/>
        <sz val="11"/>
        <color rgb="FF000000"/>
        <rFont val="Palatino Linotype"/>
        <family val="1"/>
      </rPr>
      <t>2</t>
    </r>
  </si>
  <si>
    <t>Spinning</t>
  </si>
  <si>
    <r>
      <t>Sg</t>
    </r>
    <r>
      <rPr>
        <vertAlign val="subscript"/>
        <sz val="11"/>
        <color rgb="FF000000"/>
        <rFont val="Palatino Linotype"/>
        <family val="1"/>
      </rPr>
      <t>3</t>
    </r>
  </si>
  <si>
    <t>Processing</t>
  </si>
  <si>
    <r>
      <t>Sg</t>
    </r>
    <r>
      <rPr>
        <vertAlign val="subscript"/>
        <sz val="11"/>
        <color rgb="FF000000"/>
        <rFont val="Palatino Linotype"/>
        <family val="1"/>
      </rPr>
      <t>4</t>
    </r>
  </si>
  <si>
    <t>Thermal Power Plant</t>
  </si>
  <si>
    <t>Sh</t>
  </si>
  <si>
    <t>Signature:-</t>
  </si>
  <si>
    <t xml:space="preserve">Name of Energy Manager: </t>
  </si>
  <si>
    <t>Registration Number:</t>
  </si>
  <si>
    <t>Full Address:-</t>
  </si>
  <si>
    <t>Seal</t>
  </si>
  <si>
    <t>Telephone with STD Code</t>
  </si>
  <si>
    <t xml:space="preserve">Lignite </t>
  </si>
  <si>
    <t>H.1</t>
  </si>
  <si>
    <t>H.1.1</t>
  </si>
  <si>
    <t>Previous Year</t>
  </si>
  <si>
    <t>Current Year</t>
  </si>
  <si>
    <r>
      <t xml:space="preserve">Weighted Design Turbine Heat Rate </t>
    </r>
    <r>
      <rPr>
        <sz val="11"/>
        <color rgb="FFFF0000"/>
        <rFont val="Calibri"/>
        <family val="2"/>
        <scheme val="minor"/>
      </rPr>
      <t xml:space="preserve">of </t>
    </r>
    <r>
      <rPr>
        <sz val="11"/>
        <color theme="1"/>
        <rFont val="Calibri"/>
        <family val="2"/>
        <scheme val="minor"/>
      </rPr>
      <t xml:space="preserve">Station </t>
    </r>
  </si>
  <si>
    <t>Module-1</t>
  </si>
  <si>
    <t>Module-2</t>
  </si>
  <si>
    <t>Module-3</t>
  </si>
  <si>
    <t>Module-4</t>
  </si>
  <si>
    <t>Module-5</t>
  </si>
  <si>
    <t>Module-6</t>
  </si>
  <si>
    <t>Module-7</t>
  </si>
  <si>
    <t>Module-8</t>
  </si>
  <si>
    <t>Module-9</t>
  </si>
  <si>
    <t>Module-10</t>
  </si>
  <si>
    <t>As Provided by Original Equipment Manufacturer (OEM)</t>
  </si>
  <si>
    <t>Module Heat Rate with Naphtha (For Gas based Power station)</t>
  </si>
  <si>
    <t>Annual PLF (Weighted)$$</t>
  </si>
  <si>
    <t>Auxiliary Power Consumption</t>
  </si>
  <si>
    <t>$$ Example-For Calculating ULF of the unit commissioned during the year : if the COD of a 200 MW unit is 1st October and PLF for the remaining period is 80% , its weighted capacity for the whole year is 100 MW, with weighted for whole year PLF stands at 40%</t>
  </si>
  <si>
    <t>Note:In case of Gas based Power Station, the APC% for Gas/Liquid fuel may be given separately</t>
  </si>
  <si>
    <t>@ External Factors:Non-Availability of fuel/schedule/backing down/any other external factor</t>
  </si>
  <si>
    <t>Characteristics Curve of Unit/Module Turbine Heat Rate Vs Load, from Original Equipment Manufacturer (OEM)</t>
  </si>
  <si>
    <t>Total Thermal Energy consumption due to unforeseen circumstances (external factor)</t>
  </si>
  <si>
    <t>Total Electrical Energy consumption due to unforeseen circumstances (external factor)</t>
  </si>
  <si>
    <t>We ……………………………………………….........................…..........................undertake that  information furnished in the Sector Specific  Form I are complete and  accurate to the best of my knowledge. I also undertake  that the information provided for Normalisation is limited to external factors only.</t>
  </si>
  <si>
    <t>Liquid Fuel ℗</t>
  </si>
  <si>
    <t>@For Gas Turbine-  Module Heat Rate (kcal/kWh)  = [Design Fuel Input (NCV-kcal)/ Design Gross Out Put (kWh)]</t>
  </si>
  <si>
    <t># Unit/Module Gross Generation in kWh in a year / Plant running hours in hrs in a year</t>
  </si>
  <si>
    <t>NM³/kWh</t>
  </si>
  <si>
    <t xml:space="preserve"> </t>
  </si>
  <si>
    <t>## Heat rate = Total Fuel Consumed in the unit or module /Total Generation</t>
  </si>
  <si>
    <t>Year 1</t>
  </si>
  <si>
    <t>Year 2</t>
  </si>
  <si>
    <t xml:space="preserve">Current/Assessment/Target Year (20... 20...)        </t>
  </si>
  <si>
    <t xml:space="preserve">  Baseline Year (20.... 20....)   (Weighted Average)@@</t>
  </si>
  <si>
    <t>Baseline Year (20.... 20....)</t>
  </si>
  <si>
    <t>Current/ Assessment/ Target Year (20.... 20....)</t>
  </si>
  <si>
    <t>Year 3/ Previous Year (20.... 20....)</t>
  </si>
  <si>
    <t>Average (Yr 1, Yr 2 &amp; Yr 3)</t>
  </si>
  <si>
    <t>Year 3 / Previous Year (20.... 20....)</t>
  </si>
  <si>
    <t xml:space="preserve">Current/Assessment/Target Year (20... 20...)  </t>
  </si>
  <si>
    <t>Form Sh (Details of Generation and Energy Consumption)</t>
  </si>
  <si>
    <t>Baseline Year (BY) Average (20…. 20….)</t>
  </si>
  <si>
    <t>Baseline Year [BY] Average (20…. 20…)</t>
  </si>
  <si>
    <t>Notified Baseline Net Heat Rate  (kcal/kWh)</t>
  </si>
  <si>
    <t>Notified Target Net Heat Rate  (kcal/kWh)</t>
  </si>
  <si>
    <t>Module Heat Rate for Open and Closed Cycle Operation</t>
  </si>
  <si>
    <t>Notional energy for Fuel Mix to be Normalised for Module</t>
  </si>
  <si>
    <t>Notional energy for Fuel Mix to be Normalised for station</t>
  </si>
  <si>
    <t>Gross Generation during Open Cycle (External Factor) and Closed Cycle operation</t>
  </si>
  <si>
    <t>Station Design Net Heat Rate (DNHR)</t>
  </si>
  <si>
    <t>Notified Net Product output (Net Generation) in Million Units</t>
  </si>
  <si>
    <t>A.4</t>
  </si>
  <si>
    <t>A.5</t>
  </si>
  <si>
    <t>A.6</t>
  </si>
  <si>
    <t>A.7</t>
  </si>
  <si>
    <t>Heat Rate Normalisation for APC</t>
  </si>
  <si>
    <t>As per Form Sh (2)</t>
  </si>
  <si>
    <t>As per Form Sh (4 (iii))</t>
  </si>
  <si>
    <t>As per Form Sh ( 4 (iv))</t>
  </si>
  <si>
    <t>As per Form Sh (4 (i))</t>
  </si>
  <si>
    <t>As per Form Sh (4 (ii))</t>
  </si>
  <si>
    <t>As per Form Sh ( 4 (v))</t>
  </si>
  <si>
    <t>As per Form Sh ( 4 (vi))</t>
  </si>
  <si>
    <t>Auxiliary Power Consumption (APC)</t>
  </si>
  <si>
    <t>Auxiliary Power Consumption (APC%)</t>
  </si>
  <si>
    <t>Auxiliary Power Consumption (APC %)</t>
  </si>
  <si>
    <t>IF(D25="DG Set",E81/(1-E42/100),"Not Applicable")</t>
  </si>
  <si>
    <r>
      <t>Total Elect</t>
    </r>
    <r>
      <rPr>
        <sz val="11"/>
        <color rgb="FFFF0000"/>
        <rFont val="Calibri"/>
        <family val="2"/>
        <scheme val="minor"/>
      </rPr>
      <t>r</t>
    </r>
    <r>
      <rPr>
        <sz val="11"/>
        <color theme="1"/>
        <rFont val="Calibri"/>
        <family val="2"/>
        <scheme val="minor"/>
      </rPr>
      <t xml:space="preserve">ical Energy </t>
    </r>
  </si>
  <si>
    <r>
      <t>Thermal Energy to be subtra</t>
    </r>
    <r>
      <rPr>
        <sz val="11"/>
        <color rgb="FFFF0000"/>
        <rFont val="Calibri"/>
        <family val="2"/>
        <scheme val="minor"/>
      </rPr>
      <t>c</t>
    </r>
    <r>
      <rPr>
        <sz val="11"/>
        <color theme="1"/>
        <rFont val="Calibri"/>
        <family val="2"/>
        <scheme val="minor"/>
      </rPr>
      <t>ted due to Unforeseen Circumstances (External Factor)</t>
    </r>
  </si>
  <si>
    <t>Electrical Energy to be subtracted due to Unforeseen Circumstances (External Factor)</t>
  </si>
  <si>
    <t>Electrical Energy to be subtracted due to Shutdown (External Factor)</t>
  </si>
  <si>
    <t>Electrical Energy to be subtracted due to Environmental concern (External Factor)</t>
  </si>
  <si>
    <t>Thermal Energy to be subtracted due to Environmental concern (External Factor)</t>
  </si>
  <si>
    <r>
      <t>Actual Gross Generation from Nap</t>
    </r>
    <r>
      <rPr>
        <sz val="11"/>
        <color rgb="FFFF0000"/>
        <rFont val="Calibri"/>
        <family val="2"/>
        <scheme val="minor"/>
      </rPr>
      <t>h</t>
    </r>
    <r>
      <rPr>
        <sz val="11"/>
        <color theme="1"/>
        <rFont val="Calibri"/>
        <family val="2"/>
        <scheme val="minor"/>
      </rPr>
      <t>tha</t>
    </r>
  </si>
  <si>
    <r>
      <t>Design Module Heat Rate @ 100% Load for Nap</t>
    </r>
    <r>
      <rPr>
        <sz val="11"/>
        <color rgb="FFFF0000"/>
        <rFont val="Calibri"/>
        <family val="2"/>
        <scheme val="minor"/>
      </rPr>
      <t>h</t>
    </r>
    <r>
      <rPr>
        <sz val="11"/>
        <color theme="1"/>
        <rFont val="Calibri"/>
        <family val="2"/>
        <scheme val="minor"/>
      </rPr>
      <t xml:space="preserve">tha </t>
    </r>
  </si>
  <si>
    <t>% APC as per trend line</t>
  </si>
  <si>
    <t>APC Trend line Equation</t>
  </si>
  <si>
    <t>Normalised Auxiliary Power Consumption (N-APC%)</t>
  </si>
  <si>
    <t>As per Form Sh (6. 1) - 'Form Sh'!I49</t>
  </si>
  <si>
    <t>As per 'NF-3 (14)  - 'NF-3 APC'!E18</t>
  </si>
  <si>
    <t>As per Form Sh (6. 1) - Form Sh'!K49</t>
  </si>
  <si>
    <t>As per Form Sh (7. (vi)) - Form Sh'!F62</t>
  </si>
  <si>
    <t>As per Form Sh (7. (vii)) - Form Sh'!F63</t>
  </si>
  <si>
    <t xml:space="preserve">B. 1 / (1- C. 6/100) </t>
  </si>
  <si>
    <t xml:space="preserve">C.4 /(1- C.6 /100) </t>
  </si>
  <si>
    <t>BY - (D.2 - D.1 )</t>
  </si>
  <si>
    <t xml:space="preserve">D.3 *100/D.1 </t>
  </si>
  <si>
    <t xml:space="preserve">As per NF-1 Coal Quality , S. No. 18 </t>
  </si>
  <si>
    <t xml:space="preserve">As per NF-1 Coal Quality , S. No. 16 </t>
  </si>
  <si>
    <t xml:space="preserve">As per NF-2 PLF Sr. No. 21 </t>
  </si>
  <si>
    <t>As per NF-2 PLF Sr. No. 22</t>
  </si>
  <si>
    <t xml:space="preserve">C.4 </t>
  </si>
  <si>
    <t>C. 6</t>
  </si>
  <si>
    <t>C.4 /(1- C. 6/100)</t>
  </si>
  <si>
    <t>As Per NF-3 APC Sr. No. 19</t>
  </si>
  <si>
    <t>AY = E.3.1 /(1-E.3.4 /100)</t>
  </si>
  <si>
    <t>(E.3.3 - E.3.5)</t>
  </si>
  <si>
    <t>AY = E.5.1 / C.1</t>
  </si>
  <si>
    <t>As per NF-5 Gas OC Cycle' Sr. No. 12</t>
  </si>
  <si>
    <t>AY = E.6.1 / C.1</t>
  </si>
  <si>
    <t xml:space="preserve"> AY = IF(BY(D.4) &lt;=5, 10, IF(AND(BY(D.4) &gt;5, BY(D.4)&lt;=10), 17, IF(AND(BY(D.4) &gt;10, BY(D.4)&lt;=20), 21, IF(BY(D.4)&gt;20, 24,0)))), BY = A.7</t>
  </si>
  <si>
    <t>As per 'NF-4 Gas Fuel Mix' Sr No 12</t>
  </si>
  <si>
    <t>IF(OR('General Information' Sr. No. 3 ="Gas Turbine (Open Cycle)", 'General Information' Sr. No. 3 ="Combined Cycle Gas Turbine (CCGT)"),C.4 ,"Not Applicable")</t>
  </si>
  <si>
    <t>E.2.3</t>
  </si>
  <si>
    <t>As per Form Sh Sr. No. 10.1.A.a.(v)</t>
  </si>
  <si>
    <t>As per Form Sh Sr. No. 10.1.A.a. (iv)</t>
  </si>
  <si>
    <t>As per Form Sh Sr. No. 10.1.A.b.(ii)</t>
  </si>
  <si>
    <t>As per Form Sh Sr. No. 4(i)</t>
  </si>
  <si>
    <t>As per Form Sh Sr. No. 10.1.A.a.(iii)</t>
  </si>
  <si>
    <t>As per Form Sh</t>
  </si>
  <si>
    <t>[12] (BY) - [12](AY)</t>
  </si>
  <si>
    <t>(U#1(AY[15]*AY[3])+ U#2 ((AY[15]*AY[3])+ U#3 ((AY[15]*AY[3]) +U#4 ((AY[15]*AY[3]) + U#5 ((AY[15]*AY[3]) + U#6 ((AY[15]*AY[3]) + U#7 ((AY[15]*AY[3]) + U#8 ((AY[15]*AY[3]) + U#9 ((AY[15]*AY[3]) + U#10 ((AY[15]*AY[3]))/(U#1 (AY[3]) + U#2 (AY[3]) + U#3 (AY[3]) + U#4 (AY[3]) + U#5 (AY[3]) + U#6 (AY[3]) + U#7 (AY[3]) + U#8 (AY[3]) +U#9 (AY[3]) + U#10 (AY[3]))</t>
  </si>
  <si>
    <t>IFERROR(IF(AY[13]&lt;=0,BY[9],D[9] - AY[13]),0)</t>
  </si>
  <si>
    <t>(U#1 (AY[17]*D[1]) + U#2 (AY[17]*D[1]) +U#3 (AY[17]*D[1]) +U#4 (AY[17]*D[1]) +U#5 (AY[17]*D[1]) + U#6 (AY[17]*D[1]) + U#7 (AY[17]*D[1]) + U#8 (AY[17]*D[1]) +U#9 (AY[17]*D[1]) + U#10 (AY[17]*D[1]))/(U#1 (D[1]) + U#2 (D[1]) +U#3 (D[1]) +U#4 (D[1]) +U#5 (D[1]) + U#6 (D[1]) +U#7 (D[1]) +U#8 (D[1]) +U#9 (D[1]) +U#10 (D[1]))</t>
  </si>
  <si>
    <t>IF('Form Sh' OEM THR [5.(i)]=0,'Form Sh' PG Test THR,'Form Sh' OEM THR [5.(i)])</t>
  </si>
  <si>
    <t>As per Form Sh Sr. No. AY.[6.(i)]</t>
  </si>
  <si>
    <t>AY=D[9]*AY[10]/100, BY=D[9]*AY[10]/100</t>
  </si>
  <si>
    <t>AY=(D[8]-AY[8])/D[8], BY=(D[8]-BY[8])/D[8]</t>
  </si>
  <si>
    <t xml:space="preserve">IFERROR(D[9])- AY[11], 0), </t>
  </si>
  <si>
    <t>IF('Form Sh' OEM [B.Eff.]=0,'Form Sh' PG Test [B. Eff.],'Form Sh' OEM [B.Eff.])</t>
  </si>
  <si>
    <t>As per 'Form Sh=  U#1[5.(i)], U#2[5.(ii), U#2[5.(iii), U#2[5.(iv), U#2[5.(v), U#2[5.(vi), U#2[5.(vii), U#2[5.(viii), U#2[5.(ix), U#2[5.(x)</t>
  </si>
  <si>
    <t>IFERROR((AY[2] - AY[4])*100/AY[2],0)</t>
  </si>
  <si>
    <t>U#1{'Form Sh'AY[12.2.(i)], 'Form Sh'BY[12.2.(i)]}, U#2{'Form Sh'AY[12.2.(ii)], 'Form Sh'BY[12.2.(ii)]}, U#3{'Form Sh'AY[12.2.(iii)], 'Form Sh'BY[12.2.(iii)]}, U#4{'Form Sh'AY[12.2.(iv)], 'Form Sh'BY[12.2.(iv)]}, U#5{'Form Sh'AY[12.2.(v)], 'Form Sh'BY[12.2.(v)]}, U#6{'Form Sh'AY[12.2.(vi)], 'Form Sh'BY[12.2.(vi)]}, U#7{'Form Sh'AY[12.2.(vii)], 'Form Sh'BY[12.2.(vii)]}, U#8{'Form Sh'AY[12.2.(viii)], 'Form Sh'BY[12.2.(viii)]}, U#9{'Form Sh'AY[12.2.(ix)], 'Form Sh'BY[12.2.(ix)]}, U#10{'Form Sh'AY[12.2.(x)], 'Form Sh'BY[12.2.(x)]}</t>
  </si>
  <si>
    <t>AY= 8760*AY[6],  BY=8760*BY[6]</t>
  </si>
  <si>
    <t>AY[9] - AY[8]</t>
  </si>
  <si>
    <t>U#1='Form Sh'5.(i), U#2='Form Sh'5.(ii), U#3='Form Sh'5.(iii), U#4='Form Sh'5.(iv), U#5='Form Sh'5.(v), U#6='Form Sh'5.(vi), U#7='Form Sh'5.(vii), U#8='Form Sh'5.(viii), U#9='Form Sh'5.(ix), U#10='Form Sh'5.(x),</t>
  </si>
  <si>
    <t>AY= AY[12]*AY[7]^2-AY[13]*AY[7]+AY[14], BY= BY[12]*BY[7]^2-BY[13]*BY[7]+BY[14]</t>
  </si>
  <si>
    <t xml:space="preserve">AY = AY[15]*(1+AY[5]/100), BY = BY[15]*(1+BY[5]/100) </t>
  </si>
  <si>
    <t>AY = IFERROR((E7*E15+E23*E13)/(E14),0)</t>
  </si>
  <si>
    <t>AY[20]</t>
  </si>
  <si>
    <t>AY[2]+AY[18]</t>
  </si>
  <si>
    <t>AY[17]- BY[17]</t>
  </si>
  <si>
    <t>Form Sh' 7.(ii)</t>
  </si>
  <si>
    <t>As per  'Form Sh' 7(vii)</t>
  </si>
  <si>
    <t>As per  'Form Sh' 12.3.(i)</t>
  </si>
  <si>
    <t>As per  'Form Sh' 7(iv)</t>
  </si>
  <si>
    <t>As per  'Form Sh' 12.2. (xi)</t>
  </si>
  <si>
    <t>8760*AY[7] - AY[9] - AY[11]</t>
  </si>
  <si>
    <t>(AY[1]*AY[12] + AY[8]*AY[9] + AY[10]*AY[11]/(AY[9] + AY[11] +AY[12])</t>
  </si>
  <si>
    <t>AY[13]*100/AY[1]</t>
  </si>
  <si>
    <t>AY[15]*100/AY[1]</t>
  </si>
  <si>
    <t>AY= - AY[4]*AY[16]^2- AY[5]*AY[16] + AY[6]</t>
  </si>
  <si>
    <t>AY[17]-BY[17]</t>
  </si>
  <si>
    <t>IF(AY[18]&lt;0,AY[2],AY[2] - AY[18])</t>
  </si>
  <si>
    <t>As per 'Form Sh' 5 (i) to 5 (x)</t>
  </si>
  <si>
    <t>Form Sh' 7.1.(i) [OC-Gas]+ 'Form Sh' 7.1.(i)[CYI-Gas]+'Form Sh' 7.(i)[OCE-Gas]</t>
  </si>
  <si>
    <t>Form Sh' 7.1.(i) [OC-Naphtha]+ 'Form Sh' 7.1.(i)[CYI-Naphtha]+'Form Sh' 7.(i)[OCE-Naphtha]</t>
  </si>
  <si>
    <t>Form Sh' 7.1.(i) [OC-Oil/Other Fuel]+ 'Form Sh' 7.1.(i)[CYI-Oil/Other Fuel]+'Form Sh' 7.(i)[OCE-Oil/Other Fuel]</t>
  </si>
  <si>
    <t>[5] + [6] + [7]</t>
  </si>
  <si>
    <t>([2]*[5]+[3]*[6]+[4]*[7])/([5] + [6] + [7])</t>
  </si>
  <si>
    <t>AY[9] - BY[9]</t>
  </si>
  <si>
    <t>[10]*[8]</t>
  </si>
  <si>
    <t>M1[12] + M2[12] +…..</t>
  </si>
  <si>
    <t>As per 'Form Sh' 5. (i) to 5. (x)</t>
  </si>
  <si>
    <t>IF('Form Sh' OEM UHR [5.(I)] =0,'Form Sh' PG Test UHR [5.(I)],'Form Sh' OEM UHR [5.(I)])</t>
  </si>
  <si>
    <t>Form Sh' 5.(i) DHR at Different Condition [OC-MHR]</t>
  </si>
  <si>
    <t>Form Sh' 5.(i) DHR at Different Condition [Oil/Other Fuel - MHR]</t>
  </si>
  <si>
    <t>SUM('Form Sh' 7.1 (i) [CC-(Gas+ Naphtha + Oil/Others)]</t>
  </si>
  <si>
    <t>SUM('Form Sh' 7.1 (i) [OCE-(Gas+ Naphtha + Oil/Others)]</t>
  </si>
  <si>
    <t>SUM('Form Sh' 7.1 (i) [OCI-(Gas+ Naphtha + Oil/Others)]</t>
  </si>
  <si>
    <t>[10] + [11]</t>
  </si>
  <si>
    <t>([2]*[5]+ [3]*[6]/([5] + [6])</t>
  </si>
  <si>
    <t>AY[9] -BY[9]</t>
  </si>
  <si>
    <t>[10] * [8]</t>
  </si>
  <si>
    <t>M1[11] + M2 [11] + …………</t>
  </si>
  <si>
    <t>Form Sh'! 12.4 c(i)</t>
  </si>
  <si>
    <t>Form Sh'! 12.4 c(ii)</t>
  </si>
  <si>
    <t>Form Sh'! 12.4 c(iii)</t>
  </si>
  <si>
    <t>Form Sh'! 12.4 c(iv)</t>
  </si>
  <si>
    <t>Form Sh'! 12.4 c(v)</t>
  </si>
  <si>
    <t>Form Sh'! 12.4 c(vi)</t>
  </si>
  <si>
    <t>Form Sh'! 12.4 c(vii)</t>
  </si>
  <si>
    <t>Form Sh'! 12.4 c(viii)</t>
  </si>
  <si>
    <t>Form Sh'! 12.4 c(ix)</t>
  </si>
  <si>
    <t>Form Sh'! 12.4 c(x)</t>
  </si>
  <si>
    <t>(11CS+11WS+11HS)*10</t>
  </si>
  <si>
    <t>Form Sh'! 12.4 B(i)</t>
  </si>
  <si>
    <t>Form Sh'! 12.5 Total Ad.El.En.Con.</t>
  </si>
  <si>
    <t>Form Sh'12.5 Total Ad.Th.En.Con.</t>
  </si>
  <si>
    <t>Form Sh'! 12.6 (i)</t>
  </si>
  <si>
    <t>Form Sh'! 12.6 (ii)</t>
  </si>
  <si>
    <t>Form Sh'! 6.1 UGHR</t>
  </si>
  <si>
    <t>Heat Rate to be normalised in the Unit operating  Heat Rate</t>
  </si>
  <si>
    <t>AY={(13AY)+914AY)+(16AY)}*(18AY)
BY={(13BY)+(16BY)}*(18BY)</t>
  </si>
  <si>
    <t>AY=(15AY)+(17AY)+(12AY)
BY=(17BY)</t>
  </si>
  <si>
    <t>{(19AY)+(20AY)}-{(19BY)+(20BY)}</t>
  </si>
  <si>
    <t>Section</t>
  </si>
  <si>
    <t>Normalised Design Boiler Efficiency  for Unit</t>
  </si>
  <si>
    <t>Station Operating Gross  Heat Rate</t>
  </si>
  <si>
    <t>Coal Based Thermal Power Plant Station Operating Net Heat Rate without Normalisation</t>
  </si>
  <si>
    <t>Coal Based Thermal Power plant Normalised Operating Net  Heat Rate</t>
  </si>
  <si>
    <t>G.2.5</t>
  </si>
  <si>
    <t>kcal/kg</t>
  </si>
  <si>
    <t>Nomenclature of Units as per Standard Practice of TPPs</t>
  </si>
  <si>
    <t>Coal GCV</t>
  </si>
  <si>
    <t>Tonnes</t>
  </si>
  <si>
    <r>
      <t>y = 6.0487x</t>
    </r>
    <r>
      <rPr>
        <vertAlign val="superscript"/>
        <sz val="11"/>
        <color theme="1"/>
        <rFont val="Calibri"/>
        <family val="2"/>
        <scheme val="minor"/>
      </rPr>
      <t>-0.2055</t>
    </r>
  </si>
  <si>
    <t>Volume of Primary Air</t>
  </si>
  <si>
    <t>kW/hr</t>
  </si>
  <si>
    <t>kW</t>
  </si>
  <si>
    <t>Gross Heat Rate</t>
  </si>
  <si>
    <t xml:space="preserve">Normalization Factor for Primary Air Fan Loading due to Coal Quality </t>
  </si>
  <si>
    <t>Operating Load</t>
  </si>
  <si>
    <t>Million Units</t>
  </si>
  <si>
    <t>Tonnes/hr</t>
  </si>
  <si>
    <t xml:space="preserve">Total Primary Air requirement per tonne of coal trendline equation </t>
  </si>
  <si>
    <r>
      <t>m</t>
    </r>
    <r>
      <rPr>
        <sz val="11"/>
        <color theme="1"/>
        <rFont val="Calibri"/>
        <family val="2"/>
      </rPr>
      <t>³/ hr</t>
    </r>
  </si>
  <si>
    <t>Total Primary Air requirement</t>
  </si>
  <si>
    <t>Form Sh'! (6) UGHR</t>
  </si>
  <si>
    <t>Form Sh'! (6) Operating Load</t>
  </si>
  <si>
    <t>Form Sh'! (6) Gross Generation</t>
  </si>
  <si>
    <t>(3)*1000/(2)</t>
  </si>
  <si>
    <t>Form Sh'! (A to J) 10.1 A a(v)</t>
  </si>
  <si>
    <t>(1)*(2)/(5)</t>
  </si>
  <si>
    <t>y = 6.0487* (2)^-0.2055</t>
  </si>
  <si>
    <t>y = 6.0487x^-0.2055
Where x=Operating Load</t>
  </si>
  <si>
    <t>Normalization Factor for Gas Quality in Gas based Power Station</t>
  </si>
  <si>
    <t>Net Calorific Value of Gas</t>
  </si>
  <si>
    <t>NHR trendline equation</t>
  </si>
  <si>
    <t>NHR as per trendline equation</t>
  </si>
  <si>
    <t>y = -10^-7x^2 + 0.0051x + 1490.5</t>
  </si>
  <si>
    <t>Difference in NHR as per trendlne Equation between AY and BY</t>
  </si>
  <si>
    <t>Normalization due to change in Gas Quality</t>
  </si>
  <si>
    <t>Million Kcal</t>
  </si>
  <si>
    <t>Gross Generation in AY</t>
  </si>
  <si>
    <t>(6)*(5)</t>
  </si>
  <si>
    <t>Form Sh'! 7 (ix) AY &amp; BY</t>
  </si>
  <si>
    <t>Form Sh'! 10.2.1 (xii) AY &amp; BY</t>
  </si>
  <si>
    <t>(4)AY-(4)BY</t>
  </si>
  <si>
    <t>Form Sh'! 6.1 Gr. Gen AY</t>
  </si>
  <si>
    <t>y = -10^-7x^2 + 0.0051x + 1490.5
Where x=NCV</t>
  </si>
  <si>
    <t>Increase in coal consumption due to change in GCV of coal in AY</t>
  </si>
  <si>
    <t>Increase in energy consumption due to change in GCV of coal in AY</t>
  </si>
  <si>
    <t>Normalization due to change in GCV of coal</t>
  </si>
  <si>
    <t>Normalization for station due to change in GCV of coal</t>
  </si>
  <si>
    <t>Normalised Total Coal Consumption</t>
  </si>
  <si>
    <t>Total Primary Air requirement per tonne of coal trendline equation for BY and AY</t>
  </si>
  <si>
    <t xml:space="preserve">Power Consumption from PA fans </t>
  </si>
  <si>
    <t>Normalized Thermal Energy due to change in GCV of coal</t>
  </si>
  <si>
    <t>kW/Hr</t>
  </si>
  <si>
    <t>Total Electrical Energy consumption for Coal Grinding mills (VRM/Ball) per hour</t>
  </si>
  <si>
    <t>Normalised Coal Consumption</t>
  </si>
  <si>
    <t>kWh/Tonne</t>
  </si>
  <si>
    <t>Coal Quality effect in APC</t>
  </si>
  <si>
    <t>Total Energy to be normalised due to Coal Quality effect in APC</t>
  </si>
  <si>
    <t>Heat Rate Normalisation for Coal Quality effect in APC</t>
  </si>
  <si>
    <t>E.3.7</t>
  </si>
  <si>
    <t>E.3.7.1</t>
  </si>
  <si>
    <t>E.3.7.2</t>
  </si>
  <si>
    <t>Gas OC Cycle</t>
  </si>
  <si>
    <t>Gas Quality</t>
  </si>
  <si>
    <t>Heat Rate Normalisation for Gas Quality</t>
  </si>
  <si>
    <t>E.7</t>
  </si>
  <si>
    <t>E.7.1</t>
  </si>
  <si>
    <t>E.7.2</t>
  </si>
  <si>
    <t>G.2.6</t>
  </si>
  <si>
    <t>Gas Quality Normalisation</t>
  </si>
  <si>
    <t>E.3.6+E3.7.2</t>
  </si>
  <si>
    <t>E7.2</t>
  </si>
  <si>
    <t>form Sh'! A to J (d) AY &amp; BY</t>
  </si>
  <si>
    <t>(6)BY*(5)BY/(5)AY</t>
  </si>
  <si>
    <t>(8)AY-(8)BY</t>
  </si>
  <si>
    <t>(7)*10^6/(4)</t>
  </si>
  <si>
    <t>(10)/(6)</t>
  </si>
  <si>
    <t>(9)*(11)</t>
  </si>
  <si>
    <t>(12)*(1)*(4)</t>
  </si>
  <si>
    <t>(13)U#1+(13)U#2+(13)U#3+(13)U#4+(13)U#5+(13)U#6+(13)U#7+(13)U#8+(13)U#9+(13)U#10</t>
  </si>
  <si>
    <t>(6)BY*(5)BY/(%)AY</t>
  </si>
  <si>
    <t>(7)AY-(6)BY</t>
  </si>
  <si>
    <t>(7)AY*(10)AY
(6)BY*(10)BY</t>
  </si>
  <si>
    <t>(11)*1000/1.2333</t>
  </si>
  <si>
    <t>{2.275*(12)*900}/(0/95*0.8*10^6)</t>
  </si>
  <si>
    <t>(13)AY-(13)BY</t>
  </si>
  <si>
    <t>(14)AY*(1)AY*(4)AY/10^6</t>
  </si>
  <si>
    <t>(15)U#1+(15)U#2+(15)U#3+(15)U#4+(15)U#5+(15)U#6+(15)U#7+(15)U#8+(15)U#9+(15)U#10</t>
  </si>
  <si>
    <t xml:space="preserve">Normalization Factor for Coal Mill, ID Fan &amp; Ash Handling Plant Loading due to Coal Quality </t>
  </si>
  <si>
    <t>Electrical Energy Consumption for Coal Grinding Mills (VRM/Ball) + ID Fan + Ash Handling Plant</t>
  </si>
  <si>
    <t>Specific energy consumption per tonne of coal</t>
  </si>
  <si>
    <t>Total Electrical Energy consumption for Coal Grinding mills (VRM/Ball), ID Fan and Ash Handling Plant</t>
  </si>
  <si>
    <t>Station's Generation, PLF &amp; Other Details (Bifurcation of Sr No 7(iii) in case of Gas based Power Station or Thermal Oil-Gas based Plant)</t>
  </si>
  <si>
    <t>Unit /Module wise Design Data Details (For other fuel)</t>
  </si>
  <si>
    <t>Coal/Oil-Gas Based Thermal Power plant Normalised Operating Heat Rate Calculation</t>
  </si>
  <si>
    <t xml:space="preserve">For other Fuel data, plant to insert the data in section 5.2 with Unit Nos </t>
  </si>
  <si>
    <t xml:space="preserve">Frequency </t>
  </si>
  <si>
    <t>To be filled in the General Information Sheet</t>
  </si>
  <si>
    <t>To be filled in the Form-Sh Sheet directly</t>
  </si>
  <si>
    <t>One time</t>
  </si>
  <si>
    <t>COD document</t>
  </si>
  <si>
    <t>PPA</t>
  </si>
  <si>
    <t>Notification</t>
  </si>
  <si>
    <t>Calculation for target setting</t>
  </si>
  <si>
    <t>% Reduction Target for Percentage deviation in the Station Net Heat Rate as per Notificataion</t>
  </si>
  <si>
    <t>OEM Curves and docuemts/ COD documents</t>
  </si>
  <si>
    <t>Primary-Annual
Secondary-Hourly shift log book/ Daily reports</t>
  </si>
  <si>
    <t>Annual Generation Reports</t>
  </si>
  <si>
    <t>Primary-Annual
Secondary-Daily reports</t>
  </si>
  <si>
    <t>Daily Generation Reports</t>
  </si>
  <si>
    <t>Primary -Daily
Secondary- Hourly</t>
  </si>
  <si>
    <t>same as calculated in row no. 6.b</t>
  </si>
  <si>
    <t>Primary -Daily
Secondary- Daily</t>
  </si>
  <si>
    <t>DGR</t>
  </si>
  <si>
    <t>Basis Report</t>
  </si>
  <si>
    <t>Total Supplied to grid =Total Generation -APC</t>
  </si>
  <si>
    <t>Primary-daily
secondary- every 4 hours</t>
  </si>
  <si>
    <t>FSA, Lab analysis report for samples at various points</t>
  </si>
  <si>
    <t>Energy Consumption to be entered in Form Sh</t>
  </si>
  <si>
    <t>Energy Meter Reports</t>
  </si>
  <si>
    <t>Primary-daily/ shift wise
secondary- every 4 hours</t>
  </si>
  <si>
    <t>Primary-Daily
Secondary- hourly</t>
  </si>
  <si>
    <t>Annual Reports</t>
  </si>
  <si>
    <t>Primary- Annual
Secondary-As &amp; when  occurred</t>
  </si>
  <si>
    <t>Trip reports/ Shift Reports/ Synchronization communication</t>
  </si>
  <si>
    <t>Please enter the APC as per the baseline audit report</t>
  </si>
  <si>
    <t>One Time</t>
  </si>
  <si>
    <t>Annual Report</t>
  </si>
  <si>
    <t>Audit Report</t>
  </si>
  <si>
    <t>Please enter the APC as pet the APC trendline equation for AY and BY</t>
  </si>
  <si>
    <t>Please provide the name, commitioning date , kw rating , actual operating hour and total energy consumptiion of equipments installed to meet the environmental complience in AY and BY</t>
  </si>
  <si>
    <t>Monthly</t>
  </si>
  <si>
    <t>Monthly Generation/ operation reports</t>
  </si>
  <si>
    <t>Efficiency Cell Reports</t>
  </si>
  <si>
    <t>Please enter Total Thermal Energy consumption due to unforseen circumstances</t>
  </si>
  <si>
    <t>Please enter Total Electrical Energy consumption due to unforseen circumstances</t>
  </si>
  <si>
    <t xml:space="preserve">The list of documents that shall be submitted by the DCs is mentioned. The DC shall submit the doc and write Yes/No in the relevant docuembt column </t>
  </si>
  <si>
    <t xml:space="preserve">Investment, if any, during this period has to be mentioned with quantified savings in terms of million kcal of coal, lignte, petcoke, biomass/ waste </t>
  </si>
  <si>
    <t>The process flow diagram has to be attached indicating the entire scheme of the system/ sub-system</t>
  </si>
  <si>
    <t>Normalization Factor for Fuel Mix inThermal Power Station</t>
  </si>
  <si>
    <t>s</t>
  </si>
  <si>
    <t>Form Sh' 7.1.(i) [Oil/others]+ 'Form Sh' 7.1.(i)[CYIOil/others]+'Form Sh' 7.(i)[Oil/others]</t>
  </si>
  <si>
    <t>As per 'Form Sh' 5.2 (i) to 5.2 (v)</t>
  </si>
  <si>
    <t xml:space="preserve">[4] + [5] </t>
  </si>
  <si>
    <t>([2]*[4]+[3]*[5])/([4] + [5])</t>
  </si>
  <si>
    <t>AY[7] - BY[7]</t>
  </si>
  <si>
    <t>[9]*[6]</t>
  </si>
  <si>
    <t>M1[9] + M2[9] +…..</t>
  </si>
  <si>
    <t>Actual Gross Generation from Fuel 2 (Oil/ Others)</t>
  </si>
  <si>
    <t xml:space="preserve">For Thermal Power Station firing Gas/ Oil/ Other Fuels in Boiler </t>
  </si>
  <si>
    <t>Section 5</t>
  </si>
  <si>
    <t>Section 5.2</t>
  </si>
  <si>
    <t>All the relevant details with Gas fuel shall be entered</t>
  </si>
  <si>
    <t>All the relevant details with Oil/Other Fuel shall be entered</t>
  </si>
  <si>
    <t>Station's Design Heat Rate = [UDHR1xC1 + UDHR2xC2+ UDHR3xC3………]/[C1+C2+C3…….] 
Where C1, C2, C3, …..= Unit Capacity in MW</t>
  </si>
  <si>
    <t>PG Test Reports/ Certified reports on Fuel Change</t>
  </si>
  <si>
    <t xml:space="preserve">Calculation for Station installed Capacity, Boiler Efficiency, Turbine Heat rate and Unit Heat rate provided by  Original Equipment Manaufacturer (OEM) and as per Performance Guarantee Test  (PG Test) report and the commercial operation date (COD) of all the Unit. </t>
  </si>
  <si>
    <t xml:space="preserve">Please provide the Unitwise design installed Capacity, Boiler Efficiency, Turbine Heat rate and Unit Heat rate provided by  Original Equipment Manaufacturer (OEM) and as per Performance Guarantee Test  (PG Test) report and the Commercial Operation Date (COD) of all the Unit. The data to be provided for Major Fuel </t>
  </si>
  <si>
    <t xml:space="preserve">Please provide the Unitwise design installed Capacity, Boiler Efficiency, Turbine Heat rate and Unit Heat rate provided by  Original Equipment Manaufacturer (OEM) and as per Performance Guarantee Test  (PG Test) report and the Commercial Operation Date (COD) of all the Unit. The data to be provided for Other Fuel </t>
  </si>
  <si>
    <t>1. Form Sh is to be filled for  Gas/Oil Fired Thermal Power plant also, however the Normalisation for Fuel Mix will be dealt separately. 2. The other calculation will be performed based on the mearit of the parameters in Form Sb</t>
  </si>
  <si>
    <t>IF('General Information' Sr. No. 3 ="Coal/Lignite/Oil/Gas Fired",C.4,"Not Applicable")</t>
  </si>
  <si>
    <t>IF('General Information' Sr. No. 3 ="Coal/Lignite/Oil/Gas Fired",F.1.1/(1-C.6/100),"Not Applicable")</t>
  </si>
  <si>
    <t>(IF(General Information' Sr. No. 3="Coal/Lignite/Oil/Gas Fired",IF('Form Sh' OEM THR =0,'Form Sh' PG Test THR,'Form Sh' OEM THR),860*100/AY[3], 0)</t>
  </si>
  <si>
    <t>Notional energy for Gas OC Cycle to be Normalised for station</t>
  </si>
  <si>
    <t>Notional energy for Gas Quality to be Normalised for station</t>
  </si>
  <si>
    <t>Design Gross Heat Rate @ 100% Load from fuel 2 (Oil/others)</t>
  </si>
  <si>
    <t>Gross Heat Rate with Fuel Mix</t>
  </si>
  <si>
    <t>NF-1 Coal Quality -Document Available for Normalisation</t>
  </si>
  <si>
    <t>NF-2 PLF-Document Available for Normalisation</t>
  </si>
  <si>
    <t>NF-3 APC PLF-Document Available for Normalisation</t>
  </si>
  <si>
    <t>NF-3.1 APC CQ Document Available for Normalisation</t>
  </si>
  <si>
    <t>NF-3.2 APC CQ Document Available for Normalisation</t>
  </si>
  <si>
    <t>NF-4  Gas Fuel Mix Document Available for Normalisation</t>
  </si>
  <si>
    <t>NF-5 Gas OC Cycle Document Available for Normalisation</t>
  </si>
  <si>
    <t>NF-6 Gas NCV-Document Available for Normalisation</t>
  </si>
  <si>
    <t>NF-7 Others Factors-Document Available for Normalisation</t>
  </si>
  <si>
    <t>Documents Avaialbility</t>
  </si>
  <si>
    <t>Documents Availability</t>
  </si>
  <si>
    <t>As per NF-2 PLF Sr. No. 23</t>
  </si>
  <si>
    <t>As per 'NF-7 Others' Sr. No. 10</t>
  </si>
  <si>
    <t>E.3.7.1/C.1</t>
  </si>
  <si>
    <t>NF-6 Gas NCV [7]</t>
  </si>
  <si>
    <t>NF-3.1 APC CQ [16] +NF-3.2 APC CQ [14]</t>
  </si>
  <si>
    <t>E.7.1/C.4</t>
  </si>
  <si>
    <t>Documentation Availability</t>
  </si>
  <si>
    <t>Normalization -Others (Startup/Shutdown/Environmental Concern)</t>
  </si>
  <si>
    <t>Design Gross Heat Rate @ 100% Load (OEM) from Fuel 1 (Gas)</t>
  </si>
  <si>
    <t>Actual Gross Generation from Fuel 1 (Gas)</t>
  </si>
  <si>
    <t>Basis/Formule</t>
  </si>
  <si>
    <t>Please enter numeric values or leave blank</t>
  </si>
  <si>
    <t xml:space="preserve">Please eneter numeric value or "0" </t>
  </si>
  <si>
    <t>Fomulae Protected</t>
  </si>
  <si>
    <t>Data not to be filled</t>
  </si>
  <si>
    <t>Select from the list Yes or No</t>
  </si>
  <si>
    <t>Total Number of Shutdown in a year (Internal and External)</t>
  </si>
  <si>
    <t xml:space="preserve">In case of difference in Design Coal Quality for different units, Coal analysis to be given unitwise, otherwise enter the same parameter </t>
  </si>
  <si>
    <t xml:space="preserve">Primary Documents from where the information can be sourced and to be kept ready for verification by Accredited Energy Auditor </t>
  </si>
  <si>
    <t>Secondary Documents from where the information can be sourced and to be kept ready for verification by Accredited Energy Auditor</t>
  </si>
  <si>
    <t>Please fill the data as per colour coding provided  at the bottom of Form Sh</t>
  </si>
  <si>
    <t>(ii) Registration No (As provided by BEE)</t>
  </si>
  <si>
    <t>Station Net Heat Rate (NHR)</t>
  </si>
  <si>
    <t xml:space="preserve"> ** To be indicated only if OEM certified design or  PG Test report is available and the same can be produced as documentry proof, whenever required. If gas/liquid fuel is used, the Design/PG value for gas/liquied fuel may be given separately.</t>
  </si>
  <si>
    <t>Gas Supplier Fuel Analysis Documents should be available with Plant.</t>
  </si>
  <si>
    <t>*** Weighted Average except  for Design Capacity [For ex (Coal Fired):  Station Design Heat Rate = {(DGHR 1 x Capacity 1 + DGHR 2 x Capacity2 + -----------) / (Total Capacity of Station)}] and [For ex (Gas Turbine):Station Operating Heat  Rate={(Module HR 1 x Capacity 1 + Module HR 2 x Capacity2 + -----------) / (Total Capacity of Station Module)}</t>
  </si>
  <si>
    <t>No. of units with their capacity</t>
  </si>
  <si>
    <t>A.8</t>
  </si>
  <si>
    <t xml:space="preserve">Difference of Notified Baseline Net Heat Rate and Notified Net Heat Rate </t>
  </si>
  <si>
    <t>(A.4)-(A.5)</t>
  </si>
  <si>
    <t>D.7</t>
  </si>
  <si>
    <t>Baseline Normalisation</t>
  </si>
  <si>
    <t>(D.5) x (D.3)/100</t>
  </si>
  <si>
    <t>(A.8)-(D.6)</t>
  </si>
  <si>
    <t>Total Energy to be normalised due to Start-ups/ Shutdowns/Environmental Concern/Unforeseen Circumstances</t>
  </si>
  <si>
    <t>1. OEM Curves and docuemts/ COD documents 2  PG Test Report 3. HMB diagram at different load (Minimum 5-7 nos of  (x,y) co-ordinates to plot as curve 4. Design Boiler Efficiency Document from Original Equipment Manufacturer (OEM) 5. Design  Coal Analysis Document as per OEM</t>
  </si>
  <si>
    <t>Continuous, Daily, Monthly</t>
  </si>
  <si>
    <t>1.Plant Design document from OEM 2. PG Test Report</t>
  </si>
  <si>
    <t>Notification S.O. 387 (E )</t>
  </si>
  <si>
    <t xml:space="preserve"> Shall be calculated as per the formula given in the PAT documents</t>
  </si>
  <si>
    <t>1)  Daily Generation Report 2) Monthly Generation Report 3) Shift Report and Register 4) Unit Log book 5) Coal Consumption records 6) Stores Stock Register 7)Purchase Order 8) SAP Entry in PP/SD mosule</t>
  </si>
  <si>
    <t>1) Generator Energy Meter (Sealed) 2) Energy Management System 3) Weigh feeder 4) Bunker load Cells 5) Fuel GCV test report (Internal and External) 6) Internal Audit Report</t>
  </si>
  <si>
    <t xml:space="preserve">1) Daily Internal Report from Lab on Fuel Proximate Analysis performed on each lot. 2) Test Certificate from Government Accredited lab. (Plant to maintain minimum 1 sample test in a quarter for Proximate and Ultimate Analysis i.e. 4 test certificates in a year for each soild fuel  3) Purchase Order, where guaranteed GCV range is mentioned </t>
  </si>
  <si>
    <t>1) internal test report 2) Callibration report of measuring equipment 3) Lab register 4) Lab analysis prcedure documents 5) Sampling methodology document</t>
  </si>
  <si>
    <t xml:space="preserve">1. Energy Management System   2. Energy Meters </t>
  </si>
  <si>
    <t>Landed cost of Fuel is required to calculate the price of 1 ESCerts for the year 2014-15.</t>
  </si>
  <si>
    <t xml:space="preserve">1. Annual Generation Reports 2. DGR 3. MGR 4. Annual Report </t>
  </si>
  <si>
    <t>1. Annual Generation Reports 2. DGR 3. MGR 4. Annual Report</t>
  </si>
  <si>
    <t>1. OEM Curves and docuemts/ COD documents 2  PG Test Report 3. HMB diagram at different load (Minimum 5-7 nos of  (x,y) co-ordinates to plot as curve 4. Design Boiler Efficiency Document from Original Equipment Manufacturer (OEM) 5. Design  Coal Analysis Document as per OEM 6. Predicted Performance Data (PPD) document from OEM</t>
  </si>
  <si>
    <t>as per Sr No  4 (i)</t>
  </si>
  <si>
    <t>The Auxilliary Power of the Station to be provided without Colony and construction power</t>
  </si>
  <si>
    <t>Calculation of Auxiliary Power Consumption (APC) in %</t>
  </si>
  <si>
    <t xml:space="preserve">Calculation of operating gross heat rate of the station </t>
  </si>
  <si>
    <t>Example-For Calculating ULF of the unit commissioned during the year : if the COD of a 200 MW unit is 1st October and PLF for the remaining period is 80% , its weighted capacity for the whole year is 100 MW, with weighted for whole year PLF stands at 40%</t>
  </si>
  <si>
    <t>Please provide installed capacity (MW) of the station for current as well as for the previous year</t>
  </si>
  <si>
    <t>If COD of some unit(s) is in between the year, Please provide the total station's weighted capacity for the year in MW</t>
  </si>
  <si>
    <t>1. COD Document submitted to Authority</t>
  </si>
  <si>
    <t>1. OEM Document</t>
  </si>
  <si>
    <t xml:space="preserve">Calculation of Plant Availability Factor (%) </t>
  </si>
  <si>
    <t xml:space="preserve">1) Daily Generation Report 2) Monthly Generation Report 3) Shift Report and Register 4) Generation Schedule from Load Despatch Centre 5) External Breakdown Report 6) Fuel Unavailability document/record  from external agencies 7) Coal Linkage Document 8) Log Book </t>
  </si>
  <si>
    <t>1) Shift Register 2) Shift Reports 3) Energy Meter Readings 4) Energy Management System 5) Breakdown reports (Internal and External)</t>
  </si>
  <si>
    <t>The calculation is to be done from Planned or unplanned staoppages, Forced outage etc  of unit</t>
  </si>
  <si>
    <t>Daily, Monthly, Annual</t>
  </si>
  <si>
    <t>For example : if the COD of a 200 MW unit is 1st October in the current year, its weighted capacity for the whole year is 100 MW</t>
  </si>
  <si>
    <t>Reference from other cell:  Auxiliary Power Consumption (APC) in MU</t>
  </si>
  <si>
    <t>Calculation of operating Net heat rate (ONHR) of the station.</t>
  </si>
  <si>
    <t>1) Generator Energy Meter (Sealed) 2) Energy Management System 3) Weigh feeder 4) Bunker load Cells 5) Fuel GCV test report (Internal and External) 6. Efficiency Report</t>
  </si>
  <si>
    <t>1) Generator Energy Meter (Sealed) 2) Energy Management System 3) Weigh feeder 4) Bunker load Cells 5) Fuel GCV test report (Internal and External) 6) Internal Audit Report 7) Efficiecny Report</t>
  </si>
  <si>
    <t>Please provide the Average PLF during Baseline year as per baseline energy audit reports</t>
  </si>
  <si>
    <t>Please provide Actual PLF as reported to CERC/SERC</t>
  </si>
  <si>
    <t>Reference from other Cell: Station Net Operating Heat Rate as per Notification (Baseline)</t>
  </si>
  <si>
    <t>Reference from other Cell: Station Net Target Heat Rate as per Notification (Baseline)</t>
  </si>
  <si>
    <t>1) baseline Report</t>
  </si>
  <si>
    <t>1) Reporting document to CERC/SERC</t>
  </si>
  <si>
    <t>1)Tariff Document from CERC</t>
  </si>
  <si>
    <t>Please provide the Annual Genertion for Actual Gross Generation-Closed Cycle in differnet type of plant operation through Gas/Naptha/Oil/Other Fuel in Gas based CCGT or Gas based Thermal Power Station</t>
  </si>
  <si>
    <t>DC to provide the details of generation through Gas or Oil field for Gas or Oil based Thermal Power Plant</t>
  </si>
  <si>
    <t>To be filled in the General Information Sheet.  .</t>
  </si>
  <si>
    <t>Please provide the Annual Genertion in MU for Actual Gross Generation-Open Cycle due to Internal factor in differnet type of plant operation through Gas/Naptha/Oil/Other Fuel in Gas based CCGT or Gas based Thermal Power Station</t>
  </si>
  <si>
    <t>Please provide the Annual Genertion in MU for Actual Gross Generation-Open Cycle due to External factor in differnet type of plant operation through Gas/Naptha/Oil/Other Fuel in Gas based CCGT or Gas based Thermal Power Station</t>
  </si>
  <si>
    <t>Reference from other Cell:Actual Gross Generation-Closed Cycle</t>
  </si>
  <si>
    <t>Reference from other Cell:Actual Gross Generation -Open Cycle due to internal factor</t>
  </si>
  <si>
    <t>Reference from other Cell:Actual Gross Generation-Open Cycle due to external factor</t>
  </si>
  <si>
    <t>Reference from other Cell:Actual Gross Generation</t>
  </si>
  <si>
    <t>calculation: Auxiliary Power Consumption</t>
  </si>
  <si>
    <t>Please provide the Auxiliary Power Consumption in MU for different type of plant operation through Gas/Naptha/Oil/Other Fuel in Gas based CCGT or Gas based Thermal Power Station</t>
  </si>
  <si>
    <t xml:space="preserve">Reference from other Cell:Total Gross Generation of Electricity  </t>
  </si>
  <si>
    <t>Reference from other Cell:Total Net Electricity Supplied to Grid</t>
  </si>
  <si>
    <t xml:space="preserve">1) Daily Generation Report 2) Monthly Generation Report 3) Shift Report and Register 4) Generation Schedule from Load Despatch Centre 5) External Breakdown Report 6) Fuel Unavailability document/record  from external agencies 7) Coal Linkage Document 8) Stores Stocks Register 9) SAP Entry in PP/SD/PM Module 10) Stocks duration report 11) Log Book </t>
  </si>
  <si>
    <t>1) Purchase order 2) Rail Racks details 3) Weighing Document 4) Shift Register 5) Shift Reports 6) Energy Meter Readings 7) Energy Management System</t>
  </si>
  <si>
    <t>Please provide unit wise operation hours (Hours) caused by Forced Outage/ Unavailability, Planned Maintenance Outage/ Planned Unavailability and Average Operating Load (MW) and with Operating hours due to Internal factor for baseline year and Assessment year</t>
  </si>
  <si>
    <t>1)  Daily Generation Report 2) Monthly Generation Report 3) Shift Report and Register 4) Unit Log book 5) Fuel Consumption records 6) Stores Stock Register 7)Purchase Order 8) SAP Entry in PP/SD mosule</t>
  </si>
  <si>
    <t>1) Generator Energy Meter (Sealed) 2) Energy Management System 3) Fuel Flow Meter 4) Gas Meter 5) Fuel GCV test report (Internal and External) 6. Efficiency Report 7. GCV/NCV test report from external or internal test report</t>
  </si>
  <si>
    <t xml:space="preserve">Energy Meter Readings for Bus/ boards/ transformers &amp; Export/ Import/ Switchyard report </t>
  </si>
  <si>
    <t xml:space="preserve">Energy Meter Readings for Bus/ boards/ transformers  &amp; Export/ Import/ Switchyard report </t>
  </si>
  <si>
    <t>1) Grid Meter report 2) Daily Power Report 3) DGR 4) MGR</t>
  </si>
  <si>
    <t>1) Meter Reading 2) Energy management System</t>
  </si>
  <si>
    <t xml:space="preserve">Please provide Electricity Consumption-Colony/Construction </t>
  </si>
  <si>
    <t>1) internal test report 2) Callibration report of measuring equipment 3) Lab register 4) Lab analysis prcedure documents 5) Sampling methodology document 6) FSA 7) Lab reports, 8) weighbridge reports 9) stacking reports</t>
  </si>
  <si>
    <t>1) Daily Internal Report from Lab on Fuel Proximate Analysis performed on each lot. 2) Test Certificate from Government Accredited lab. (Plant to maintain minimum 1 sample test in a quarter for Proximate and Ultimate Analysis i.e. 4 test certificates in a year for each soild fuel  3) Purchase Order, where guaranteed GCV range is mentioned  4) DGR 5) MGR 6) Log Book</t>
  </si>
  <si>
    <t>1) Purchase Order 2) Stores Receipt 3) SAP Entry in MM/PP/FI module 4) Annual Report 5) DGR 5) MGR</t>
  </si>
  <si>
    <t>1) internal test report 2) Callibration report of measuring equipment 3) Lab register 4) Lab analysis prcedure documents 5) Sampling methodology document 6) FSA 7) Lab reports, 8) weighbridge reports 9) Flow Meter 10) Dip measurement in day tank</t>
  </si>
  <si>
    <t>Please provide the Gross Calorific Value, Total Consumption and Specific Fuel Consumption of Gaseous  Fuels (NG/RLNG/APM/Others) as fired basis</t>
  </si>
  <si>
    <t>1) Energy Meters 2) Daily Power Report 3) Energy Management System</t>
  </si>
  <si>
    <t>1) DGR 2) MGR 3) Annul Report 4) SAP Entry in PP/SD/PM Module</t>
  </si>
  <si>
    <t>Continuous, Daily, Monhtly, Yearly</t>
  </si>
  <si>
    <t xml:space="preserve">ii. Unit wise HBD or Curve from Original Equipment Manufacturer (OEM) at various loads
</t>
  </si>
  <si>
    <t xml:space="preserve">iii. In case of non-availability of HBD or Curve, data from the similar Unit  will be considered
</t>
  </si>
  <si>
    <t>Please provide total number of shutdown in a year separately operating through different fuel Gas/Coal due to Internal and external factor in Nos</t>
  </si>
  <si>
    <t>Please provide total number of shutdown in a year due to external factor eparately operating through different fuel Gas/Coal due to  external factor in Nos</t>
  </si>
  <si>
    <t>A.i</t>
  </si>
  <si>
    <t>A.ii</t>
  </si>
  <si>
    <t>B.i</t>
  </si>
  <si>
    <t xml:space="preserve">Please provide the Electrical Energy Consumption during shutdown due to external factor in MU </t>
  </si>
  <si>
    <t>1) Energy Meters 2) Daily Power Report 3) Energy Management System 4) Trip reports/ Shift Reports/ Synchronization communication</t>
  </si>
  <si>
    <t>It is mandatory to fill all the fields of Excel sheets-General Information sheet and Form Sh, For Baseline Year data Entry: DC to provide average data for three years 2007-08, 2008-09 and 2009-10 , if otherwise specified</t>
  </si>
  <si>
    <t>Please provide total number of Cold/Warm/Hot  startup in a year due to external factor in Nos</t>
  </si>
  <si>
    <t>DC to follow the defination of Cold/Worm/Hot start as defined in the OEM document of Turbine on temperature</t>
  </si>
  <si>
    <t>1) OEM document for Turbine 2)  DGR 3) MGR 4) Annul Report 5) SAP Entry in PP/SD/PM Module 6) External factor document</t>
  </si>
  <si>
    <t>1) OEM Documents 2) Purchase order of equipment 3) Shift Log book 4) Shift Register</t>
  </si>
  <si>
    <t>1) Energy Meter reading 2) Energy Management System</t>
  </si>
  <si>
    <t>1) For Normalisation factors, which became applicable due to external factors, authentic documents to be produced by DC for the baseline as well for the assessment year. In absence of these authentic documents, no Normalisation Factor will be applied/Considered. 2) While selecting "No" from the drop down list, the inbuilt calculation automatic treat the Normalisation for particular factor as zero. However, DC needs to submit an undertaking from the Authorised Signatory on non-availability of document</t>
  </si>
  <si>
    <t>1) Monthly Generation 2) Operation reports 3) Unforeseen Circumstances Documents</t>
  </si>
  <si>
    <t>The hard copy/Printouts is to be signed by Authorised signatory, if SAP data is used as documents</t>
  </si>
  <si>
    <t>Abbreviations</t>
  </si>
  <si>
    <t>MPR</t>
  </si>
  <si>
    <t>Monthly Production Report</t>
  </si>
  <si>
    <t>DPR</t>
  </si>
  <si>
    <t>Daily Production Report</t>
  </si>
  <si>
    <t>MM</t>
  </si>
  <si>
    <t>Material Management</t>
  </si>
  <si>
    <t>PP</t>
  </si>
  <si>
    <t>Production and Planning</t>
  </si>
  <si>
    <t>SD</t>
  </si>
  <si>
    <t>Sales and Distribution</t>
  </si>
  <si>
    <t>FI</t>
  </si>
  <si>
    <t>Financial Accounting</t>
  </si>
  <si>
    <t>PM</t>
  </si>
  <si>
    <t>Plant Maintenance</t>
  </si>
  <si>
    <t>EMS</t>
  </si>
  <si>
    <t>Energy Management System</t>
  </si>
  <si>
    <r>
      <t>If Ultimate Analysis value is not available with DCs,  Conversion from Proximate to Ultimate  will be applied conversion formulae.                                                                                                                                                                                                                                                                                                                                                                                                                                                                                                                                                                             %C = 0.97C+ 0.7(VM+0.1A) - M(0.6-0.01M) 
%H2= 0.036C + 0.086 (VM -0.1xA) - 0.0035M</t>
    </r>
    <r>
      <rPr>
        <vertAlign val="superscript"/>
        <sz val="11"/>
        <color theme="1"/>
        <rFont val="Arial Narrow"/>
        <family val="2"/>
      </rPr>
      <t>2</t>
    </r>
    <r>
      <rPr>
        <sz val="11"/>
        <color theme="1"/>
        <rFont val="Arial Narrow"/>
        <family val="2"/>
      </rPr>
      <t xml:space="preserve">(1-0.02M) 
%N2= 2.10 -0.020 VM 
Where: C= % of fixed carbon , A= % of ash ,VM= % of volatile matter, M= % of moisture </t>
    </r>
  </si>
  <si>
    <t>`</t>
  </si>
  <si>
    <t>w</t>
  </si>
  <si>
    <t>1) Test report from Supplier 2) Lab analysis report for samples at various points</t>
  </si>
  <si>
    <t xml:space="preserve">Conversion factor from GCV to NCV in the baseline year shall be 1.1 or as submitted by the Gas suppler </t>
  </si>
  <si>
    <t>E.4.1 /(C.1-C.5)</t>
  </si>
  <si>
    <t xml:space="preserve">I/we undertake that the information supplied in the Form 1 and pro- forma is accurate to the best of my knowledge and the data furnished in Form 1 has been adhered  to the data given in the concerned pro forma. </t>
  </si>
  <si>
    <t>Authorised Signatory and Seal</t>
  </si>
  <si>
    <t>Name of Authorised Signatory</t>
  </si>
  <si>
    <t>Name of the Designated Consumer:</t>
  </si>
  <si>
    <t>% Reduction Target for Percentage deviation in the Station Net Heat Rate as per Notification</t>
  </si>
  <si>
    <t>Difference of Turbine Heat rate between Normalised Design Heat Rate and Design Heat Rate</t>
  </si>
  <si>
    <t>Diesel Generator Operating Net Heat Rate without Normalisation</t>
  </si>
  <si>
    <t>H.1.2</t>
  </si>
  <si>
    <t>E4.2</t>
  </si>
  <si>
    <t>Diesel Generator Normalised Operating Heat Rate Calculation</t>
  </si>
  <si>
    <t>IF(D25="DG Set",E81,"Not Applicable")</t>
  </si>
  <si>
    <t>G.1.1</t>
  </si>
  <si>
    <t>Oprating Heat Rate</t>
  </si>
  <si>
    <t>IF(OR('General Information' Sr. No. 3 ="Gas Turbine (Open Cycle)",'General Information' Sr. No. 3 ="Combined Cycle Gas Turbine (CCGT)"),(G.1.1/(1- C.6/100)),"Not Applicable")</t>
  </si>
  <si>
    <t>H.2</t>
  </si>
  <si>
    <t>H.2.1</t>
  </si>
  <si>
    <t>H.2.2</t>
  </si>
  <si>
    <t>H.3</t>
  </si>
  <si>
    <t>Gas Based Thermal Power Plant Normalised  Operating Net Heat Rate</t>
  </si>
  <si>
    <t>Diesel Generator Plant Normalised Operating  Net Heat Rate</t>
  </si>
  <si>
    <t>IF('General Information' Sr. No. 3 ="Coal/Lignite/Oil/Gas Fired",F.1.2 -F.2.1 -F.2.2 - F.2.3 - F.2.4-D.7,"Not Applicable")</t>
  </si>
  <si>
    <t>IF(OR('General Information' Sr. No. 3 ="Gas Turbine (Open Cycle)",'General Information' Sr. No. 3 ="Combined Cycle Gas Turbine (CCGT)"),G.1.2 - G.2.1 - G.2.2 -G.2.3 - G.2.4-G.2.5-G.2.6-D.7,"Not Applicable")</t>
  </si>
  <si>
    <t>IF('General Information' Sr. No. 3 ="DG Set",H.1.2-H.2.1-H.2.2-D.7,"Not Applicable")</t>
  </si>
  <si>
    <t>The DC may submit separate Excel sheet for additional information required for Heat Rate calculation or Normalisation for different module combination or load</t>
  </si>
  <si>
    <t>The DC may submit separate Excel sheet for additional information required for Heat Rate calculation or Normalisation for different module combination or load (Start/Stop)</t>
  </si>
  <si>
    <t>Weighted Station Load without internal factor</t>
  </si>
  <si>
    <t>(AY[8]*AY[9] + AY[1]* AY[12] + AY[1]*AY[11])/(AY[9] + AY[11] +AY[12])</t>
  </si>
  <si>
    <t>Station Boiler Efficiency</t>
  </si>
  <si>
    <t>(AY[22] -AY[21])*100/AY[23]</t>
  </si>
  <si>
    <t>Heat rate to be normalised due to low Loading</t>
  </si>
  <si>
    <t>IF(AY[13]&lt;0,0,[14]-D[2] x100/BY[18])</t>
  </si>
  <si>
    <t>[D](2)*100/AY(12)</t>
  </si>
  <si>
    <t>Unit Design Gross Heat Rate</t>
  </si>
  <si>
    <t>Station Design Gross Heat Rate</t>
  </si>
  <si>
    <t>Station Design Boiler Efficiency</t>
  </si>
  <si>
    <t>NF-1 Coal Quality'! Sr No 1 for AY and 'NF-1 Coal Quality'!Sr 1 for BY</t>
  </si>
  <si>
    <t>The curve will be plotted w.r.t. % Loading Factor Vs % APC to Normalise the APC at low load due to low loading or PLF, if it is reduced due to external factor. The Load data of Plant and APC will be taken during Plant's stabilised condition. The equation with accuracy factor of R2=0.85 will be accepted for this purpose</t>
  </si>
  <si>
    <t xml:space="preserve">DC to provide the trend line curve in Excel format. The curve should be drawn from the operating data of current year and avarage of baselin year in terms of % Plant Loading Vs the auxilliary power consumption (APC) in % during normal operation of the plant </t>
  </si>
  <si>
    <t>Unit Design Heat Rate (UDHR) = Turbine Heat Rate /Boiler Efficiency, &amp; COD in terms of Date format xx/xx/xxxx</t>
  </si>
  <si>
    <t>Normalised Gross Heat Rate for AY</t>
  </si>
  <si>
    <t>Coal/Lignite/Oil/Gas Fired</t>
  </si>
  <si>
    <t>Ex: Average Operating Load due to Coal unavailability=Unit's Capacity (MW)-Unit's generation Loss due to coal unavailabilty (MW)    
where: 
Unit generation Loss due to coal unavailabilty (MW) = (Unit's Generation Loss (MU) due to coal unavailability x 1000)/Operating hours due to coal unavailability (Hrs)</t>
  </si>
  <si>
    <r>
      <t xml:space="preserve">During  concurrnace period of low load due to external factor (multiple event), treatment of all the events could be combined into one event 
In case of concurrent losses due to external factors, all losses to be clubbed under one head. 1. External Factor: For example, for a 200 MW unit,if 20 MW is lost due to schedule, 10 MW due to backing down and 10 MW due to fuel concurrently for an operating hour of 1000 hours; then in that case, the lossees should be clubbed together to make it 40 MW loss for 1000 operating hours. Thus, in that case data to be entered should be 160 (average operating load due to schedule) for 1000 hours, leaving other factors (fuel, backing down etc blank
2. If there is concurrent MW loss due to internal factors and external factors, The internal factor loss could be ignored.
</t>
    </r>
    <r>
      <rPr>
        <b/>
        <sz val="10"/>
        <color theme="1"/>
        <rFont val="Calibri"/>
        <family val="2"/>
        <scheme val="minor"/>
      </rPr>
      <t>Calculation sheet for alll these concurrent evernt should be prepared and kept ready for verification</t>
    </r>
  </si>
  <si>
    <t>Energy Consumption during Startups (Cold/Warm/Hot) due to external factor for Coal based Thermal Power Plant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</si>
</sst>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
    <numFmt numFmtId="165" formatCode="0.0"/>
    <numFmt numFmtId="166" formatCode="0.000"/>
    <numFmt numFmtId="167" formatCode="0.00000"/>
  </numFmts>
  <fonts count="71" x14ac:knownFonts="1">
    <font>
      <sz val="11"/>
      <color theme="1"/>
      <name val="Calibri"/>
      <family val="2"/>
      <scheme val="minor"/>
    </font>
    <font>
      <b/>
      <sz val="20"/>
      <color theme="1"/>
      <name val="Palatino Linotype"/>
      <family val="1"/>
    </font>
    <font>
      <sz val="13"/>
      <color theme="1"/>
      <name val="Palatino Linotype"/>
      <family val="1"/>
    </font>
    <font>
      <b/>
      <sz val="18"/>
      <color theme="1"/>
      <name val="Palatino Linotype"/>
      <family val="1"/>
    </font>
    <font>
      <b/>
      <sz val="13"/>
      <color theme="1"/>
      <name val="Palatino Linotype"/>
      <family val="1"/>
    </font>
    <font>
      <sz val="11"/>
      <color indexed="8"/>
      <name val="Calibri"/>
      <family val="2"/>
    </font>
    <font>
      <sz val="10"/>
      <color indexed="8"/>
      <name val="Calibri"/>
      <family val="2"/>
      <scheme val="minor"/>
    </font>
    <font>
      <b/>
      <sz val="11"/>
      <color theme="1"/>
      <name val="Palatino Linotype"/>
      <family val="1"/>
    </font>
    <font>
      <sz val="11"/>
      <color theme="1"/>
      <name val="Palatino Linotype"/>
      <family val="1"/>
    </font>
    <font>
      <b/>
      <sz val="11"/>
      <color theme="1"/>
      <name val="Calibri"/>
      <family val="2"/>
      <scheme val="minor"/>
    </font>
    <font>
      <b/>
      <sz val="14"/>
      <color theme="1"/>
      <name val="Calibri"/>
      <family val="2"/>
      <scheme val="minor"/>
    </font>
    <font>
      <sz val="10"/>
      <color theme="1"/>
      <name val="Calibri"/>
      <family val="2"/>
      <scheme val="minor"/>
    </font>
    <font>
      <sz val="14"/>
      <color theme="1"/>
      <name val="Calibri"/>
      <family val="2"/>
      <scheme val="minor"/>
    </font>
    <font>
      <sz val="11"/>
      <color rgb="FF000000"/>
      <name val="Calibri"/>
      <family val="2"/>
      <scheme val="minor"/>
    </font>
    <font>
      <sz val="20"/>
      <color theme="1"/>
      <name val="Calibri"/>
      <family val="2"/>
      <scheme val="minor"/>
    </font>
    <font>
      <b/>
      <i/>
      <sz val="11"/>
      <color theme="1"/>
      <name val="Calibri"/>
      <family val="2"/>
      <scheme val="minor"/>
    </font>
    <font>
      <b/>
      <sz val="12"/>
      <color theme="1"/>
      <name val="Palatino Linotype"/>
      <family val="1"/>
    </font>
    <font>
      <b/>
      <i/>
      <sz val="11"/>
      <color rgb="FF000000"/>
      <name val="Calibri"/>
      <family val="2"/>
      <scheme val="minor"/>
    </font>
    <font>
      <sz val="11"/>
      <color rgb="FFFF0000"/>
      <name val="Calibri"/>
      <family val="2"/>
      <scheme val="minor"/>
    </font>
    <font>
      <b/>
      <i/>
      <sz val="16"/>
      <color theme="1"/>
      <name val="Calibri"/>
      <family val="2"/>
      <scheme val="minor"/>
    </font>
    <font>
      <b/>
      <sz val="10"/>
      <color theme="1"/>
      <name val="Calibri"/>
      <family val="2"/>
      <scheme val="minor"/>
    </font>
    <font>
      <b/>
      <sz val="18"/>
      <color theme="0"/>
      <name val="Calibri"/>
      <family val="2"/>
      <scheme val="minor"/>
    </font>
    <font>
      <sz val="20"/>
      <color theme="0"/>
      <name val="Calibri"/>
      <family val="2"/>
      <scheme val="minor"/>
    </font>
    <font>
      <sz val="11"/>
      <name val="Palatino Linotype"/>
      <family val="1"/>
    </font>
    <font>
      <b/>
      <sz val="11"/>
      <color rgb="FF000000"/>
      <name val="Palatino Linotype"/>
      <family val="1"/>
    </font>
    <font>
      <sz val="11"/>
      <color rgb="FF000000"/>
      <name val="Palatino Linotype"/>
      <family val="1"/>
    </font>
    <font>
      <vertAlign val="subscript"/>
      <sz val="11"/>
      <color rgb="FF000000"/>
      <name val="Palatino Linotype"/>
      <family val="1"/>
    </font>
    <font>
      <i/>
      <sz val="11"/>
      <color theme="1"/>
      <name val="Palatino Linotype"/>
      <family val="1"/>
    </font>
    <font>
      <u/>
      <sz val="11"/>
      <color theme="10"/>
      <name val="Calibri"/>
      <family val="2"/>
      <scheme val="minor"/>
    </font>
    <font>
      <b/>
      <sz val="11"/>
      <color rgb="FFFF0000"/>
      <name val="Calibri"/>
      <family val="2"/>
      <scheme val="minor"/>
    </font>
    <font>
      <sz val="11"/>
      <color theme="1"/>
      <name val="Calibri"/>
      <family val="2"/>
      <scheme val="minor"/>
    </font>
    <font>
      <b/>
      <i/>
      <sz val="11"/>
      <color rgb="FFFF0000"/>
      <name val="Calibri"/>
      <family val="2"/>
      <scheme val="minor"/>
    </font>
    <font>
      <sz val="10"/>
      <name val="Calibri"/>
      <family val="2"/>
      <scheme val="minor"/>
    </font>
    <font>
      <b/>
      <sz val="20"/>
      <color theme="1"/>
      <name val="Arial Narrow"/>
      <family val="2"/>
    </font>
    <font>
      <sz val="11"/>
      <color theme="1"/>
      <name val="Arial Narrow"/>
      <family val="2"/>
    </font>
    <font>
      <b/>
      <sz val="11"/>
      <color theme="1"/>
      <name val="Arial Narrow"/>
      <family val="2"/>
    </font>
    <font>
      <sz val="12"/>
      <color theme="1"/>
      <name val="Arial Narrow"/>
      <family val="2"/>
    </font>
    <font>
      <sz val="16"/>
      <color theme="1"/>
      <name val="Arial Narrow"/>
      <family val="2"/>
    </font>
    <font>
      <b/>
      <sz val="9"/>
      <color theme="1"/>
      <name val="Arial Narrow"/>
      <family val="2"/>
    </font>
    <font>
      <sz val="10"/>
      <color theme="1"/>
      <name val="Arial Narrow"/>
      <family val="2"/>
    </font>
    <font>
      <b/>
      <sz val="10"/>
      <color theme="1"/>
      <name val="Arial Narrow"/>
      <family val="2"/>
    </font>
    <font>
      <sz val="9"/>
      <color theme="1"/>
      <name val="Arial Narrow"/>
      <family val="2"/>
    </font>
    <font>
      <b/>
      <sz val="16"/>
      <color theme="1"/>
      <name val="Arial Narrow"/>
      <family val="2"/>
    </font>
    <font>
      <b/>
      <sz val="18"/>
      <color theme="1"/>
      <name val="Arial Narrow"/>
      <family val="2"/>
    </font>
    <font>
      <sz val="18"/>
      <color theme="1"/>
      <name val="Arial Narrow"/>
      <family val="2"/>
    </font>
    <font>
      <sz val="20"/>
      <color theme="1"/>
      <name val="Arial Narrow"/>
      <family val="2"/>
    </font>
    <font>
      <b/>
      <sz val="12"/>
      <color theme="1"/>
      <name val="Arial Narrow"/>
      <family val="2"/>
    </font>
    <font>
      <sz val="14"/>
      <color rgb="FFFF0000"/>
      <name val="Calibri"/>
      <family val="2"/>
      <scheme val="minor"/>
    </font>
    <font>
      <b/>
      <sz val="11"/>
      <name val="Calibri"/>
      <family val="2"/>
      <scheme val="minor"/>
    </font>
    <font>
      <b/>
      <i/>
      <sz val="11"/>
      <name val="Calibri"/>
      <family val="2"/>
      <scheme val="minor"/>
    </font>
    <font>
      <vertAlign val="superscript"/>
      <sz val="11"/>
      <color theme="1"/>
      <name val="Calibri"/>
      <family val="2"/>
      <scheme val="minor"/>
    </font>
    <font>
      <sz val="11"/>
      <color theme="1"/>
      <name val="Calibri"/>
      <family val="2"/>
    </font>
    <font>
      <sz val="11"/>
      <name val="Calibri"/>
      <family val="2"/>
      <scheme val="minor"/>
    </font>
    <font>
      <sz val="11"/>
      <color rgb="FFC00000"/>
      <name val="Calibri"/>
      <family val="2"/>
      <scheme val="minor"/>
    </font>
    <font>
      <b/>
      <i/>
      <sz val="16"/>
      <name val="Calibri"/>
      <family val="2"/>
      <scheme val="minor"/>
    </font>
    <font>
      <sz val="9"/>
      <color rgb="FFFF0000"/>
      <name val="Calibri"/>
      <family val="2"/>
      <scheme val="minor"/>
    </font>
    <font>
      <b/>
      <sz val="9.5"/>
      <color rgb="FFFF0000"/>
      <name val="Calibri"/>
      <family val="2"/>
      <scheme val="minor"/>
    </font>
    <font>
      <b/>
      <i/>
      <sz val="12"/>
      <name val="Calibri"/>
      <family val="2"/>
      <scheme val="minor"/>
    </font>
    <font>
      <b/>
      <i/>
      <sz val="14"/>
      <name val="Calibri"/>
      <family val="2"/>
      <scheme val="minor"/>
    </font>
    <font>
      <b/>
      <sz val="16"/>
      <name val="Calibri"/>
      <family val="2"/>
    </font>
    <font>
      <sz val="16"/>
      <name val="Calibri"/>
      <family val="2"/>
      <scheme val="minor"/>
    </font>
    <font>
      <b/>
      <sz val="16"/>
      <name val="Calibri"/>
      <family val="2"/>
      <scheme val="minor"/>
    </font>
    <font>
      <sz val="9"/>
      <color theme="1"/>
      <name val="Calibri"/>
      <family val="2"/>
      <scheme val="minor"/>
    </font>
    <font>
      <b/>
      <sz val="10"/>
      <name val="Calibri"/>
      <family val="2"/>
      <scheme val="minor"/>
    </font>
    <font>
      <b/>
      <sz val="9"/>
      <name val="Calibri"/>
      <family val="2"/>
      <scheme val="minor"/>
    </font>
    <font>
      <sz val="9"/>
      <name val="Calibri"/>
      <family val="2"/>
      <scheme val="minor"/>
    </font>
    <font>
      <vertAlign val="superscript"/>
      <sz val="11"/>
      <color theme="1"/>
      <name val="Arial Narrow"/>
      <family val="2"/>
    </font>
    <font>
      <b/>
      <sz val="11"/>
      <color rgb="FF000000"/>
      <name val="Cambria"/>
      <family val="1"/>
      <scheme val="major"/>
    </font>
    <font>
      <b/>
      <sz val="10"/>
      <color rgb="FF000000"/>
      <name val="Cambria"/>
      <family val="1"/>
      <scheme val="major"/>
    </font>
    <font>
      <sz val="11"/>
      <color theme="1"/>
      <name val="Cambria"/>
      <family val="1"/>
      <scheme val="major"/>
    </font>
    <font>
      <b/>
      <sz val="11"/>
      <color theme="1"/>
      <name val="Cambria"/>
      <family val="1"/>
      <scheme val="major"/>
    </font>
  </fonts>
  <fills count="16">
    <fill>
      <patternFill patternType="none"/>
    </fill>
    <fill>
      <patternFill patternType="gray125"/>
    </fill>
    <fill>
      <patternFill patternType="solid">
        <fgColor theme="3" tint="0.59999389629810485"/>
        <bgColor indexed="64"/>
      </patternFill>
    </fill>
    <fill>
      <patternFill patternType="solid">
        <fgColor theme="0" tint="-0.14999847407452621"/>
        <bgColor indexed="64"/>
      </patternFill>
    </fill>
    <fill>
      <patternFill patternType="solid">
        <fgColor rgb="FFFF99FF"/>
        <bgColor indexed="64"/>
      </patternFill>
    </fill>
    <fill>
      <patternFill patternType="solid">
        <fgColor indexed="18"/>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002060"/>
        <bgColor indexed="64"/>
      </patternFill>
    </fill>
    <fill>
      <patternFill patternType="solid">
        <fgColor rgb="FF0070C0"/>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99CC"/>
        <bgColor indexed="64"/>
      </patternFill>
    </fill>
    <fill>
      <patternFill patternType="solid">
        <fgColor theme="0"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style="medium">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5" fillId="0" borderId="0"/>
    <xf numFmtId="0" fontId="28" fillId="0" borderId="0" applyNumberFormat="0" applyFill="0" applyBorder="0" applyAlignment="0" applyProtection="0"/>
    <xf numFmtId="9" fontId="30" fillId="0" borderId="0" applyFont="0" applyFill="0" applyBorder="0" applyAlignment="0" applyProtection="0"/>
  </cellStyleXfs>
  <cellXfs count="839">
    <xf numFmtId="0" fontId="0" fillId="0" borderId="0" xfId="0"/>
    <xf numFmtId="0" fontId="4" fillId="0" borderId="0" xfId="0" applyFont="1" applyBorder="1" applyAlignment="1">
      <alignment horizontal="center" vertical="center" wrapText="1"/>
    </xf>
    <xf numFmtId="0" fontId="4" fillId="0" borderId="0" xfId="0" applyFont="1" applyBorder="1" applyAlignment="1">
      <alignment vertical="center" wrapText="1"/>
    </xf>
    <xf numFmtId="0" fontId="4" fillId="0" borderId="0" xfId="0" applyFont="1" applyAlignment="1">
      <alignment horizontal="center" vertical="center" wrapText="1"/>
    </xf>
    <xf numFmtId="0" fontId="2" fillId="0" borderId="1" xfId="0" applyFont="1" applyBorder="1" applyAlignment="1">
      <alignment vertical="center" wrapText="1"/>
    </xf>
    <xf numFmtId="0" fontId="2" fillId="0" borderId="0" xfId="0" applyFont="1" applyBorder="1" applyAlignment="1">
      <alignment vertical="center" wrapText="1"/>
    </xf>
    <xf numFmtId="0" fontId="6" fillId="0" borderId="0" xfId="1" applyFont="1" applyAlignment="1">
      <alignment vertical="center" wrapText="1"/>
    </xf>
    <xf numFmtId="0" fontId="2" fillId="0" borderId="0"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0" xfId="1" applyFont="1" applyAlignment="1">
      <alignment horizontal="left" vertical="center" wrapText="1"/>
    </xf>
    <xf numFmtId="0" fontId="2" fillId="0" borderId="0" xfId="0" applyFont="1" applyFill="1" applyBorder="1" applyAlignment="1">
      <alignment horizontal="left" vertical="center" wrapText="1"/>
    </xf>
    <xf numFmtId="0" fontId="4" fillId="0" borderId="0" xfId="0" applyFont="1" applyBorder="1" applyAlignment="1">
      <alignment horizontal="left"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wrapText="1"/>
    </xf>
    <xf numFmtId="0" fontId="4" fillId="0" borderId="0" xfId="0" applyFont="1" applyAlignment="1">
      <alignment vertical="center" wrapText="1"/>
    </xf>
    <xf numFmtId="0" fontId="0" fillId="0" borderId="1" xfId="0" applyBorder="1" applyAlignment="1">
      <alignment horizontal="center" vertical="center"/>
    </xf>
    <xf numFmtId="0" fontId="0" fillId="0" borderId="0" xfId="0" applyFont="1"/>
    <xf numFmtId="0" fontId="0" fillId="0" borderId="1" xfId="0" applyBorder="1" applyAlignment="1">
      <alignment vertical="center"/>
    </xf>
    <xf numFmtId="0" fontId="0" fillId="0" borderId="1" xfId="0" applyBorder="1" applyAlignment="1">
      <alignment horizontal="center" vertical="center" wrapText="1"/>
    </xf>
    <xf numFmtId="1" fontId="0" fillId="0" borderId="1" xfId="0" applyNumberFormat="1" applyBorder="1" applyAlignment="1">
      <alignment horizontal="center"/>
    </xf>
    <xf numFmtId="0" fontId="0" fillId="0" borderId="1" xfId="0" applyFill="1" applyBorder="1" applyAlignment="1">
      <alignment horizontal="center" vertical="center"/>
    </xf>
    <xf numFmtId="0" fontId="9" fillId="0" borderId="0" xfId="0" applyFont="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center"/>
    </xf>
    <xf numFmtId="0" fontId="11" fillId="0" borderId="1" xfId="0" applyFont="1" applyBorder="1" applyAlignment="1">
      <alignment horizontal="center" vertical="center" wrapText="1"/>
    </xf>
    <xf numFmtId="0" fontId="0" fillId="0" borderId="1" xfId="0" applyFont="1" applyFill="1" applyBorder="1" applyAlignment="1">
      <alignment horizontal="center" vertical="center"/>
    </xf>
    <xf numFmtId="0" fontId="0" fillId="0" borderId="0" xfId="0" applyFont="1" applyFill="1" applyAlignment="1">
      <alignment vertical="center"/>
    </xf>
    <xf numFmtId="167" fontId="0" fillId="0" borderId="1" xfId="0" applyNumberFormat="1" applyBorder="1" applyAlignment="1">
      <alignment horizontal="center" vertical="center"/>
    </xf>
    <xf numFmtId="0" fontId="0" fillId="3" borderId="1" xfId="0" applyFill="1" applyBorder="1" applyAlignment="1">
      <alignment horizontal="center" vertical="center" wrapText="1"/>
    </xf>
    <xf numFmtId="0" fontId="0" fillId="0" borderId="1" xfId="0" applyFill="1" applyBorder="1" applyAlignment="1">
      <alignment vertical="center"/>
    </xf>
    <xf numFmtId="0" fontId="0" fillId="0" borderId="1" xfId="0" applyFill="1" applyBorder="1" applyAlignment="1">
      <alignment horizontal="center" vertical="center" wrapText="1"/>
    </xf>
    <xf numFmtId="0" fontId="0" fillId="0" borderId="0" xfId="0" applyFill="1" applyAlignment="1">
      <alignment vertical="center"/>
    </xf>
    <xf numFmtId="2" fontId="0" fillId="0" borderId="1" xfId="0" applyNumberFormat="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left" vertical="center" wrapText="1"/>
    </xf>
    <xf numFmtId="0" fontId="15" fillId="0" borderId="1" xfId="0" applyFont="1" applyBorder="1" applyAlignment="1">
      <alignment vertical="center"/>
    </xf>
    <xf numFmtId="166" fontId="15" fillId="0" borderId="1" xfId="0" applyNumberFormat="1" applyFont="1" applyBorder="1" applyAlignment="1">
      <alignment horizontal="center" vertical="center"/>
    </xf>
    <xf numFmtId="0" fontId="15" fillId="0" borderId="0" xfId="0" applyFont="1" applyAlignment="1">
      <alignment vertical="center"/>
    </xf>
    <xf numFmtId="2" fontId="15" fillId="0" borderId="1" xfId="0" applyNumberFormat="1" applyFont="1" applyBorder="1" applyAlignment="1">
      <alignment horizontal="center" vertical="center"/>
    </xf>
    <xf numFmtId="0" fontId="15" fillId="0" borderId="1" xfId="0" applyFont="1" applyBorder="1" applyAlignment="1">
      <alignment horizontal="center" vertical="center" wrapText="1"/>
    </xf>
    <xf numFmtId="0" fontId="15" fillId="0" borderId="0" xfId="0" applyFont="1" applyAlignment="1">
      <alignment horizontal="center" vertical="center" wrapText="1"/>
    </xf>
    <xf numFmtId="0" fontId="15" fillId="0" borderId="0" xfId="0" applyFont="1"/>
    <xf numFmtId="0" fontId="0" fillId="0" borderId="1" xfId="0" applyBorder="1" applyAlignment="1">
      <alignment horizontal="left" vertical="center" wrapText="1"/>
    </xf>
    <xf numFmtId="0" fontId="0" fillId="0" borderId="1" xfId="0" applyFont="1" applyBorder="1" applyAlignment="1">
      <alignment horizontal="center" vertical="center"/>
    </xf>
    <xf numFmtId="165" fontId="0" fillId="0" borderId="1" xfId="0" applyNumberFormat="1" applyBorder="1" applyAlignment="1">
      <alignment horizontal="center" vertical="center"/>
    </xf>
    <xf numFmtId="166" fontId="0" fillId="0" borderId="1" xfId="0" applyNumberFormat="1" applyBorder="1" applyAlignment="1">
      <alignment horizontal="center" vertical="center"/>
    </xf>
    <xf numFmtId="1" fontId="0" fillId="0" borderId="1" xfId="0" applyNumberFormat="1" applyBorder="1" applyAlignment="1">
      <alignment horizontal="center" vertical="center"/>
    </xf>
    <xf numFmtId="2" fontId="15" fillId="0" borderId="0" xfId="0" applyNumberFormat="1" applyFont="1" applyAlignment="1">
      <alignment vertical="center"/>
    </xf>
    <xf numFmtId="0" fontId="0" fillId="0" borderId="0" xfId="0" applyFont="1" applyAlignment="1">
      <alignment horizontal="center"/>
    </xf>
    <xf numFmtId="0" fontId="0" fillId="0" borderId="0" xfId="0" applyFont="1" applyAlignment="1">
      <alignment horizontal="center" vertical="center"/>
    </xf>
    <xf numFmtId="2" fontId="0" fillId="0" borderId="1" xfId="0" applyNumberFormat="1" applyFont="1" applyBorder="1" applyAlignment="1">
      <alignment horizontal="center" vertical="center"/>
    </xf>
    <xf numFmtId="0" fontId="0" fillId="3" borderId="1" xfId="0" applyFill="1" applyBorder="1" applyAlignment="1">
      <alignment horizontal="center" vertical="top"/>
    </xf>
    <xf numFmtId="0" fontId="0" fillId="3" borderId="1" xfId="0" applyFill="1" applyBorder="1" applyAlignment="1">
      <alignment vertical="top"/>
    </xf>
    <xf numFmtId="0" fontId="0" fillId="3" borderId="1" xfId="0" applyFill="1" applyBorder="1" applyAlignment="1">
      <alignment horizontal="center" vertical="top" wrapText="1"/>
    </xf>
    <xf numFmtId="0" fontId="0" fillId="0" borderId="0" xfId="0" applyAlignment="1">
      <alignment vertical="top"/>
    </xf>
    <xf numFmtId="0" fontId="0" fillId="0" borderId="1" xfId="0" applyFill="1" applyBorder="1" applyAlignment="1">
      <alignment horizontal="center" vertical="top"/>
    </xf>
    <xf numFmtId="0" fontId="0" fillId="0" borderId="1" xfId="0" applyBorder="1" applyAlignment="1">
      <alignment vertical="top"/>
    </xf>
    <xf numFmtId="0" fontId="9" fillId="0" borderId="1" xfId="0" applyFont="1" applyFill="1" applyBorder="1" applyAlignment="1">
      <alignment horizontal="center" vertical="top"/>
    </xf>
    <xf numFmtId="0" fontId="9" fillId="0" borderId="1" xfId="0" applyFont="1" applyBorder="1" applyAlignment="1">
      <alignment horizontal="left" vertical="top" wrapText="1"/>
    </xf>
    <xf numFmtId="0" fontId="9" fillId="0" borderId="1" xfId="0" applyFont="1" applyBorder="1" applyAlignment="1">
      <alignment vertical="top"/>
    </xf>
    <xf numFmtId="0" fontId="9" fillId="0" borderId="1" xfId="0" applyFont="1" applyBorder="1" applyAlignment="1">
      <alignment horizontal="center" vertical="top"/>
    </xf>
    <xf numFmtId="0" fontId="9" fillId="0" borderId="0" xfId="0" applyFont="1" applyAlignment="1">
      <alignment vertical="top"/>
    </xf>
    <xf numFmtId="0" fontId="0" fillId="3" borderId="1" xfId="0" applyFill="1" applyBorder="1" applyAlignment="1">
      <alignment horizontal="left" vertical="center" wrapText="1"/>
    </xf>
    <xf numFmtId="2" fontId="0" fillId="3" borderId="1" xfId="0" applyNumberFormat="1" applyFill="1" applyBorder="1" applyAlignment="1">
      <alignment horizontal="center" vertical="center"/>
    </xf>
    <xf numFmtId="1" fontId="0" fillId="0" borderId="1" xfId="0" applyNumberFormat="1" applyBorder="1" applyAlignment="1">
      <alignment horizontal="center" vertical="top"/>
    </xf>
    <xf numFmtId="0" fontId="0" fillId="0" borderId="1" xfId="0" applyBorder="1" applyAlignment="1">
      <alignment vertical="center" wrapText="1"/>
    </xf>
    <xf numFmtId="1" fontId="0" fillId="0" borderId="1" xfId="0" applyNumberFormat="1" applyBorder="1" applyAlignment="1">
      <alignment horizontal="center" vertical="center" wrapText="1"/>
    </xf>
    <xf numFmtId="0" fontId="0" fillId="3" borderId="1" xfId="0" applyFont="1" applyFill="1" applyBorder="1" applyAlignment="1">
      <alignment horizontal="center" vertical="center" wrapText="1"/>
    </xf>
    <xf numFmtId="0" fontId="0" fillId="3" borderId="1" xfId="0" applyFont="1" applyFill="1" applyBorder="1" applyAlignment="1">
      <alignment horizontal="left" vertical="center" wrapText="1"/>
    </xf>
    <xf numFmtId="0" fontId="11" fillId="3" borderId="1" xfId="0" applyFont="1" applyFill="1" applyBorder="1" applyAlignment="1">
      <alignment horizontal="center" vertical="center" wrapText="1"/>
    </xf>
    <xf numFmtId="0" fontId="12" fillId="0" borderId="1" xfId="0" applyFont="1" applyBorder="1" applyAlignment="1">
      <alignment horizontal="center" vertical="center"/>
    </xf>
    <xf numFmtId="0" fontId="0" fillId="0" borderId="0" xfId="0" applyAlignment="1">
      <alignment horizontal="center" vertical="top"/>
    </xf>
    <xf numFmtId="0" fontId="0" fillId="0" borderId="0" xfId="0" applyFill="1" applyAlignment="1">
      <alignment horizontal="center" vertical="center"/>
    </xf>
    <xf numFmtId="0" fontId="9" fillId="0" borderId="0" xfId="0" applyFont="1" applyAlignment="1">
      <alignment horizontal="center" vertical="top"/>
    </xf>
    <xf numFmtId="0" fontId="20" fillId="0" borderId="1" xfId="0" applyFont="1" applyBorder="1" applyAlignment="1">
      <alignment horizontal="center" vertical="center" wrapText="1"/>
    </xf>
    <xf numFmtId="0" fontId="11" fillId="0" borderId="1" xfId="0" applyFont="1" applyBorder="1" applyAlignment="1">
      <alignment horizontal="center" vertical="center"/>
    </xf>
    <xf numFmtId="0" fontId="9" fillId="0" borderId="0" xfId="0" applyFont="1" applyAlignment="1">
      <alignment vertical="center"/>
    </xf>
    <xf numFmtId="0" fontId="0" fillId="0" borderId="7" xfId="0" applyFill="1" applyBorder="1" applyAlignment="1">
      <alignment vertical="top"/>
    </xf>
    <xf numFmtId="0" fontId="0" fillId="0" borderId="7" xfId="0" applyFill="1" applyBorder="1" applyAlignment="1">
      <alignment horizontal="center" vertical="top" wrapText="1"/>
    </xf>
    <xf numFmtId="0" fontId="0" fillId="3" borderId="1" xfId="0" applyFill="1" applyBorder="1" applyAlignment="1">
      <alignment vertical="center" wrapText="1"/>
    </xf>
    <xf numFmtId="0" fontId="0" fillId="0" borderId="1" xfId="0" applyBorder="1" applyAlignment="1">
      <alignment horizontal="right" vertical="center"/>
    </xf>
    <xf numFmtId="0" fontId="0" fillId="0" borderId="1" xfId="0" applyBorder="1" applyAlignment="1">
      <alignment horizontal="right"/>
    </xf>
    <xf numFmtId="0" fontId="0" fillId="0" borderId="1" xfId="0" applyFill="1" applyBorder="1" applyAlignment="1">
      <alignment horizontal="right" vertical="center"/>
    </xf>
    <xf numFmtId="0" fontId="4" fillId="7" borderId="1" xfId="0" applyFont="1" applyFill="1" applyBorder="1" applyAlignment="1">
      <alignment horizontal="center" vertical="center" wrapText="1"/>
    </xf>
    <xf numFmtId="0" fontId="4" fillId="7" borderId="1" xfId="0" applyFont="1" applyFill="1" applyBorder="1" applyAlignment="1">
      <alignment vertical="center" wrapText="1"/>
    </xf>
    <xf numFmtId="0" fontId="4" fillId="7" borderId="5" xfId="0" applyFont="1" applyFill="1" applyBorder="1" applyAlignment="1">
      <alignment horizontal="center" vertical="center" wrapText="1"/>
    </xf>
    <xf numFmtId="0" fontId="4" fillId="7" borderId="5" xfId="0" applyFont="1" applyFill="1" applyBorder="1" applyAlignment="1">
      <alignment vertical="center" wrapText="1"/>
    </xf>
    <xf numFmtId="0" fontId="4" fillId="3" borderId="1" xfId="0" applyFont="1" applyFill="1" applyBorder="1" applyAlignment="1">
      <alignment horizontal="center" vertical="center" wrapText="1"/>
    </xf>
    <xf numFmtId="0" fontId="2" fillId="7" borderId="1" xfId="0" applyFont="1" applyFill="1" applyBorder="1" applyAlignment="1">
      <alignment vertical="center" wrapText="1"/>
    </xf>
    <xf numFmtId="0" fontId="0" fillId="3" borderId="1" xfId="0" applyFont="1" applyFill="1" applyBorder="1" applyAlignment="1">
      <alignment horizontal="center"/>
    </xf>
    <xf numFmtId="164" fontId="0" fillId="0" borderId="0" xfId="0" applyNumberFormat="1" applyFont="1"/>
    <xf numFmtId="165" fontId="0" fillId="0" borderId="0" xfId="0" applyNumberFormat="1" applyFont="1" applyAlignment="1">
      <alignment horizontal="center" vertical="center" wrapText="1"/>
    </xf>
    <xf numFmtId="2" fontId="19" fillId="0" borderId="4" xfId="0" applyNumberFormat="1" applyFont="1" applyBorder="1" applyAlignment="1">
      <alignment vertical="center" wrapText="1"/>
    </xf>
    <xf numFmtId="0" fontId="15" fillId="9" borderId="1" xfId="0" applyFont="1" applyFill="1" applyBorder="1" applyAlignment="1">
      <alignment horizontal="center" vertical="center" wrapText="1"/>
    </xf>
    <xf numFmtId="0" fontId="15" fillId="9" borderId="1" xfId="0" applyFont="1" applyFill="1" applyBorder="1" applyAlignment="1">
      <alignment horizontal="left" vertical="center" wrapText="1"/>
    </xf>
    <xf numFmtId="0" fontId="12" fillId="0" borderId="3" xfId="0" applyFont="1" applyBorder="1" applyAlignment="1">
      <alignment horizontal="center"/>
    </xf>
    <xf numFmtId="0" fontId="12" fillId="0" borderId="4" xfId="0" applyFont="1" applyBorder="1" applyAlignment="1">
      <alignment horizontal="center"/>
    </xf>
    <xf numFmtId="0" fontId="0"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Alignment="1">
      <alignment horizontal="center" vertical="center" wrapText="1"/>
    </xf>
    <xf numFmtId="0" fontId="15" fillId="8" borderId="1" xfId="0" applyFont="1" applyFill="1" applyBorder="1" applyAlignment="1">
      <alignment horizontal="center" vertical="center"/>
    </xf>
    <xf numFmtId="0" fontId="0" fillId="0" borderId="0" xfId="0" applyAlignment="1">
      <alignment vertical="center" wrapText="1"/>
    </xf>
    <xf numFmtId="0" fontId="2" fillId="0" borderId="1" xfId="0" applyFont="1" applyBorder="1" applyAlignment="1" applyProtection="1">
      <alignment vertical="center" wrapText="1"/>
      <protection locked="0"/>
    </xf>
    <xf numFmtId="0" fontId="2" fillId="7" borderId="1" xfId="0" applyFont="1" applyFill="1" applyBorder="1" applyAlignment="1" applyProtection="1">
      <alignment vertical="center" wrapText="1"/>
    </xf>
    <xf numFmtId="0" fontId="7" fillId="0" borderId="0" xfId="0" applyFont="1" applyFill="1" applyBorder="1" applyAlignment="1" applyProtection="1">
      <alignment vertical="center" wrapText="1"/>
    </xf>
    <xf numFmtId="0" fontId="13" fillId="0" borderId="1" xfId="0" applyFont="1" applyFill="1" applyBorder="1" applyAlignment="1">
      <alignment vertical="center" wrapText="1"/>
    </xf>
    <xf numFmtId="0" fontId="0" fillId="0" borderId="1" xfId="0" applyFont="1" applyFill="1" applyBorder="1" applyAlignment="1">
      <alignment vertical="center" wrapText="1"/>
    </xf>
    <xf numFmtId="0" fontId="17" fillId="8" borderId="1" xfId="0" applyFont="1" applyFill="1" applyBorder="1" applyAlignment="1">
      <alignment vertical="center" wrapText="1"/>
    </xf>
    <xf numFmtId="0" fontId="17" fillId="0" borderId="1" xfId="0" applyFont="1" applyFill="1" applyBorder="1" applyAlignment="1">
      <alignment vertical="center" wrapText="1"/>
    </xf>
    <xf numFmtId="0" fontId="0" fillId="0" borderId="0" xfId="0" applyFont="1" applyAlignment="1">
      <alignment vertical="center" wrapText="1"/>
    </xf>
    <xf numFmtId="0" fontId="12" fillId="0" borderId="3" xfId="0" applyFont="1" applyBorder="1" applyAlignment="1">
      <alignment horizontal="center"/>
    </xf>
    <xf numFmtId="0" fontId="12" fillId="0" borderId="4" xfId="0" applyFont="1" applyBorder="1" applyAlignment="1">
      <alignment horizontal="center"/>
    </xf>
    <xf numFmtId="0" fontId="0" fillId="0" borderId="1" xfId="0" applyBorder="1" applyAlignment="1">
      <alignment horizontal="center" vertical="center"/>
    </xf>
    <xf numFmtId="0" fontId="10" fillId="0" borderId="4" xfId="0" applyFont="1" applyBorder="1" applyAlignment="1">
      <alignment horizontal="left" vertical="center" wrapText="1"/>
    </xf>
    <xf numFmtId="0" fontId="0" fillId="3" borderId="1" xfId="0" applyFill="1" applyBorder="1" applyAlignment="1">
      <alignment horizontal="center" vertical="center"/>
    </xf>
    <xf numFmtId="0" fontId="12" fillId="0" borderId="1" xfId="0" applyFont="1" applyBorder="1" applyAlignment="1">
      <alignment horizontal="center" vertical="center"/>
    </xf>
    <xf numFmtId="0" fontId="9" fillId="3" borderId="1" xfId="0" applyFont="1" applyFill="1" applyBorder="1" applyAlignment="1">
      <alignment horizontal="center" vertical="center"/>
    </xf>
    <xf numFmtId="0" fontId="18" fillId="0" borderId="1" xfId="0" applyFont="1" applyBorder="1" applyAlignment="1">
      <alignment horizontal="center" vertical="center" wrapText="1"/>
    </xf>
    <xf numFmtId="9" fontId="0" fillId="0" borderId="0" xfId="3" applyFont="1" applyAlignment="1">
      <alignment horizontal="center" vertical="center" wrapText="1"/>
    </xf>
    <xf numFmtId="0" fontId="18" fillId="3" borderId="1" xfId="0" applyFont="1" applyFill="1" applyBorder="1" applyAlignment="1">
      <alignment horizontal="center" vertical="center" wrapText="1"/>
    </xf>
    <xf numFmtId="2" fontId="32" fillId="0" borderId="1" xfId="0" applyNumberFormat="1" applyFont="1" applyFill="1" applyBorder="1" applyAlignment="1">
      <alignment horizontal="center" vertical="center" wrapText="1"/>
    </xf>
    <xf numFmtId="0" fontId="0" fillId="3" borderId="1" xfId="0" applyFill="1" applyBorder="1" applyAlignment="1">
      <alignment vertical="top" wrapText="1"/>
    </xf>
    <xf numFmtId="0" fontId="0" fillId="0" borderId="1" xfId="0" applyBorder="1" applyAlignment="1">
      <alignment vertical="top" wrapText="1"/>
    </xf>
    <xf numFmtId="0" fontId="18" fillId="0" borderId="1" xfId="0" applyFont="1" applyBorder="1" applyAlignment="1">
      <alignment vertical="center"/>
    </xf>
    <xf numFmtId="1" fontId="0" fillId="3" borderId="1" xfId="0" applyNumberFormat="1" applyFill="1" applyBorder="1" applyAlignment="1">
      <alignment horizontal="center" vertical="center" wrapText="1"/>
    </xf>
    <xf numFmtId="1" fontId="9" fillId="0" borderId="1" xfId="0" applyNumberFormat="1" applyFont="1" applyBorder="1" applyAlignment="1">
      <alignment horizontal="center" vertical="center"/>
    </xf>
    <xf numFmtId="0" fontId="0" fillId="0" borderId="7" xfId="0" applyFill="1" applyBorder="1" applyAlignment="1">
      <alignment horizontal="center" vertical="center"/>
    </xf>
    <xf numFmtId="0" fontId="9" fillId="0" borderId="1" xfId="0" applyFont="1" applyBorder="1" applyAlignment="1">
      <alignment horizontal="center" vertical="center"/>
    </xf>
    <xf numFmtId="0" fontId="18" fillId="0" borderId="1" xfId="0" applyFont="1" applyBorder="1" applyAlignment="1">
      <alignment vertical="center" wrapText="1"/>
    </xf>
    <xf numFmtId="0" fontId="8" fillId="0" borderId="0" xfId="0" applyFont="1" applyAlignment="1" applyProtection="1">
      <alignment horizontal="center" vertical="center" wrapText="1"/>
    </xf>
    <xf numFmtId="0" fontId="16" fillId="7" borderId="1" xfId="0" applyFont="1" applyFill="1" applyBorder="1" applyAlignment="1" applyProtection="1">
      <alignment horizontal="center" vertical="center" wrapText="1"/>
    </xf>
    <xf numFmtId="0" fontId="16" fillId="7" borderId="1" xfId="0" applyFont="1" applyFill="1" applyBorder="1" applyAlignment="1" applyProtection="1">
      <alignment horizontal="left" vertical="center" wrapText="1"/>
    </xf>
    <xf numFmtId="0" fontId="7" fillId="0" borderId="0" xfId="0" applyFont="1" applyAlignment="1" applyProtection="1">
      <alignment horizontal="center" vertical="center" wrapText="1"/>
    </xf>
    <xf numFmtId="0" fontId="7" fillId="0" borderId="1" xfId="0" applyFont="1" applyBorder="1" applyAlignment="1" applyProtection="1">
      <alignment horizontal="center" vertical="center" wrapText="1"/>
    </xf>
    <xf numFmtId="0" fontId="8" fillId="0" borderId="1" xfId="0" applyFont="1" applyBorder="1" applyAlignment="1" applyProtection="1">
      <alignment horizontal="left" vertical="center" wrapText="1"/>
    </xf>
    <xf numFmtId="0" fontId="8" fillId="0" borderId="5" xfId="0" applyFont="1" applyBorder="1" applyAlignment="1" applyProtection="1">
      <alignment horizontal="left" vertical="center" wrapText="1"/>
    </xf>
    <xf numFmtId="0" fontId="8" fillId="0" borderId="1" xfId="0" applyFont="1" applyBorder="1" applyAlignment="1" applyProtection="1">
      <alignment horizontal="center" vertical="center" wrapText="1"/>
    </xf>
    <xf numFmtId="0" fontId="7" fillId="0" borderId="1" xfId="0" applyFont="1" applyBorder="1" applyAlignment="1" applyProtection="1">
      <alignment horizontal="center" vertical="top" wrapText="1"/>
    </xf>
    <xf numFmtId="0" fontId="8" fillId="0" borderId="1" xfId="0" applyFont="1" applyBorder="1" applyAlignment="1" applyProtection="1">
      <alignment horizontal="left" vertical="top" wrapText="1"/>
    </xf>
    <xf numFmtId="0" fontId="7" fillId="0" borderId="1" xfId="0" applyFont="1" applyBorder="1" applyAlignment="1" applyProtection="1">
      <alignment horizontal="left" vertical="center" wrapText="1"/>
    </xf>
    <xf numFmtId="0" fontId="23" fillId="0" borderId="1" xfId="0" applyFont="1" applyBorder="1" applyAlignment="1" applyProtection="1">
      <alignment horizontal="left" vertical="center" wrapText="1"/>
    </xf>
    <xf numFmtId="0" fontId="16" fillId="0" borderId="1" xfId="0" applyFont="1" applyBorder="1" applyAlignment="1" applyProtection="1">
      <alignment horizontal="center" vertical="center" wrapText="1"/>
    </xf>
    <xf numFmtId="0" fontId="8" fillId="0" borderId="1" xfId="0" quotePrefix="1" applyFont="1" applyBorder="1" applyAlignment="1" applyProtection="1">
      <alignment horizontal="center" vertical="center" wrapText="1"/>
    </xf>
    <xf numFmtId="0" fontId="8" fillId="0" borderId="0" xfId="0" applyFont="1" applyFill="1" applyAlignment="1" applyProtection="1">
      <alignment horizontal="center" vertical="center" wrapText="1"/>
    </xf>
    <xf numFmtId="2" fontId="8" fillId="0" borderId="1" xfId="0" quotePrefix="1" applyNumberFormat="1" applyFont="1" applyBorder="1" applyAlignment="1" applyProtection="1">
      <alignment horizontal="center" vertical="center" wrapText="1"/>
    </xf>
    <xf numFmtId="1" fontId="8" fillId="0" borderId="1" xfId="0" quotePrefix="1" applyNumberFormat="1" applyFont="1" applyBorder="1" applyAlignment="1" applyProtection="1">
      <alignment horizontal="center" vertical="center" wrapText="1"/>
    </xf>
    <xf numFmtId="165" fontId="8" fillId="0" borderId="1" xfId="0" quotePrefix="1" applyNumberFormat="1" applyFont="1" applyBorder="1" applyAlignment="1" applyProtection="1">
      <alignment horizontal="center" vertical="center" wrapText="1"/>
    </xf>
    <xf numFmtId="0" fontId="16" fillId="0" borderId="1" xfId="0" applyFont="1" applyBorder="1" applyAlignment="1" applyProtection="1">
      <alignment vertical="center" wrapText="1"/>
    </xf>
    <xf numFmtId="2" fontId="16" fillId="0" borderId="1" xfId="0" applyNumberFormat="1" applyFont="1" applyBorder="1" applyAlignment="1" applyProtection="1">
      <alignment horizontal="center" vertical="center" wrapText="1"/>
    </xf>
    <xf numFmtId="0" fontId="24" fillId="0" borderId="1" xfId="0" applyFont="1" applyBorder="1" applyAlignment="1" applyProtection="1">
      <alignment horizontal="center" vertical="center" wrapText="1"/>
    </xf>
    <xf numFmtId="0" fontId="24" fillId="0" borderId="1" xfId="0" applyFont="1" applyBorder="1" applyAlignment="1" applyProtection="1">
      <alignment vertical="center" wrapText="1"/>
    </xf>
    <xf numFmtId="0" fontId="25" fillId="0" borderId="1" xfId="0" applyFont="1" applyBorder="1" applyAlignment="1" applyProtection="1">
      <alignment horizontal="center" vertical="center" wrapText="1"/>
    </xf>
    <xf numFmtId="0" fontId="25" fillId="0" borderId="1" xfId="0" applyFont="1" applyBorder="1" applyAlignment="1" applyProtection="1">
      <alignment vertical="center" wrapText="1"/>
    </xf>
    <xf numFmtId="0" fontId="8" fillId="0" borderId="0" xfId="0" applyFont="1" applyAlignment="1" applyProtection="1">
      <alignment wrapText="1"/>
    </xf>
    <xf numFmtId="0" fontId="8" fillId="0" borderId="0" xfId="0" applyFont="1" applyAlignment="1" applyProtection="1">
      <alignment horizontal="left" vertical="center" wrapText="1"/>
    </xf>
    <xf numFmtId="0" fontId="34" fillId="0" borderId="0" xfId="0" applyFont="1" applyAlignment="1">
      <alignment vertical="center" wrapText="1"/>
    </xf>
    <xf numFmtId="0" fontId="37" fillId="0" borderId="0" xfId="0" applyFont="1" applyAlignment="1">
      <alignment vertical="center" wrapText="1"/>
    </xf>
    <xf numFmtId="0" fontId="35" fillId="0" borderId="0" xfId="0" applyFont="1" applyFill="1" applyBorder="1" applyAlignment="1">
      <alignment vertical="center" wrapText="1"/>
    </xf>
    <xf numFmtId="0" fontId="34" fillId="0" borderId="0" xfId="0" applyFont="1" applyBorder="1" applyAlignment="1">
      <alignment vertical="center" wrapText="1"/>
    </xf>
    <xf numFmtId="0" fontId="39" fillId="7" borderId="1" xfId="0" applyFont="1" applyFill="1" applyBorder="1" applyAlignment="1">
      <alignment horizontal="center" vertical="center" wrapText="1"/>
    </xf>
    <xf numFmtId="0" fontId="35" fillId="7" borderId="1" xfId="0" applyFont="1" applyFill="1" applyBorder="1" applyAlignment="1">
      <alignment vertical="center" wrapText="1"/>
    </xf>
    <xf numFmtId="14" fontId="34" fillId="0" borderId="1" xfId="0" applyNumberFormat="1" applyFont="1" applyBorder="1" applyAlignment="1" applyProtection="1">
      <alignment horizontal="center" vertical="center" wrapText="1"/>
      <protection locked="0"/>
    </xf>
    <xf numFmtId="2" fontId="34" fillId="0" borderId="1" xfId="0" applyNumberFormat="1" applyFont="1" applyBorder="1" applyAlignment="1" applyProtection="1">
      <alignment horizontal="center" vertical="center" wrapText="1"/>
      <protection locked="0"/>
    </xf>
    <xf numFmtId="0" fontId="41" fillId="0" borderId="1" xfId="0" applyFont="1" applyBorder="1" applyAlignment="1" applyProtection="1">
      <alignment horizontal="center" vertical="center" wrapText="1"/>
      <protection locked="0"/>
    </xf>
    <xf numFmtId="0" fontId="39" fillId="0" borderId="1" xfId="0" applyFont="1" applyBorder="1" applyAlignment="1" applyProtection="1">
      <alignment horizontal="center" vertical="center" wrapText="1"/>
      <protection locked="0"/>
    </xf>
    <xf numFmtId="0" fontId="34" fillId="0" borderId="1" xfId="0" applyNumberFormat="1" applyFont="1" applyBorder="1" applyAlignment="1" applyProtection="1">
      <alignment horizontal="center" vertical="center" wrapText="1"/>
      <protection locked="0"/>
    </xf>
    <xf numFmtId="0" fontId="34" fillId="0" borderId="1" xfId="0" applyFont="1" applyBorder="1" applyAlignment="1" applyProtection="1">
      <alignment vertical="center" wrapText="1"/>
      <protection locked="0"/>
    </xf>
    <xf numFmtId="0" fontId="34" fillId="4" borderId="1" xfId="0" applyFont="1" applyFill="1" applyBorder="1" applyAlignment="1">
      <alignment vertical="center" wrapText="1"/>
    </xf>
    <xf numFmtId="0" fontId="35" fillId="6" borderId="1" xfId="0" applyFont="1" applyFill="1" applyBorder="1" applyAlignment="1">
      <alignment horizontal="center" vertical="center" wrapText="1"/>
    </xf>
    <xf numFmtId="0" fontId="35" fillId="0" borderId="0" xfId="0" applyFont="1" applyAlignment="1">
      <alignment horizontal="center" vertical="center" wrapText="1"/>
    </xf>
    <xf numFmtId="0" fontId="34" fillId="0" borderId="0" xfId="0" applyFont="1" applyAlignment="1">
      <alignment horizontal="center" vertical="center" wrapText="1"/>
    </xf>
    <xf numFmtId="0" fontId="35" fillId="6" borderId="1" xfId="0" quotePrefix="1" applyFont="1" applyFill="1" applyBorder="1" applyAlignment="1">
      <alignment horizontal="center" vertical="center" wrapText="1"/>
    </xf>
    <xf numFmtId="0" fontId="34" fillId="0" borderId="1" xfId="0" applyFont="1" applyFill="1" applyBorder="1" applyAlignment="1">
      <alignment vertical="center" wrapText="1"/>
    </xf>
    <xf numFmtId="0" fontId="34" fillId="0" borderId="0" xfId="0" applyFont="1" applyFill="1" applyAlignment="1">
      <alignment vertical="center" wrapText="1"/>
    </xf>
    <xf numFmtId="0" fontId="35" fillId="0" borderId="1" xfId="0" applyFont="1" applyFill="1" applyBorder="1" applyAlignment="1">
      <alignment vertical="center" wrapText="1"/>
    </xf>
    <xf numFmtId="0" fontId="35" fillId="0" borderId="0" xfId="0" applyFont="1" applyFill="1" applyAlignment="1">
      <alignment vertical="center" wrapText="1"/>
    </xf>
    <xf numFmtId="0" fontId="34" fillId="7" borderId="1" xfId="0" applyFont="1" applyFill="1" applyBorder="1" applyAlignment="1">
      <alignment vertical="center" wrapText="1"/>
    </xf>
    <xf numFmtId="0" fontId="42" fillId="7" borderId="1" xfId="0" applyFont="1" applyFill="1" applyBorder="1" applyAlignment="1">
      <alignment horizontal="center" vertical="center" wrapText="1"/>
    </xf>
    <xf numFmtId="0" fontId="43" fillId="7" borderId="1" xfId="0" applyFont="1" applyFill="1" applyBorder="1" applyAlignment="1">
      <alignment horizontal="center" vertical="center" wrapText="1"/>
    </xf>
    <xf numFmtId="0" fontId="43" fillId="0" borderId="0" xfId="0" applyFont="1" applyAlignment="1">
      <alignment vertical="center" wrapText="1"/>
    </xf>
    <xf numFmtId="0" fontId="44" fillId="0" borderId="0" xfId="0" applyFont="1" applyAlignment="1">
      <alignment vertical="center" wrapText="1"/>
    </xf>
    <xf numFmtId="0" fontId="33" fillId="7" borderId="1" xfId="0" applyFont="1" applyFill="1" applyBorder="1" applyAlignment="1">
      <alignment horizontal="center" vertical="center" wrapText="1"/>
    </xf>
    <xf numFmtId="0" fontId="45" fillId="0" borderId="0" xfId="0" applyFont="1" applyAlignment="1">
      <alignment vertical="center" wrapText="1"/>
    </xf>
    <xf numFmtId="0" fontId="44" fillId="7" borderId="0" xfId="0" applyFont="1" applyFill="1" applyAlignment="1">
      <alignment vertical="center" wrapText="1"/>
    </xf>
    <xf numFmtId="0" fontId="34" fillId="7" borderId="0" xfId="0" applyFont="1" applyFill="1" applyAlignment="1">
      <alignment vertical="center" wrapText="1"/>
    </xf>
    <xf numFmtId="0" fontId="35" fillId="0" borderId="1" xfId="0" applyFont="1" applyBorder="1" applyAlignment="1">
      <alignment vertical="center" wrapText="1"/>
    </xf>
    <xf numFmtId="0" fontId="35" fillId="7" borderId="2" xfId="0" quotePrefix="1" applyFont="1" applyFill="1" applyBorder="1" applyAlignment="1">
      <alignment vertical="center" wrapText="1"/>
    </xf>
    <xf numFmtId="0" fontId="35" fillId="7" borderId="3" xfId="0" quotePrefix="1" applyFont="1" applyFill="1" applyBorder="1" applyAlignment="1">
      <alignment vertical="center" wrapText="1"/>
    </xf>
    <xf numFmtId="0" fontId="35" fillId="7" borderId="4" xfId="0" quotePrefix="1" applyFont="1" applyFill="1" applyBorder="1" applyAlignment="1">
      <alignment vertical="center" wrapText="1"/>
    </xf>
    <xf numFmtId="0" fontId="34" fillId="0" borderId="1" xfId="0" quotePrefix="1" applyFont="1" applyFill="1" applyBorder="1" applyAlignment="1" applyProtection="1">
      <alignment vertical="center" wrapText="1"/>
      <protection locked="0"/>
    </xf>
    <xf numFmtId="0" fontId="34" fillId="0" borderId="1" xfId="0" quotePrefix="1" applyFont="1" applyFill="1" applyBorder="1" applyAlignment="1">
      <alignment vertical="center" wrapText="1"/>
    </xf>
    <xf numFmtId="0" fontId="46" fillId="3" borderId="1" xfId="0" applyFont="1" applyFill="1" applyBorder="1" applyAlignment="1">
      <alignment horizontal="center" vertical="center" wrapText="1"/>
    </xf>
    <xf numFmtId="0" fontId="36" fillId="0" borderId="0" xfId="0" applyFont="1" applyAlignment="1">
      <alignment vertical="center" wrapText="1"/>
    </xf>
    <xf numFmtId="0" fontId="35" fillId="0" borderId="0" xfId="0" applyFont="1" applyBorder="1" applyAlignment="1">
      <alignment vertical="center" wrapText="1"/>
    </xf>
    <xf numFmtId="0" fontId="35" fillId="0" borderId="0" xfId="0" applyFont="1" applyAlignment="1">
      <alignment vertical="center" wrapText="1"/>
    </xf>
    <xf numFmtId="0" fontId="34" fillId="0" borderId="0" xfId="0" applyFont="1" applyBorder="1" applyAlignment="1">
      <alignment horizontal="center" vertical="center" wrapText="1"/>
    </xf>
    <xf numFmtId="0" fontId="35" fillId="0" borderId="0" xfId="0" applyFont="1" applyBorder="1" applyAlignment="1">
      <alignment horizontal="center" vertical="center" wrapText="1"/>
    </xf>
    <xf numFmtId="166" fontId="34" fillId="4" borderId="1" xfId="0" applyNumberFormat="1" applyFont="1" applyFill="1" applyBorder="1" applyAlignment="1">
      <alignment horizontal="center" vertical="center" wrapText="1"/>
    </xf>
    <xf numFmtId="164" fontId="35" fillId="4" borderId="1" xfId="0" applyNumberFormat="1" applyFont="1" applyFill="1" applyBorder="1" applyAlignment="1">
      <alignment horizontal="center" vertical="center" wrapText="1"/>
    </xf>
    <xf numFmtId="0" fontId="35" fillId="7" borderId="1" xfId="0" quotePrefix="1" applyFont="1" applyFill="1" applyBorder="1" applyAlignment="1">
      <alignment vertical="center" wrapText="1"/>
    </xf>
    <xf numFmtId="0" fontId="41" fillId="0" borderId="1" xfId="0" applyFont="1" applyBorder="1" applyAlignment="1" applyProtection="1">
      <alignment vertical="center" wrapText="1"/>
      <protection locked="0"/>
    </xf>
    <xf numFmtId="0" fontId="34" fillId="8" borderId="1" xfId="0" applyFont="1" applyFill="1" applyBorder="1" applyAlignment="1" applyProtection="1">
      <alignment vertical="center" wrapText="1"/>
      <protection locked="0"/>
    </xf>
    <xf numFmtId="165" fontId="35" fillId="4" borderId="1" xfId="0" applyNumberFormat="1" applyFont="1" applyFill="1" applyBorder="1" applyAlignment="1">
      <alignment horizontal="center" vertical="center" wrapText="1"/>
    </xf>
    <xf numFmtId="0" fontId="35" fillId="0" borderId="1" xfId="0" applyFont="1" applyBorder="1" applyAlignment="1" applyProtection="1">
      <alignment vertical="center" wrapText="1"/>
      <protection locked="0"/>
    </xf>
    <xf numFmtId="0" fontId="34" fillId="7" borderId="1" xfId="0" applyFont="1" applyFill="1" applyBorder="1" applyAlignment="1" applyProtection="1">
      <alignment horizontal="center" vertical="center" wrapText="1"/>
    </xf>
    <xf numFmtId="0" fontId="35" fillId="3" borderId="1" xfId="0" applyFont="1" applyFill="1" applyBorder="1" applyAlignment="1" applyProtection="1">
      <alignment horizontal="center" vertical="center" wrapText="1"/>
    </xf>
    <xf numFmtId="0" fontId="34" fillId="0" borderId="1" xfId="0" applyFont="1" applyFill="1" applyBorder="1" applyAlignment="1" applyProtection="1">
      <alignment horizontal="center" vertical="center" wrapText="1"/>
    </xf>
    <xf numFmtId="0" fontId="34" fillId="0" borderId="0" xfId="1" applyFont="1" applyAlignment="1">
      <alignment horizontal="center" vertical="center" wrapText="1"/>
    </xf>
    <xf numFmtId="0" fontId="34" fillId="0" borderId="0" xfId="1" applyFont="1" applyAlignment="1">
      <alignment vertical="center" wrapText="1"/>
    </xf>
    <xf numFmtId="0" fontId="34" fillId="0" borderId="0" xfId="0" applyFont="1" applyAlignment="1">
      <alignment horizontal="left" vertical="center" wrapText="1"/>
    </xf>
    <xf numFmtId="0" fontId="9" fillId="3" borderId="1" xfId="0" applyFont="1" applyFill="1" applyBorder="1" applyAlignment="1">
      <alignment horizontal="center" vertical="center" wrapText="1"/>
    </xf>
    <xf numFmtId="0" fontId="12" fillId="0" borderId="1" xfId="0" applyFont="1" applyBorder="1" applyAlignment="1">
      <alignment horizontal="center" vertical="center"/>
    </xf>
    <xf numFmtId="2" fontId="32" fillId="0" borderId="1" xfId="0" applyNumberFormat="1" applyFont="1" applyBorder="1" applyAlignment="1">
      <alignment horizontal="center" vertical="center" wrapText="1"/>
    </xf>
    <xf numFmtId="2" fontId="18" fillId="0" borderId="1" xfId="0" applyNumberFormat="1" applyFont="1" applyBorder="1" applyAlignment="1">
      <alignment horizontal="left" vertical="center" wrapText="1"/>
    </xf>
    <xf numFmtId="0" fontId="0" fillId="3" borderId="1" xfId="0" applyFont="1" applyFill="1" applyBorder="1" applyAlignment="1">
      <alignment horizontal="center" vertical="center"/>
    </xf>
    <xf numFmtId="0" fontId="0" fillId="3" borderId="4" xfId="0" applyFont="1" applyFill="1" applyBorder="1" applyAlignment="1">
      <alignment horizontal="center" vertical="center"/>
    </xf>
    <xf numFmtId="167" fontId="0" fillId="0" borderId="1" xfId="0" applyNumberFormat="1" applyFill="1" applyBorder="1" applyAlignment="1">
      <alignment horizontal="center" vertical="center"/>
    </xf>
    <xf numFmtId="166" fontId="0" fillId="0" borderId="1" xfId="0" applyNumberFormat="1" applyFill="1" applyBorder="1" applyAlignment="1">
      <alignment horizontal="center" vertical="center"/>
    </xf>
    <xf numFmtId="0" fontId="18" fillId="0" borderId="1" xfId="0" applyFont="1" applyBorder="1" applyAlignment="1">
      <alignment horizontal="left" vertical="center"/>
    </xf>
    <xf numFmtId="0" fontId="18" fillId="0" borderId="1" xfId="0" applyFont="1" applyBorder="1" applyAlignment="1">
      <alignment horizontal="left" vertical="center" wrapText="1"/>
    </xf>
    <xf numFmtId="0" fontId="18" fillId="3" borderId="1" xfId="0" applyFont="1" applyFill="1" applyBorder="1" applyAlignment="1">
      <alignment horizontal="left" vertical="center" wrapText="1"/>
    </xf>
    <xf numFmtId="0" fontId="31" fillId="0" borderId="1" xfId="0" applyFont="1" applyBorder="1" applyAlignment="1">
      <alignment horizontal="left" vertical="center" wrapText="1"/>
    </xf>
    <xf numFmtId="0" fontId="31" fillId="9" borderId="1" xfId="0" applyFont="1" applyFill="1" applyBorder="1" applyAlignment="1">
      <alignment horizontal="left" vertical="center" wrapText="1"/>
    </xf>
    <xf numFmtId="0" fontId="18" fillId="0" borderId="0" xfId="0" applyFont="1" applyAlignment="1">
      <alignment horizontal="left" vertical="center" wrapText="1"/>
    </xf>
    <xf numFmtId="0" fontId="18" fillId="3" borderId="1" xfId="0" applyFont="1" applyFill="1" applyBorder="1" applyAlignment="1">
      <alignment vertical="center"/>
    </xf>
    <xf numFmtId="0" fontId="18" fillId="0" borderId="1" xfId="0" applyFont="1" applyFill="1" applyBorder="1" applyAlignment="1">
      <alignment vertical="center"/>
    </xf>
    <xf numFmtId="0" fontId="31" fillId="0" borderId="1" xfId="0" applyFont="1" applyBorder="1" applyAlignment="1">
      <alignment vertical="center"/>
    </xf>
    <xf numFmtId="0" fontId="18" fillId="0" borderId="0" xfId="0" applyFont="1" applyAlignment="1">
      <alignment vertical="center"/>
    </xf>
    <xf numFmtId="0" fontId="18" fillId="0" borderId="1" xfId="0" applyFont="1" applyFill="1" applyBorder="1" applyAlignment="1">
      <alignment horizontal="left" vertical="center" wrapText="1"/>
    </xf>
    <xf numFmtId="0" fontId="49" fillId="3" borderId="1" xfId="0" applyFont="1" applyFill="1" applyBorder="1" applyAlignment="1">
      <alignment vertical="center" wrapText="1"/>
    </xf>
    <xf numFmtId="0" fontId="18" fillId="3" borderId="1" xfId="0" applyFont="1" applyFill="1" applyBorder="1" applyAlignment="1">
      <alignment horizontal="left" vertical="center" wrapText="1"/>
    </xf>
    <xf numFmtId="0" fontId="18" fillId="0" borderId="0" xfId="0" applyFont="1" applyAlignment="1">
      <alignment horizontal="left" vertical="center"/>
    </xf>
    <xf numFmtId="0" fontId="31" fillId="8" borderId="1" xfId="0" applyFont="1" applyFill="1" applyBorder="1" applyAlignment="1">
      <alignment horizontal="left" vertical="center"/>
    </xf>
    <xf numFmtId="0" fontId="31" fillId="0" borderId="1" xfId="0" applyFont="1" applyFill="1" applyBorder="1" applyAlignment="1">
      <alignment horizontal="left" vertical="center"/>
    </xf>
    <xf numFmtId="0" fontId="18" fillId="0" borderId="1" xfId="0" quotePrefix="1" applyFont="1" applyFill="1" applyBorder="1" applyAlignment="1">
      <alignment vertical="center"/>
    </xf>
    <xf numFmtId="0" fontId="18" fillId="0" borderId="1" xfId="0" quotePrefix="1" applyFont="1" applyBorder="1" applyAlignment="1">
      <alignment horizontal="left" vertical="center" wrapText="1"/>
    </xf>
    <xf numFmtId="0" fontId="0" fillId="0" borderId="1" xfId="0" applyFont="1" applyBorder="1" applyAlignment="1">
      <alignment horizontal="left" vertical="center"/>
    </xf>
    <xf numFmtId="0" fontId="0" fillId="0" borderId="1" xfId="0" applyBorder="1" applyAlignment="1">
      <alignment horizontal="left" vertical="center"/>
    </xf>
    <xf numFmtId="2" fontId="0" fillId="0" borderId="0" xfId="0" applyNumberFormat="1"/>
    <xf numFmtId="2" fontId="0" fillId="0" borderId="1" xfId="0" applyNumberFormat="1" applyBorder="1"/>
    <xf numFmtId="2" fontId="0" fillId="0" borderId="1" xfId="0" applyNumberFormat="1" applyBorder="1" applyAlignment="1">
      <alignment horizontal="left"/>
    </xf>
    <xf numFmtId="2" fontId="0" fillId="0" borderId="1" xfId="0" applyNumberFormat="1" applyBorder="1" applyAlignment="1">
      <alignment horizontal="left" wrapText="1"/>
    </xf>
    <xf numFmtId="2" fontId="0" fillId="0" borderId="1" xfId="0" applyNumberFormat="1" applyBorder="1" applyAlignment="1">
      <alignment wrapText="1"/>
    </xf>
    <xf numFmtId="1" fontId="0" fillId="0" borderId="0" xfId="0" applyNumberFormat="1" applyAlignment="1">
      <alignment horizontal="center"/>
    </xf>
    <xf numFmtId="2" fontId="18" fillId="0" borderId="1" xfId="0" quotePrefix="1" applyNumberFormat="1" applyFont="1" applyBorder="1"/>
    <xf numFmtId="2" fontId="18" fillId="0" borderId="1" xfId="0" applyNumberFormat="1" applyFont="1" applyBorder="1"/>
    <xf numFmtId="2" fontId="18" fillId="0" borderId="1" xfId="0" applyNumberFormat="1" applyFont="1" applyBorder="1" applyAlignment="1">
      <alignment wrapText="1"/>
    </xf>
    <xf numFmtId="2" fontId="18" fillId="0" borderId="1" xfId="0" applyNumberFormat="1" applyFont="1" applyBorder="1" applyAlignment="1">
      <alignment horizontal="left" wrapText="1"/>
    </xf>
    <xf numFmtId="0" fontId="0" fillId="0" borderId="0" xfId="0" applyAlignment="1">
      <alignment wrapText="1"/>
    </xf>
    <xf numFmtId="2" fontId="0" fillId="0" borderId="1" xfId="0" applyNumberFormat="1" applyBorder="1" applyAlignment="1">
      <alignment vertical="center" wrapText="1"/>
    </xf>
    <xf numFmtId="2" fontId="18" fillId="0" borderId="1" xfId="0" applyNumberFormat="1" applyFont="1" applyBorder="1" applyAlignment="1">
      <alignment vertical="center"/>
    </xf>
    <xf numFmtId="2" fontId="0" fillId="0" borderId="1" xfId="0" applyNumberFormat="1" applyBorder="1" applyAlignment="1">
      <alignment vertical="center"/>
    </xf>
    <xf numFmtId="2" fontId="0" fillId="0" borderId="0" xfId="0" applyNumberFormat="1" applyAlignment="1">
      <alignment vertical="center"/>
    </xf>
    <xf numFmtId="2" fontId="0" fillId="0" borderId="1" xfId="0" applyNumberFormat="1" applyFill="1" applyBorder="1" applyAlignment="1">
      <alignment vertical="center"/>
    </xf>
    <xf numFmtId="2" fontId="0" fillId="0" borderId="1" xfId="0" applyNumberFormat="1" applyFill="1" applyBorder="1"/>
    <xf numFmtId="2" fontId="34" fillId="0" borderId="1" xfId="0" applyNumberFormat="1" applyFont="1" applyFill="1" applyBorder="1" applyAlignment="1">
      <alignment horizontal="center" vertical="center" wrapText="1"/>
    </xf>
    <xf numFmtId="0" fontId="18" fillId="3" borderId="1" xfId="0" applyFont="1" applyFill="1" applyBorder="1" applyAlignment="1">
      <alignment horizontal="left" vertical="center" wrapText="1"/>
    </xf>
    <xf numFmtId="0" fontId="12" fillId="0" borderId="3" xfId="0" applyFont="1" applyBorder="1" applyAlignment="1">
      <alignment horizontal="center"/>
    </xf>
    <xf numFmtId="0" fontId="12" fillId="0" borderId="4" xfId="0" applyFont="1" applyBorder="1" applyAlignment="1">
      <alignment horizontal="center"/>
    </xf>
    <xf numFmtId="0" fontId="9" fillId="3" borderId="1" xfId="0" applyFont="1" applyFill="1" applyBorder="1" applyAlignment="1">
      <alignment horizontal="center" vertical="center" wrapText="1"/>
    </xf>
    <xf numFmtId="0" fontId="12" fillId="0" borderId="2" xfId="0" applyFont="1" applyBorder="1" applyAlignment="1"/>
    <xf numFmtId="0" fontId="12" fillId="0" borderId="3" xfId="0" applyFont="1" applyBorder="1" applyAlignment="1"/>
    <xf numFmtId="0" fontId="12" fillId="0" borderId="4" xfId="0" applyFont="1" applyBorder="1" applyAlignment="1"/>
    <xf numFmtId="0" fontId="12" fillId="0" borderId="2" xfId="0" applyFont="1" applyBorder="1" applyAlignment="1">
      <alignment vertical="center"/>
    </xf>
    <xf numFmtId="0" fontId="12" fillId="0" borderId="3" xfId="0" applyFont="1" applyBorder="1" applyAlignment="1">
      <alignment vertical="center"/>
    </xf>
    <xf numFmtId="0" fontId="11" fillId="0" borderId="0" xfId="0" applyFont="1" applyAlignment="1">
      <alignment horizontal="center" vertical="center" wrapText="1"/>
    </xf>
    <xf numFmtId="0" fontId="11" fillId="0" borderId="1" xfId="0" applyFont="1" applyBorder="1" applyAlignment="1">
      <alignment horizontal="left" vertical="center" wrapText="1"/>
    </xf>
    <xf numFmtId="0" fontId="20" fillId="0" borderId="1" xfId="0" applyFont="1" applyBorder="1" applyAlignment="1">
      <alignment horizontal="left" vertical="center" wrapText="1"/>
    </xf>
    <xf numFmtId="0" fontId="20" fillId="0" borderId="7" xfId="0" applyFont="1" applyBorder="1" applyAlignment="1">
      <alignment horizontal="center" vertical="center" wrapText="1"/>
    </xf>
    <xf numFmtId="0" fontId="11" fillId="0" borderId="1" xfId="0" applyFont="1" applyFill="1" applyBorder="1" applyAlignment="1">
      <alignment vertical="center" wrapText="1"/>
    </xf>
    <xf numFmtId="0" fontId="11" fillId="0" borderId="1" xfId="0" applyFont="1" applyFill="1" applyBorder="1" applyAlignment="1">
      <alignment vertical="top" wrapText="1"/>
    </xf>
    <xf numFmtId="0" fontId="11" fillId="0" borderId="0" xfId="0" applyFont="1" applyAlignment="1">
      <alignment horizontal="left" vertical="center" wrapText="1"/>
    </xf>
    <xf numFmtId="0" fontId="0" fillId="0" borderId="1" xfId="0"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center"/>
    </xf>
    <xf numFmtId="0" fontId="18" fillId="0" borderId="1" xfId="0" quotePrefix="1" applyFont="1" applyBorder="1" applyAlignment="1">
      <alignment vertical="center" wrapText="1"/>
    </xf>
    <xf numFmtId="0" fontId="18" fillId="0" borderId="1" xfId="0" quotePrefix="1" applyFont="1" applyBorder="1" applyAlignment="1">
      <alignment vertical="center"/>
    </xf>
    <xf numFmtId="2" fontId="12" fillId="0" borderId="1" xfId="0" applyNumberFormat="1" applyFont="1" applyBorder="1" applyAlignment="1">
      <alignment horizontal="center"/>
    </xf>
    <xf numFmtId="2" fontId="18" fillId="0" borderId="1" xfId="0" quotePrefix="1" applyNumberFormat="1" applyFont="1" applyBorder="1" applyAlignment="1">
      <alignment vertical="center"/>
    </xf>
    <xf numFmtId="2" fontId="18" fillId="0" borderId="1" xfId="0" applyNumberFormat="1" applyFont="1" applyBorder="1" applyAlignment="1">
      <alignment vertical="center" wrapText="1"/>
    </xf>
    <xf numFmtId="0" fontId="0" fillId="0" borderId="0" xfId="0" applyBorder="1" applyAlignment="1">
      <alignment vertical="center"/>
    </xf>
    <xf numFmtId="0" fontId="0" fillId="0" borderId="0" xfId="0" applyBorder="1" applyAlignment="1">
      <alignment horizontal="center" vertical="center"/>
    </xf>
    <xf numFmtId="2" fontId="0" fillId="0" borderId="0" xfId="0" applyNumberFormat="1" applyBorder="1" applyAlignment="1">
      <alignment horizontal="center" vertical="center"/>
    </xf>
    <xf numFmtId="0" fontId="34" fillId="0" borderId="1" xfId="0" applyFont="1" applyBorder="1" applyAlignment="1">
      <alignment horizontal="center" vertical="center" wrapText="1"/>
    </xf>
    <xf numFmtId="0" fontId="18" fillId="0" borderId="1" xfId="0" applyFont="1" applyBorder="1" applyAlignment="1">
      <alignment horizontal="center" vertical="center"/>
    </xf>
    <xf numFmtId="0" fontId="18" fillId="3" borderId="1" xfId="0" applyFont="1" applyFill="1" applyBorder="1" applyAlignment="1">
      <alignment horizontal="left" vertical="center" wrapText="1"/>
    </xf>
    <xf numFmtId="0" fontId="9" fillId="3" borderId="7" xfId="0" applyFont="1" applyFill="1" applyBorder="1" applyAlignment="1">
      <alignment horizontal="center" vertical="center" wrapText="1"/>
    </xf>
    <xf numFmtId="165" fontId="32" fillId="0" borderId="2" xfId="0" applyNumberFormat="1" applyFont="1" applyBorder="1" applyAlignment="1">
      <alignment horizontal="center" vertical="center" wrapText="1"/>
    </xf>
    <xf numFmtId="165" fontId="32" fillId="0" borderId="4" xfId="0" applyNumberFormat="1" applyFont="1" applyBorder="1" applyAlignment="1">
      <alignment horizontal="center" vertical="center" wrapText="1"/>
    </xf>
    <xf numFmtId="0" fontId="9" fillId="3" borderId="1" xfId="0" applyFont="1" applyFill="1" applyBorder="1" applyAlignment="1">
      <alignment horizontal="center" vertical="top"/>
    </xf>
    <xf numFmtId="0" fontId="0" fillId="0" borderId="17" xfId="0" applyFont="1" applyFill="1" applyBorder="1" applyAlignment="1" applyProtection="1">
      <alignment vertical="center" wrapText="1"/>
    </xf>
    <xf numFmtId="0" fontId="0" fillId="6" borderId="18" xfId="0" applyFont="1" applyFill="1" applyBorder="1" applyAlignment="1" applyProtection="1">
      <alignment vertical="center" wrapText="1"/>
    </xf>
    <xf numFmtId="0" fontId="0" fillId="6" borderId="20" xfId="0" applyFont="1" applyFill="1" applyBorder="1" applyAlignment="1" applyProtection="1">
      <alignment vertical="center" wrapText="1"/>
    </xf>
    <xf numFmtId="0" fontId="8" fillId="0" borderId="5" xfId="0" applyFont="1" applyBorder="1" applyAlignment="1" applyProtection="1">
      <alignment horizontal="left" vertical="center" wrapText="1"/>
    </xf>
    <xf numFmtId="0" fontId="52" fillId="0" borderId="1" xfId="0" applyFont="1" applyFill="1" applyBorder="1" applyAlignment="1">
      <alignment horizontal="center" vertical="center" wrapText="1" readingOrder="1"/>
    </xf>
    <xf numFmtId="0" fontId="53" fillId="0" borderId="1" xfId="0" applyFont="1" applyBorder="1" applyAlignment="1">
      <alignment horizontal="left" vertical="center" wrapText="1"/>
    </xf>
    <xf numFmtId="2" fontId="12" fillId="0" borderId="2" xfId="0" applyNumberFormat="1" applyFont="1" applyBorder="1" applyAlignment="1"/>
    <xf numFmtId="2" fontId="12" fillId="0" borderId="3" xfId="0" applyNumberFormat="1" applyFont="1" applyBorder="1" applyAlignment="1"/>
    <xf numFmtId="2" fontId="12" fillId="0" borderId="4" xfId="0" applyNumberFormat="1" applyFont="1" applyBorder="1" applyAlignment="1"/>
    <xf numFmtId="2" fontId="12" fillId="0" borderId="2" xfId="0" applyNumberFormat="1" applyFont="1" applyBorder="1" applyAlignment="1">
      <alignment vertical="center"/>
    </xf>
    <xf numFmtId="2" fontId="12" fillId="0" borderId="3" xfId="0" applyNumberFormat="1" applyFont="1" applyBorder="1" applyAlignment="1">
      <alignment vertical="center"/>
    </xf>
    <xf numFmtId="2" fontId="12" fillId="0" borderId="4" xfId="0" applyNumberFormat="1" applyFont="1" applyBorder="1" applyAlignment="1">
      <alignment vertical="center"/>
    </xf>
    <xf numFmtId="0" fontId="52" fillId="0" borderId="1" xfId="0" applyFont="1" applyBorder="1" applyAlignment="1">
      <alignment horizontal="center" vertical="center" wrapText="1"/>
    </xf>
    <xf numFmtId="2" fontId="52" fillId="0" borderId="1" xfId="0" applyNumberFormat="1" applyFont="1" applyFill="1" applyBorder="1" applyAlignment="1">
      <alignment horizontal="center" vertical="center" wrapText="1"/>
    </xf>
    <xf numFmtId="2" fontId="52" fillId="0" borderId="1" xfId="0" applyNumberFormat="1" applyFont="1" applyBorder="1" applyAlignment="1">
      <alignment horizontal="center" vertical="center" wrapText="1"/>
    </xf>
    <xf numFmtId="2" fontId="52" fillId="0" borderId="1" xfId="0" applyNumberFormat="1" applyFont="1" applyFill="1" applyBorder="1" applyAlignment="1">
      <alignment horizontal="center" vertical="center"/>
    </xf>
    <xf numFmtId="164" fontId="52" fillId="0" borderId="1" xfId="0" applyNumberFormat="1" applyFont="1" applyFill="1" applyBorder="1" applyAlignment="1">
      <alignment horizontal="center" vertical="center"/>
    </xf>
    <xf numFmtId="166" fontId="52" fillId="0" borderId="1" xfId="0" applyNumberFormat="1" applyFont="1" applyFill="1" applyBorder="1" applyAlignment="1">
      <alignment horizontal="center" vertical="center"/>
    </xf>
    <xf numFmtId="0" fontId="32" fillId="3" borderId="1" xfId="0" applyFont="1" applyFill="1" applyBorder="1" applyAlignment="1">
      <alignment horizontal="center" vertical="center" wrapText="1"/>
    </xf>
    <xf numFmtId="166" fontId="32" fillId="0" borderId="2" xfId="0" applyNumberFormat="1" applyFont="1" applyBorder="1" applyAlignment="1">
      <alignment horizontal="center" vertical="center" wrapText="1"/>
    </xf>
    <xf numFmtId="166" fontId="32" fillId="0" borderId="4" xfId="0" applyNumberFormat="1" applyFont="1" applyBorder="1" applyAlignment="1">
      <alignment horizontal="center" vertical="center" wrapText="1"/>
    </xf>
    <xf numFmtId="2" fontId="54" fillId="0" borderId="3" xfId="0" applyNumberFormat="1" applyFont="1" applyBorder="1" applyAlignment="1">
      <alignment vertical="center" wrapText="1"/>
    </xf>
    <xf numFmtId="0" fontId="18" fillId="0" borderId="7" xfId="0" applyFont="1" applyFill="1" applyBorder="1" applyAlignment="1">
      <alignment vertical="top"/>
    </xf>
    <xf numFmtId="0" fontId="18" fillId="3" borderId="1" xfId="0" applyFont="1" applyFill="1" applyBorder="1" applyAlignment="1">
      <alignment vertical="top"/>
    </xf>
    <xf numFmtId="0" fontId="55" fillId="0" borderId="1" xfId="0" applyFont="1" applyBorder="1" applyAlignment="1">
      <alignment vertical="top" wrapText="1"/>
    </xf>
    <xf numFmtId="0" fontId="56" fillId="0" borderId="1" xfId="0" applyFont="1" applyBorder="1" applyAlignment="1">
      <alignment vertical="top" wrapText="1"/>
    </xf>
    <xf numFmtId="0" fontId="10" fillId="0" borderId="7" xfId="0" applyFont="1" applyBorder="1" applyAlignment="1">
      <alignment horizontal="center" vertical="center"/>
    </xf>
    <xf numFmtId="0" fontId="9" fillId="3" borderId="1" xfId="0" applyFont="1" applyFill="1" applyBorder="1" applyAlignment="1">
      <alignment vertical="top" wrapText="1"/>
    </xf>
    <xf numFmtId="0" fontId="9" fillId="3" borderId="7" xfId="0" applyFont="1" applyFill="1" applyBorder="1" applyAlignment="1">
      <alignment horizontal="center" vertical="top"/>
    </xf>
    <xf numFmtId="0" fontId="9" fillId="3" borderId="7" xfId="0" applyFont="1" applyFill="1" applyBorder="1" applyAlignment="1">
      <alignment horizontal="center" vertical="center"/>
    </xf>
    <xf numFmtId="0" fontId="9" fillId="3" borderId="7" xfId="0" applyFont="1" applyFill="1" applyBorder="1" applyAlignment="1">
      <alignment horizontal="center" vertical="top" wrapText="1"/>
    </xf>
    <xf numFmtId="0" fontId="9" fillId="3" borderId="7" xfId="0" applyFont="1" applyFill="1" applyBorder="1" applyAlignment="1">
      <alignment vertical="top"/>
    </xf>
    <xf numFmtId="0" fontId="52" fillId="3" borderId="1" xfId="0" applyFont="1" applyFill="1" applyBorder="1" applyAlignment="1">
      <alignment horizontal="center" vertical="center"/>
    </xf>
    <xf numFmtId="0" fontId="52" fillId="3" borderId="4" xfId="0" applyFont="1" applyFill="1" applyBorder="1" applyAlignment="1">
      <alignment horizontal="center" vertical="center"/>
    </xf>
    <xf numFmtId="0" fontId="48" fillId="3" borderId="1" xfId="0" applyFont="1" applyFill="1" applyBorder="1" applyAlignment="1">
      <alignment horizontal="center" vertical="center" wrapText="1"/>
    </xf>
    <xf numFmtId="0" fontId="48" fillId="0" borderId="0" xfId="0" applyFont="1" applyAlignment="1">
      <alignment horizontal="center" vertical="center" wrapText="1"/>
    </xf>
    <xf numFmtId="1" fontId="52" fillId="0" borderId="1" xfId="0" applyNumberFormat="1" applyFont="1" applyBorder="1" applyAlignment="1">
      <alignment horizontal="center" vertical="center" wrapText="1"/>
    </xf>
    <xf numFmtId="165" fontId="32" fillId="0" borderId="1" xfId="0" applyNumberFormat="1" applyFont="1" applyBorder="1" applyAlignment="1">
      <alignment horizontal="center" vertical="center" wrapText="1"/>
    </xf>
    <xf numFmtId="0" fontId="52" fillId="0" borderId="1" xfId="0" applyFont="1" applyFill="1" applyBorder="1" applyAlignment="1">
      <alignment horizontal="center" vertical="center" wrapText="1"/>
    </xf>
    <xf numFmtId="0" fontId="52" fillId="0" borderId="1" xfId="0" applyFont="1" applyBorder="1" applyAlignment="1">
      <alignment horizontal="center" vertical="center"/>
    </xf>
    <xf numFmtId="0" fontId="52" fillId="0" borderId="1" xfId="0" applyFont="1" applyFill="1" applyBorder="1" applyAlignment="1">
      <alignment horizontal="center" vertical="center"/>
    </xf>
    <xf numFmtId="0" fontId="52" fillId="3" borderId="1" xfId="0" applyFont="1" applyFill="1" applyBorder="1" applyAlignment="1">
      <alignment horizontal="center" vertical="center" wrapText="1"/>
    </xf>
    <xf numFmtId="2" fontId="54" fillId="0" borderId="4" xfId="0" applyNumberFormat="1" applyFont="1" applyBorder="1" applyAlignment="1">
      <alignment vertical="center" wrapText="1"/>
    </xf>
    <xf numFmtId="2" fontId="48" fillId="3" borderId="1" xfId="0" applyNumberFormat="1" applyFont="1" applyFill="1" applyBorder="1" applyAlignment="1">
      <alignment horizontal="center" vertical="center" wrapText="1"/>
    </xf>
    <xf numFmtId="2" fontId="52" fillId="0" borderId="1" xfId="0" applyNumberFormat="1" applyFont="1" applyBorder="1" applyAlignment="1">
      <alignment vertical="center"/>
    </xf>
    <xf numFmtId="2" fontId="48" fillId="3" borderId="1" xfId="0" applyNumberFormat="1" applyFont="1" applyFill="1" applyBorder="1" applyAlignment="1">
      <alignment horizontal="center"/>
    </xf>
    <xf numFmtId="2" fontId="48" fillId="0" borderId="0" xfId="0" applyNumberFormat="1" applyFont="1"/>
    <xf numFmtId="2" fontId="48" fillId="3" borderId="1" xfId="0" applyNumberFormat="1" applyFont="1" applyFill="1" applyBorder="1" applyAlignment="1">
      <alignment horizontal="center" vertical="center"/>
    </xf>
    <xf numFmtId="2" fontId="48" fillId="3" borderId="4" xfId="0" applyNumberFormat="1" applyFont="1" applyFill="1" applyBorder="1" applyAlignment="1">
      <alignment horizontal="center" vertical="center"/>
    </xf>
    <xf numFmtId="0" fontId="48" fillId="3" borderId="1" xfId="0" applyFont="1" applyFill="1" applyBorder="1" applyAlignment="1">
      <alignment horizontal="center" vertical="center"/>
    </xf>
    <xf numFmtId="0" fontId="48" fillId="3" borderId="1" xfId="0" applyFont="1" applyFill="1" applyBorder="1" applyAlignment="1">
      <alignment vertical="center"/>
    </xf>
    <xf numFmtId="0" fontId="48" fillId="3" borderId="1" xfId="0" applyFont="1" applyFill="1" applyBorder="1" applyAlignment="1">
      <alignment vertical="center" wrapText="1"/>
    </xf>
    <xf numFmtId="0" fontId="48" fillId="0" borderId="0" xfId="0" applyFont="1" applyAlignment="1">
      <alignment vertical="center"/>
    </xf>
    <xf numFmtId="0" fontId="48" fillId="3" borderId="1" xfId="0" applyFont="1" applyFill="1" applyBorder="1" applyAlignment="1">
      <alignment horizontal="center"/>
    </xf>
    <xf numFmtId="0" fontId="48" fillId="3" borderId="4" xfId="0" applyFont="1" applyFill="1" applyBorder="1" applyAlignment="1">
      <alignment horizontal="center" vertical="center"/>
    </xf>
    <xf numFmtId="164" fontId="52" fillId="0" borderId="1" xfId="0" applyNumberFormat="1" applyFont="1" applyBorder="1" applyAlignment="1">
      <alignment horizontal="center" vertical="center" wrapText="1"/>
    </xf>
    <xf numFmtId="166" fontId="52" fillId="0" borderId="1" xfId="0" applyNumberFormat="1" applyFont="1" applyBorder="1" applyAlignment="1">
      <alignment horizontal="center" vertical="center" wrapText="1"/>
    </xf>
    <xf numFmtId="2" fontId="52" fillId="3" borderId="1" xfId="0" applyNumberFormat="1" applyFont="1" applyFill="1" applyBorder="1" applyAlignment="1">
      <alignment horizontal="center" vertical="center" wrapText="1"/>
    </xf>
    <xf numFmtId="0" fontId="32" fillId="0" borderId="1" xfId="0" applyFont="1" applyBorder="1" applyAlignment="1">
      <alignment horizontal="center" vertical="center" wrapText="1"/>
    </xf>
    <xf numFmtId="2" fontId="49" fillId="0" borderId="1" xfId="0" applyNumberFormat="1" applyFont="1" applyBorder="1" applyAlignment="1">
      <alignment horizontal="center" vertical="center" wrapText="1"/>
    </xf>
    <xf numFmtId="2" fontId="49" fillId="9" borderId="1" xfId="0" applyNumberFormat="1" applyFont="1" applyFill="1" applyBorder="1" applyAlignment="1">
      <alignment horizontal="center" vertical="center" wrapText="1"/>
    </xf>
    <xf numFmtId="2" fontId="49" fillId="9" borderId="1" xfId="0" applyNumberFormat="1" applyFont="1" applyFill="1" applyBorder="1" applyAlignment="1">
      <alignment vertical="center" wrapText="1"/>
    </xf>
    <xf numFmtId="2" fontId="59" fillId="0" borderId="0" xfId="0" applyNumberFormat="1" applyFont="1" applyBorder="1" applyAlignment="1">
      <alignment vertical="center" wrapText="1"/>
    </xf>
    <xf numFmtId="2" fontId="54" fillId="0" borderId="0" xfId="0" applyNumberFormat="1" applyFont="1" applyBorder="1" applyAlignment="1">
      <alignment vertical="center" wrapText="1"/>
    </xf>
    <xf numFmtId="2" fontId="52" fillId="0" borderId="1" xfId="0" applyNumberFormat="1" applyFont="1" applyBorder="1" applyAlignment="1">
      <alignment vertical="center" wrapText="1"/>
    </xf>
    <xf numFmtId="2" fontId="60" fillId="0" borderId="0" xfId="0" applyNumberFormat="1" applyFont="1" applyBorder="1" applyAlignment="1">
      <alignment vertical="center" wrapText="1"/>
    </xf>
    <xf numFmtId="0" fontId="48" fillId="0" borderId="0" xfId="0" applyFont="1" applyAlignment="1">
      <alignment horizontal="center" vertical="center"/>
    </xf>
    <xf numFmtId="0" fontId="48" fillId="3" borderId="1" xfId="0" applyFont="1" applyFill="1" applyBorder="1" applyAlignment="1">
      <alignment horizontal="center" vertical="center" wrapText="1" readingOrder="1"/>
    </xf>
    <xf numFmtId="0" fontId="52" fillId="7" borderId="1" xfId="0" applyFont="1" applyFill="1" applyBorder="1" applyAlignment="1">
      <alignment horizontal="center" vertical="center"/>
    </xf>
    <xf numFmtId="0" fontId="52" fillId="0" borderId="4" xfId="0" applyFont="1" applyFill="1" applyBorder="1" applyAlignment="1">
      <alignment horizontal="center" vertical="center" wrapText="1" readingOrder="1"/>
    </xf>
    <xf numFmtId="0" fontId="49" fillId="8" borderId="1" xfId="0" applyFont="1" applyFill="1" applyBorder="1" applyAlignment="1">
      <alignment horizontal="center" vertical="center" wrapText="1" readingOrder="1"/>
    </xf>
    <xf numFmtId="0" fontId="49" fillId="0" borderId="1" xfId="0" applyFont="1" applyFill="1" applyBorder="1" applyAlignment="1">
      <alignment horizontal="center" vertical="center" wrapText="1" readingOrder="1"/>
    </xf>
    <xf numFmtId="0" fontId="35" fillId="0" borderId="1" xfId="0" quotePrefix="1" applyFont="1" applyFill="1" applyBorder="1" applyAlignment="1">
      <alignment horizontal="center" vertical="center" wrapText="1"/>
    </xf>
    <xf numFmtId="0" fontId="34" fillId="0" borderId="1" xfId="0" applyFont="1" applyBorder="1" applyAlignment="1" applyProtection="1">
      <alignment wrapText="1"/>
      <protection locked="0"/>
    </xf>
    <xf numFmtId="165" fontId="34" fillId="4" borderId="1" xfId="0" applyNumberFormat="1" applyFont="1" applyFill="1" applyBorder="1" applyAlignment="1">
      <alignment horizontal="center" vertical="center" wrapText="1"/>
    </xf>
    <xf numFmtId="1" fontId="34" fillId="4" borderId="1" xfId="0" applyNumberFormat="1" applyFont="1" applyFill="1" applyBorder="1" applyAlignment="1">
      <alignment horizontal="center" vertical="center" wrapText="1"/>
    </xf>
    <xf numFmtId="164" fontId="35" fillId="4" borderId="1" xfId="0" applyNumberFormat="1" applyFont="1" applyFill="1" applyBorder="1" applyAlignment="1">
      <alignment horizontal="center" wrapText="1"/>
    </xf>
    <xf numFmtId="166" fontId="35" fillId="4" borderId="1" xfId="0" applyNumberFormat="1" applyFont="1" applyFill="1" applyBorder="1" applyAlignment="1">
      <alignment horizontal="center" wrapText="1"/>
    </xf>
    <xf numFmtId="2" fontId="35" fillId="4" borderId="1" xfId="0" applyNumberFormat="1" applyFont="1" applyFill="1" applyBorder="1" applyAlignment="1">
      <alignment horizontal="center" wrapText="1"/>
    </xf>
    <xf numFmtId="165" fontId="35" fillId="4" borderId="1" xfId="0" applyNumberFormat="1" applyFont="1" applyFill="1" applyBorder="1" applyAlignment="1">
      <alignment horizontal="center" wrapText="1"/>
    </xf>
    <xf numFmtId="0" fontId="35" fillId="7" borderId="1" xfId="0" applyFont="1" applyFill="1" applyBorder="1" applyAlignment="1" applyProtection="1">
      <alignment vertical="center" wrapText="1"/>
    </xf>
    <xf numFmtId="0" fontId="0" fillId="9" borderId="16" xfId="0" applyFont="1" applyFill="1" applyBorder="1" applyAlignment="1" applyProtection="1">
      <alignment horizontal="center" vertical="center" wrapText="1"/>
    </xf>
    <xf numFmtId="0" fontId="0" fillId="0" borderId="16" xfId="0" applyFont="1" applyFill="1" applyBorder="1" applyAlignment="1" applyProtection="1">
      <alignment horizontal="center" vertical="center" wrapText="1"/>
    </xf>
    <xf numFmtId="0" fontId="9" fillId="0" borderId="18" xfId="0" applyFont="1" applyBorder="1" applyAlignment="1" applyProtection="1">
      <alignment horizontal="left" vertical="center" wrapText="1"/>
    </xf>
    <xf numFmtId="0" fontId="0" fillId="14" borderId="16" xfId="0" applyFont="1" applyFill="1" applyBorder="1" applyAlignment="1" applyProtection="1">
      <alignment horizontal="center" vertical="center" wrapText="1"/>
    </xf>
    <xf numFmtId="0" fontId="0" fillId="11" borderId="16" xfId="0" applyFont="1" applyFill="1" applyBorder="1" applyAlignment="1" applyProtection="1">
      <alignment horizontal="center" vertical="center" wrapText="1"/>
    </xf>
    <xf numFmtId="0" fontId="0" fillId="0" borderId="19" xfId="0" applyFont="1" applyFill="1" applyBorder="1" applyAlignment="1" applyProtection="1">
      <alignment horizontal="center" vertical="center" wrapText="1"/>
    </xf>
    <xf numFmtId="0" fontId="38" fillId="7" borderId="1" xfId="0" quotePrefix="1" applyFont="1" applyFill="1" applyBorder="1" applyAlignment="1">
      <alignment vertical="center" wrapText="1"/>
    </xf>
    <xf numFmtId="0" fontId="34" fillId="0" borderId="1" xfId="0" applyFont="1" applyBorder="1" applyAlignment="1" applyProtection="1">
      <alignment horizontal="left" vertical="center" wrapText="1"/>
      <protection locked="0"/>
    </xf>
    <xf numFmtId="0" fontId="34" fillId="0" borderId="0" xfId="0" applyFont="1" applyFill="1" applyAlignment="1" applyProtection="1">
      <alignment vertical="center" wrapText="1"/>
      <protection locked="0"/>
    </xf>
    <xf numFmtId="0" fontId="35" fillId="6" borderId="1" xfId="0" applyFont="1" applyFill="1" applyBorder="1" applyAlignment="1" applyProtection="1">
      <alignment vertical="center" wrapText="1"/>
      <protection locked="0"/>
    </xf>
    <xf numFmtId="0" fontId="34" fillId="6" borderId="1" xfId="0" applyFont="1" applyFill="1" applyBorder="1" applyAlignment="1" applyProtection="1">
      <alignment vertical="center" wrapText="1"/>
      <protection locked="0"/>
    </xf>
    <xf numFmtId="0" fontId="9" fillId="15" borderId="1" xfId="0" applyFont="1" applyFill="1" applyBorder="1" applyAlignment="1" applyProtection="1">
      <alignment horizontal="center" vertical="top" wrapText="1"/>
    </xf>
    <xf numFmtId="0" fontId="20" fillId="3" borderId="1" xfId="0" applyFont="1" applyFill="1" applyBorder="1" applyAlignment="1">
      <alignment horizontal="center" vertical="center" wrapText="1"/>
    </xf>
    <xf numFmtId="0" fontId="9" fillId="3" borderId="1" xfId="0" applyFont="1" applyFill="1" applyBorder="1" applyAlignment="1" applyProtection="1">
      <alignment horizontal="center" vertical="top" wrapText="1"/>
    </xf>
    <xf numFmtId="0" fontId="35" fillId="7" borderId="1" xfId="0" applyFont="1" applyFill="1" applyBorder="1" applyAlignment="1">
      <alignment horizontal="center" vertical="center" wrapText="1"/>
    </xf>
    <xf numFmtId="0" fontId="35" fillId="0" borderId="1" xfId="0" applyFont="1" applyBorder="1" applyAlignment="1" applyProtection="1">
      <alignment horizontal="center" vertical="center" wrapText="1"/>
      <protection locked="0"/>
    </xf>
    <xf numFmtId="0" fontId="35" fillId="0" borderId="1" xfId="0" applyFont="1" applyBorder="1" applyAlignment="1">
      <alignment horizontal="center" vertical="center" wrapText="1"/>
    </xf>
    <xf numFmtId="0" fontId="35" fillId="4" borderId="1" xfId="0" applyFont="1" applyFill="1" applyBorder="1" applyAlignment="1">
      <alignment horizontal="center" vertical="center" wrapText="1"/>
    </xf>
    <xf numFmtId="0" fontId="34" fillId="0" borderId="1" xfId="0" applyFont="1" applyFill="1" applyBorder="1" applyAlignment="1" applyProtection="1">
      <alignment horizontal="center" vertical="center" wrapText="1"/>
      <protection locked="0"/>
    </xf>
    <xf numFmtId="0" fontId="34" fillId="4" borderId="1" xfId="0" applyFont="1" applyFill="1" applyBorder="1" applyAlignment="1">
      <alignment horizontal="center" vertical="center" wrapText="1"/>
    </xf>
    <xf numFmtId="0" fontId="34" fillId="0" borderId="1" xfId="0" applyFont="1" applyBorder="1" applyAlignment="1" applyProtection="1">
      <alignment horizontal="center" vertical="center" wrapText="1"/>
      <protection locked="0"/>
    </xf>
    <xf numFmtId="0" fontId="34" fillId="0" borderId="1" xfId="0" quotePrefix="1" applyFont="1" applyFill="1" applyBorder="1" applyAlignment="1" applyProtection="1">
      <alignment horizontal="center" vertical="center" wrapText="1"/>
      <protection locked="0"/>
    </xf>
    <xf numFmtId="0" fontId="34" fillId="7" borderId="1" xfId="0" applyFont="1" applyFill="1" applyBorder="1" applyAlignment="1">
      <alignment horizontal="center" vertical="center" wrapText="1"/>
    </xf>
    <xf numFmtId="0" fontId="35" fillId="7" borderId="1" xfId="0" applyFont="1" applyFill="1" applyBorder="1" applyAlignment="1" applyProtection="1">
      <alignment horizontal="center" vertical="center" wrapText="1"/>
    </xf>
    <xf numFmtId="0" fontId="35" fillId="7" borderId="1" xfId="0" quotePrefix="1" applyFont="1" applyFill="1" applyBorder="1" applyAlignment="1">
      <alignment horizontal="center" vertical="center" wrapText="1"/>
    </xf>
    <xf numFmtId="0" fontId="40" fillId="7" borderId="1" xfId="0" applyFont="1" applyFill="1" applyBorder="1" applyAlignment="1">
      <alignment horizontal="center" vertical="center" wrapText="1"/>
    </xf>
    <xf numFmtId="0" fontId="34" fillId="0" borderId="1" xfId="0" quotePrefix="1" applyFont="1" applyFill="1" applyBorder="1" applyAlignment="1">
      <alignment horizontal="center" vertical="center" wrapText="1"/>
    </xf>
    <xf numFmtId="0" fontId="35" fillId="0" borderId="1" xfId="0" applyFont="1" applyFill="1" applyBorder="1" applyAlignment="1" applyProtection="1">
      <alignment horizontal="center" vertical="center" wrapText="1"/>
      <protection locked="0"/>
    </xf>
    <xf numFmtId="0" fontId="34" fillId="0" borderId="1" xfId="0" applyFont="1" applyBorder="1" applyAlignment="1" applyProtection="1">
      <alignment horizontal="center" wrapText="1"/>
      <protection locked="0"/>
    </xf>
    <xf numFmtId="165" fontId="34" fillId="0" borderId="1" xfId="0" applyNumberFormat="1" applyFont="1" applyBorder="1" applyAlignment="1" applyProtection="1">
      <alignment horizontal="center" vertical="center" wrapText="1"/>
      <protection locked="0"/>
    </xf>
    <xf numFmtId="0" fontId="35" fillId="0" borderId="1" xfId="0" applyFont="1" applyFill="1" applyBorder="1" applyAlignment="1">
      <alignment horizontal="center" vertical="center" wrapText="1"/>
    </xf>
    <xf numFmtId="2" fontId="34" fillId="4" borderId="1" xfId="0" applyNumberFormat="1" applyFont="1" applyFill="1" applyBorder="1" applyAlignment="1">
      <alignment horizontal="center" vertical="center" wrapText="1"/>
    </xf>
    <xf numFmtId="0" fontId="35" fillId="3" borderId="1" xfId="0" applyFont="1" applyFill="1" applyBorder="1" applyAlignment="1">
      <alignment horizontal="center" vertical="center" wrapText="1"/>
    </xf>
    <xf numFmtId="0" fontId="34" fillId="0" borderId="0" xfId="1" applyFont="1" applyAlignment="1">
      <alignment horizontal="left" vertical="center" wrapText="1"/>
    </xf>
    <xf numFmtId="2" fontId="34" fillId="0" borderId="1" xfId="0" applyNumberFormat="1" applyFont="1" applyFill="1" applyBorder="1" applyAlignment="1" applyProtection="1">
      <alignment horizontal="center" vertical="center" wrapText="1"/>
      <protection locked="0"/>
    </xf>
    <xf numFmtId="0" fontId="34" fillId="0" borderId="0" xfId="1" applyFont="1" applyAlignment="1" applyProtection="1">
      <alignment horizontal="left" vertical="center" wrapText="1"/>
      <protection locked="0"/>
    </xf>
    <xf numFmtId="0" fontId="34" fillId="0" borderId="0" xfId="1" applyFont="1" applyAlignment="1">
      <alignment vertical="center"/>
    </xf>
    <xf numFmtId="0" fontId="34" fillId="0" borderId="0" xfId="1" applyFont="1" applyAlignment="1">
      <alignment horizontal="left" vertical="center"/>
    </xf>
    <xf numFmtId="0" fontId="35" fillId="0" borderId="1" xfId="0" applyFont="1" applyFill="1" applyBorder="1" applyAlignment="1" applyProtection="1">
      <alignment vertical="center" wrapText="1"/>
      <protection locked="0"/>
    </xf>
    <xf numFmtId="0" fontId="11" fillId="0" borderId="1" xfId="0" applyFont="1" applyFill="1" applyBorder="1" applyAlignment="1">
      <alignment horizontal="left" vertical="center" wrapText="1"/>
    </xf>
    <xf numFmtId="0" fontId="34" fillId="4" borderId="1" xfId="0" applyFont="1" applyFill="1" applyBorder="1" applyAlignment="1">
      <alignment horizontal="center" vertical="center" wrapText="1"/>
    </xf>
    <xf numFmtId="0" fontId="39" fillId="0" borderId="1" xfId="0" applyFont="1" applyFill="1" applyBorder="1" applyAlignment="1">
      <alignment vertical="center" wrapText="1"/>
    </xf>
    <xf numFmtId="0" fontId="62" fillId="0" borderId="1" xfId="0" applyFont="1" applyBorder="1" applyAlignment="1" applyProtection="1">
      <alignment horizontal="left" vertical="top" wrapText="1"/>
    </xf>
    <xf numFmtId="0" fontId="20" fillId="0" borderId="0" xfId="0" applyFont="1" applyAlignment="1">
      <alignment horizontal="center" vertical="center" wrapText="1"/>
    </xf>
    <xf numFmtId="0" fontId="48" fillId="0" borderId="1" xfId="0" applyFont="1" applyBorder="1" applyAlignment="1" applyProtection="1">
      <alignment horizontal="center"/>
    </xf>
    <xf numFmtId="0" fontId="48" fillId="0" borderId="1" xfId="0" applyFont="1" applyBorder="1" applyAlignment="1" applyProtection="1">
      <alignment horizontal="left" wrapText="1"/>
    </xf>
    <xf numFmtId="0" fontId="48" fillId="0" borderId="1" xfId="0" applyFont="1" applyBorder="1" applyAlignment="1" applyProtection="1">
      <alignment vertical="top"/>
    </xf>
    <xf numFmtId="0" fontId="63" fillId="0" borderId="1" xfId="0" applyFont="1" applyBorder="1" applyAlignment="1" applyProtection="1">
      <alignment vertical="top" wrapText="1"/>
    </xf>
    <xf numFmtId="0" fontId="64" fillId="0" borderId="1" xfId="0" applyFont="1" applyBorder="1" applyAlignment="1" applyProtection="1">
      <alignment vertical="top" wrapText="1"/>
    </xf>
    <xf numFmtId="0" fontId="52" fillId="0" borderId="0" xfId="0" applyFont="1" applyAlignment="1">
      <alignment wrapText="1"/>
    </xf>
    <xf numFmtId="0" fontId="52" fillId="0" borderId="1" xfId="0" applyFont="1" applyBorder="1" applyAlignment="1" applyProtection="1">
      <alignment horizontal="center" vertical="center"/>
    </xf>
    <xf numFmtId="0" fontId="52" fillId="0" borderId="1" xfId="0" applyFont="1" applyBorder="1" applyAlignment="1" applyProtection="1">
      <alignment horizontal="left" vertical="center" wrapText="1"/>
    </xf>
    <xf numFmtId="0" fontId="52" fillId="0" borderId="1" xfId="0" applyFont="1" applyBorder="1" applyAlignment="1" applyProtection="1">
      <alignment vertical="top"/>
    </xf>
    <xf numFmtId="0" fontId="32" fillId="0" borderId="1" xfId="0" applyFont="1" applyBorder="1" applyAlignment="1" applyProtection="1">
      <alignment vertical="top" wrapText="1"/>
    </xf>
    <xf numFmtId="0" fontId="65" fillId="0" borderId="1" xfId="0" applyFont="1" applyBorder="1" applyAlignment="1" applyProtection="1">
      <alignment vertical="top" wrapText="1"/>
    </xf>
    <xf numFmtId="0" fontId="52" fillId="0" borderId="1" xfId="0" applyFont="1" applyBorder="1" applyAlignment="1" applyProtection="1">
      <alignment horizontal="center"/>
    </xf>
    <xf numFmtId="0" fontId="52" fillId="0" borderId="1" xfId="0" applyFont="1" applyBorder="1" applyAlignment="1" applyProtection="1">
      <alignment horizontal="left" wrapText="1"/>
    </xf>
    <xf numFmtId="0" fontId="48" fillId="0" borderId="1" xfId="0" applyFont="1" applyBorder="1" applyProtection="1"/>
    <xf numFmtId="0" fontId="65" fillId="0" borderId="1" xfId="0" applyFont="1" applyBorder="1" applyAlignment="1" applyProtection="1">
      <alignment vertical="top"/>
    </xf>
    <xf numFmtId="0" fontId="52" fillId="0" borderId="1" xfId="0" applyFont="1" applyBorder="1" applyProtection="1"/>
    <xf numFmtId="0" fontId="52" fillId="0" borderId="1" xfId="0" applyFont="1" applyBorder="1" applyAlignment="1" applyProtection="1">
      <alignment horizontal="left"/>
    </xf>
    <xf numFmtId="0" fontId="52" fillId="0" borderId="1" xfId="0" applyFont="1" applyBorder="1" applyAlignment="1">
      <alignment wrapText="1"/>
    </xf>
    <xf numFmtId="0" fontId="34" fillId="0" borderId="1" xfId="0" applyFont="1" applyBorder="1" applyAlignment="1" applyProtection="1">
      <alignment horizontal="center" vertical="center" wrapText="1"/>
      <protection locked="0"/>
    </xf>
    <xf numFmtId="0" fontId="35" fillId="0" borderId="1" xfId="0" applyFont="1" applyFill="1" applyBorder="1" applyAlignment="1" applyProtection="1">
      <alignment horizontal="center" vertical="center" wrapText="1"/>
      <protection locked="0"/>
    </xf>
    <xf numFmtId="2" fontId="34" fillId="4" borderId="1" xfId="0" applyNumberFormat="1" applyFont="1" applyFill="1" applyBorder="1" applyAlignment="1">
      <alignment horizontal="center" vertical="center" wrapText="1"/>
    </xf>
    <xf numFmtId="0" fontId="34" fillId="0" borderId="1" xfId="0" applyFont="1" applyFill="1" applyBorder="1" applyAlignment="1" applyProtection="1">
      <alignment vertical="center" wrapText="1"/>
      <protection locked="0"/>
    </xf>
    <xf numFmtId="2" fontId="52" fillId="0" borderId="1" xfId="0" applyNumberFormat="1" applyFont="1" applyBorder="1" applyAlignment="1">
      <alignment horizontal="center" vertical="center"/>
    </xf>
    <xf numFmtId="0" fontId="52" fillId="0" borderId="1" xfId="0" applyFont="1" applyBorder="1" applyAlignment="1">
      <alignment horizontal="center" vertical="center"/>
    </xf>
    <xf numFmtId="0" fontId="48" fillId="3" borderId="1" xfId="0" applyFont="1" applyFill="1" applyBorder="1" applyAlignment="1">
      <alignment vertical="center" wrapText="1"/>
    </xf>
    <xf numFmtId="0" fontId="35" fillId="0" borderId="1" xfId="0" applyFont="1" applyBorder="1" applyAlignment="1" applyProtection="1">
      <alignment horizontal="center" vertical="center" wrapText="1"/>
      <protection locked="0"/>
    </xf>
    <xf numFmtId="0" fontId="35" fillId="0" borderId="1" xfId="0" applyFont="1" applyFill="1" applyBorder="1" applyAlignment="1">
      <alignment horizontal="center" vertical="center" wrapText="1"/>
    </xf>
    <xf numFmtId="0" fontId="68" fillId="0" borderId="0" xfId="0" applyFont="1" applyAlignment="1" applyProtection="1">
      <alignment horizontal="left" vertical="center"/>
    </xf>
    <xf numFmtId="0" fontId="67" fillId="0" borderId="0" xfId="0" applyFont="1" applyAlignment="1" applyProtection="1">
      <alignment horizontal="left" vertical="center" wrapText="1"/>
    </xf>
    <xf numFmtId="0" fontId="69" fillId="0" borderId="0" xfId="0" applyFont="1" applyAlignment="1" applyProtection="1">
      <alignment horizontal="center"/>
    </xf>
    <xf numFmtId="0" fontId="69" fillId="0" borderId="0" xfId="0" applyFont="1" applyAlignment="1" applyProtection="1"/>
    <xf numFmtId="0" fontId="69" fillId="0" borderId="0" xfId="0" applyFont="1" applyAlignment="1" applyProtection="1">
      <alignment horizontal="center" vertical="center"/>
    </xf>
    <xf numFmtId="0" fontId="68" fillId="0" borderId="0" xfId="0" applyFont="1" applyAlignment="1" applyProtection="1">
      <alignment vertical="center"/>
    </xf>
    <xf numFmtId="0" fontId="69" fillId="0" borderId="0" xfId="0" applyFont="1" applyAlignment="1" applyProtection="1">
      <alignment wrapText="1"/>
    </xf>
    <xf numFmtId="0" fontId="69" fillId="0" borderId="0" xfId="0" applyFont="1" applyProtection="1"/>
    <xf numFmtId="0" fontId="68" fillId="0" borderId="0" xfId="0" applyFont="1" applyAlignment="1" applyProtection="1">
      <alignment horizontal="left" vertical="center" wrapText="1"/>
    </xf>
    <xf numFmtId="0" fontId="70" fillId="0" borderId="0" xfId="0" applyFont="1" applyAlignment="1" applyProtection="1">
      <alignment horizontal="center" vertical="center" wrapText="1"/>
    </xf>
    <xf numFmtId="0" fontId="69" fillId="0" borderId="0" xfId="0" applyFont="1" applyAlignment="1" applyProtection="1">
      <alignment horizontal="left" vertical="center" wrapText="1"/>
    </xf>
    <xf numFmtId="0" fontId="69" fillId="0" borderId="0" xfId="0" applyFont="1" applyAlignment="1" applyProtection="1">
      <alignment horizontal="center" vertical="center" wrapText="1"/>
    </xf>
    <xf numFmtId="0" fontId="69" fillId="0" borderId="0" xfId="0" applyFont="1" applyBorder="1" applyProtection="1"/>
    <xf numFmtId="0" fontId="52" fillId="0" borderId="0" xfId="0" applyFont="1" applyAlignment="1">
      <alignment vertical="center"/>
    </xf>
    <xf numFmtId="0" fontId="52" fillId="0" borderId="1" xfId="0" applyFont="1" applyBorder="1" applyAlignment="1">
      <alignment horizontal="left" vertical="center"/>
    </xf>
    <xf numFmtId="0" fontId="52" fillId="0" borderId="11" xfId="0" applyFont="1" applyBorder="1" applyAlignment="1">
      <alignment horizontal="left" vertical="center"/>
    </xf>
    <xf numFmtId="0" fontId="49" fillId="3" borderId="1" xfId="0" applyFont="1" applyFill="1" applyBorder="1" applyAlignment="1">
      <alignment horizontal="center" vertical="center"/>
    </xf>
    <xf numFmtId="0" fontId="49" fillId="3" borderId="1" xfId="0" applyFont="1" applyFill="1" applyBorder="1" applyAlignment="1">
      <alignment horizontal="center" vertical="center" wrapText="1"/>
    </xf>
    <xf numFmtId="0" fontId="49" fillId="3" borderId="1" xfId="0" applyFont="1" applyFill="1" applyBorder="1" applyAlignment="1">
      <alignment vertical="center"/>
    </xf>
    <xf numFmtId="0" fontId="48" fillId="7" borderId="1" xfId="0" applyFont="1" applyFill="1" applyBorder="1" applyAlignment="1">
      <alignment horizontal="center" vertical="center"/>
    </xf>
    <xf numFmtId="0" fontId="48" fillId="7" borderId="1" xfId="0" applyFont="1" applyFill="1" applyBorder="1" applyAlignment="1">
      <alignment vertical="center" wrapText="1"/>
    </xf>
    <xf numFmtId="0" fontId="48" fillId="7" borderId="1" xfId="0" applyFont="1" applyFill="1" applyBorder="1" applyAlignment="1">
      <alignment horizontal="center" vertical="center" wrapText="1"/>
    </xf>
    <xf numFmtId="0" fontId="48" fillId="7" borderId="1" xfId="0" applyFont="1" applyFill="1" applyBorder="1" applyAlignment="1">
      <alignment vertical="center"/>
    </xf>
    <xf numFmtId="0" fontId="52" fillId="0" borderId="0" xfId="0" applyFont="1" applyFill="1" applyAlignment="1">
      <alignment vertical="center"/>
    </xf>
    <xf numFmtId="0" fontId="52" fillId="0" borderId="1" xfId="0" applyFont="1" applyBorder="1" applyAlignment="1">
      <alignment vertical="center" wrapText="1"/>
    </xf>
    <xf numFmtId="0" fontId="52" fillId="0" borderId="1" xfId="0" applyFont="1" applyBorder="1" applyAlignment="1">
      <alignment vertical="center"/>
    </xf>
    <xf numFmtId="2" fontId="48" fillId="7" borderId="1" xfId="0" applyNumberFormat="1" applyFont="1" applyFill="1" applyBorder="1" applyAlignment="1">
      <alignment horizontal="center" vertical="center"/>
    </xf>
    <xf numFmtId="165" fontId="52" fillId="0" borderId="1" xfId="0" applyNumberFormat="1" applyFont="1" applyBorder="1" applyAlignment="1">
      <alignment horizontal="center" vertical="center"/>
    </xf>
    <xf numFmtId="0" fontId="52" fillId="0" borderId="0" xfId="0" applyFont="1" applyAlignment="1">
      <alignment horizontal="center" vertical="center"/>
    </xf>
    <xf numFmtId="0" fontId="48" fillId="12" borderId="1" xfId="0" applyFont="1" applyFill="1" applyBorder="1" applyAlignment="1">
      <alignment horizontal="center" vertical="center"/>
    </xf>
    <xf numFmtId="0" fontId="48" fillId="12" borderId="1" xfId="0" applyFont="1" applyFill="1" applyBorder="1" applyAlignment="1">
      <alignment vertical="center" wrapText="1"/>
    </xf>
    <xf numFmtId="0" fontId="48" fillId="12" borderId="1" xfId="0" applyFont="1" applyFill="1" applyBorder="1" applyAlignment="1">
      <alignment vertical="center"/>
    </xf>
    <xf numFmtId="0" fontId="52" fillId="0" borderId="1" xfId="0" applyFont="1" applyBorder="1" applyAlignment="1">
      <alignment horizontal="left" vertical="center" wrapText="1"/>
    </xf>
    <xf numFmtId="0" fontId="48" fillId="0" borderId="1" xfId="0" applyFont="1" applyFill="1" applyBorder="1" applyAlignment="1">
      <alignment horizontal="center" vertical="center"/>
    </xf>
    <xf numFmtId="0" fontId="48" fillId="0" borderId="1" xfId="0" applyFont="1" applyFill="1" applyBorder="1" applyAlignment="1">
      <alignment vertical="center"/>
    </xf>
    <xf numFmtId="0" fontId="52" fillId="0" borderId="1" xfId="0" quotePrefix="1" applyFont="1" applyBorder="1" applyAlignment="1">
      <alignment vertical="center" wrapText="1"/>
    </xf>
    <xf numFmtId="1" fontId="52" fillId="0" borderId="1" xfId="0" applyNumberFormat="1" applyFont="1" applyBorder="1" applyAlignment="1">
      <alignment horizontal="center" vertical="center"/>
    </xf>
    <xf numFmtId="0" fontId="48" fillId="8" borderId="1" xfId="0" applyFont="1" applyFill="1" applyBorder="1" applyAlignment="1">
      <alignment horizontal="center" vertical="center"/>
    </xf>
    <xf numFmtId="0" fontId="48" fillId="8" borderId="1" xfId="0" applyFont="1" applyFill="1" applyBorder="1" applyAlignment="1">
      <alignment vertical="center" wrapText="1"/>
    </xf>
    <xf numFmtId="2" fontId="48" fillId="8" borderId="1" xfId="0" applyNumberFormat="1" applyFont="1" applyFill="1" applyBorder="1" applyAlignment="1">
      <alignment horizontal="center" vertical="center"/>
    </xf>
    <xf numFmtId="2" fontId="48" fillId="8" borderId="1" xfId="0" applyNumberFormat="1" applyFont="1" applyFill="1" applyBorder="1" applyAlignment="1">
      <alignment vertical="center"/>
    </xf>
    <xf numFmtId="0" fontId="48" fillId="8" borderId="1" xfId="0" applyFont="1" applyFill="1" applyBorder="1" applyAlignment="1">
      <alignment vertical="center"/>
    </xf>
    <xf numFmtId="165" fontId="48" fillId="8" borderId="1" xfId="0" applyNumberFormat="1" applyFont="1" applyFill="1" applyBorder="1" applyAlignment="1">
      <alignment horizontal="center" vertical="center"/>
    </xf>
    <xf numFmtId="0" fontId="48" fillId="0" borderId="1" xfId="0" applyFont="1" applyFill="1" applyBorder="1" applyAlignment="1">
      <alignment vertical="center" wrapText="1"/>
    </xf>
    <xf numFmtId="165" fontId="48" fillId="0" borderId="1" xfId="0" applyNumberFormat="1" applyFont="1" applyFill="1" applyBorder="1" applyAlignment="1">
      <alignment horizontal="center" vertical="center"/>
    </xf>
    <xf numFmtId="0" fontId="48" fillId="0" borderId="0" xfId="0" applyFont="1" applyFill="1" applyAlignment="1">
      <alignment vertical="center"/>
    </xf>
    <xf numFmtId="0" fontId="52" fillId="0" borderId="1" xfId="0" applyFont="1" applyFill="1" applyBorder="1" applyAlignment="1">
      <alignment vertical="center" wrapText="1"/>
    </xf>
    <xf numFmtId="0" fontId="52" fillId="0" borderId="0" xfId="0" applyFont="1" applyAlignment="1">
      <alignment vertical="center" wrapText="1"/>
    </xf>
    <xf numFmtId="0" fontId="35" fillId="7" borderId="1" xfId="0" quotePrefix="1" applyFont="1" applyFill="1" applyBorder="1" applyAlignment="1">
      <alignment horizontal="center" vertical="center" wrapText="1"/>
    </xf>
    <xf numFmtId="2" fontId="48" fillId="12" borderId="1" xfId="0" applyNumberFormat="1" applyFont="1" applyFill="1" applyBorder="1" applyAlignment="1">
      <alignment horizontal="center" vertical="center"/>
    </xf>
    <xf numFmtId="0" fontId="0" fillId="0" borderId="1" xfId="0" applyFont="1" applyFill="1" applyBorder="1"/>
    <xf numFmtId="2" fontId="9" fillId="0" borderId="1" xfId="0" applyNumberFormat="1" applyFont="1" applyFill="1" applyBorder="1" applyAlignment="1">
      <alignment horizontal="center"/>
    </xf>
    <xf numFmtId="0" fontId="0" fillId="0" borderId="1" xfId="0" applyFont="1" applyFill="1" applyBorder="1" applyAlignment="1">
      <alignment horizontal="center"/>
    </xf>
    <xf numFmtId="2" fontId="48" fillId="0" borderId="1" xfId="0" applyNumberFormat="1" applyFont="1" applyFill="1" applyBorder="1" applyAlignment="1">
      <alignment horizontal="center" vertical="center" wrapText="1"/>
    </xf>
    <xf numFmtId="0" fontId="52" fillId="0" borderId="0" xfId="0" applyFont="1" applyAlignment="1">
      <alignment horizontal="center" vertical="center" wrapText="1"/>
    </xf>
    <xf numFmtId="2" fontId="34" fillId="4" borderId="1" xfId="0" applyNumberFormat="1" applyFont="1" applyFill="1" applyBorder="1" applyAlignment="1">
      <alignment horizontal="center" vertical="center" wrapText="1"/>
    </xf>
    <xf numFmtId="2" fontId="48" fillId="0" borderId="1" xfId="0" applyNumberFormat="1" applyFont="1" applyFill="1" applyBorder="1" applyAlignment="1">
      <alignment horizontal="center" vertical="center" wrapText="1" readingOrder="1"/>
    </xf>
    <xf numFmtId="2" fontId="52" fillId="0" borderId="1" xfId="0" applyNumberFormat="1" applyFont="1" applyFill="1" applyBorder="1" applyAlignment="1">
      <alignment horizontal="center" vertical="center" wrapText="1" readingOrder="1"/>
    </xf>
    <xf numFmtId="0" fontId="52" fillId="0" borderId="1" xfId="0" applyFont="1" applyFill="1" applyBorder="1" applyAlignment="1">
      <alignment horizontal="center" vertical="center" wrapText="1" readingOrder="1"/>
    </xf>
    <xf numFmtId="0" fontId="20" fillId="0" borderId="1" xfId="0" applyFont="1" applyFill="1" applyBorder="1" applyAlignment="1">
      <alignment horizontal="left" vertical="center" wrapText="1"/>
    </xf>
    <xf numFmtId="0" fontId="62" fillId="0" borderId="1" xfId="0" applyFont="1" applyFill="1" applyBorder="1" applyAlignment="1" applyProtection="1">
      <alignment horizontal="left" vertical="top" wrapText="1"/>
    </xf>
    <xf numFmtId="0" fontId="20" fillId="0" borderId="1" xfId="0" applyFont="1" applyFill="1" applyBorder="1" applyAlignment="1">
      <alignment vertical="center" wrapText="1"/>
    </xf>
    <xf numFmtId="0" fontId="62" fillId="0" borderId="1" xfId="0" applyFont="1" applyFill="1" applyBorder="1" applyAlignment="1" applyProtection="1">
      <alignment vertical="top" wrapText="1"/>
    </xf>
    <xf numFmtId="0" fontId="11" fillId="0" borderId="0" xfId="0" applyFont="1" applyFill="1" applyAlignment="1">
      <alignment horizontal="left" vertical="center" wrapText="1"/>
    </xf>
    <xf numFmtId="2" fontId="0" fillId="0" borderId="1" xfId="0" applyNumberFormat="1" applyFill="1" applyBorder="1" applyAlignment="1" applyProtection="1">
      <alignment horizontal="center" vertical="center"/>
    </xf>
    <xf numFmtId="0" fontId="52" fillId="0" borderId="0" xfId="0" applyFont="1" applyFill="1" applyAlignment="1">
      <alignment horizontal="center" vertical="center"/>
    </xf>
    <xf numFmtId="0" fontId="52" fillId="0" borderId="1" xfId="0" applyFont="1" applyFill="1" applyBorder="1" applyAlignment="1">
      <alignment horizontal="center"/>
    </xf>
    <xf numFmtId="0" fontId="0" fillId="0" borderId="0" xfId="0" applyFont="1" applyFill="1"/>
    <xf numFmtId="0" fontId="0" fillId="0" borderId="0" xfId="0" applyFont="1" applyFill="1" applyAlignment="1">
      <alignment horizontal="center" vertical="center"/>
    </xf>
    <xf numFmtId="0" fontId="52" fillId="0" borderId="1" xfId="0" applyFont="1" applyFill="1" applyBorder="1" applyAlignment="1"/>
    <xf numFmtId="0" fontId="52" fillId="0" borderId="1" xfId="0" applyFont="1" applyFill="1" applyBorder="1"/>
    <xf numFmtId="0" fontId="18" fillId="0" borderId="1" xfId="0" applyFont="1" applyFill="1" applyBorder="1" applyAlignment="1">
      <alignment horizontal="left" vertical="center"/>
    </xf>
    <xf numFmtId="0" fontId="9" fillId="0" borderId="1" xfId="0" applyFont="1" applyFill="1" applyBorder="1" applyAlignment="1">
      <alignment horizontal="center"/>
    </xf>
    <xf numFmtId="164" fontId="0" fillId="0" borderId="1" xfId="0" applyNumberFormat="1" applyFont="1" applyFill="1" applyBorder="1"/>
    <xf numFmtId="0" fontId="18" fillId="0" borderId="1" xfId="0" quotePrefix="1" applyFont="1" applyFill="1" applyBorder="1" applyAlignment="1">
      <alignment horizontal="left" vertical="center" wrapText="1"/>
    </xf>
    <xf numFmtId="0" fontId="18" fillId="0" borderId="1" xfId="0" applyFont="1" applyFill="1" applyBorder="1" applyAlignment="1">
      <alignment horizontal="center" vertical="center" wrapText="1"/>
    </xf>
    <xf numFmtId="0" fontId="53" fillId="0" borderId="1" xfId="0" applyFont="1" applyFill="1" applyBorder="1" applyAlignment="1">
      <alignment horizontal="left" vertical="center" wrapText="1"/>
    </xf>
    <xf numFmtId="2" fontId="52" fillId="0" borderId="1" xfId="0" applyNumberFormat="1" applyFont="1" applyFill="1" applyBorder="1" applyAlignment="1">
      <alignment vertical="center" wrapText="1"/>
    </xf>
    <xf numFmtId="2" fontId="60" fillId="0" borderId="0" xfId="0" applyNumberFormat="1" applyFont="1" applyFill="1" applyBorder="1" applyAlignment="1">
      <alignment vertical="center" wrapText="1"/>
    </xf>
    <xf numFmtId="0" fontId="2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29" fillId="0"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2" fontId="48" fillId="0" borderId="1" xfId="0" applyNumberFormat="1" applyFont="1" applyFill="1" applyBorder="1" applyAlignment="1">
      <alignment vertical="center" wrapText="1"/>
    </xf>
    <xf numFmtId="2" fontId="61" fillId="0" borderId="0" xfId="0" applyNumberFormat="1" applyFont="1" applyFill="1" applyBorder="1" applyAlignment="1">
      <alignment vertical="center" wrapText="1"/>
    </xf>
    <xf numFmtId="0" fontId="9" fillId="0" borderId="0" xfId="0" applyFont="1" applyFill="1" applyAlignment="1">
      <alignment horizontal="center" vertical="center" wrapText="1"/>
    </xf>
    <xf numFmtId="0" fontId="0" fillId="0" borderId="1" xfId="0" applyFill="1" applyBorder="1" applyAlignment="1">
      <alignment horizontal="left" vertical="center" wrapText="1"/>
    </xf>
    <xf numFmtId="0" fontId="18" fillId="0" borderId="1" xfId="0" applyFont="1" applyFill="1" applyBorder="1" applyAlignment="1">
      <alignment vertical="center" wrapText="1"/>
    </xf>
    <xf numFmtId="2" fontId="0" fillId="0" borderId="1" xfId="0" applyNumberFormat="1" applyFill="1" applyBorder="1" applyAlignment="1">
      <alignment horizontal="center" vertical="center"/>
    </xf>
    <xf numFmtId="0" fontId="15" fillId="0" borderId="1" xfId="0" applyFont="1" applyFill="1" applyBorder="1" applyAlignment="1">
      <alignment horizontal="left" vertical="center" wrapText="1"/>
    </xf>
    <xf numFmtId="0" fontId="31" fillId="0" borderId="1" xfId="0" applyFont="1" applyFill="1" applyBorder="1" applyAlignment="1">
      <alignment vertical="center"/>
    </xf>
    <xf numFmtId="0" fontId="15" fillId="0" borderId="1" xfId="0" applyFont="1" applyFill="1" applyBorder="1" applyAlignment="1">
      <alignment horizontal="center" vertical="center"/>
    </xf>
    <xf numFmtId="166" fontId="15" fillId="0" borderId="1" xfId="0" applyNumberFormat="1" applyFont="1" applyFill="1" applyBorder="1" applyAlignment="1">
      <alignment horizontal="center" vertical="center"/>
    </xf>
    <xf numFmtId="0" fontId="15" fillId="0" borderId="1" xfId="0" applyFont="1" applyFill="1" applyBorder="1" applyAlignment="1">
      <alignment vertical="center"/>
    </xf>
    <xf numFmtId="0" fontId="15" fillId="0" borderId="0" xfId="0" applyFont="1" applyFill="1" applyAlignment="1">
      <alignment vertical="center"/>
    </xf>
    <xf numFmtId="2" fontId="15" fillId="0" borderId="0" xfId="0" applyNumberFormat="1" applyFont="1" applyFill="1" applyAlignment="1">
      <alignment vertical="center"/>
    </xf>
    <xf numFmtId="2" fontId="0" fillId="0" borderId="7" xfId="0" applyNumberFormat="1" applyFill="1" applyBorder="1" applyAlignment="1">
      <alignment horizontal="center" vertical="center" wrapText="1"/>
    </xf>
    <xf numFmtId="0" fontId="20" fillId="5" borderId="8" xfId="0" applyFont="1" applyFill="1" applyBorder="1" applyAlignment="1">
      <alignment horizontal="center" vertical="center" wrapText="1"/>
    </xf>
    <xf numFmtId="0" fontId="20" fillId="5" borderId="11" xfId="0" applyFont="1" applyFill="1" applyBorder="1" applyAlignment="1">
      <alignment horizontal="center" vertical="center" wrapText="1"/>
    </xf>
    <xf numFmtId="0" fontId="20" fillId="13" borderId="2" xfId="0" applyFont="1" applyFill="1" applyBorder="1" applyAlignment="1">
      <alignment horizontal="center" vertical="center" wrapText="1"/>
    </xf>
    <xf numFmtId="0" fontId="20" fillId="13" borderId="3" xfId="0" applyFont="1" applyFill="1" applyBorder="1" applyAlignment="1">
      <alignment horizontal="center" vertical="center" wrapText="1"/>
    </xf>
    <xf numFmtId="0" fontId="20" fillId="13" borderId="4" xfId="0" applyFont="1" applyFill="1" applyBorder="1" applyAlignment="1">
      <alignment horizontal="center" vertical="center" wrapText="1"/>
    </xf>
    <xf numFmtId="0" fontId="9" fillId="13" borderId="2" xfId="0" applyFont="1" applyFill="1" applyBorder="1" applyAlignment="1">
      <alignment horizontal="center" vertical="center" wrapText="1"/>
    </xf>
    <xf numFmtId="0" fontId="9" fillId="13" borderId="3" xfId="0" applyFont="1" applyFill="1" applyBorder="1" applyAlignment="1">
      <alignment horizontal="center" vertical="center" wrapText="1"/>
    </xf>
    <xf numFmtId="0" fontId="9" fillId="13" borderId="4"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9" fillId="9" borderId="3"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16" fillId="0" borderId="1" xfId="0" applyFont="1" applyBorder="1" applyAlignment="1" applyProtection="1">
      <alignment horizontal="center" vertical="center" wrapText="1"/>
    </xf>
    <xf numFmtId="0" fontId="16" fillId="7" borderId="1" xfId="0" applyFont="1" applyFill="1" applyBorder="1" applyAlignment="1" applyProtection="1">
      <alignment horizontal="center" vertical="center" wrapText="1"/>
    </xf>
    <xf numFmtId="0" fontId="8" fillId="0" borderId="2" xfId="0" applyFont="1" applyBorder="1" applyAlignment="1" applyProtection="1">
      <alignment horizontal="center" vertical="center" wrapText="1"/>
    </xf>
    <xf numFmtId="0" fontId="8" fillId="0" borderId="3" xfId="0" applyFont="1" applyBorder="1" applyAlignment="1" applyProtection="1">
      <alignment horizontal="center" vertical="center" wrapText="1"/>
    </xf>
    <xf numFmtId="0" fontId="8" fillId="0" borderId="4" xfId="0" applyFont="1" applyBorder="1" applyAlignment="1" applyProtection="1">
      <alignment horizontal="center" vertical="center" wrapText="1"/>
    </xf>
    <xf numFmtId="0" fontId="7" fillId="0" borderId="5" xfId="0" applyFont="1" applyBorder="1" applyAlignment="1" applyProtection="1">
      <alignment horizontal="center" vertical="center" wrapText="1"/>
    </xf>
    <xf numFmtId="0" fontId="7" fillId="0" borderId="7" xfId="0" applyFont="1" applyBorder="1" applyAlignment="1" applyProtection="1">
      <alignment horizontal="center" vertical="center" wrapText="1"/>
    </xf>
    <xf numFmtId="0" fontId="16" fillId="7" borderId="2" xfId="0" applyFont="1" applyFill="1" applyBorder="1" applyAlignment="1" applyProtection="1">
      <alignment horizontal="left" vertical="center" wrapText="1"/>
    </xf>
    <xf numFmtId="0" fontId="16" fillId="7" borderId="3" xfId="0" applyFont="1" applyFill="1" applyBorder="1" applyAlignment="1" applyProtection="1">
      <alignment horizontal="left" vertical="center" wrapText="1"/>
    </xf>
    <xf numFmtId="0" fontId="16" fillId="7" borderId="4" xfId="0" applyFont="1" applyFill="1" applyBorder="1" applyAlignment="1" applyProtection="1">
      <alignment horizontal="left" vertical="center" wrapText="1"/>
    </xf>
    <xf numFmtId="0" fontId="8" fillId="0" borderId="5" xfId="0" applyFont="1" applyBorder="1" applyAlignment="1" applyProtection="1">
      <alignment horizontal="left" vertical="center" wrapText="1"/>
    </xf>
    <xf numFmtId="0" fontId="8" fillId="0" borderId="7" xfId="0" applyFont="1" applyBorder="1" applyAlignment="1" applyProtection="1">
      <alignment horizontal="left" vertical="center" wrapText="1"/>
    </xf>
    <xf numFmtId="0" fontId="7" fillId="0" borderId="2" xfId="0" applyFont="1" applyBorder="1" applyAlignment="1" applyProtection="1">
      <alignment horizontal="center" vertical="center" wrapText="1"/>
    </xf>
    <xf numFmtId="0" fontId="7" fillId="0" borderId="4" xfId="0" applyFont="1" applyBorder="1" applyAlignment="1" applyProtection="1">
      <alignment horizontal="center" vertical="center" wrapText="1"/>
    </xf>
    <xf numFmtId="0" fontId="8" fillId="0" borderId="2" xfId="0" applyFont="1" applyBorder="1" applyAlignment="1" applyProtection="1">
      <alignment horizontal="left" vertical="center" wrapText="1"/>
    </xf>
    <xf numFmtId="0" fontId="8" fillId="0" borderId="3" xfId="0" applyFont="1" applyBorder="1" applyAlignment="1" applyProtection="1">
      <alignment horizontal="left" vertical="center" wrapText="1"/>
    </xf>
    <xf numFmtId="0" fontId="8" fillId="0" borderId="4" xfId="0" applyFont="1" applyBorder="1" applyAlignment="1" applyProtection="1">
      <alignment horizontal="left" vertical="center" wrapText="1"/>
    </xf>
    <xf numFmtId="0" fontId="7" fillId="0" borderId="2" xfId="0" applyFont="1" applyBorder="1" applyAlignment="1" applyProtection="1">
      <alignment horizontal="left" vertical="center" wrapText="1"/>
    </xf>
    <xf numFmtId="0" fontId="7" fillId="0" borderId="3" xfId="0" applyFont="1" applyBorder="1" applyAlignment="1" applyProtection="1">
      <alignment horizontal="left" vertical="center" wrapText="1"/>
    </xf>
    <xf numFmtId="0" fontId="7" fillId="0" borderId="4"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4" xfId="0" applyFont="1" applyBorder="1" applyAlignment="1" applyProtection="1">
      <alignment horizontal="left" vertical="center" wrapText="1"/>
    </xf>
    <xf numFmtId="0" fontId="24" fillId="0" borderId="1" xfId="0" applyFont="1" applyBorder="1" applyAlignment="1" applyProtection="1">
      <alignment horizontal="center" vertical="center" wrapText="1"/>
    </xf>
    <xf numFmtId="0" fontId="24" fillId="0" borderId="5" xfId="0" applyFont="1" applyBorder="1" applyAlignment="1" applyProtection="1">
      <alignment horizontal="center" vertical="center" wrapText="1"/>
    </xf>
    <xf numFmtId="0" fontId="24" fillId="0" borderId="7" xfId="0" applyFont="1" applyBorder="1" applyAlignment="1" applyProtection="1">
      <alignment horizontal="center" vertical="center" wrapText="1"/>
    </xf>
    <xf numFmtId="0" fontId="25" fillId="0" borderId="5" xfId="0" applyFont="1" applyBorder="1" applyAlignment="1" applyProtection="1">
      <alignment horizontal="left" vertical="center" wrapText="1"/>
    </xf>
    <xf numFmtId="0" fontId="25" fillId="0" borderId="7" xfId="0" applyFont="1" applyBorder="1" applyAlignment="1" applyProtection="1">
      <alignment horizontal="left" vertical="center" wrapText="1"/>
    </xf>
    <xf numFmtId="0" fontId="25" fillId="0" borderId="2" xfId="0" applyFont="1" applyBorder="1" applyAlignment="1" applyProtection="1">
      <alignment horizontal="center" vertical="center" wrapText="1"/>
    </xf>
    <xf numFmtId="0" fontId="25" fillId="0" borderId="4" xfId="0" applyFont="1" applyBorder="1" applyAlignment="1" applyProtection="1">
      <alignment horizontal="center" vertical="center" wrapText="1"/>
    </xf>
    <xf numFmtId="0" fontId="25" fillId="0" borderId="1" xfId="0" applyFont="1" applyBorder="1" applyAlignment="1" applyProtection="1">
      <alignment vertical="center" wrapText="1"/>
    </xf>
    <xf numFmtId="0" fontId="67" fillId="0" borderId="0" xfId="0" applyFont="1" applyAlignment="1" applyProtection="1">
      <alignment horizontal="left" vertical="center" wrapText="1"/>
    </xf>
    <xf numFmtId="0" fontId="27" fillId="0" borderId="0" xfId="0" applyFont="1" applyBorder="1" applyAlignment="1" applyProtection="1">
      <alignment horizontal="left" vertical="center" wrapText="1"/>
    </xf>
    <xf numFmtId="0" fontId="27" fillId="0" borderId="10" xfId="0" applyFont="1" applyBorder="1" applyAlignment="1" applyProtection="1">
      <alignment horizontal="left" vertical="center" wrapText="1"/>
    </xf>
    <xf numFmtId="0" fontId="24" fillId="0" borderId="6" xfId="0" applyFont="1" applyBorder="1" applyAlignment="1" applyProtection="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pplyProtection="1">
      <alignment horizontal="center" vertical="center" wrapText="1"/>
      <protection locked="0"/>
    </xf>
    <xf numFmtId="0" fontId="28" fillId="0" borderId="2" xfId="2"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4" fillId="3"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2" fillId="7" borderId="2"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0" borderId="3" xfId="0" applyFont="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35" fillId="0" borderId="1" xfId="0" applyFont="1" applyFill="1" applyBorder="1" applyAlignment="1" applyProtection="1">
      <alignment horizontal="center" vertical="center" wrapText="1"/>
      <protection locked="0"/>
    </xf>
    <xf numFmtId="0" fontId="34" fillId="8" borderId="2" xfId="0" applyFont="1" applyFill="1" applyBorder="1" applyAlignment="1" applyProtection="1">
      <alignment horizontal="center" vertical="center" wrapText="1"/>
      <protection locked="0"/>
    </xf>
    <xf numFmtId="0" fontId="34" fillId="8" borderId="4" xfId="0" applyFont="1" applyFill="1" applyBorder="1" applyAlignment="1" applyProtection="1">
      <alignment horizontal="center" vertical="center" wrapText="1"/>
      <protection locked="0"/>
    </xf>
    <xf numFmtId="0" fontId="34" fillId="8" borderId="1" xfId="0" applyFont="1" applyFill="1" applyBorder="1" applyAlignment="1" applyProtection="1">
      <alignment horizontal="center" vertical="center" wrapText="1"/>
      <protection locked="0"/>
    </xf>
    <xf numFmtId="0" fontId="35" fillId="4" borderId="1" xfId="0" applyFont="1" applyFill="1" applyBorder="1" applyAlignment="1">
      <alignment horizontal="center" vertical="center" wrapText="1"/>
    </xf>
    <xf numFmtId="0" fontId="34" fillId="7" borderId="1" xfId="0" applyFont="1" applyFill="1" applyBorder="1" applyAlignment="1">
      <alignment horizontal="left" vertical="center" wrapText="1"/>
    </xf>
    <xf numFmtId="0" fontId="35" fillId="0" borderId="2" xfId="0" applyFont="1" applyFill="1" applyBorder="1" applyAlignment="1" applyProtection="1">
      <alignment horizontal="center" vertical="center" wrapText="1"/>
      <protection locked="0"/>
    </xf>
    <xf numFmtId="0" fontId="35" fillId="0" borderId="4" xfId="0" applyFont="1" applyFill="1" applyBorder="1" applyAlignment="1" applyProtection="1">
      <alignment horizontal="center" vertical="center" wrapText="1"/>
      <protection locked="0"/>
    </xf>
    <xf numFmtId="0" fontId="35" fillId="7" borderId="1" xfId="0" applyFont="1" applyFill="1" applyBorder="1" applyAlignment="1">
      <alignment horizontal="center" vertical="center" wrapText="1"/>
    </xf>
    <xf numFmtId="0" fontId="43" fillId="7" borderId="1" xfId="0" applyFont="1" applyFill="1" applyBorder="1" applyAlignment="1">
      <alignment horizontal="left" vertical="center" wrapText="1"/>
    </xf>
    <xf numFmtId="0" fontId="35" fillId="7" borderId="1" xfId="0" applyFont="1" applyFill="1" applyBorder="1" applyAlignment="1">
      <alignment horizontal="left" vertical="center" wrapText="1"/>
    </xf>
    <xf numFmtId="0" fontId="34" fillId="7" borderId="1" xfId="0" applyFont="1" applyFill="1" applyBorder="1" applyAlignment="1">
      <alignment horizontal="center" vertical="center" wrapText="1"/>
    </xf>
    <xf numFmtId="0" fontId="34" fillId="0" borderId="1" xfId="0" applyFont="1" applyBorder="1" applyAlignment="1" applyProtection="1">
      <alignment horizontal="center" vertical="center" wrapText="1"/>
      <protection locked="0"/>
    </xf>
    <xf numFmtId="0" fontId="34" fillId="7" borderId="1" xfId="0" applyFont="1" applyFill="1" applyBorder="1" applyAlignment="1" applyProtection="1">
      <alignment horizontal="left" vertical="center" wrapText="1"/>
    </xf>
    <xf numFmtId="0" fontId="35" fillId="4" borderId="1" xfId="0" applyFont="1" applyFill="1" applyBorder="1" applyAlignment="1" applyProtection="1">
      <alignment horizontal="center" vertical="center" wrapText="1"/>
    </xf>
    <xf numFmtId="0" fontId="34" fillId="0" borderId="2" xfId="0" applyFont="1" applyFill="1" applyBorder="1" applyAlignment="1">
      <alignment horizontal="left" vertical="center" wrapText="1"/>
    </xf>
    <xf numFmtId="0" fontId="34" fillId="0" borderId="3" xfId="0" applyFont="1" applyFill="1" applyBorder="1" applyAlignment="1">
      <alignment horizontal="left" vertical="center" wrapText="1"/>
    </xf>
    <xf numFmtId="0" fontId="34" fillId="0" borderId="4" xfId="0" applyFont="1" applyFill="1" applyBorder="1" applyAlignment="1">
      <alignment horizontal="left" vertical="center" wrapText="1"/>
    </xf>
    <xf numFmtId="0" fontId="34" fillId="7" borderId="2" xfId="0" applyFont="1" applyFill="1" applyBorder="1" applyAlignment="1">
      <alignment horizontal="left" vertical="center" wrapText="1"/>
    </xf>
    <xf numFmtId="0" fontId="34" fillId="7" borderId="3" xfId="0" applyFont="1" applyFill="1" applyBorder="1" applyAlignment="1">
      <alignment horizontal="left" vertical="center" wrapText="1"/>
    </xf>
    <xf numFmtId="0" fontId="34" fillId="7" borderId="4" xfId="0" applyFont="1" applyFill="1" applyBorder="1" applyAlignment="1">
      <alignment horizontal="left" vertical="center" wrapText="1"/>
    </xf>
    <xf numFmtId="0" fontId="35" fillId="0" borderId="3" xfId="0" applyFont="1" applyFill="1" applyBorder="1" applyAlignment="1" applyProtection="1">
      <alignment horizontal="center" vertical="center" wrapText="1"/>
      <protection locked="0"/>
    </xf>
    <xf numFmtId="0" fontId="35" fillId="7" borderId="1" xfId="0" quotePrefix="1" applyFont="1" applyFill="1" applyBorder="1" applyAlignment="1">
      <alignment horizontal="center" vertical="center" wrapText="1"/>
    </xf>
    <xf numFmtId="0" fontId="35" fillId="7" borderId="2" xfId="0" applyFont="1" applyFill="1" applyBorder="1" applyAlignment="1">
      <alignment horizontal="center" vertical="center" wrapText="1"/>
    </xf>
    <xf numFmtId="0" fontId="35" fillId="7" borderId="4" xfId="0" applyFont="1" applyFill="1" applyBorder="1" applyAlignment="1">
      <alignment horizontal="center" vertical="center" wrapText="1"/>
    </xf>
    <xf numFmtId="0" fontId="35" fillId="0" borderId="1" xfId="0" applyFont="1" applyBorder="1" applyAlignment="1">
      <alignment horizontal="left" vertical="center" wrapText="1"/>
    </xf>
    <xf numFmtId="0" fontId="35" fillId="0" borderId="1" xfId="0" applyFont="1" applyBorder="1" applyAlignment="1" applyProtection="1">
      <alignment horizontal="center" vertical="center" wrapText="1"/>
      <protection locked="0"/>
    </xf>
    <xf numFmtId="0" fontId="34" fillId="0" borderId="1" xfId="0" applyFont="1" applyFill="1" applyBorder="1" applyAlignment="1" applyProtection="1">
      <alignment horizontal="center" vertical="center" wrapText="1"/>
      <protection locked="0"/>
    </xf>
    <xf numFmtId="0" fontId="34" fillId="0" borderId="1" xfId="0" applyFont="1" applyFill="1" applyBorder="1" applyAlignment="1">
      <alignment horizontal="left" vertical="center" wrapText="1"/>
    </xf>
    <xf numFmtId="0" fontId="35" fillId="3" borderId="1" xfId="0" applyFont="1" applyFill="1" applyBorder="1" applyAlignment="1">
      <alignment horizontal="left" vertical="center" wrapText="1"/>
    </xf>
    <xf numFmtId="0" fontId="34" fillId="0" borderId="1" xfId="0" applyFont="1" applyBorder="1" applyAlignment="1">
      <alignment horizontal="left" vertical="center" wrapText="1"/>
    </xf>
    <xf numFmtId="0" fontId="35" fillId="3" borderId="1" xfId="0" applyFont="1" applyFill="1" applyBorder="1" applyAlignment="1" applyProtection="1">
      <alignment horizontal="left" vertical="center" wrapText="1"/>
    </xf>
    <xf numFmtId="0" fontId="34" fillId="0" borderId="0" xfId="1" applyFont="1" applyAlignment="1">
      <alignment horizontal="left" vertical="center" wrapText="1"/>
    </xf>
    <xf numFmtId="0" fontId="34" fillId="0" borderId="2" xfId="0" applyFont="1" applyBorder="1" applyAlignment="1" applyProtection="1">
      <alignment horizontal="center" vertical="center" wrapText="1"/>
      <protection locked="0"/>
    </xf>
    <xf numFmtId="0" fontId="34" fillId="0" borderId="4" xfId="0" applyFont="1" applyBorder="1" applyAlignment="1" applyProtection="1">
      <alignment horizontal="center" vertical="center" wrapText="1"/>
      <protection locked="0"/>
    </xf>
    <xf numFmtId="0" fontId="34" fillId="0" borderId="1" xfId="0" applyFont="1" applyFill="1" applyBorder="1" applyAlignment="1" applyProtection="1">
      <alignment horizontal="left" vertical="center" wrapText="1"/>
    </xf>
    <xf numFmtId="0" fontId="35" fillId="7" borderId="1" xfId="0" applyFont="1" applyFill="1" applyBorder="1" applyAlignment="1" applyProtection="1">
      <alignment horizontal="left" vertical="center" wrapText="1"/>
    </xf>
    <xf numFmtId="0" fontId="35" fillId="0" borderId="12" xfId="0" applyFont="1" applyFill="1" applyBorder="1" applyAlignment="1" applyProtection="1">
      <alignment horizontal="left" vertical="center" wrapText="1"/>
    </xf>
    <xf numFmtId="0" fontId="35" fillId="0" borderId="0" xfId="0" applyFont="1" applyFill="1" applyBorder="1" applyAlignment="1" applyProtection="1">
      <alignment horizontal="left" vertical="center" wrapText="1"/>
    </xf>
    <xf numFmtId="0" fontId="35" fillId="7" borderId="2" xfId="0" quotePrefix="1" applyFont="1" applyFill="1" applyBorder="1" applyAlignment="1">
      <alignment horizontal="center" vertical="center" wrapText="1"/>
    </xf>
    <xf numFmtId="0" fontId="35" fillId="7" borderId="3" xfId="0" quotePrefix="1" applyFont="1" applyFill="1" applyBorder="1" applyAlignment="1">
      <alignment horizontal="center" vertical="center" wrapText="1"/>
    </xf>
    <xf numFmtId="0" fontId="35" fillId="7" borderId="4" xfId="0" quotePrefix="1" applyFont="1" applyFill="1" applyBorder="1" applyAlignment="1">
      <alignment horizontal="center" vertical="center" wrapText="1"/>
    </xf>
    <xf numFmtId="0" fontId="35" fillId="7" borderId="3" xfId="0" applyFont="1" applyFill="1" applyBorder="1" applyAlignment="1">
      <alignment horizontal="center" vertical="center" wrapText="1"/>
    </xf>
    <xf numFmtId="0" fontId="35" fillId="0" borderId="1" xfId="0" applyFont="1" applyBorder="1" applyAlignment="1">
      <alignment horizontal="center" vertical="center" wrapText="1"/>
    </xf>
    <xf numFmtId="2" fontId="35" fillId="4" borderId="1" xfId="0" applyNumberFormat="1" applyFont="1" applyFill="1" applyBorder="1" applyAlignment="1">
      <alignment horizontal="center" vertical="center" wrapText="1"/>
    </xf>
    <xf numFmtId="0" fontId="34" fillId="0" borderId="1" xfId="0" applyFont="1" applyBorder="1" applyAlignment="1" applyProtection="1">
      <alignment horizontal="center" wrapText="1"/>
      <protection locked="0"/>
    </xf>
    <xf numFmtId="0" fontId="34" fillId="4" borderId="1" xfId="0" applyFont="1" applyFill="1" applyBorder="1" applyAlignment="1">
      <alignment horizontal="center" vertical="center" wrapText="1"/>
    </xf>
    <xf numFmtId="0" fontId="36" fillId="11" borderId="1" xfId="0" applyFont="1" applyFill="1" applyBorder="1" applyAlignment="1">
      <alignment horizontal="center" vertical="center" wrapText="1"/>
    </xf>
    <xf numFmtId="0" fontId="34" fillId="0" borderId="2" xfId="0" applyFont="1" applyFill="1" applyBorder="1" applyAlignment="1" applyProtection="1">
      <alignment horizontal="center" vertical="center" wrapText="1"/>
      <protection locked="0"/>
    </xf>
    <xf numFmtId="0" fontId="34" fillId="0" borderId="3" xfId="0" applyFont="1" applyFill="1" applyBorder="1" applyAlignment="1" applyProtection="1">
      <alignment horizontal="center" vertical="center" wrapText="1"/>
      <protection locked="0"/>
    </xf>
    <xf numFmtId="0" fontId="34" fillId="0" borderId="4" xfId="0" applyFont="1" applyFill="1" applyBorder="1" applyAlignment="1" applyProtection="1">
      <alignment horizontal="center" vertical="center" wrapText="1"/>
      <protection locked="0"/>
    </xf>
    <xf numFmtId="0" fontId="36" fillId="11" borderId="2" xfId="0" applyFont="1" applyFill="1" applyBorder="1" applyAlignment="1">
      <alignment horizontal="center" vertical="center" wrapText="1"/>
    </xf>
    <xf numFmtId="0" fontId="36" fillId="11" borderId="3" xfId="0" applyFont="1" applyFill="1" applyBorder="1" applyAlignment="1">
      <alignment horizontal="center" vertical="center" wrapText="1"/>
    </xf>
    <xf numFmtId="0" fontId="36" fillId="11" borderId="4" xfId="0" applyFont="1" applyFill="1" applyBorder="1" applyAlignment="1">
      <alignment horizontal="center" vertical="center" wrapText="1"/>
    </xf>
    <xf numFmtId="0" fontId="34" fillId="0" borderId="1" xfId="0" quotePrefix="1" applyFont="1" applyFill="1" applyBorder="1" applyAlignment="1">
      <alignment horizontal="left" vertical="center" wrapText="1"/>
    </xf>
    <xf numFmtId="0" fontId="33" fillId="0" borderId="1" xfId="0" applyFont="1" applyBorder="1" applyAlignment="1">
      <alignment horizontal="center" vertical="center" wrapText="1"/>
    </xf>
    <xf numFmtId="0" fontId="35" fillId="3" borderId="1" xfId="0" applyFont="1" applyFill="1" applyBorder="1" applyAlignment="1">
      <alignment horizontal="center" vertical="center" wrapText="1"/>
    </xf>
    <xf numFmtId="0" fontId="35" fillId="3" borderId="2" xfId="0" applyFont="1" applyFill="1" applyBorder="1" applyAlignment="1">
      <alignment horizontal="center" vertical="center" wrapText="1"/>
    </xf>
    <xf numFmtId="0" fontId="35" fillId="3" borderId="3" xfId="0" applyFont="1" applyFill="1" applyBorder="1" applyAlignment="1">
      <alignment horizontal="center" vertical="center" wrapText="1"/>
    </xf>
    <xf numFmtId="0" fontId="35" fillId="3" borderId="4" xfId="0" applyFont="1" applyFill="1" applyBorder="1" applyAlignment="1">
      <alignment horizontal="center" vertical="center" wrapText="1"/>
    </xf>
    <xf numFmtId="0" fontId="35" fillId="6" borderId="1" xfId="0" applyFont="1" applyFill="1" applyBorder="1" applyAlignment="1">
      <alignment horizontal="left" vertical="center" wrapText="1"/>
    </xf>
    <xf numFmtId="0" fontId="36" fillId="4" borderId="1" xfId="0" applyFont="1" applyFill="1" applyBorder="1" applyAlignment="1">
      <alignment horizontal="center" vertical="center" wrapText="1"/>
    </xf>
    <xf numFmtId="0" fontId="36" fillId="4" borderId="2" xfId="0" applyFont="1" applyFill="1" applyBorder="1" applyAlignment="1">
      <alignment horizontal="center" vertical="center" wrapText="1"/>
    </xf>
    <xf numFmtId="0" fontId="36" fillId="4" borderId="4" xfId="0" applyFont="1" applyFill="1" applyBorder="1" applyAlignment="1">
      <alignment horizontal="center" vertical="center" wrapText="1"/>
    </xf>
    <xf numFmtId="0" fontId="35" fillId="7" borderId="5" xfId="0" applyFont="1" applyFill="1" applyBorder="1" applyAlignment="1">
      <alignment horizontal="center" vertical="center" wrapText="1"/>
    </xf>
    <xf numFmtId="0" fontId="35" fillId="7" borderId="6" xfId="0" applyFont="1" applyFill="1" applyBorder="1" applyAlignment="1">
      <alignment horizontal="center" vertical="center" wrapText="1"/>
    </xf>
    <xf numFmtId="0" fontId="35" fillId="7" borderId="7" xfId="0" applyFont="1" applyFill="1" applyBorder="1" applyAlignment="1">
      <alignment horizontal="center" vertical="center" wrapText="1"/>
    </xf>
    <xf numFmtId="0" fontId="35" fillId="0" borderId="1" xfId="0" applyFont="1" applyFill="1" applyBorder="1" applyAlignment="1">
      <alignment horizontal="center" vertical="center" wrapText="1"/>
    </xf>
    <xf numFmtId="0" fontId="33" fillId="7" borderId="1" xfId="0" applyFont="1" applyFill="1" applyBorder="1" applyAlignment="1">
      <alignment horizontal="left" vertical="center" wrapText="1"/>
    </xf>
    <xf numFmtId="2" fontId="35" fillId="4" borderId="1" xfId="0" applyNumberFormat="1" applyFont="1" applyFill="1" applyBorder="1" applyAlignment="1" applyProtection="1">
      <alignment horizontal="center" vertical="center" wrapText="1"/>
    </xf>
    <xf numFmtId="0" fontId="35" fillId="11" borderId="1" xfId="0" applyFont="1" applyFill="1" applyBorder="1" applyAlignment="1">
      <alignment horizontal="center" vertical="center" wrapText="1"/>
    </xf>
    <xf numFmtId="0" fontId="35" fillId="6" borderId="1" xfId="0" applyFont="1" applyFill="1" applyBorder="1" applyAlignment="1" applyProtection="1">
      <alignment horizontal="center" vertical="center" wrapText="1"/>
      <protection locked="0"/>
    </xf>
    <xf numFmtId="0" fontId="33" fillId="2" borderId="1" xfId="0" applyFont="1" applyFill="1" applyBorder="1" applyAlignment="1">
      <alignment horizontal="center" vertical="center" wrapText="1"/>
    </xf>
    <xf numFmtId="0" fontId="42" fillId="7" borderId="1" xfId="0" applyFont="1" applyFill="1" applyBorder="1" applyAlignment="1">
      <alignment horizontal="left" vertical="center" wrapText="1"/>
    </xf>
    <xf numFmtId="2" fontId="34" fillId="4" borderId="1" xfId="0" applyNumberFormat="1" applyFont="1" applyFill="1" applyBorder="1" applyAlignment="1">
      <alignment horizontal="center" vertical="center" wrapText="1"/>
    </xf>
    <xf numFmtId="0" fontId="34" fillId="6" borderId="1" xfId="0" applyFont="1" applyFill="1" applyBorder="1" applyAlignment="1" applyProtection="1">
      <alignment horizontal="center" vertical="center" wrapText="1"/>
      <protection locked="0"/>
    </xf>
    <xf numFmtId="166" fontId="35" fillId="4" borderId="1" xfId="0" applyNumberFormat="1" applyFont="1" applyFill="1" applyBorder="1" applyAlignment="1">
      <alignment horizontal="center" vertical="center" wrapText="1"/>
    </xf>
    <xf numFmtId="165" fontId="34" fillId="0" borderId="1" xfId="0" applyNumberFormat="1" applyFont="1" applyBorder="1" applyAlignment="1" applyProtection="1">
      <alignment horizontal="center" vertical="center" wrapText="1"/>
      <protection locked="0"/>
    </xf>
    <xf numFmtId="1" fontId="35" fillId="4" borderId="1" xfId="0" applyNumberFormat="1" applyFont="1" applyFill="1" applyBorder="1" applyAlignment="1">
      <alignment horizontal="center" vertical="center" wrapText="1"/>
    </xf>
    <xf numFmtId="165" fontId="35" fillId="0" borderId="1" xfId="0" applyNumberFormat="1" applyFont="1" applyFill="1" applyBorder="1" applyAlignment="1" applyProtection="1">
      <alignment horizontal="center" vertical="center" wrapText="1"/>
      <protection locked="0"/>
    </xf>
    <xf numFmtId="0" fontId="34" fillId="6" borderId="1" xfId="0" applyFont="1" applyFill="1" applyBorder="1" applyAlignment="1">
      <alignment horizontal="left" vertical="center" wrapText="1"/>
    </xf>
    <xf numFmtId="0" fontId="35" fillId="0" borderId="1" xfId="0" applyFont="1" applyFill="1" applyBorder="1" applyAlignment="1">
      <alignment horizontal="left" vertical="center" wrapText="1"/>
    </xf>
    <xf numFmtId="0" fontId="34" fillId="0" borderId="1" xfId="0" quotePrefix="1" applyFont="1" applyFill="1" applyBorder="1" applyAlignment="1" applyProtection="1">
      <alignment horizontal="center" vertical="center" wrapText="1"/>
      <protection locked="0"/>
    </xf>
    <xf numFmtId="0" fontId="34" fillId="0" borderId="2" xfId="0" quotePrefix="1" applyFont="1" applyFill="1" applyBorder="1" applyAlignment="1" applyProtection="1">
      <alignment horizontal="center" vertical="center" wrapText="1"/>
      <protection locked="0"/>
    </xf>
    <xf numFmtId="0" fontId="34" fillId="0" borderId="3" xfId="0" quotePrefix="1" applyFont="1" applyFill="1" applyBorder="1" applyAlignment="1" applyProtection="1">
      <alignment horizontal="center" vertical="center" wrapText="1"/>
      <protection locked="0"/>
    </xf>
    <xf numFmtId="0" fontId="34" fillId="0" borderId="4" xfId="0" quotePrefix="1" applyFont="1" applyFill="1" applyBorder="1" applyAlignment="1" applyProtection="1">
      <alignment horizontal="center" vertical="center" wrapText="1"/>
      <protection locked="0"/>
    </xf>
    <xf numFmtId="0" fontId="35" fillId="0" borderId="1" xfId="0" quotePrefix="1" applyFont="1" applyFill="1" applyBorder="1" applyAlignment="1" applyProtection="1">
      <alignment horizontal="center" vertical="center" wrapText="1"/>
      <protection locked="0"/>
    </xf>
    <xf numFmtId="0" fontId="35" fillId="0" borderId="1" xfId="0" quotePrefix="1" applyFont="1" applyFill="1" applyBorder="1" applyAlignment="1">
      <alignment horizontal="left" vertical="center" wrapText="1"/>
    </xf>
    <xf numFmtId="0" fontId="34" fillId="0" borderId="1" xfId="0" applyFont="1" applyFill="1" applyBorder="1" applyAlignment="1">
      <alignment horizontal="left" vertical="top" wrapText="1"/>
    </xf>
    <xf numFmtId="0" fontId="34" fillId="0" borderId="1" xfId="0" quotePrefix="1" applyFont="1" applyFill="1" applyBorder="1" applyAlignment="1">
      <alignment horizontal="center" vertical="center" wrapText="1"/>
    </xf>
    <xf numFmtId="0" fontId="34" fillId="0" borderId="1" xfId="0" applyFont="1" applyFill="1" applyBorder="1" applyAlignment="1">
      <alignment horizontal="center" vertical="center" wrapText="1"/>
    </xf>
    <xf numFmtId="0" fontId="35" fillId="7" borderId="1" xfId="0" applyFont="1" applyFill="1" applyBorder="1" applyAlignment="1" applyProtection="1">
      <alignment horizontal="center" vertical="center" wrapText="1"/>
      <protection locked="0"/>
    </xf>
    <xf numFmtId="0" fontId="35" fillId="7" borderId="1" xfId="0" quotePrefix="1" applyFont="1" applyFill="1" applyBorder="1" applyAlignment="1">
      <alignment horizontal="left" vertical="center" wrapText="1"/>
    </xf>
    <xf numFmtId="0" fontId="35" fillId="3" borderId="1" xfId="0" quotePrefix="1" applyFont="1" applyFill="1" applyBorder="1" applyAlignment="1">
      <alignment horizontal="left" vertical="center" wrapText="1"/>
    </xf>
    <xf numFmtId="0" fontId="40" fillId="7" borderId="1" xfId="0" applyFont="1" applyFill="1" applyBorder="1" applyAlignment="1">
      <alignment horizontal="center" vertical="center" wrapText="1"/>
    </xf>
    <xf numFmtId="0" fontId="34" fillId="0" borderId="1" xfId="0" applyFont="1" applyBorder="1" applyAlignment="1">
      <alignment horizontal="left" vertical="top" wrapText="1"/>
    </xf>
    <xf numFmtId="0" fontId="35" fillId="7" borderId="1" xfId="0" applyFont="1" applyFill="1" applyBorder="1" applyAlignment="1" applyProtection="1">
      <alignment horizontal="center" vertical="center" wrapText="1"/>
    </xf>
    <xf numFmtId="0" fontId="35" fillId="7" borderId="13" xfId="0" applyFont="1" applyFill="1" applyBorder="1" applyAlignment="1">
      <alignment horizontal="center" vertical="center" wrapText="1"/>
    </xf>
    <xf numFmtId="0" fontId="35" fillId="7" borderId="14"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15" xfId="0" applyFont="1" applyFill="1" applyBorder="1" applyAlignment="1">
      <alignment horizontal="center" vertical="center" wrapText="1"/>
    </xf>
    <xf numFmtId="0" fontId="35" fillId="4" borderId="1" xfId="0" applyFont="1" applyFill="1" applyBorder="1" applyAlignment="1">
      <alignment horizontal="left" vertical="center" wrapText="1"/>
    </xf>
    <xf numFmtId="0" fontId="34" fillId="0" borderId="1" xfId="0" applyFont="1" applyBorder="1" applyAlignment="1">
      <alignment vertical="center" wrapText="1"/>
    </xf>
    <xf numFmtId="0" fontId="34" fillId="0" borderId="3" xfId="0" applyFont="1" applyBorder="1" applyAlignment="1" applyProtection="1">
      <alignment horizontal="center" vertical="center" wrapText="1"/>
      <protection locked="0"/>
    </xf>
    <xf numFmtId="0" fontId="46" fillId="3" borderId="1" xfId="0" applyFont="1" applyFill="1" applyBorder="1" applyAlignment="1">
      <alignment horizontal="left" vertical="center" wrapText="1"/>
    </xf>
    <xf numFmtId="0" fontId="40" fillId="7" borderId="2" xfId="0" applyFont="1" applyFill="1" applyBorder="1" applyAlignment="1">
      <alignment horizontal="center" vertical="center" wrapText="1"/>
    </xf>
    <xf numFmtId="0" fontId="40" fillId="7" borderId="4" xfId="0" applyFont="1" applyFill="1" applyBorder="1" applyAlignment="1">
      <alignment horizontal="center" vertical="center" wrapText="1"/>
    </xf>
    <xf numFmtId="0" fontId="21" fillId="10" borderId="0" xfId="0" applyFont="1" applyFill="1" applyAlignment="1">
      <alignment horizontal="center" vertical="center"/>
    </xf>
    <xf numFmtId="0" fontId="52" fillId="0" borderId="11" xfId="0" applyFont="1" applyBorder="1" applyAlignment="1">
      <alignment horizontal="left" vertical="center"/>
    </xf>
    <xf numFmtId="0" fontId="52" fillId="0" borderId="1" xfId="0" applyFont="1" applyBorder="1" applyAlignment="1">
      <alignment horizontal="center" vertical="center"/>
    </xf>
    <xf numFmtId="2" fontId="57" fillId="0" borderId="1" xfId="0" applyNumberFormat="1" applyFont="1" applyFill="1" applyBorder="1" applyAlignment="1">
      <alignment horizontal="left" vertical="center" wrapText="1" readingOrder="1"/>
    </xf>
    <xf numFmtId="2" fontId="48" fillId="0" borderId="1" xfId="0" applyNumberFormat="1" applyFont="1" applyFill="1" applyBorder="1" applyAlignment="1">
      <alignment horizontal="center" vertical="center" wrapText="1" readingOrder="1"/>
    </xf>
    <xf numFmtId="2" fontId="57" fillId="8" borderId="1" xfId="0" applyNumberFormat="1" applyFont="1" applyFill="1" applyBorder="1" applyAlignment="1">
      <alignment horizontal="left" vertical="center" wrapText="1" readingOrder="1"/>
    </xf>
    <xf numFmtId="2" fontId="52" fillId="0" borderId="1" xfId="0" applyNumberFormat="1" applyFont="1" applyFill="1" applyBorder="1" applyAlignment="1">
      <alignment horizontal="center" vertical="center" wrapText="1" readingOrder="1"/>
    </xf>
    <xf numFmtId="0" fontId="52" fillId="0" borderId="1" xfId="0" applyFont="1" applyFill="1" applyBorder="1" applyAlignment="1">
      <alignment horizontal="center" vertical="center" wrapText="1" readingOrder="1"/>
    </xf>
    <xf numFmtId="2" fontId="52" fillId="0" borderId="2" xfId="0" applyNumberFormat="1" applyFont="1" applyFill="1" applyBorder="1" applyAlignment="1">
      <alignment horizontal="center" vertical="center"/>
    </xf>
    <xf numFmtId="0" fontId="52" fillId="0" borderId="3" xfId="0" applyFont="1" applyFill="1" applyBorder="1" applyAlignment="1">
      <alignment horizontal="center" vertical="center"/>
    </xf>
    <xf numFmtId="0" fontId="52" fillId="0" borderId="4" xfId="0" applyFont="1" applyFill="1" applyBorder="1" applyAlignment="1">
      <alignment horizontal="center" vertical="center"/>
    </xf>
    <xf numFmtId="0" fontId="21" fillId="10" borderId="8" xfId="0" applyFont="1" applyFill="1" applyBorder="1" applyAlignment="1">
      <alignment horizontal="center"/>
    </xf>
    <xf numFmtId="0" fontId="21" fillId="10" borderId="11" xfId="0" applyFont="1" applyFill="1" applyBorder="1" applyAlignment="1">
      <alignment horizontal="center"/>
    </xf>
    <xf numFmtId="0" fontId="48" fillId="3" borderId="1" xfId="0" applyFont="1" applyFill="1" applyBorder="1" applyAlignment="1">
      <alignment vertical="center" wrapText="1"/>
    </xf>
    <xf numFmtId="0" fontId="48" fillId="3" borderId="1" xfId="0" applyFont="1" applyFill="1" applyBorder="1" applyAlignment="1">
      <alignment horizontal="left" vertical="center" wrapText="1"/>
    </xf>
    <xf numFmtId="0" fontId="48" fillId="3" borderId="1" xfId="0" applyFont="1" applyFill="1" applyBorder="1" applyAlignment="1">
      <alignment horizontal="center" vertical="center" wrapText="1" readingOrder="1"/>
    </xf>
    <xf numFmtId="0" fontId="48" fillId="3" borderId="2" xfId="0" applyFont="1" applyFill="1" applyBorder="1" applyAlignment="1">
      <alignment horizontal="center" vertical="center" wrapText="1" readingOrder="1"/>
    </xf>
    <xf numFmtId="0" fontId="48" fillId="3" borderId="3" xfId="0" applyFont="1" applyFill="1" applyBorder="1" applyAlignment="1">
      <alignment horizontal="center" vertical="center" wrapText="1" readingOrder="1"/>
    </xf>
    <xf numFmtId="0" fontId="48" fillId="3" borderId="4" xfId="0" applyFont="1" applyFill="1" applyBorder="1" applyAlignment="1">
      <alignment horizontal="center" vertical="center" wrapText="1" readingOrder="1"/>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48" fillId="3" borderId="5" xfId="0" applyFont="1" applyFill="1" applyBorder="1" applyAlignment="1">
      <alignment horizontal="center" vertical="center"/>
    </xf>
    <xf numFmtId="0" fontId="48" fillId="3" borderId="7" xfId="0" applyFont="1" applyFill="1" applyBorder="1" applyAlignment="1">
      <alignment horizontal="center" vertical="center"/>
    </xf>
    <xf numFmtId="2" fontId="52" fillId="0" borderId="1" xfId="0" applyNumberFormat="1" applyFont="1" applyFill="1" applyBorder="1" applyAlignment="1">
      <alignment horizontal="center" vertical="center"/>
    </xf>
    <xf numFmtId="0" fontId="52" fillId="0" borderId="1" xfId="0" applyFont="1" applyFill="1" applyBorder="1" applyAlignment="1">
      <alignment horizontal="center" vertical="center"/>
    </xf>
    <xf numFmtId="0" fontId="12" fillId="0" borderId="2" xfId="0" applyFont="1" applyBorder="1" applyAlignment="1">
      <alignment horizontal="left" vertical="center"/>
    </xf>
    <xf numFmtId="0" fontId="12" fillId="0" borderId="3" xfId="0" applyFont="1" applyBorder="1" applyAlignment="1">
      <alignment horizontal="center"/>
    </xf>
    <xf numFmtId="0" fontId="12" fillId="0" borderId="4" xfId="0" applyFont="1" applyBorder="1" applyAlignment="1">
      <alignment horizontal="center"/>
    </xf>
    <xf numFmtId="0" fontId="22" fillId="10" borderId="9" xfId="0" applyFont="1" applyFill="1" applyBorder="1" applyAlignment="1">
      <alignment horizontal="center"/>
    </xf>
    <xf numFmtId="0" fontId="22" fillId="10" borderId="0" xfId="0" applyFont="1" applyFill="1" applyBorder="1" applyAlignment="1">
      <alignment horizontal="center"/>
    </xf>
    <xf numFmtId="2" fontId="52" fillId="0" borderId="1" xfId="0" applyNumberFormat="1" applyFont="1" applyBorder="1" applyAlignment="1">
      <alignment horizontal="center" vertical="center" wrapText="1"/>
    </xf>
    <xf numFmtId="0" fontId="48" fillId="3" borderId="2" xfId="0" applyFont="1" applyFill="1" applyBorder="1" applyAlignment="1">
      <alignment horizontal="center" vertical="center"/>
    </xf>
    <xf numFmtId="0" fontId="48" fillId="3" borderId="4" xfId="0" applyFont="1" applyFill="1" applyBorder="1" applyAlignment="1">
      <alignment horizontal="center" vertical="center"/>
    </xf>
    <xf numFmtId="0" fontId="12" fillId="0" borderId="2" xfId="0" applyFont="1" applyBorder="1" applyAlignment="1">
      <alignment horizontal="left"/>
    </xf>
    <xf numFmtId="0" fontId="12" fillId="0" borderId="3" xfId="0" applyFont="1" applyBorder="1" applyAlignment="1">
      <alignment horizontal="left"/>
    </xf>
    <xf numFmtId="0" fontId="12" fillId="0" borderId="4" xfId="0" applyFont="1" applyBorder="1" applyAlignment="1">
      <alignment horizontal="left"/>
    </xf>
    <xf numFmtId="2" fontId="54" fillId="0" borderId="2" xfId="0" applyNumberFormat="1" applyFont="1" applyFill="1" applyBorder="1" applyAlignment="1">
      <alignment horizontal="left" vertical="center" wrapText="1"/>
    </xf>
    <xf numFmtId="2" fontId="54" fillId="0" borderId="3" xfId="0" applyNumberFormat="1" applyFont="1" applyFill="1" applyBorder="1" applyAlignment="1">
      <alignment horizontal="left" vertical="center" wrapText="1"/>
    </xf>
    <xf numFmtId="2" fontId="54" fillId="0" borderId="4" xfId="0" applyNumberFormat="1" applyFont="1" applyFill="1" applyBorder="1" applyAlignment="1">
      <alignment horizontal="left" vertical="center" wrapText="1"/>
    </xf>
    <xf numFmtId="0" fontId="12" fillId="0" borderId="2" xfId="0" applyFont="1" applyBorder="1" applyAlignment="1">
      <alignment horizontal="center" vertical="center"/>
    </xf>
    <xf numFmtId="0" fontId="48" fillId="3" borderId="5" xfId="0" applyFont="1" applyFill="1" applyBorder="1" applyAlignment="1">
      <alignment horizontal="center" vertical="center" wrapText="1"/>
    </xf>
    <xf numFmtId="0" fontId="48" fillId="3" borderId="7" xfId="0" applyFont="1" applyFill="1" applyBorder="1" applyAlignment="1">
      <alignment horizontal="center" vertical="center" wrapText="1"/>
    </xf>
    <xf numFmtId="0" fontId="48" fillId="3" borderId="5" xfId="0" applyFont="1" applyFill="1" applyBorder="1" applyAlignment="1">
      <alignment horizontal="left" vertical="center" wrapText="1"/>
    </xf>
    <xf numFmtId="0" fontId="48" fillId="3" borderId="7" xfId="0" applyFont="1" applyFill="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22" fillId="10" borderId="8" xfId="0" applyFont="1" applyFill="1" applyBorder="1" applyAlignment="1">
      <alignment horizontal="center"/>
    </xf>
    <xf numFmtId="0" fontId="22" fillId="10" borderId="11" xfId="0" applyFont="1" applyFill="1" applyBorder="1" applyAlignment="1">
      <alignment horizontal="center"/>
    </xf>
    <xf numFmtId="0" fontId="10" fillId="0" borderId="3" xfId="0" applyFont="1" applyBorder="1" applyAlignment="1">
      <alignment horizontal="left" vertical="center" wrapText="1"/>
    </xf>
    <xf numFmtId="2" fontId="0" fillId="0" borderId="2" xfId="0" applyNumberFormat="1" applyFill="1" applyBorder="1" applyAlignment="1">
      <alignment horizontal="left" vertical="center"/>
    </xf>
    <xf numFmtId="2" fontId="0" fillId="0" borderId="3" xfId="0" applyNumberFormat="1" applyFill="1" applyBorder="1" applyAlignment="1">
      <alignment horizontal="left" vertical="center"/>
    </xf>
    <xf numFmtId="2" fontId="0" fillId="0" borderId="4" xfId="0" applyNumberFormat="1" applyFill="1" applyBorder="1" applyAlignment="1">
      <alignment horizontal="left" vertical="center"/>
    </xf>
    <xf numFmtId="2" fontId="48" fillId="3" borderId="2" xfId="0" applyNumberFormat="1" applyFont="1" applyFill="1" applyBorder="1" applyAlignment="1">
      <alignment horizontal="center" vertical="center"/>
    </xf>
    <xf numFmtId="2" fontId="48" fillId="3" borderId="4" xfId="0" applyNumberFormat="1" applyFont="1" applyFill="1" applyBorder="1" applyAlignment="1">
      <alignment horizontal="center" vertical="center"/>
    </xf>
    <xf numFmtId="2" fontId="22" fillId="10" borderId="9" xfId="0" applyNumberFormat="1" applyFont="1" applyFill="1" applyBorder="1" applyAlignment="1">
      <alignment horizontal="center"/>
    </xf>
    <xf numFmtId="2" fontId="22" fillId="10" borderId="0" xfId="0" applyNumberFormat="1" applyFont="1" applyFill="1" applyBorder="1" applyAlignment="1">
      <alignment horizontal="center"/>
    </xf>
    <xf numFmtId="2" fontId="12" fillId="0" borderId="2" xfId="0" applyNumberFormat="1" applyFont="1" applyBorder="1" applyAlignment="1">
      <alignment horizontal="left" vertical="center"/>
    </xf>
    <xf numFmtId="2" fontId="12" fillId="0" borderId="3" xfId="0" applyNumberFormat="1" applyFont="1" applyBorder="1" applyAlignment="1">
      <alignment horizontal="left" vertical="center"/>
    </xf>
    <xf numFmtId="2" fontId="12" fillId="0" borderId="4" xfId="0" applyNumberFormat="1" applyFont="1" applyBorder="1" applyAlignment="1">
      <alignment horizontal="left" vertical="center"/>
    </xf>
    <xf numFmtId="1" fontId="48" fillId="3" borderId="5" xfId="0" applyNumberFormat="1" applyFont="1" applyFill="1" applyBorder="1" applyAlignment="1">
      <alignment horizontal="center" vertical="center" wrapText="1"/>
    </xf>
    <xf numFmtId="1" fontId="48" fillId="3" borderId="7" xfId="0" applyNumberFormat="1" applyFont="1" applyFill="1" applyBorder="1" applyAlignment="1">
      <alignment horizontal="center" vertical="center" wrapText="1"/>
    </xf>
    <xf numFmtId="2" fontId="48" fillId="3" borderId="5" xfId="0" applyNumberFormat="1" applyFont="1" applyFill="1" applyBorder="1" applyAlignment="1">
      <alignment horizontal="center" vertical="center" wrapText="1"/>
    </xf>
    <xf numFmtId="2" fontId="48" fillId="3" borderId="7" xfId="0" applyNumberFormat="1" applyFont="1" applyFill="1" applyBorder="1" applyAlignment="1">
      <alignment horizontal="center" vertical="center" wrapText="1"/>
    </xf>
    <xf numFmtId="2" fontId="48" fillId="3" borderId="5" xfId="0" applyNumberFormat="1" applyFont="1" applyFill="1" applyBorder="1" applyAlignment="1">
      <alignment horizontal="left" vertical="center" wrapText="1"/>
    </xf>
    <xf numFmtId="2" fontId="48" fillId="3" borderId="7" xfId="0" applyNumberFormat="1" applyFont="1" applyFill="1" applyBorder="1" applyAlignment="1">
      <alignment horizontal="left" vertical="center" wrapText="1"/>
    </xf>
    <xf numFmtId="1" fontId="12" fillId="0" borderId="2" xfId="0" applyNumberFormat="1" applyFont="1" applyBorder="1" applyAlignment="1">
      <alignment horizontal="left" vertical="center"/>
    </xf>
    <xf numFmtId="1" fontId="12" fillId="0" borderId="3" xfId="0" applyNumberFormat="1" applyFont="1" applyBorder="1" applyAlignment="1">
      <alignment horizontal="left" vertical="center"/>
    </xf>
    <xf numFmtId="2" fontId="12" fillId="0" borderId="2" xfId="0" applyNumberFormat="1" applyFont="1" applyBorder="1" applyAlignment="1">
      <alignment horizontal="center"/>
    </xf>
    <xf numFmtId="2" fontId="12" fillId="0" borderId="3" xfId="0" applyNumberFormat="1" applyFont="1" applyBorder="1" applyAlignment="1">
      <alignment horizontal="center"/>
    </xf>
    <xf numFmtId="2" fontId="12" fillId="0" borderId="4" xfId="0" applyNumberFormat="1" applyFont="1" applyBorder="1" applyAlignment="1">
      <alignment horizontal="center"/>
    </xf>
    <xf numFmtId="1" fontId="12" fillId="0" borderId="4" xfId="0" applyNumberFormat="1" applyFont="1" applyBorder="1" applyAlignment="1">
      <alignment horizontal="left" vertical="center"/>
    </xf>
    <xf numFmtId="2" fontId="48" fillId="3" borderId="1" xfId="0" applyNumberFormat="1" applyFont="1" applyFill="1" applyBorder="1" applyAlignment="1">
      <alignment horizontal="center" vertical="center"/>
    </xf>
    <xf numFmtId="2" fontId="12" fillId="0" borderId="2" xfId="0" applyNumberFormat="1" applyFont="1" applyBorder="1" applyAlignment="1">
      <alignment horizontal="center" vertical="center"/>
    </xf>
    <xf numFmtId="2" fontId="12" fillId="0" borderId="3" xfId="0" applyNumberFormat="1" applyFont="1" applyBorder="1" applyAlignment="1">
      <alignment horizontal="center" vertical="center"/>
    </xf>
    <xf numFmtId="2" fontId="12" fillId="0" borderId="4" xfId="0" applyNumberFormat="1" applyFont="1" applyBorder="1" applyAlignment="1">
      <alignment horizontal="center" vertical="center"/>
    </xf>
    <xf numFmtId="2" fontId="9" fillId="3" borderId="1" xfId="0" applyNumberFormat="1" applyFont="1" applyFill="1" applyBorder="1" applyAlignment="1">
      <alignment horizontal="center" vertical="center" wrapText="1"/>
    </xf>
    <xf numFmtId="2" fontId="48" fillId="3" borderId="1" xfId="0" applyNumberFormat="1" applyFont="1" applyFill="1" applyBorder="1" applyAlignment="1">
      <alignment horizontal="left" vertical="center" wrapText="1"/>
    </xf>
    <xf numFmtId="2" fontId="48" fillId="0" borderId="2" xfId="0" applyNumberFormat="1" applyFont="1" applyFill="1" applyBorder="1" applyAlignment="1">
      <alignment horizontal="left" vertical="center" wrapText="1"/>
    </xf>
    <xf numFmtId="2" fontId="48" fillId="0" borderId="3" xfId="0" applyNumberFormat="1" applyFont="1" applyFill="1" applyBorder="1" applyAlignment="1">
      <alignment horizontal="left" vertical="center" wrapText="1"/>
    </xf>
    <xf numFmtId="2" fontId="48" fillId="0" borderId="4" xfId="0" applyNumberFormat="1" applyFont="1" applyFill="1" applyBorder="1" applyAlignment="1">
      <alignment horizontal="left" vertical="center" wrapText="1"/>
    </xf>
    <xf numFmtId="165" fontId="32" fillId="0" borderId="2" xfId="0" applyNumberFormat="1" applyFont="1" applyBorder="1" applyAlignment="1">
      <alignment horizontal="center" vertical="center" wrapText="1"/>
    </xf>
    <xf numFmtId="165" fontId="32" fillId="0" borderId="4" xfId="0" applyNumberFormat="1" applyFont="1" applyBorder="1" applyAlignment="1">
      <alignment horizontal="center" vertical="center" wrapText="1"/>
    </xf>
    <xf numFmtId="0" fontId="0" fillId="3" borderId="2" xfId="0" applyFont="1" applyFill="1" applyBorder="1" applyAlignment="1">
      <alignment horizontal="center" vertical="center"/>
    </xf>
    <xf numFmtId="0" fontId="0" fillId="3" borderId="4" xfId="0" applyFont="1" applyFill="1" applyBorder="1" applyAlignment="1">
      <alignment horizontal="center" vertical="center"/>
    </xf>
    <xf numFmtId="2" fontId="58" fillId="0" borderId="2" xfId="0" applyNumberFormat="1" applyFont="1" applyBorder="1" applyAlignment="1">
      <alignment horizontal="center" vertical="center" wrapText="1"/>
    </xf>
    <xf numFmtId="2" fontId="58" fillId="0" borderId="3" xfId="0" applyNumberFormat="1" applyFont="1" applyBorder="1" applyAlignment="1">
      <alignment horizontal="center" vertical="center" wrapText="1"/>
    </xf>
    <xf numFmtId="166" fontId="32" fillId="0" borderId="2" xfId="0" applyNumberFormat="1" applyFont="1" applyBorder="1" applyAlignment="1">
      <alignment horizontal="center" vertical="center" wrapText="1"/>
    </xf>
    <xf numFmtId="166" fontId="32" fillId="0" borderId="4" xfId="0" applyNumberFormat="1" applyFont="1" applyBorder="1" applyAlignment="1">
      <alignment horizontal="center" vertical="center" wrapText="1"/>
    </xf>
    <xf numFmtId="0" fontId="9" fillId="3" borderId="5" xfId="0" applyFont="1" applyFill="1" applyBorder="1" applyAlignment="1">
      <alignment horizontal="center" vertical="center" wrapText="1"/>
    </xf>
    <xf numFmtId="0" fontId="9" fillId="3" borderId="7" xfId="0" applyFont="1" applyFill="1" applyBorder="1" applyAlignment="1">
      <alignment horizontal="center" vertical="center" wrapText="1"/>
    </xf>
    <xf numFmtId="2" fontId="57" fillId="0" borderId="2" xfId="0" applyNumberFormat="1" applyFont="1" applyBorder="1" applyAlignment="1">
      <alignment horizontal="center" vertical="center" wrapText="1"/>
    </xf>
    <xf numFmtId="2" fontId="57" fillId="0" borderId="3" xfId="0" applyNumberFormat="1" applyFont="1" applyBorder="1" applyAlignment="1">
      <alignment horizontal="center" vertical="center" wrapText="1"/>
    </xf>
    <xf numFmtId="0" fontId="12" fillId="0" borderId="1" xfId="0" applyFont="1" applyBorder="1" applyAlignment="1">
      <alignment horizontal="left" vertical="center"/>
    </xf>
    <xf numFmtId="0" fontId="12" fillId="0" borderId="1" xfId="0" applyFont="1" applyBorder="1" applyAlignment="1">
      <alignment horizontal="center"/>
    </xf>
    <xf numFmtId="0" fontId="12"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48" fillId="3" borderId="1"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14" fillId="0" borderId="9" xfId="0" applyFont="1" applyBorder="1" applyAlignment="1">
      <alignment horizontal="center"/>
    </xf>
    <xf numFmtId="0" fontId="14" fillId="0" borderId="0" xfId="0" applyFont="1" applyBorder="1" applyAlignment="1">
      <alignment horizontal="center"/>
    </xf>
    <xf numFmtId="0" fontId="9" fillId="3" borderId="2" xfId="0" applyFont="1" applyFill="1" applyBorder="1" applyAlignment="1">
      <alignment horizontal="center" vertical="top" wrapText="1"/>
    </xf>
    <xf numFmtId="0" fontId="9" fillId="3" borderId="3" xfId="0" applyFont="1" applyFill="1" applyBorder="1" applyAlignment="1">
      <alignment horizontal="center" vertical="top" wrapText="1"/>
    </xf>
    <xf numFmtId="0" fontId="9" fillId="3" borderId="4" xfId="0" applyFont="1" applyFill="1" applyBorder="1" applyAlignment="1">
      <alignment horizontal="center" vertical="top" wrapText="1"/>
    </xf>
    <xf numFmtId="0" fontId="9" fillId="3" borderId="1" xfId="0" applyFont="1" applyFill="1" applyBorder="1" applyAlignment="1">
      <alignment horizontal="center" vertical="top"/>
    </xf>
    <xf numFmtId="0" fontId="9" fillId="3" borderId="1" xfId="0" applyFont="1" applyFill="1" applyBorder="1" applyAlignment="1">
      <alignment horizontal="center" vertical="center"/>
    </xf>
    <xf numFmtId="0" fontId="0" fillId="0" borderId="5" xfId="0" applyBorder="1" applyAlignment="1">
      <alignment horizontal="center"/>
    </xf>
    <xf numFmtId="0" fontId="0" fillId="0" borderId="1" xfId="0" applyBorder="1" applyAlignment="1">
      <alignment horizontal="center" vertical="center"/>
    </xf>
    <xf numFmtId="2" fontId="54" fillId="0" borderId="2" xfId="0" applyNumberFormat="1" applyFont="1" applyBorder="1" applyAlignment="1">
      <alignment horizontal="center" vertical="center" wrapText="1"/>
    </xf>
    <xf numFmtId="2" fontId="54" fillId="0" borderId="3" xfId="0" applyNumberFormat="1" applyFont="1" applyBorder="1" applyAlignment="1">
      <alignment horizontal="center" vertical="center" wrapText="1"/>
    </xf>
    <xf numFmtId="0" fontId="14" fillId="0" borderId="8" xfId="0" applyFont="1" applyBorder="1" applyAlignment="1">
      <alignment horizontal="center"/>
    </xf>
    <xf numFmtId="0" fontId="14" fillId="0" borderId="11" xfId="0" applyFont="1" applyBorder="1" applyAlignment="1">
      <alignment horizontal="center"/>
    </xf>
    <xf numFmtId="0" fontId="47" fillId="0" borderId="2" xfId="0" applyFont="1" applyBorder="1" applyAlignment="1">
      <alignment horizontal="center" vertical="center"/>
    </xf>
    <xf numFmtId="0" fontId="47" fillId="0" borderId="4" xfId="0" applyFont="1" applyBorder="1" applyAlignment="1">
      <alignment horizontal="center" vertical="center"/>
    </xf>
  </cellXfs>
  <cellStyles count="4">
    <cellStyle name="Hyperlink" xfId="2" builtinId="8"/>
    <cellStyle name="Normal" xfId="0" builtinId="0"/>
    <cellStyle name="Normal_03-Annexure-C" xfId="1"/>
    <cellStyle name="Percent" xfId="3" builtinId="5"/>
  </cellStyles>
  <dxfs count="0"/>
  <tableStyles count="0" defaultTableStyle="TableStyleMedium2" defaultPivotStyle="PivotStyleMedium9"/>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Heat Rate BHEL 210 MW </a:t>
            </a:r>
          </a:p>
        </c:rich>
      </c:tx>
      <c:layout/>
      <c:overlay val="0"/>
    </c:title>
    <c:autoTitleDeleted val="0"/>
    <c:plotArea>
      <c:layout>
        <c:manualLayout>
          <c:layoutTarget val="inner"/>
          <c:xMode val="edge"/>
          <c:yMode val="edge"/>
          <c:x val="0.17083320172371003"/>
          <c:y val="0.19480351414406533"/>
          <c:w val="0.74651384909264362"/>
          <c:h val="0.61340281240210404"/>
        </c:manualLayout>
      </c:layout>
      <c:scatterChart>
        <c:scatterStyle val="lineMarker"/>
        <c:varyColors val="0"/>
        <c:ser>
          <c:idx val="0"/>
          <c:order val="0"/>
          <c:tx>
            <c:v>Heat Rate (kcal/kWh)</c:v>
          </c:tx>
          <c:trendline>
            <c:trendlineType val="poly"/>
            <c:order val="2"/>
            <c:dispRSqr val="1"/>
            <c:dispEq val="1"/>
            <c:trendlineLbl>
              <c:layout>
                <c:manualLayout>
                  <c:x val="-0.19089426858891922"/>
                  <c:y val="-4.0603520943060183E-2"/>
                </c:manualLayout>
              </c:layout>
              <c:numFmt formatCode="General" sourceLinked="0"/>
            </c:trendlineLbl>
          </c:trendline>
          <c:xVal>
            <c:numLit>
              <c:formatCode>General</c:formatCode>
              <c:ptCount val="9"/>
              <c:pt idx="0">
                <c:v>63.6</c:v>
              </c:pt>
              <c:pt idx="1">
                <c:v>75</c:v>
              </c:pt>
              <c:pt idx="2">
                <c:v>100</c:v>
              </c:pt>
              <c:pt idx="3">
                <c:v>125</c:v>
              </c:pt>
              <c:pt idx="4">
                <c:v>150</c:v>
              </c:pt>
              <c:pt idx="5">
                <c:v>175</c:v>
              </c:pt>
              <c:pt idx="6">
                <c:v>181</c:v>
              </c:pt>
              <c:pt idx="7">
                <c:v>200</c:v>
              </c:pt>
              <c:pt idx="8">
                <c:v>210</c:v>
              </c:pt>
            </c:numLit>
          </c:xVal>
          <c:yVal>
            <c:numLit>
              <c:formatCode>General</c:formatCode>
              <c:ptCount val="9"/>
              <c:pt idx="0">
                <c:v>2327.75</c:v>
              </c:pt>
              <c:pt idx="1">
                <c:v>2292.6</c:v>
              </c:pt>
              <c:pt idx="2">
                <c:v>2196</c:v>
              </c:pt>
              <c:pt idx="3">
                <c:v>2116.65</c:v>
              </c:pt>
              <c:pt idx="4">
                <c:v>2072.0500000000002</c:v>
              </c:pt>
              <c:pt idx="5">
                <c:v>2055.4</c:v>
              </c:pt>
              <c:pt idx="6">
                <c:v>2052</c:v>
              </c:pt>
              <c:pt idx="7">
                <c:v>2042.6</c:v>
              </c:pt>
              <c:pt idx="8">
                <c:v>2044.44</c:v>
              </c:pt>
            </c:numLit>
          </c:yVal>
          <c:smooth val="0"/>
        </c:ser>
        <c:dLbls>
          <c:showLegendKey val="0"/>
          <c:showVal val="0"/>
          <c:showCatName val="0"/>
          <c:showSerName val="0"/>
          <c:showPercent val="0"/>
          <c:showBubbleSize val="0"/>
        </c:dLbls>
        <c:axId val="244975864"/>
        <c:axId val="244971944"/>
      </c:scatterChart>
      <c:valAx>
        <c:axId val="244975864"/>
        <c:scaling>
          <c:orientation val="minMax"/>
        </c:scaling>
        <c:delete val="0"/>
        <c:axPos val="b"/>
        <c:majorGridlines/>
        <c:minorGridlines/>
        <c:numFmt formatCode="General" sourceLinked="1"/>
        <c:majorTickMark val="out"/>
        <c:minorTickMark val="none"/>
        <c:tickLblPos val="nextTo"/>
        <c:crossAx val="244971944"/>
        <c:crosses val="autoZero"/>
        <c:crossBetween val="midCat"/>
      </c:valAx>
      <c:valAx>
        <c:axId val="244971944"/>
        <c:scaling>
          <c:orientation val="minMax"/>
        </c:scaling>
        <c:delete val="0"/>
        <c:axPos val="l"/>
        <c:majorGridlines/>
        <c:numFmt formatCode="General" sourceLinked="1"/>
        <c:majorTickMark val="out"/>
        <c:minorTickMark val="none"/>
        <c:tickLblPos val="nextTo"/>
        <c:crossAx val="244975864"/>
        <c:crosses val="autoZero"/>
        <c:crossBetween val="midCat"/>
      </c:valAx>
      <c:spPr>
        <a:noFill/>
        <a:ln w="25400">
          <a:noFill/>
        </a:ln>
      </c:spPr>
    </c:plotArea>
    <c:legend>
      <c:legendPos val="r"/>
      <c:layout>
        <c:manualLayout>
          <c:xMode val="edge"/>
          <c:yMode val="edge"/>
          <c:x val="0.3690275590551183"/>
          <c:y val="0.18725029163021337"/>
          <c:w val="0.2769636531823208"/>
          <c:h val="0.11921160965235461"/>
        </c:manualLayout>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userShapes r:id="rId1"/>
</c:chartSpace>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oneCellAnchor>
    <xdr:from>
      <xdr:col>2</xdr:col>
      <xdr:colOff>239485</xdr:colOff>
      <xdr:row>29</xdr:row>
      <xdr:rowOff>157780</xdr:rowOff>
    </xdr:from>
    <xdr:ext cx="1833562" cy="595714"/>
    <mc:AlternateContent xmlns:mc="http://schemas.openxmlformats.org/markup-compatibility/2006" xmlns:a14="http://schemas.microsoft.com/office/drawing/2010/main">
      <mc:Choice Requires="a14">
        <xdr:sp macro="" textlink="">
          <xdr:nvSpPr>
            <xdr:cNvPr id="3" name="TextBox 2"/>
            <xdr:cNvSpPr txBox="1"/>
          </xdr:nvSpPr>
          <xdr:spPr>
            <a:xfrm>
              <a:off x="3113314" y="10912866"/>
              <a:ext cx="1833562" cy="5957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nary>
                      <m:naryPr>
                        <m:chr m:val="∑"/>
                        <m:ctrlPr>
                          <a:rPr lang="en-US" sz="900" i="1">
                            <a:solidFill>
                              <a:srgbClr val="FF0000"/>
                            </a:solidFill>
                            <a:latin typeface="Cambria Math" panose="02040503050406030204" pitchFamily="18" charset="0"/>
                          </a:rPr>
                        </m:ctrlPr>
                      </m:naryPr>
                      <m:sub>
                        <m:r>
                          <m:rPr>
                            <m:brk m:alnAt="23"/>
                          </m:rPr>
                          <a:rPr lang="en-US" sz="900" b="0" i="1">
                            <a:solidFill>
                              <a:srgbClr val="FF0000"/>
                            </a:solidFill>
                            <a:latin typeface="Cambria Math"/>
                          </a:rPr>
                          <m:t>𝑖</m:t>
                        </m:r>
                        <m:r>
                          <a:rPr lang="en-US" sz="900" b="0" i="1">
                            <a:solidFill>
                              <a:srgbClr val="FF0000"/>
                            </a:solidFill>
                            <a:latin typeface="Cambria Math"/>
                          </a:rPr>
                          <m:t>=1</m:t>
                        </m:r>
                      </m:sub>
                      <m:sup>
                        <m:r>
                          <a:rPr lang="en-US" sz="900" b="0" i="1">
                            <a:solidFill>
                              <a:srgbClr val="FF0000"/>
                            </a:solidFill>
                            <a:latin typeface="Cambria Math"/>
                          </a:rPr>
                          <m:t>10</m:t>
                        </m:r>
                      </m:sup>
                      <m:e>
                        <m:eqArr>
                          <m:eqArrPr>
                            <m:ctrlPr>
                              <a:rPr lang="en-US" sz="900" b="0" i="1">
                                <a:solidFill>
                                  <a:srgbClr val="FF0000"/>
                                </a:solidFill>
                                <a:latin typeface="Cambria Math" panose="02040503050406030204" pitchFamily="18" charset="0"/>
                              </a:rPr>
                            </m:ctrlPr>
                          </m:eqArrPr>
                          <m:e/>
                          <m:e>
                            <m:r>
                              <a:rPr lang="en-US" sz="900" b="0" i="1">
                                <a:solidFill>
                                  <a:srgbClr val="FF0000"/>
                                </a:solidFill>
                                <a:latin typeface="Cambria Math"/>
                              </a:rPr>
                              <m:t>𝐴𝑌</m:t>
                            </m:r>
                            <m:d>
                              <m:dPr>
                                <m:begChr m:val="["/>
                                <m:endChr m:val="]"/>
                                <m:ctrlPr>
                                  <a:rPr lang="en-US" sz="900" b="0" i="1">
                                    <a:solidFill>
                                      <a:srgbClr val="FF0000"/>
                                    </a:solidFill>
                                    <a:latin typeface="Cambria Math" panose="02040503050406030204" pitchFamily="18" charset="0"/>
                                  </a:rPr>
                                </m:ctrlPr>
                              </m:dPr>
                              <m:e>
                                <m:r>
                                  <a:rPr lang="en-US" sz="900" b="0" i="1">
                                    <a:solidFill>
                                      <a:srgbClr val="FF0000"/>
                                    </a:solidFill>
                                    <a:latin typeface="Cambria Math"/>
                                  </a:rPr>
                                  <m:t>1</m:t>
                                </m:r>
                              </m:e>
                            </m:d>
                            <m:r>
                              <a:rPr lang="en-US" sz="900" b="0" i="1">
                                <a:solidFill>
                                  <a:srgbClr val="FF0000"/>
                                </a:solidFill>
                                <a:latin typeface="Cambria Math"/>
                              </a:rPr>
                              <m:t>𝑋</m:t>
                            </m:r>
                            <m:r>
                              <a:rPr lang="en-US" sz="900" b="0" i="1">
                                <a:solidFill>
                                  <a:srgbClr val="FF0000"/>
                                </a:solidFill>
                                <a:latin typeface="Cambria Math"/>
                              </a:rPr>
                              <m:t> </m:t>
                            </m:r>
                            <m:r>
                              <a:rPr lang="en-US" sz="900" b="0" i="1">
                                <a:solidFill>
                                  <a:srgbClr val="FF0000"/>
                                </a:solidFill>
                                <a:latin typeface="Cambria Math"/>
                              </a:rPr>
                              <m:t>𝐴𝑌</m:t>
                            </m:r>
                            <m:r>
                              <a:rPr lang="en-US" sz="900" b="0" i="1">
                                <a:solidFill>
                                  <a:srgbClr val="FF0000"/>
                                </a:solidFill>
                                <a:latin typeface="Cambria Math"/>
                              </a:rPr>
                              <m:t>[2]</m:t>
                            </m:r>
                          </m:e>
                          <m:e/>
                        </m:eqArr>
                      </m:e>
                    </m:nary>
                  </m:oMath>
                </m:oMathPara>
              </a14:m>
              <a:endParaRPr lang="en-US" sz="900">
                <a:solidFill>
                  <a:srgbClr val="FF0000"/>
                </a:solidFill>
              </a:endParaRPr>
            </a:p>
          </xdr:txBody>
        </xdr:sp>
      </mc:Choice>
      <mc:Fallback xmlns="">
        <xdr:sp macro="" textlink="">
          <xdr:nvSpPr>
            <xdr:cNvPr id="3" name="TextBox 2"/>
            <xdr:cNvSpPr txBox="1"/>
          </xdr:nvSpPr>
          <xdr:spPr>
            <a:xfrm>
              <a:off x="3113314" y="10912866"/>
              <a:ext cx="1833562" cy="5957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r>
                <a:rPr lang="en-US" sz="900" i="0">
                  <a:solidFill>
                    <a:srgbClr val="FF0000"/>
                  </a:solidFill>
                  <a:latin typeface="Cambria Math" panose="02040503050406030204" pitchFamily="18" charset="0"/>
                </a:rPr>
                <a:t>∑</a:t>
              </a:r>
              <a:r>
                <a:rPr lang="en-US" sz="900" b="0" i="0">
                  <a:solidFill>
                    <a:srgbClr val="FF0000"/>
                  </a:solidFill>
                  <a:latin typeface="Cambria Math" panose="02040503050406030204" pitchFamily="18" charset="0"/>
                </a:rPr>
                <a:t>_(</a:t>
              </a:r>
              <a:r>
                <a:rPr lang="en-US" sz="900" b="0" i="0">
                  <a:solidFill>
                    <a:srgbClr val="FF0000"/>
                  </a:solidFill>
                  <a:latin typeface="Cambria Math"/>
                </a:rPr>
                <a:t>𝑖=1</a:t>
              </a:r>
              <a:r>
                <a:rPr lang="en-US" sz="900" b="0" i="0">
                  <a:solidFill>
                    <a:srgbClr val="FF0000"/>
                  </a:solidFill>
                  <a:latin typeface="Cambria Math" panose="02040503050406030204" pitchFamily="18" charset="0"/>
                </a:rPr>
                <a:t>)^</a:t>
              </a:r>
              <a:r>
                <a:rPr lang="en-US" sz="900" b="0" i="0">
                  <a:solidFill>
                    <a:srgbClr val="FF0000"/>
                  </a:solidFill>
                  <a:latin typeface="Cambria Math"/>
                </a:rPr>
                <a:t>10</a:t>
              </a:r>
              <a:r>
                <a:rPr lang="en-US" sz="900" b="0" i="0">
                  <a:solidFill>
                    <a:srgbClr val="FF0000"/>
                  </a:solidFill>
                  <a:latin typeface="Cambria Math" panose="02040503050406030204" pitchFamily="18" charset="0"/>
                </a:rPr>
                <a:t>▒█(@</a:t>
              </a:r>
              <a:r>
                <a:rPr lang="en-US" sz="900" b="0" i="0">
                  <a:solidFill>
                    <a:srgbClr val="FF0000"/>
                  </a:solidFill>
                  <a:latin typeface="Cambria Math"/>
                </a:rPr>
                <a:t>𝐴𝑌</a:t>
              </a:r>
              <a:r>
                <a:rPr lang="en-US" sz="900" b="0" i="0">
                  <a:solidFill>
                    <a:srgbClr val="FF0000"/>
                  </a:solidFill>
                  <a:latin typeface="Cambria Math" panose="02040503050406030204" pitchFamily="18" charset="0"/>
                </a:rPr>
                <a:t>[</a:t>
              </a:r>
              <a:r>
                <a:rPr lang="en-US" sz="900" b="0" i="0">
                  <a:solidFill>
                    <a:srgbClr val="FF0000"/>
                  </a:solidFill>
                  <a:latin typeface="Cambria Math"/>
                </a:rPr>
                <a:t>1</a:t>
              </a:r>
              <a:r>
                <a:rPr lang="en-US" sz="900" b="0" i="0">
                  <a:solidFill>
                    <a:srgbClr val="FF0000"/>
                  </a:solidFill>
                  <a:latin typeface="Cambria Math" panose="02040503050406030204" pitchFamily="18" charset="0"/>
                </a:rPr>
                <a:t>]</a:t>
              </a:r>
              <a:r>
                <a:rPr lang="en-US" sz="900" b="0" i="0">
                  <a:solidFill>
                    <a:srgbClr val="FF0000"/>
                  </a:solidFill>
                  <a:latin typeface="Cambria Math"/>
                </a:rPr>
                <a:t>𝑋 𝐴𝑌[2]</a:t>
              </a:r>
              <a:r>
                <a:rPr lang="en-US" sz="900" b="0" i="0">
                  <a:solidFill>
                    <a:srgbClr val="FF0000"/>
                  </a:solidFill>
                  <a:latin typeface="Cambria Math" panose="02040503050406030204" pitchFamily="18" charset="0"/>
                </a:rPr>
                <a:t>@)</a:t>
              </a:r>
              <a:endParaRPr lang="en-US" sz="900">
                <a:solidFill>
                  <a:srgbClr val="FF0000"/>
                </a:solidFill>
              </a:endParaRPr>
            </a:p>
          </xdr:txBody>
        </xdr:sp>
      </mc:Fallback>
    </mc:AlternateContent>
    <xdr:clientData/>
  </xdr:oneCellAnchor>
  <xdr:oneCellAnchor>
    <xdr:from>
      <xdr:col>2</xdr:col>
      <xdr:colOff>-1</xdr:colOff>
      <xdr:row>26</xdr:row>
      <xdr:rowOff>571499</xdr:rowOff>
    </xdr:from>
    <xdr:ext cx="1881187" cy="523875"/>
    <mc:AlternateContent xmlns:mc="http://schemas.openxmlformats.org/markup-compatibility/2006" xmlns:a14="http://schemas.microsoft.com/office/drawing/2010/main">
      <mc:Choice Requires="a14">
        <xdr:sp macro="" textlink="">
          <xdr:nvSpPr>
            <xdr:cNvPr id="5" name="TextBox 4"/>
            <xdr:cNvSpPr txBox="1"/>
          </xdr:nvSpPr>
          <xdr:spPr>
            <a:xfrm>
              <a:off x="2786062" y="9477374"/>
              <a:ext cx="1881187" cy="523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nary>
                      <m:naryPr>
                        <m:chr m:val="∑"/>
                        <m:ctrlPr>
                          <a:rPr lang="en-US" sz="900" i="1">
                            <a:solidFill>
                              <a:srgbClr val="FF0000"/>
                            </a:solidFill>
                            <a:latin typeface="Cambria Math" panose="02040503050406030204" pitchFamily="18" charset="0"/>
                          </a:rPr>
                        </m:ctrlPr>
                      </m:naryPr>
                      <m:sub>
                        <m:r>
                          <m:rPr>
                            <m:brk m:alnAt="23"/>
                          </m:rPr>
                          <a:rPr lang="en-US" sz="900" b="0" i="1">
                            <a:solidFill>
                              <a:srgbClr val="FF0000"/>
                            </a:solidFill>
                            <a:latin typeface="Cambria Math"/>
                          </a:rPr>
                          <m:t>𝑖</m:t>
                        </m:r>
                        <m:r>
                          <a:rPr lang="en-US" sz="900" b="0" i="1">
                            <a:solidFill>
                              <a:srgbClr val="FF0000"/>
                            </a:solidFill>
                            <a:latin typeface="Cambria Math"/>
                          </a:rPr>
                          <m:t>=1</m:t>
                        </m:r>
                      </m:sub>
                      <m:sup>
                        <m:r>
                          <a:rPr lang="en-US" sz="900" b="0" i="1">
                            <a:solidFill>
                              <a:srgbClr val="FF0000"/>
                            </a:solidFill>
                            <a:latin typeface="Cambria Math"/>
                          </a:rPr>
                          <m:t>10</m:t>
                        </m:r>
                      </m:sup>
                      <m:e>
                        <m:eqArr>
                          <m:eqArrPr>
                            <m:ctrlPr>
                              <a:rPr lang="en-US" sz="900" b="0" i="1">
                                <a:solidFill>
                                  <a:srgbClr val="FF0000"/>
                                </a:solidFill>
                                <a:latin typeface="Cambria Math" panose="02040503050406030204" pitchFamily="18" charset="0"/>
                              </a:rPr>
                            </m:ctrlPr>
                          </m:eqArrPr>
                          <m:e/>
                          <m:e>
                            <m:r>
                              <a:rPr lang="en-US" sz="900" b="0" i="1">
                                <a:solidFill>
                                  <a:srgbClr val="FF0000"/>
                                </a:solidFill>
                                <a:latin typeface="Cambria Math"/>
                              </a:rPr>
                              <m:t>𝐴𝑌</m:t>
                            </m:r>
                            <m:d>
                              <m:dPr>
                                <m:begChr m:val="["/>
                                <m:endChr m:val="]"/>
                                <m:ctrlPr>
                                  <a:rPr lang="en-US" sz="900" b="0" i="1">
                                    <a:solidFill>
                                      <a:srgbClr val="FF0000"/>
                                    </a:solidFill>
                                    <a:latin typeface="Cambria Math" panose="02040503050406030204" pitchFamily="18" charset="0"/>
                                  </a:rPr>
                                </m:ctrlPr>
                              </m:dPr>
                              <m:e>
                                <m:r>
                                  <a:rPr lang="en-US" sz="900" b="0" i="1">
                                    <a:solidFill>
                                      <a:srgbClr val="FF0000"/>
                                    </a:solidFill>
                                    <a:latin typeface="Cambria Math"/>
                                  </a:rPr>
                                  <m:t>1</m:t>
                                </m:r>
                              </m:e>
                            </m:d>
                            <m:r>
                              <a:rPr lang="en-US" sz="900" b="0" i="1">
                                <a:solidFill>
                                  <a:srgbClr val="FF0000"/>
                                </a:solidFill>
                                <a:latin typeface="Cambria Math"/>
                              </a:rPr>
                              <m:t>𝑋</m:t>
                            </m:r>
                            <m:r>
                              <a:rPr lang="en-US" sz="900" b="0" i="1">
                                <a:solidFill>
                                  <a:srgbClr val="FF0000"/>
                                </a:solidFill>
                                <a:latin typeface="Cambria Math"/>
                              </a:rPr>
                              <m:t> </m:t>
                            </m:r>
                            <m:r>
                              <a:rPr lang="en-US" sz="900" b="0" i="1">
                                <a:solidFill>
                                  <a:srgbClr val="FF0000"/>
                                </a:solidFill>
                                <a:latin typeface="Cambria Math"/>
                              </a:rPr>
                              <m:t>𝐴𝑌</m:t>
                            </m:r>
                            <m:r>
                              <a:rPr lang="en-US" sz="900" b="0" i="1">
                                <a:solidFill>
                                  <a:srgbClr val="FF0000"/>
                                </a:solidFill>
                                <a:latin typeface="Cambria Math"/>
                              </a:rPr>
                              <m:t>[2]</m:t>
                            </m:r>
                          </m:e>
                          <m:e/>
                        </m:eqArr>
                      </m:e>
                    </m:nary>
                  </m:oMath>
                </m:oMathPara>
              </a14:m>
              <a:endParaRPr lang="en-US" sz="900">
                <a:solidFill>
                  <a:srgbClr val="FF0000"/>
                </a:solidFill>
              </a:endParaRPr>
            </a:p>
          </xdr:txBody>
        </xdr:sp>
      </mc:Choice>
      <mc:Fallback xmlns="">
        <xdr:sp macro="" textlink="">
          <xdr:nvSpPr>
            <xdr:cNvPr id="5" name="TextBox 4"/>
            <xdr:cNvSpPr txBox="1"/>
          </xdr:nvSpPr>
          <xdr:spPr>
            <a:xfrm>
              <a:off x="2786062" y="9477374"/>
              <a:ext cx="1881187" cy="523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r>
                <a:rPr lang="en-US" sz="900" i="0">
                  <a:solidFill>
                    <a:srgbClr val="FF0000"/>
                  </a:solidFill>
                  <a:latin typeface="Cambria Math"/>
                </a:rPr>
                <a:t>∑</a:t>
              </a:r>
              <a:r>
                <a:rPr lang="en-US" sz="900" b="0" i="0">
                  <a:solidFill>
                    <a:srgbClr val="FF0000"/>
                  </a:solidFill>
                  <a:latin typeface="Cambria Math"/>
                </a:rPr>
                <a:t>_(𝑖=1)^10▒█(@𝐴𝑌[1]𝑋 𝐴𝑌[2]@)</a:t>
              </a:r>
              <a:endParaRPr lang="en-US" sz="900">
                <a:solidFill>
                  <a:srgbClr val="FF0000"/>
                </a:solidFill>
              </a:endParaRPr>
            </a:p>
          </xdr:txBody>
        </xdr:sp>
      </mc:Fallback>
    </mc:AlternateContent>
    <xdr:clientData/>
  </xdr:oneCellAnchor>
  <xdr:oneCellAnchor>
    <xdr:from>
      <xdr:col>2</xdr:col>
      <xdr:colOff>0</xdr:colOff>
      <xdr:row>30</xdr:row>
      <xdr:rowOff>321067</xdr:rowOff>
    </xdr:from>
    <xdr:ext cx="1833562" cy="595714"/>
    <mc:AlternateContent xmlns:mc="http://schemas.openxmlformats.org/markup-compatibility/2006" xmlns:a14="http://schemas.microsoft.com/office/drawing/2010/main">
      <mc:Choice Requires="a14">
        <xdr:sp macro="" textlink="">
          <xdr:nvSpPr>
            <xdr:cNvPr id="4" name="TextBox 3"/>
            <xdr:cNvSpPr txBox="1"/>
          </xdr:nvSpPr>
          <xdr:spPr>
            <a:xfrm>
              <a:off x="2867025" y="10636642"/>
              <a:ext cx="1833562" cy="5957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nary>
                      <m:naryPr>
                        <m:chr m:val="∑"/>
                        <m:ctrlPr>
                          <a:rPr lang="en-US" sz="900" i="1">
                            <a:solidFill>
                              <a:srgbClr val="FF0000"/>
                            </a:solidFill>
                            <a:latin typeface="Cambria Math" panose="02040503050406030204" pitchFamily="18" charset="0"/>
                          </a:rPr>
                        </m:ctrlPr>
                      </m:naryPr>
                      <m:sub>
                        <m:r>
                          <m:rPr>
                            <m:brk m:alnAt="23"/>
                          </m:rPr>
                          <a:rPr lang="en-US" sz="900" b="0" i="1">
                            <a:solidFill>
                              <a:srgbClr val="FF0000"/>
                            </a:solidFill>
                            <a:latin typeface="Cambria Math"/>
                          </a:rPr>
                          <m:t>𝑖</m:t>
                        </m:r>
                        <m:r>
                          <a:rPr lang="en-US" sz="900" b="0" i="1">
                            <a:solidFill>
                              <a:srgbClr val="FF0000"/>
                            </a:solidFill>
                            <a:latin typeface="Cambria Math"/>
                          </a:rPr>
                          <m:t>=1</m:t>
                        </m:r>
                      </m:sub>
                      <m:sup>
                        <m:r>
                          <a:rPr lang="en-US" sz="900" b="0" i="1">
                            <a:solidFill>
                              <a:srgbClr val="FF0000"/>
                            </a:solidFill>
                            <a:latin typeface="Cambria Math"/>
                          </a:rPr>
                          <m:t>10</m:t>
                        </m:r>
                      </m:sup>
                      <m:e>
                        <m:eqArr>
                          <m:eqArrPr>
                            <m:ctrlPr>
                              <a:rPr lang="en-US" sz="900" b="0" i="1">
                                <a:solidFill>
                                  <a:srgbClr val="FF0000"/>
                                </a:solidFill>
                                <a:latin typeface="Cambria Math" panose="02040503050406030204" pitchFamily="18" charset="0"/>
                              </a:rPr>
                            </m:ctrlPr>
                          </m:eqArrPr>
                          <m:e/>
                          <m:e>
                            <m:r>
                              <a:rPr lang="en-US" sz="900" b="0" i="1">
                                <a:solidFill>
                                  <a:srgbClr val="FF0000"/>
                                </a:solidFill>
                                <a:latin typeface="Cambria Math"/>
                              </a:rPr>
                              <m:t>𝐴𝑌</m:t>
                            </m:r>
                            <m:d>
                              <m:dPr>
                                <m:begChr m:val="["/>
                                <m:endChr m:val="]"/>
                                <m:ctrlPr>
                                  <a:rPr lang="en-US" sz="900" b="0" i="1">
                                    <a:solidFill>
                                      <a:srgbClr val="FF0000"/>
                                    </a:solidFill>
                                    <a:latin typeface="Cambria Math" panose="02040503050406030204" pitchFamily="18" charset="0"/>
                                  </a:rPr>
                                </m:ctrlPr>
                              </m:dPr>
                              <m:e>
                                <m:r>
                                  <a:rPr lang="en-US" sz="900" b="0" i="1">
                                    <a:solidFill>
                                      <a:srgbClr val="FF0000"/>
                                    </a:solidFill>
                                    <a:latin typeface="Cambria Math"/>
                                  </a:rPr>
                                  <m:t>1</m:t>
                                </m:r>
                              </m:e>
                            </m:d>
                            <m:r>
                              <a:rPr lang="en-US" sz="900" b="0" i="1">
                                <a:solidFill>
                                  <a:srgbClr val="FF0000"/>
                                </a:solidFill>
                                <a:latin typeface="Cambria Math"/>
                              </a:rPr>
                              <m:t>𝑋</m:t>
                            </m:r>
                            <m:r>
                              <a:rPr lang="en-US" sz="900" b="0" i="1">
                                <a:solidFill>
                                  <a:srgbClr val="FF0000"/>
                                </a:solidFill>
                                <a:latin typeface="Cambria Math"/>
                              </a:rPr>
                              <m:t> </m:t>
                            </m:r>
                            <m:r>
                              <a:rPr lang="en-US" sz="900" b="0" i="1">
                                <a:solidFill>
                                  <a:srgbClr val="FF0000"/>
                                </a:solidFill>
                                <a:latin typeface="Cambria Math"/>
                              </a:rPr>
                              <m:t>𝐴𝑌</m:t>
                            </m:r>
                            <m:r>
                              <a:rPr lang="en-US" sz="900" b="0" i="1">
                                <a:solidFill>
                                  <a:srgbClr val="FF0000"/>
                                </a:solidFill>
                                <a:latin typeface="Cambria Math"/>
                              </a:rPr>
                              <m:t>[3</m:t>
                            </m:r>
                            <m:r>
                              <m:rPr>
                                <m:nor/>
                              </m:rPr>
                              <a:rPr lang="en-IN" sz="1100" b="0" i="0" u="none" strike="noStrike">
                                <a:solidFill>
                                  <a:schemeClr val="tx1"/>
                                </a:solidFill>
                                <a:effectLst/>
                                <a:latin typeface="+mn-lt"/>
                                <a:ea typeface="+mn-ea"/>
                                <a:cs typeface="+mn-cs"/>
                              </a:rPr>
                              <m:t>  </m:t>
                            </m:r>
                            <m:r>
                              <a:rPr lang="en-US" sz="900" b="0" i="1">
                                <a:solidFill>
                                  <a:srgbClr val="FF0000"/>
                                </a:solidFill>
                                <a:latin typeface="Cambria Math"/>
                              </a:rPr>
                              <m:t>]</m:t>
                            </m:r>
                          </m:e>
                          <m:e/>
                        </m:eqArr>
                      </m:e>
                    </m:nary>
                  </m:oMath>
                </m:oMathPara>
              </a14:m>
              <a:endParaRPr lang="en-US" sz="900">
                <a:solidFill>
                  <a:srgbClr val="FF0000"/>
                </a:solidFill>
              </a:endParaRPr>
            </a:p>
          </xdr:txBody>
        </xdr:sp>
      </mc:Choice>
      <mc:Fallback xmlns="">
        <xdr:sp macro="" textlink="">
          <xdr:nvSpPr>
            <xdr:cNvPr id="4" name="TextBox 3"/>
            <xdr:cNvSpPr txBox="1"/>
          </xdr:nvSpPr>
          <xdr:spPr>
            <a:xfrm>
              <a:off x="2867025" y="10636642"/>
              <a:ext cx="1833562" cy="5957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r>
                <a:rPr lang="en-US" sz="900" i="0">
                  <a:solidFill>
                    <a:srgbClr val="FF0000"/>
                  </a:solidFill>
                  <a:latin typeface="Cambria Math" panose="02040503050406030204" pitchFamily="18" charset="0"/>
                </a:rPr>
                <a:t>∑</a:t>
              </a:r>
              <a:r>
                <a:rPr lang="en-US" sz="900" b="0" i="0">
                  <a:solidFill>
                    <a:srgbClr val="FF0000"/>
                  </a:solidFill>
                  <a:latin typeface="Cambria Math" panose="02040503050406030204" pitchFamily="18" charset="0"/>
                </a:rPr>
                <a:t>_(</a:t>
              </a:r>
              <a:r>
                <a:rPr lang="en-US" sz="900" b="0" i="0">
                  <a:solidFill>
                    <a:srgbClr val="FF0000"/>
                  </a:solidFill>
                  <a:latin typeface="Cambria Math"/>
                </a:rPr>
                <a:t>𝑖=1</a:t>
              </a:r>
              <a:r>
                <a:rPr lang="en-US" sz="900" b="0" i="0">
                  <a:solidFill>
                    <a:srgbClr val="FF0000"/>
                  </a:solidFill>
                  <a:latin typeface="Cambria Math" panose="02040503050406030204" pitchFamily="18" charset="0"/>
                </a:rPr>
                <a:t>)^</a:t>
              </a:r>
              <a:r>
                <a:rPr lang="en-US" sz="900" b="0" i="0">
                  <a:solidFill>
                    <a:srgbClr val="FF0000"/>
                  </a:solidFill>
                  <a:latin typeface="Cambria Math"/>
                </a:rPr>
                <a:t>10</a:t>
              </a:r>
              <a:r>
                <a:rPr lang="en-US" sz="900" b="0" i="0">
                  <a:solidFill>
                    <a:srgbClr val="FF0000"/>
                  </a:solidFill>
                  <a:latin typeface="Cambria Math" panose="02040503050406030204" pitchFamily="18" charset="0"/>
                </a:rPr>
                <a:t>▒█(@</a:t>
              </a:r>
              <a:r>
                <a:rPr lang="en-US" sz="900" b="0" i="0">
                  <a:solidFill>
                    <a:srgbClr val="FF0000"/>
                  </a:solidFill>
                  <a:latin typeface="Cambria Math"/>
                </a:rPr>
                <a:t>𝐴𝑌</a:t>
              </a:r>
              <a:r>
                <a:rPr lang="en-US" sz="900" b="0" i="0">
                  <a:solidFill>
                    <a:srgbClr val="FF0000"/>
                  </a:solidFill>
                  <a:latin typeface="Cambria Math" panose="02040503050406030204" pitchFamily="18" charset="0"/>
                </a:rPr>
                <a:t>[</a:t>
              </a:r>
              <a:r>
                <a:rPr lang="en-US" sz="900" b="0" i="0">
                  <a:solidFill>
                    <a:srgbClr val="FF0000"/>
                  </a:solidFill>
                  <a:latin typeface="Cambria Math"/>
                </a:rPr>
                <a:t>1</a:t>
              </a:r>
              <a:r>
                <a:rPr lang="en-US" sz="900" b="0" i="0">
                  <a:solidFill>
                    <a:srgbClr val="FF0000"/>
                  </a:solidFill>
                  <a:latin typeface="Cambria Math" panose="02040503050406030204" pitchFamily="18" charset="0"/>
                </a:rPr>
                <a:t>]</a:t>
              </a:r>
              <a:r>
                <a:rPr lang="en-US" sz="900" b="0" i="0">
                  <a:solidFill>
                    <a:srgbClr val="FF0000"/>
                  </a:solidFill>
                  <a:latin typeface="Cambria Math"/>
                </a:rPr>
                <a:t>𝑋 𝐴𝑌[</a:t>
              </a:r>
              <a:r>
                <a:rPr lang="en-IN" sz="900" b="0" i="0">
                  <a:solidFill>
                    <a:srgbClr val="FF0000"/>
                  </a:solidFill>
                  <a:latin typeface="Cambria Math" panose="02040503050406030204" pitchFamily="18" charset="0"/>
                </a:rPr>
                <a:t>3</a:t>
              </a:r>
              <a:r>
                <a:rPr lang="en-IN" sz="1100" b="0" i="0" u="none" strike="noStrike">
                  <a:solidFill>
                    <a:schemeClr val="tx1"/>
                  </a:solidFill>
                  <a:effectLst/>
                  <a:latin typeface="+mn-lt"/>
                  <a:ea typeface="+mn-ea"/>
                  <a:cs typeface="+mn-cs"/>
                </a:rPr>
                <a:t>"</a:t>
              </a:r>
              <a:r>
                <a:rPr lang="en-IN" sz="1100" b="0" i="0" u="none" strike="noStrike">
                  <a:solidFill>
                    <a:schemeClr val="tx1"/>
                  </a:solidFill>
                  <a:effectLst/>
                  <a:latin typeface="+mn-lt"/>
                  <a:ea typeface="+mn-ea"/>
                  <a:cs typeface="+mn-cs"/>
                </a:rPr>
                <a:t>  </a:t>
              </a:r>
              <a:r>
                <a:rPr lang="en-US" sz="900" b="0" i="0" u="none" strike="noStrike">
                  <a:solidFill>
                    <a:srgbClr val="FF0000"/>
                  </a:solidFill>
                  <a:effectLst/>
                  <a:latin typeface="Cambria Math"/>
                  <a:ea typeface="+mn-ea"/>
                  <a:cs typeface="+mn-cs"/>
                </a:rPr>
                <a:t>" </a:t>
              </a:r>
              <a:r>
                <a:rPr lang="en-US" sz="900" b="0" i="0">
                  <a:solidFill>
                    <a:srgbClr val="FF0000"/>
                  </a:solidFill>
                  <a:latin typeface="Cambria Math"/>
                </a:rPr>
                <a:t>]</a:t>
              </a:r>
              <a:r>
                <a:rPr lang="en-US" sz="900" b="0" i="0">
                  <a:solidFill>
                    <a:srgbClr val="FF0000"/>
                  </a:solidFill>
                  <a:latin typeface="Cambria Math" panose="02040503050406030204" pitchFamily="18" charset="0"/>
                </a:rPr>
                <a:t>@)</a:t>
              </a:r>
              <a:endParaRPr lang="en-US" sz="900">
                <a:solidFill>
                  <a:srgbClr val="FF0000"/>
                </a:solidFill>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5</xdr:col>
      <xdr:colOff>57150</xdr:colOff>
      <xdr:row>1</xdr:row>
      <xdr:rowOff>152400</xdr:rowOff>
    </xdr:from>
    <xdr:to>
      <xdr:col>16</xdr:col>
      <xdr:colOff>0</xdr:colOff>
      <xdr:row>21</xdr:row>
      <xdr:rowOff>4763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220980</xdr:colOff>
      <xdr:row>2</xdr:row>
      <xdr:rowOff>30480</xdr:rowOff>
    </xdr:from>
    <xdr:to>
      <xdr:col>23</xdr:col>
      <xdr:colOff>144780</xdr:colOff>
      <xdr:row>17</xdr:row>
      <xdr:rowOff>100899</xdr:rowOff>
    </xdr:to>
    <xdr:pic>
      <xdr:nvPicPr>
        <xdr:cNvPr id="4" name="Picture 3"/>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93780" y="396240"/>
          <a:ext cx="4191000" cy="3179379"/>
        </a:xfrm>
        <a:prstGeom prst="rect">
          <a:avLst/>
        </a:prstGeom>
        <a:noFill/>
        <a:ln>
          <a:noFill/>
        </a:ln>
        <a:effectLs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0.5086</cdr:x>
      <cdr:y>0.88381</cdr:y>
    </cdr:from>
    <cdr:to>
      <cdr:x>0.58023</cdr:x>
      <cdr:y>0.95056</cdr:y>
    </cdr:to>
    <cdr:sp macro="" textlink="">
      <cdr:nvSpPr>
        <cdr:cNvPr id="2" name="TextBox 1"/>
        <cdr:cNvSpPr txBox="1"/>
      </cdr:nvSpPr>
      <cdr:spPr>
        <a:xfrm xmlns:a="http://schemas.openxmlformats.org/drawingml/2006/main">
          <a:off x="3381375" y="3405187"/>
          <a:ext cx="476250" cy="25717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MW</a:t>
          </a:r>
        </a:p>
      </cdr:txBody>
    </cdr:sp>
  </cdr:relSizeAnchor>
  <cdr:relSizeAnchor xmlns:cdr="http://schemas.openxmlformats.org/drawingml/2006/chartDrawing">
    <cdr:from>
      <cdr:x>0.06853</cdr:x>
      <cdr:y>0.30779</cdr:y>
    </cdr:from>
    <cdr:to>
      <cdr:x>0.10721</cdr:x>
      <cdr:y>0.66461</cdr:y>
    </cdr:to>
    <cdr:sp macro="" textlink="">
      <cdr:nvSpPr>
        <cdr:cNvPr id="3" name="TextBox 1"/>
        <cdr:cNvSpPr txBox="1"/>
      </cdr:nvSpPr>
      <cdr:spPr>
        <a:xfrm xmlns:a="http://schemas.openxmlformats.org/drawingml/2006/main" rot="16200000">
          <a:off x="-103187" y="1744663"/>
          <a:ext cx="1374775" cy="25717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Heat</a:t>
          </a:r>
          <a:r>
            <a:rPr lang="en-US" sz="1100" baseline="0"/>
            <a:t> Rate kcal/kwh</a:t>
          </a:r>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106680</xdr:colOff>
      <xdr:row>3</xdr:row>
      <xdr:rowOff>76200</xdr:rowOff>
    </xdr:from>
    <xdr:to>
      <xdr:col>9</xdr:col>
      <xdr:colOff>487680</xdr:colOff>
      <xdr:row>7</xdr:row>
      <xdr:rowOff>22860</xdr:rowOff>
    </xdr:to>
    <xdr:sp macro="" textlink="">
      <xdr:nvSpPr>
        <xdr:cNvPr id="3" name="Title 1"/>
        <xdr:cNvSpPr>
          <a:spLocks noGrp="1"/>
        </xdr:cNvSpPr>
      </xdr:nvSpPr>
      <xdr:spPr>
        <a:xfrm>
          <a:off x="2545080" y="624840"/>
          <a:ext cx="3429000" cy="678180"/>
        </a:xfrm>
        <a:prstGeom prst="rect">
          <a:avLst/>
        </a:prstGeom>
      </xdr:spPr>
      <xdr:txBody>
        <a:bodyPr vert="horz" wrap="square" lIns="91440" tIns="45720" rIns="91440" bIns="45720" rtlCol="0" anchor="ctr">
          <a:noAutofit/>
        </a:bodyPr>
        <a:lstStyle>
          <a:lvl1pPr algn="ctr" defTabSz="914400" rtl="0" eaLnBrk="1" latinLnBrk="0" hangingPunct="1">
            <a:spcBef>
              <a:spcPct val="0"/>
            </a:spcBef>
            <a:buNone/>
            <a:defRPr sz="4400" kern="1200">
              <a:solidFill>
                <a:schemeClr val="tx1"/>
              </a:solidFill>
              <a:latin typeface="+mj-lt"/>
              <a:ea typeface="+mj-ea"/>
              <a:cs typeface="+mj-cs"/>
            </a:defRPr>
          </a:lvl1pPr>
        </a:lstStyle>
        <a:p>
          <a:r>
            <a:rPr lang="en-US" sz="1600"/>
            <a:t>200*3+500*4 mw Station</a:t>
          </a:r>
          <a:br>
            <a:rPr lang="en-US" sz="1600"/>
          </a:br>
          <a:r>
            <a:rPr lang="en-US" sz="1600"/>
            <a:t> (1</a:t>
          </a:r>
          <a:r>
            <a:rPr lang="en-US" sz="1600" baseline="30000"/>
            <a:t>st</a:t>
          </a:r>
          <a:r>
            <a:rPr lang="en-US" sz="1600"/>
            <a:t> Oct’13-31 Dec’13)</a:t>
          </a:r>
        </a:p>
      </xdr:txBody>
    </xdr:sp>
    <xdr:clientData/>
  </xdr:twoCellAnchor>
  <mc:AlternateContent xmlns:mc="http://schemas.openxmlformats.org/markup-compatibility/2006">
    <mc:Choice xmlns:a14="http://schemas.microsoft.com/office/drawing/2010/main" Requires="a14">
      <xdr:twoCellAnchor editAs="oneCell">
        <xdr:from>
          <xdr:col>0</xdr:col>
          <xdr:colOff>60960</xdr:colOff>
          <xdr:row>7</xdr:row>
          <xdr:rowOff>152400</xdr:rowOff>
        </xdr:from>
        <xdr:to>
          <xdr:col>13</xdr:col>
          <xdr:colOff>441960</xdr:colOff>
          <xdr:row>28</xdr:row>
          <xdr:rowOff>99060</xdr:rowOff>
        </xdr:to>
        <xdr:sp macro="" textlink="">
          <xdr:nvSpPr>
            <xdr:cNvPr id="9219" name="Object 3" hidden="1">
              <a:extLst>
                <a:ext uri="{63B3BB69-23CF-44E3-9099-C40C66FF867C}">
                  <a14:compatExt spid="_x0000_s921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6.bin"/><Relationship Id="rId5" Type="http://schemas.openxmlformats.org/officeDocument/2006/relationships/image" Target="../media/image2.emf"/><Relationship Id="rId4" Type="http://schemas.openxmlformats.org/officeDocument/2006/relationships/oleObject" Target="../embeddings/Microsoft_Excel_97-2003_Worksheet1.xls"/></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zoomScale="85" zoomScaleNormal="85" workbookViewId="0">
      <selection activeCell="C11" sqref="C11"/>
    </sheetView>
  </sheetViews>
  <sheetFormatPr defaultColWidth="9.109375" defaultRowHeight="13.8" x14ac:dyDescent="0.3"/>
  <cols>
    <col min="1" max="1" width="9.109375" style="274"/>
    <col min="2" max="2" width="49.5546875" style="280" customWidth="1"/>
    <col min="3" max="3" width="45.33203125" style="280" customWidth="1"/>
    <col min="4" max="4" width="31.109375" style="280" customWidth="1"/>
    <col min="5" max="5" width="20.109375" style="274" customWidth="1"/>
    <col min="6" max="6" width="32.6640625" style="274" customWidth="1"/>
    <col min="7" max="7" width="34.6640625" style="274" customWidth="1"/>
    <col min="8" max="16384" width="9.109375" style="274"/>
  </cols>
  <sheetData>
    <row r="1" spans="1:7" ht="28.95" customHeight="1" x14ac:dyDescent="0.3">
      <c r="A1" s="550" t="s">
        <v>583</v>
      </c>
      <c r="B1" s="551"/>
      <c r="C1" s="551"/>
      <c r="D1" s="551"/>
      <c r="E1" s="551"/>
      <c r="F1" s="551"/>
      <c r="G1" s="551"/>
    </row>
    <row r="2" spans="1:7" ht="57.6" x14ac:dyDescent="0.3">
      <c r="A2" s="394" t="s">
        <v>146</v>
      </c>
      <c r="B2" s="394" t="s">
        <v>242</v>
      </c>
      <c r="C2" s="394" t="s">
        <v>1063</v>
      </c>
      <c r="D2" s="394" t="s">
        <v>289</v>
      </c>
      <c r="E2" s="394" t="s">
        <v>971</v>
      </c>
      <c r="F2" s="395" t="s">
        <v>1071</v>
      </c>
      <c r="G2" s="393" t="s">
        <v>1072</v>
      </c>
    </row>
    <row r="3" spans="1:7" ht="21.6" customHeight="1" x14ac:dyDescent="0.3">
      <c r="A3" s="552" t="s">
        <v>1168</v>
      </c>
      <c r="B3" s="553"/>
      <c r="C3" s="553"/>
      <c r="D3" s="553"/>
      <c r="E3" s="553"/>
      <c r="F3" s="553"/>
      <c r="G3" s="554"/>
    </row>
    <row r="4" spans="1:7" ht="21.6" customHeight="1" x14ac:dyDescent="0.3">
      <c r="A4" s="555" t="s">
        <v>1073</v>
      </c>
      <c r="B4" s="556"/>
      <c r="C4" s="556"/>
      <c r="D4" s="556"/>
      <c r="E4" s="556"/>
      <c r="F4" s="556"/>
      <c r="G4" s="557"/>
    </row>
    <row r="5" spans="1:7" ht="21.6" customHeight="1" x14ac:dyDescent="0.3">
      <c r="A5" s="558" t="s">
        <v>1223</v>
      </c>
      <c r="B5" s="559"/>
      <c r="C5" s="559"/>
      <c r="D5" s="559"/>
      <c r="E5" s="559"/>
      <c r="F5" s="559"/>
      <c r="G5" s="560"/>
    </row>
    <row r="6" spans="1:7" x14ac:dyDescent="0.3">
      <c r="A6" s="83">
        <v>1</v>
      </c>
      <c r="B6" s="275" t="s">
        <v>243</v>
      </c>
      <c r="C6" s="275" t="s">
        <v>972</v>
      </c>
      <c r="D6" s="275"/>
      <c r="E6" s="275"/>
      <c r="F6" s="275"/>
      <c r="G6" s="275"/>
    </row>
    <row r="7" spans="1:7" x14ac:dyDescent="0.3">
      <c r="A7" s="83">
        <v>2</v>
      </c>
      <c r="B7" s="275" t="s">
        <v>244</v>
      </c>
      <c r="C7" s="275" t="s">
        <v>972</v>
      </c>
      <c r="D7" s="275"/>
      <c r="E7" s="275"/>
      <c r="F7" s="275"/>
      <c r="G7" s="275"/>
    </row>
    <row r="8" spans="1:7" x14ac:dyDescent="0.3">
      <c r="A8" s="83">
        <v>3</v>
      </c>
      <c r="B8" s="275" t="s">
        <v>245</v>
      </c>
      <c r="C8" s="275" t="s">
        <v>1130</v>
      </c>
      <c r="D8" s="275"/>
      <c r="E8" s="275"/>
      <c r="F8" s="275"/>
      <c r="G8" s="275"/>
    </row>
    <row r="9" spans="1:7" x14ac:dyDescent="0.3">
      <c r="A9" s="83">
        <v>4</v>
      </c>
      <c r="B9" s="276" t="s">
        <v>246</v>
      </c>
      <c r="C9" s="275"/>
      <c r="D9" s="275"/>
      <c r="E9" s="275"/>
      <c r="F9" s="275"/>
      <c r="G9" s="275"/>
    </row>
    <row r="10" spans="1:7" ht="96.6" x14ac:dyDescent="0.3">
      <c r="A10" s="83" t="s">
        <v>30</v>
      </c>
      <c r="B10" s="421" t="s">
        <v>247</v>
      </c>
      <c r="C10" s="421" t="s">
        <v>973</v>
      </c>
      <c r="D10" s="421" t="s">
        <v>1034</v>
      </c>
      <c r="E10" s="421" t="s">
        <v>974</v>
      </c>
      <c r="F10" s="421" t="s">
        <v>975</v>
      </c>
      <c r="G10" s="275" t="s">
        <v>976</v>
      </c>
    </row>
    <row r="11" spans="1:7" ht="33" customHeight="1" x14ac:dyDescent="0.3">
      <c r="A11" s="83" t="s">
        <v>32</v>
      </c>
      <c r="B11" s="421" t="s">
        <v>248</v>
      </c>
      <c r="C11" s="421" t="s">
        <v>973</v>
      </c>
      <c r="D11" s="421"/>
      <c r="E11" s="421" t="s">
        <v>974</v>
      </c>
      <c r="F11" s="421" t="s">
        <v>975</v>
      </c>
      <c r="G11" s="275" t="s">
        <v>976</v>
      </c>
    </row>
    <row r="12" spans="1:7" ht="49.95" customHeight="1" x14ac:dyDescent="0.3">
      <c r="A12" s="83" t="s">
        <v>77</v>
      </c>
      <c r="B12" s="421" t="s">
        <v>731</v>
      </c>
      <c r="C12" s="421"/>
      <c r="D12" s="421"/>
      <c r="E12" s="421" t="s">
        <v>974</v>
      </c>
      <c r="F12" s="421" t="s">
        <v>1091</v>
      </c>
      <c r="G12" s="275" t="s">
        <v>978</v>
      </c>
    </row>
    <row r="13" spans="1:7" x14ac:dyDescent="0.3">
      <c r="A13" s="83" t="s">
        <v>283</v>
      </c>
      <c r="B13" s="421" t="s">
        <v>732</v>
      </c>
      <c r="C13" s="421"/>
      <c r="D13" s="421"/>
      <c r="E13" s="421" t="s">
        <v>974</v>
      </c>
      <c r="F13" s="421" t="s">
        <v>977</v>
      </c>
      <c r="G13" s="275" t="s">
        <v>978</v>
      </c>
    </row>
    <row r="14" spans="1:7" x14ac:dyDescent="0.3">
      <c r="A14" s="83" t="s">
        <v>38</v>
      </c>
      <c r="B14" s="421" t="s">
        <v>738</v>
      </c>
      <c r="C14" s="421"/>
      <c r="D14" s="421"/>
      <c r="E14" s="421" t="s">
        <v>974</v>
      </c>
      <c r="F14" s="421" t="s">
        <v>977</v>
      </c>
      <c r="G14" s="275" t="s">
        <v>978</v>
      </c>
    </row>
    <row r="15" spans="1:7" ht="27.6" x14ac:dyDescent="0.3">
      <c r="A15" s="83" t="s">
        <v>40</v>
      </c>
      <c r="B15" s="421" t="s">
        <v>979</v>
      </c>
      <c r="C15" s="421" t="s">
        <v>1092</v>
      </c>
      <c r="D15" s="421"/>
      <c r="E15" s="421" t="s">
        <v>974</v>
      </c>
      <c r="F15" s="421" t="s">
        <v>977</v>
      </c>
      <c r="G15" s="275" t="s">
        <v>978</v>
      </c>
    </row>
    <row r="16" spans="1:7" x14ac:dyDescent="0.3">
      <c r="A16" s="83">
        <v>5</v>
      </c>
      <c r="B16" s="512" t="s">
        <v>120</v>
      </c>
      <c r="C16" s="421"/>
      <c r="D16" s="421"/>
      <c r="E16" s="421"/>
      <c r="F16" s="421"/>
      <c r="G16" s="275"/>
    </row>
    <row r="17" spans="1:7" ht="108" x14ac:dyDescent="0.3">
      <c r="A17" s="83">
        <v>5</v>
      </c>
      <c r="B17" s="421" t="s">
        <v>1032</v>
      </c>
      <c r="C17" s="421" t="s">
        <v>1238</v>
      </c>
      <c r="D17" s="421"/>
      <c r="E17" s="421" t="s">
        <v>974</v>
      </c>
      <c r="F17" s="513" t="s">
        <v>1101</v>
      </c>
      <c r="G17" s="424" t="s">
        <v>1090</v>
      </c>
    </row>
    <row r="18" spans="1:7" ht="76.95" customHeight="1" x14ac:dyDescent="0.3">
      <c r="A18" s="83">
        <v>5.0999999999999996</v>
      </c>
      <c r="B18" s="421" t="s">
        <v>1031</v>
      </c>
      <c r="C18" s="421" t="s">
        <v>1029</v>
      </c>
      <c r="D18" s="421"/>
      <c r="E18" s="421" t="s">
        <v>974</v>
      </c>
      <c r="F18" s="513"/>
      <c r="G18" s="424"/>
    </row>
    <row r="19" spans="1:7" ht="90" customHeight="1" x14ac:dyDescent="0.3">
      <c r="A19" s="277">
        <v>5.2</v>
      </c>
      <c r="B19" s="421" t="s">
        <v>1033</v>
      </c>
      <c r="C19" s="421"/>
      <c r="D19" s="421"/>
      <c r="E19" s="421" t="s">
        <v>974</v>
      </c>
      <c r="F19" s="513" t="s">
        <v>1088</v>
      </c>
      <c r="G19" s="424" t="s">
        <v>1090</v>
      </c>
    </row>
    <row r="20" spans="1:7" x14ac:dyDescent="0.3">
      <c r="A20" s="277">
        <v>6</v>
      </c>
      <c r="B20" s="512" t="s">
        <v>119</v>
      </c>
      <c r="C20" s="421"/>
      <c r="D20" s="421"/>
      <c r="E20" s="421"/>
      <c r="F20" s="513"/>
      <c r="G20" s="424"/>
    </row>
    <row r="21" spans="1:7" ht="72" x14ac:dyDescent="0.3">
      <c r="A21" s="83" t="s">
        <v>147</v>
      </c>
      <c r="B21" s="421" t="s">
        <v>250</v>
      </c>
      <c r="C21" s="421" t="s">
        <v>973</v>
      </c>
      <c r="D21" s="421"/>
      <c r="E21" s="421" t="s">
        <v>981</v>
      </c>
      <c r="F21" s="513" t="s">
        <v>1093</v>
      </c>
      <c r="G21" s="424" t="s">
        <v>1120</v>
      </c>
    </row>
    <row r="22" spans="1:7" ht="72" x14ac:dyDescent="0.3">
      <c r="A22" s="83" t="s">
        <v>148</v>
      </c>
      <c r="B22" s="421" t="s">
        <v>251</v>
      </c>
      <c r="C22" s="421" t="s">
        <v>252</v>
      </c>
      <c r="D22" s="421"/>
      <c r="E22" s="421" t="s">
        <v>981</v>
      </c>
      <c r="F22" s="513" t="s">
        <v>1093</v>
      </c>
      <c r="G22" s="424" t="s">
        <v>1094</v>
      </c>
    </row>
    <row r="23" spans="1:7" ht="27.6" x14ac:dyDescent="0.3">
      <c r="A23" s="83">
        <v>7</v>
      </c>
      <c r="B23" s="512" t="s">
        <v>228</v>
      </c>
      <c r="C23" s="421"/>
      <c r="D23" s="421"/>
      <c r="E23" s="421" t="s">
        <v>983</v>
      </c>
      <c r="F23" s="421" t="s">
        <v>982</v>
      </c>
      <c r="G23" s="275" t="s">
        <v>984</v>
      </c>
    </row>
    <row r="24" spans="1:7" x14ac:dyDescent="0.3">
      <c r="A24" s="83"/>
      <c r="B24" s="421" t="s">
        <v>246</v>
      </c>
      <c r="C24" s="421" t="s">
        <v>1102</v>
      </c>
      <c r="D24" s="421"/>
      <c r="E24" s="421"/>
      <c r="F24" s="421"/>
      <c r="G24" s="275"/>
    </row>
    <row r="25" spans="1:7" ht="27.6" x14ac:dyDescent="0.3">
      <c r="A25" s="83" t="s">
        <v>30</v>
      </c>
      <c r="B25" s="421" t="s">
        <v>1107</v>
      </c>
      <c r="C25" s="421" t="s">
        <v>253</v>
      </c>
      <c r="D25" s="421"/>
      <c r="E25" s="421"/>
      <c r="F25" s="421" t="s">
        <v>1110</v>
      </c>
      <c r="G25" s="275"/>
    </row>
    <row r="26" spans="1:7" ht="41.4" x14ac:dyDescent="0.3">
      <c r="A26" s="83" t="s">
        <v>32</v>
      </c>
      <c r="B26" s="421" t="s">
        <v>1108</v>
      </c>
      <c r="C26" s="421" t="s">
        <v>1116</v>
      </c>
      <c r="D26" s="421"/>
      <c r="E26" s="421"/>
      <c r="F26" s="421" t="s">
        <v>1109</v>
      </c>
      <c r="G26" s="275"/>
    </row>
    <row r="27" spans="1:7" ht="27.6" x14ac:dyDescent="0.3">
      <c r="A27" s="83" t="s">
        <v>77</v>
      </c>
      <c r="B27" s="421" t="s">
        <v>254</v>
      </c>
      <c r="C27" s="421" t="s">
        <v>255</v>
      </c>
      <c r="D27" s="421"/>
      <c r="E27" s="421" t="s">
        <v>983</v>
      </c>
      <c r="F27" s="421" t="s">
        <v>1100</v>
      </c>
      <c r="G27" s="275" t="s">
        <v>1097</v>
      </c>
    </row>
    <row r="28" spans="1:7" ht="84" x14ac:dyDescent="0.3">
      <c r="A28" s="83" t="s">
        <v>283</v>
      </c>
      <c r="B28" s="512" t="s">
        <v>1111</v>
      </c>
      <c r="C28" s="421" t="s">
        <v>1114</v>
      </c>
      <c r="D28" s="421"/>
      <c r="E28" s="421" t="s">
        <v>1115</v>
      </c>
      <c r="F28" s="513" t="s">
        <v>1112</v>
      </c>
      <c r="G28" s="424" t="s">
        <v>1113</v>
      </c>
    </row>
    <row r="29" spans="1:7" ht="110.4" x14ac:dyDescent="0.3">
      <c r="A29" s="83" t="s">
        <v>38</v>
      </c>
      <c r="B29" s="421" t="s">
        <v>256</v>
      </c>
      <c r="C29" s="421" t="s">
        <v>257</v>
      </c>
      <c r="D29" s="421" t="s">
        <v>1106</v>
      </c>
      <c r="E29" s="421" t="s">
        <v>983</v>
      </c>
      <c r="F29" s="421" t="s">
        <v>1099</v>
      </c>
      <c r="G29" s="275" t="s">
        <v>1097</v>
      </c>
    </row>
    <row r="30" spans="1:7" ht="41.4" x14ac:dyDescent="0.3">
      <c r="A30" s="83" t="s">
        <v>40</v>
      </c>
      <c r="B30" s="514" t="s">
        <v>1117</v>
      </c>
      <c r="C30" s="421" t="s">
        <v>258</v>
      </c>
      <c r="D30" s="421" t="s">
        <v>1103</v>
      </c>
      <c r="E30" s="421" t="s">
        <v>985</v>
      </c>
      <c r="F30" s="421" t="s">
        <v>984</v>
      </c>
      <c r="G30" s="275" t="s">
        <v>1147</v>
      </c>
    </row>
    <row r="31" spans="1:7" x14ac:dyDescent="0.3">
      <c r="A31" s="83" t="s">
        <v>42</v>
      </c>
      <c r="B31" s="514" t="s">
        <v>1104</v>
      </c>
      <c r="C31" s="421"/>
      <c r="D31" s="421"/>
      <c r="E31" s="421"/>
      <c r="F31" s="421"/>
      <c r="G31" s="275"/>
    </row>
    <row r="32" spans="1:7" ht="72" x14ac:dyDescent="0.3">
      <c r="A32" s="83" t="s">
        <v>44</v>
      </c>
      <c r="B32" s="512" t="s">
        <v>1105</v>
      </c>
      <c r="C32" s="421" t="s">
        <v>986</v>
      </c>
      <c r="D32" s="421"/>
      <c r="E32" s="421" t="s">
        <v>987</v>
      </c>
      <c r="F32" s="513" t="s">
        <v>1093</v>
      </c>
      <c r="G32" s="424" t="s">
        <v>1119</v>
      </c>
    </row>
    <row r="33" spans="1:7" ht="72" x14ac:dyDescent="0.3">
      <c r="A33" s="83" t="s">
        <v>46</v>
      </c>
      <c r="B33" s="512" t="s">
        <v>1118</v>
      </c>
      <c r="C33" s="421" t="s">
        <v>259</v>
      </c>
      <c r="D33" s="421"/>
      <c r="E33" s="421" t="s">
        <v>987</v>
      </c>
      <c r="F33" s="513" t="s">
        <v>1093</v>
      </c>
      <c r="G33" s="424" t="s">
        <v>1119</v>
      </c>
    </row>
    <row r="34" spans="1:7" ht="28.2" customHeight="1" x14ac:dyDescent="0.3">
      <c r="A34" s="83" t="s">
        <v>48</v>
      </c>
      <c r="B34" s="421" t="s">
        <v>1121</v>
      </c>
      <c r="C34" s="181"/>
      <c r="D34" s="181"/>
      <c r="E34" s="421"/>
      <c r="F34" s="513" t="s">
        <v>1125</v>
      </c>
      <c r="G34" s="424"/>
    </row>
    <row r="35" spans="1:7" x14ac:dyDescent="0.3">
      <c r="A35" s="83" t="s">
        <v>302</v>
      </c>
      <c r="B35" s="421" t="s">
        <v>1122</v>
      </c>
      <c r="C35" s="181"/>
      <c r="D35" s="181"/>
      <c r="E35" s="421"/>
      <c r="F35" s="513" t="s">
        <v>1126</v>
      </c>
      <c r="G35" s="424"/>
    </row>
    <row r="36" spans="1:7" ht="29.4" customHeight="1" x14ac:dyDescent="0.3">
      <c r="A36" s="83" t="s">
        <v>303</v>
      </c>
      <c r="B36" s="421" t="s">
        <v>260</v>
      </c>
      <c r="C36" s="181"/>
      <c r="D36" s="181"/>
      <c r="E36" s="421"/>
      <c r="F36" s="513" t="s">
        <v>1127</v>
      </c>
      <c r="G36" s="424"/>
    </row>
    <row r="37" spans="1:7" ht="27.6" x14ac:dyDescent="0.3">
      <c r="A37" s="83" t="s">
        <v>579</v>
      </c>
      <c r="B37" s="512" t="s">
        <v>1123</v>
      </c>
      <c r="C37" s="181"/>
      <c r="D37" s="181"/>
      <c r="E37" s="421"/>
      <c r="F37" s="513"/>
      <c r="G37" s="424"/>
    </row>
    <row r="38" spans="1:7" ht="27.6" x14ac:dyDescent="0.3">
      <c r="A38" s="83" t="s">
        <v>580</v>
      </c>
      <c r="B38" s="512" t="s">
        <v>1124</v>
      </c>
      <c r="C38" s="181"/>
      <c r="D38" s="181"/>
      <c r="E38" s="421"/>
      <c r="F38" s="513"/>
      <c r="G38" s="424"/>
    </row>
    <row r="39" spans="1:7" ht="41.4" x14ac:dyDescent="0.3">
      <c r="A39" s="83">
        <v>7.1</v>
      </c>
      <c r="B39" s="512" t="s">
        <v>967</v>
      </c>
      <c r="C39" s="181"/>
      <c r="D39" s="181"/>
      <c r="E39" s="421"/>
      <c r="F39" s="513"/>
      <c r="G39" s="424"/>
    </row>
    <row r="40" spans="1:7" ht="72" x14ac:dyDescent="0.3">
      <c r="A40" s="33" t="s">
        <v>4</v>
      </c>
      <c r="B40" s="421" t="s">
        <v>1128</v>
      </c>
      <c r="C40" s="423"/>
      <c r="D40" s="423" t="s">
        <v>1129</v>
      </c>
      <c r="E40" s="421" t="s">
        <v>981</v>
      </c>
      <c r="F40" s="513" t="s">
        <v>1144</v>
      </c>
      <c r="G40" s="424" t="s">
        <v>1145</v>
      </c>
    </row>
    <row r="41" spans="1:7" ht="72" x14ac:dyDescent="0.3">
      <c r="A41" s="33" t="s">
        <v>12</v>
      </c>
      <c r="B41" s="421" t="s">
        <v>1131</v>
      </c>
      <c r="C41" s="423"/>
      <c r="D41" s="423" t="s">
        <v>1129</v>
      </c>
      <c r="E41" s="421" t="s">
        <v>981</v>
      </c>
      <c r="F41" s="513" t="s">
        <v>1144</v>
      </c>
      <c r="G41" s="424" t="s">
        <v>1145</v>
      </c>
    </row>
    <row r="42" spans="1:7" ht="72" x14ac:dyDescent="0.3">
      <c r="A42" s="33" t="s">
        <v>50</v>
      </c>
      <c r="B42" s="421" t="s">
        <v>1132</v>
      </c>
      <c r="C42" s="423"/>
      <c r="D42" s="423" t="s">
        <v>1129</v>
      </c>
      <c r="E42" s="421" t="s">
        <v>981</v>
      </c>
      <c r="F42" s="513" t="s">
        <v>1144</v>
      </c>
      <c r="G42" s="424" t="s">
        <v>1145</v>
      </c>
    </row>
    <row r="43" spans="1:7" ht="27.6" x14ac:dyDescent="0.3">
      <c r="A43" s="83">
        <v>7.2</v>
      </c>
      <c r="B43" s="512" t="s">
        <v>404</v>
      </c>
      <c r="C43" s="181"/>
      <c r="D43" s="181"/>
      <c r="E43" s="421"/>
      <c r="F43" s="513"/>
      <c r="G43" s="424"/>
    </row>
    <row r="44" spans="1:7" ht="55.2" x14ac:dyDescent="0.3">
      <c r="A44" s="83" t="s">
        <v>30</v>
      </c>
      <c r="B44" s="421" t="s">
        <v>1138</v>
      </c>
      <c r="C44" s="181"/>
      <c r="D44" s="181"/>
      <c r="E44" s="421" t="s">
        <v>981</v>
      </c>
      <c r="F44" s="421" t="s">
        <v>984</v>
      </c>
      <c r="G44" s="275" t="s">
        <v>1146</v>
      </c>
    </row>
    <row r="45" spans="1:7" ht="27.6" x14ac:dyDescent="0.3">
      <c r="A45" s="83" t="s">
        <v>32</v>
      </c>
      <c r="B45" s="512" t="s">
        <v>1133</v>
      </c>
      <c r="C45" s="181"/>
      <c r="D45" s="181"/>
      <c r="E45" s="421"/>
      <c r="F45" s="513"/>
      <c r="G45" s="424"/>
    </row>
    <row r="46" spans="1:7" ht="27.6" x14ac:dyDescent="0.3">
      <c r="A46" s="83" t="s">
        <v>77</v>
      </c>
      <c r="B46" s="512" t="s">
        <v>1134</v>
      </c>
      <c r="C46" s="181"/>
      <c r="D46" s="181"/>
      <c r="E46" s="421"/>
      <c r="F46" s="513"/>
      <c r="G46" s="424"/>
    </row>
    <row r="47" spans="1:7" ht="27.6" x14ac:dyDescent="0.3">
      <c r="A47" s="83" t="s">
        <v>283</v>
      </c>
      <c r="B47" s="512" t="s">
        <v>1135</v>
      </c>
      <c r="C47" s="181"/>
      <c r="D47" s="181"/>
      <c r="E47" s="421"/>
      <c r="F47" s="513"/>
      <c r="G47" s="424"/>
    </row>
    <row r="48" spans="1:7" x14ac:dyDescent="0.3">
      <c r="A48" s="83" t="s">
        <v>38</v>
      </c>
      <c r="B48" s="512" t="s">
        <v>1136</v>
      </c>
      <c r="C48" s="181"/>
      <c r="D48" s="181"/>
      <c r="E48" s="421"/>
      <c r="F48" s="513"/>
      <c r="G48" s="424"/>
    </row>
    <row r="49" spans="1:7" x14ac:dyDescent="0.3">
      <c r="A49" s="83" t="s">
        <v>40</v>
      </c>
      <c r="B49" s="512" t="s">
        <v>1137</v>
      </c>
      <c r="C49" s="181"/>
      <c r="D49" s="181"/>
      <c r="E49" s="421"/>
      <c r="F49" s="513"/>
      <c r="G49" s="424"/>
    </row>
    <row r="50" spans="1:7" ht="13.95" customHeight="1" x14ac:dyDescent="0.3">
      <c r="A50" s="83">
        <v>8</v>
      </c>
      <c r="B50" s="512" t="s">
        <v>53</v>
      </c>
      <c r="C50" s="421"/>
      <c r="D50" s="421"/>
      <c r="E50" s="421"/>
      <c r="F50" s="421"/>
      <c r="G50" s="275"/>
    </row>
    <row r="51" spans="1:7" ht="27.6" x14ac:dyDescent="0.3">
      <c r="A51" s="33" t="s">
        <v>30</v>
      </c>
      <c r="B51" s="421" t="s">
        <v>261</v>
      </c>
      <c r="C51" s="421"/>
      <c r="D51" s="421"/>
      <c r="E51" s="421"/>
      <c r="F51" s="421" t="s">
        <v>1148</v>
      </c>
      <c r="G51" s="275" t="s">
        <v>1149</v>
      </c>
    </row>
    <row r="52" spans="1:7" x14ac:dyDescent="0.3">
      <c r="A52" s="33" t="s">
        <v>32</v>
      </c>
      <c r="B52" s="421" t="s">
        <v>262</v>
      </c>
      <c r="C52" s="421"/>
      <c r="D52" s="421"/>
      <c r="E52" s="421"/>
      <c r="F52" s="421" t="s">
        <v>989</v>
      </c>
      <c r="G52" s="275"/>
    </row>
    <row r="53" spans="1:7" x14ac:dyDescent="0.3">
      <c r="A53" s="33">
        <v>9</v>
      </c>
      <c r="B53" s="512" t="s">
        <v>56</v>
      </c>
      <c r="C53" s="421"/>
      <c r="D53" s="421"/>
      <c r="E53" s="421"/>
      <c r="F53" s="421"/>
      <c r="G53" s="275"/>
    </row>
    <row r="54" spans="1:7" ht="41.4" x14ac:dyDescent="0.3">
      <c r="A54" s="33" t="s">
        <v>30</v>
      </c>
      <c r="B54" s="421" t="s">
        <v>1139</v>
      </c>
      <c r="C54" s="421" t="s">
        <v>973</v>
      </c>
      <c r="D54" s="421"/>
      <c r="E54" s="421" t="s">
        <v>985</v>
      </c>
      <c r="F54" s="421" t="s">
        <v>984</v>
      </c>
      <c r="G54" s="275" t="s">
        <v>1146</v>
      </c>
    </row>
    <row r="55" spans="1:7" ht="41.4" x14ac:dyDescent="0.3">
      <c r="A55" s="33" t="s">
        <v>32</v>
      </c>
      <c r="B55" s="421" t="s">
        <v>1140</v>
      </c>
      <c r="C55" s="421" t="s">
        <v>990</v>
      </c>
      <c r="D55" s="421"/>
      <c r="E55" s="421" t="s">
        <v>985</v>
      </c>
      <c r="F55" s="421" t="s">
        <v>984</v>
      </c>
      <c r="G55" s="275" t="s">
        <v>1146</v>
      </c>
    </row>
    <row r="56" spans="1:7" ht="41.4" x14ac:dyDescent="0.3">
      <c r="A56" s="33" t="s">
        <v>77</v>
      </c>
      <c r="B56" s="421" t="s">
        <v>1150</v>
      </c>
      <c r="C56" s="421" t="s">
        <v>973</v>
      </c>
      <c r="D56" s="421"/>
      <c r="E56" s="421" t="s">
        <v>985</v>
      </c>
      <c r="F56" s="421" t="s">
        <v>984</v>
      </c>
      <c r="G56" s="275" t="s">
        <v>1146</v>
      </c>
    </row>
    <row r="57" spans="1:7" ht="41.4" x14ac:dyDescent="0.3">
      <c r="A57" s="33" t="s">
        <v>283</v>
      </c>
      <c r="B57" s="421" t="s">
        <v>95</v>
      </c>
      <c r="C57" s="421"/>
      <c r="D57" s="421"/>
      <c r="E57" s="421" t="s">
        <v>985</v>
      </c>
      <c r="F57" s="421" t="s">
        <v>984</v>
      </c>
      <c r="G57" s="275" t="s">
        <v>1146</v>
      </c>
    </row>
    <row r="58" spans="1:7" ht="41.4" x14ac:dyDescent="0.3">
      <c r="A58" s="33" t="s">
        <v>38</v>
      </c>
      <c r="B58" s="421" t="s">
        <v>96</v>
      </c>
      <c r="C58" s="421" t="s">
        <v>973</v>
      </c>
      <c r="D58" s="421"/>
      <c r="E58" s="421" t="s">
        <v>985</v>
      </c>
      <c r="F58" s="421" t="s">
        <v>984</v>
      </c>
      <c r="G58" s="275" t="s">
        <v>1146</v>
      </c>
    </row>
    <row r="59" spans="1:7" x14ac:dyDescent="0.3">
      <c r="A59" s="83">
        <v>10</v>
      </c>
      <c r="B59" s="512" t="s">
        <v>263</v>
      </c>
      <c r="C59" s="421"/>
      <c r="D59" s="421"/>
      <c r="E59" s="421"/>
      <c r="F59" s="421"/>
      <c r="G59" s="275"/>
    </row>
    <row r="60" spans="1:7" ht="96" x14ac:dyDescent="0.3">
      <c r="A60" s="83" t="s">
        <v>149</v>
      </c>
      <c r="B60" s="421" t="s">
        <v>264</v>
      </c>
      <c r="C60" s="421"/>
      <c r="D60" s="421"/>
      <c r="E60" s="421" t="s">
        <v>991</v>
      </c>
      <c r="F60" s="515" t="s">
        <v>1095</v>
      </c>
      <c r="G60" s="424" t="s">
        <v>1096</v>
      </c>
    </row>
    <row r="61" spans="1:7" ht="41.4" x14ac:dyDescent="0.3">
      <c r="A61" s="83" t="s">
        <v>4</v>
      </c>
      <c r="B61" s="421" t="s">
        <v>964</v>
      </c>
      <c r="C61" s="421" t="s">
        <v>993</v>
      </c>
      <c r="D61" s="421"/>
      <c r="E61" s="421" t="s">
        <v>991</v>
      </c>
      <c r="F61" s="421" t="s">
        <v>988</v>
      </c>
      <c r="G61" s="275" t="s">
        <v>994</v>
      </c>
    </row>
    <row r="62" spans="1:7" ht="41.4" x14ac:dyDescent="0.3">
      <c r="A62" s="83" t="s">
        <v>265</v>
      </c>
      <c r="B62" s="421" t="s">
        <v>266</v>
      </c>
      <c r="C62" s="421" t="s">
        <v>1198</v>
      </c>
      <c r="D62" s="421"/>
      <c r="E62" s="421" t="s">
        <v>991</v>
      </c>
      <c r="F62" s="421" t="s">
        <v>1197</v>
      </c>
      <c r="G62" s="275" t="s">
        <v>992</v>
      </c>
    </row>
    <row r="63" spans="1:7" x14ac:dyDescent="0.3">
      <c r="A63" s="83">
        <v>11</v>
      </c>
      <c r="B63" s="512" t="s">
        <v>230</v>
      </c>
      <c r="C63" s="421"/>
      <c r="D63" s="421"/>
      <c r="E63" s="421"/>
      <c r="F63" s="421"/>
      <c r="G63" s="275"/>
    </row>
    <row r="64" spans="1:7" ht="108" x14ac:dyDescent="0.3">
      <c r="A64" s="83">
        <v>11.1</v>
      </c>
      <c r="B64" s="421" t="s">
        <v>267</v>
      </c>
      <c r="C64" s="421" t="s">
        <v>268</v>
      </c>
      <c r="D64" s="421" t="s">
        <v>1098</v>
      </c>
      <c r="E64" s="421" t="s">
        <v>995</v>
      </c>
      <c r="F64" s="515" t="s">
        <v>1152</v>
      </c>
      <c r="G64" s="275" t="s">
        <v>1151</v>
      </c>
    </row>
    <row r="65" spans="1:7" ht="96.6" x14ac:dyDescent="0.3">
      <c r="A65" s="83">
        <v>11.2</v>
      </c>
      <c r="B65" s="421" t="s">
        <v>269</v>
      </c>
      <c r="C65" s="421" t="s">
        <v>268</v>
      </c>
      <c r="D65" s="421"/>
      <c r="E65" s="421" t="s">
        <v>995</v>
      </c>
      <c r="F65" s="421" t="s">
        <v>1153</v>
      </c>
      <c r="G65" s="275" t="s">
        <v>1154</v>
      </c>
    </row>
    <row r="66" spans="1:7" ht="96.6" x14ac:dyDescent="0.3">
      <c r="A66" s="83">
        <v>11.3</v>
      </c>
      <c r="B66" s="421" t="s">
        <v>1155</v>
      </c>
      <c r="C66" s="421" t="s">
        <v>268</v>
      </c>
      <c r="D66" s="421"/>
      <c r="E66" s="421" t="s">
        <v>995</v>
      </c>
      <c r="F66" s="421" t="s">
        <v>1153</v>
      </c>
      <c r="G66" s="275" t="s">
        <v>1154</v>
      </c>
    </row>
    <row r="67" spans="1:7" ht="27.6" x14ac:dyDescent="0.3">
      <c r="A67" s="83">
        <v>12</v>
      </c>
      <c r="B67" s="512" t="s">
        <v>117</v>
      </c>
      <c r="C67" s="421"/>
      <c r="D67" s="421"/>
      <c r="E67" s="421"/>
      <c r="F67" s="515"/>
      <c r="G67" s="424"/>
    </row>
    <row r="68" spans="1:7" ht="27.6" x14ac:dyDescent="0.3">
      <c r="A68" s="83">
        <v>12.1</v>
      </c>
      <c r="B68" s="512" t="s">
        <v>240</v>
      </c>
      <c r="C68" s="421"/>
      <c r="D68" s="421"/>
      <c r="E68" s="421"/>
      <c r="F68" s="421"/>
      <c r="G68" s="275"/>
    </row>
    <row r="69" spans="1:7" ht="386.4" x14ac:dyDescent="0.3">
      <c r="A69" s="33" t="s">
        <v>30</v>
      </c>
      <c r="B69" s="421" t="s">
        <v>270</v>
      </c>
      <c r="C69" s="421" t="s">
        <v>1241</v>
      </c>
      <c r="D69" s="421" t="s">
        <v>1242</v>
      </c>
      <c r="E69" s="421" t="s">
        <v>1089</v>
      </c>
      <c r="F69" s="513" t="s">
        <v>1141</v>
      </c>
      <c r="G69" s="424" t="s">
        <v>1142</v>
      </c>
    </row>
    <row r="70" spans="1:7" ht="41.4" x14ac:dyDescent="0.3">
      <c r="A70" s="83">
        <v>12.2</v>
      </c>
      <c r="B70" s="512" t="s">
        <v>233</v>
      </c>
      <c r="C70" s="421"/>
      <c r="D70" s="421"/>
      <c r="E70" s="421"/>
      <c r="F70" s="421"/>
      <c r="G70" s="275"/>
    </row>
    <row r="71" spans="1:7" ht="84" x14ac:dyDescent="0.3">
      <c r="A71" s="33" t="s">
        <v>30</v>
      </c>
      <c r="B71" s="278" t="s">
        <v>1143</v>
      </c>
      <c r="C71" s="421" t="s">
        <v>271</v>
      </c>
      <c r="D71" s="421"/>
      <c r="E71" s="421" t="s">
        <v>996</v>
      </c>
      <c r="F71" s="513" t="s">
        <v>1112</v>
      </c>
      <c r="G71" s="424" t="s">
        <v>1113</v>
      </c>
    </row>
    <row r="72" spans="1:7" x14ac:dyDescent="0.3">
      <c r="A72" s="33" t="s">
        <v>32</v>
      </c>
      <c r="B72" s="512" t="s">
        <v>272</v>
      </c>
      <c r="C72" s="421"/>
      <c r="D72" s="421"/>
      <c r="E72" s="421"/>
      <c r="F72" s="421"/>
      <c r="G72" s="275"/>
    </row>
    <row r="73" spans="1:7" ht="27.6" x14ac:dyDescent="0.3">
      <c r="A73" s="33"/>
      <c r="B73" s="278" t="s">
        <v>150</v>
      </c>
      <c r="C73" s="278"/>
      <c r="D73" s="278"/>
      <c r="E73" s="421"/>
      <c r="F73" s="421"/>
      <c r="G73" s="275"/>
    </row>
    <row r="74" spans="1:7" ht="41.4" x14ac:dyDescent="0.3">
      <c r="A74" s="33"/>
      <c r="B74" s="279" t="s">
        <v>1159</v>
      </c>
      <c r="C74" s="279"/>
      <c r="D74" s="279"/>
      <c r="E74" s="421"/>
      <c r="F74" s="421"/>
      <c r="G74" s="275"/>
    </row>
    <row r="75" spans="1:7" ht="41.4" x14ac:dyDescent="0.3">
      <c r="A75" s="33"/>
      <c r="B75" s="279" t="s">
        <v>1160</v>
      </c>
      <c r="C75" s="279"/>
      <c r="D75" s="279"/>
      <c r="E75" s="421"/>
      <c r="F75" s="421"/>
      <c r="G75" s="275"/>
    </row>
    <row r="76" spans="1:7" x14ac:dyDescent="0.3">
      <c r="A76" s="33"/>
      <c r="B76" s="278" t="s">
        <v>151</v>
      </c>
      <c r="C76" s="278"/>
      <c r="D76" s="278"/>
      <c r="E76" s="421"/>
      <c r="F76" s="421"/>
      <c r="G76" s="275"/>
    </row>
    <row r="77" spans="1:7" x14ac:dyDescent="0.3">
      <c r="A77" s="83">
        <v>12.3</v>
      </c>
      <c r="B77" s="512" t="s">
        <v>140</v>
      </c>
      <c r="C77" s="421"/>
      <c r="D77" s="421"/>
      <c r="E77" s="421"/>
      <c r="F77" s="421"/>
      <c r="G77" s="275"/>
    </row>
    <row r="78" spans="1:7" x14ac:dyDescent="0.3">
      <c r="A78" s="33" t="s">
        <v>4</v>
      </c>
      <c r="B78" s="516" t="s">
        <v>1000</v>
      </c>
      <c r="C78" s="421"/>
      <c r="D78" s="421"/>
      <c r="E78" s="421" t="s">
        <v>1001</v>
      </c>
      <c r="F78" s="421" t="s">
        <v>1002</v>
      </c>
      <c r="G78" s="275" t="s">
        <v>1003</v>
      </c>
    </row>
    <row r="79" spans="1:7" ht="110.4" x14ac:dyDescent="0.3">
      <c r="A79" s="33" t="s">
        <v>30</v>
      </c>
      <c r="B79" s="421" t="s">
        <v>1004</v>
      </c>
      <c r="C79" s="421" t="s">
        <v>1236</v>
      </c>
      <c r="D79" s="421" t="s">
        <v>1237</v>
      </c>
      <c r="E79" s="421" t="s">
        <v>1158</v>
      </c>
      <c r="F79" s="421" t="s">
        <v>1157</v>
      </c>
      <c r="G79" s="275" t="s">
        <v>1156</v>
      </c>
    </row>
    <row r="80" spans="1:7" ht="27.6" x14ac:dyDescent="0.3">
      <c r="A80" s="83">
        <v>12.4</v>
      </c>
      <c r="B80" s="512" t="s">
        <v>239</v>
      </c>
      <c r="C80" s="421"/>
      <c r="D80" s="421"/>
      <c r="E80" s="421"/>
      <c r="F80" s="421"/>
      <c r="G80" s="275"/>
    </row>
    <row r="81" spans="1:7" ht="41.4" x14ac:dyDescent="0.3">
      <c r="A81" s="83" t="s">
        <v>1163</v>
      </c>
      <c r="B81" s="421" t="s">
        <v>1161</v>
      </c>
      <c r="C81" s="421"/>
      <c r="D81" s="421"/>
      <c r="E81" s="421" t="s">
        <v>998</v>
      </c>
      <c r="F81" s="421" t="s">
        <v>997</v>
      </c>
      <c r="G81" s="275" t="s">
        <v>999</v>
      </c>
    </row>
    <row r="82" spans="1:7" ht="41.4" x14ac:dyDescent="0.3">
      <c r="A82" s="83" t="s">
        <v>1164</v>
      </c>
      <c r="B82" s="421" t="s">
        <v>1162</v>
      </c>
      <c r="C82" s="421"/>
      <c r="D82" s="421"/>
      <c r="E82" s="421" t="s">
        <v>998</v>
      </c>
      <c r="F82" s="421" t="s">
        <v>997</v>
      </c>
      <c r="G82" s="275" t="s">
        <v>999</v>
      </c>
    </row>
    <row r="83" spans="1:7" ht="55.2" x14ac:dyDescent="0.3">
      <c r="A83" s="83" t="s">
        <v>1165</v>
      </c>
      <c r="B83" s="421" t="s">
        <v>1166</v>
      </c>
      <c r="C83" s="421"/>
      <c r="D83" s="421"/>
      <c r="E83" s="421" t="s">
        <v>998</v>
      </c>
      <c r="F83" s="421" t="s">
        <v>1157</v>
      </c>
      <c r="G83" s="275" t="s">
        <v>1167</v>
      </c>
    </row>
    <row r="84" spans="1:7" ht="55.2" x14ac:dyDescent="0.3">
      <c r="A84" s="83" t="s">
        <v>190</v>
      </c>
      <c r="B84" s="421" t="s">
        <v>1169</v>
      </c>
      <c r="C84" s="421" t="s">
        <v>1170</v>
      </c>
      <c r="D84" s="421"/>
      <c r="E84" s="421" t="s">
        <v>998</v>
      </c>
      <c r="F84" s="421" t="s">
        <v>1171</v>
      </c>
      <c r="G84" s="275" t="s">
        <v>999</v>
      </c>
    </row>
    <row r="85" spans="1:7" ht="27.6" x14ac:dyDescent="0.3">
      <c r="A85" s="83">
        <v>12.5</v>
      </c>
      <c r="B85" s="512" t="s">
        <v>273</v>
      </c>
      <c r="C85" s="512"/>
      <c r="D85" s="512"/>
      <c r="E85" s="421"/>
      <c r="F85" s="421"/>
      <c r="G85" s="275"/>
    </row>
    <row r="86" spans="1:7" ht="55.2" x14ac:dyDescent="0.3">
      <c r="A86" s="83" t="s">
        <v>30</v>
      </c>
      <c r="B86" s="421" t="s">
        <v>1005</v>
      </c>
      <c r="C86" s="512"/>
      <c r="D86" s="512"/>
      <c r="E86" s="421" t="s">
        <v>974</v>
      </c>
      <c r="F86" s="421" t="s">
        <v>1172</v>
      </c>
      <c r="G86" s="275" t="s">
        <v>1173</v>
      </c>
    </row>
    <row r="87" spans="1:7" s="425" customFormat="1" ht="27.6" x14ac:dyDescent="0.3">
      <c r="A87" s="83">
        <v>12.6</v>
      </c>
      <c r="B87" s="512" t="s">
        <v>322</v>
      </c>
      <c r="C87" s="512"/>
      <c r="D87" s="512"/>
      <c r="E87" s="512" t="s">
        <v>1006</v>
      </c>
      <c r="F87" s="512" t="s">
        <v>1007</v>
      </c>
      <c r="G87" s="276" t="s">
        <v>1008</v>
      </c>
    </row>
    <row r="88" spans="1:7" ht="41.4" x14ac:dyDescent="0.3">
      <c r="A88" s="33" t="s">
        <v>30</v>
      </c>
      <c r="B88" s="421" t="s">
        <v>1009</v>
      </c>
      <c r="C88" s="421"/>
      <c r="D88" s="421"/>
      <c r="E88" s="421" t="s">
        <v>1006</v>
      </c>
      <c r="F88" s="421" t="s">
        <v>1175</v>
      </c>
      <c r="G88" s="275" t="s">
        <v>1008</v>
      </c>
    </row>
    <row r="89" spans="1:7" ht="41.4" x14ac:dyDescent="0.3">
      <c r="A89" s="33" t="s">
        <v>32</v>
      </c>
      <c r="B89" s="421" t="s">
        <v>1010</v>
      </c>
      <c r="C89" s="421"/>
      <c r="D89" s="421"/>
      <c r="E89" s="421" t="s">
        <v>1006</v>
      </c>
      <c r="F89" s="421" t="s">
        <v>1175</v>
      </c>
      <c r="G89" s="275" t="s">
        <v>1008</v>
      </c>
    </row>
    <row r="90" spans="1:7" s="425" customFormat="1" x14ac:dyDescent="0.3">
      <c r="A90" s="83">
        <v>13</v>
      </c>
      <c r="B90" s="512" t="s">
        <v>407</v>
      </c>
      <c r="C90" s="512"/>
      <c r="D90" s="512"/>
      <c r="E90" s="512"/>
      <c r="F90" s="512"/>
      <c r="G90" s="276"/>
    </row>
    <row r="91" spans="1:7" ht="138" x14ac:dyDescent="0.3">
      <c r="A91" s="33" t="s">
        <v>30</v>
      </c>
      <c r="B91" s="421" t="s">
        <v>1011</v>
      </c>
      <c r="C91" s="421" t="s">
        <v>1174</v>
      </c>
      <c r="D91" s="421"/>
      <c r="E91" s="421"/>
      <c r="F91" s="421"/>
      <c r="G91" s="275"/>
    </row>
    <row r="92" spans="1:7" s="425" customFormat="1" x14ac:dyDescent="0.3">
      <c r="A92" s="83">
        <v>14</v>
      </c>
      <c r="B92" s="276" t="s">
        <v>547</v>
      </c>
      <c r="C92" s="276"/>
      <c r="D92" s="276"/>
      <c r="E92" s="276"/>
      <c r="F92" s="276"/>
      <c r="G92" s="276"/>
    </row>
    <row r="93" spans="1:7" ht="41.4" x14ac:dyDescent="0.3">
      <c r="A93" s="33" t="s">
        <v>30</v>
      </c>
      <c r="B93" s="275" t="s">
        <v>1012</v>
      </c>
      <c r="C93" s="275"/>
      <c r="D93" s="275"/>
      <c r="E93" s="275"/>
      <c r="F93" s="275"/>
      <c r="G93" s="275"/>
    </row>
    <row r="94" spans="1:7" s="425" customFormat="1" x14ac:dyDescent="0.3">
      <c r="A94" s="83">
        <v>15</v>
      </c>
      <c r="B94" s="276" t="s">
        <v>416</v>
      </c>
      <c r="C94" s="276"/>
      <c r="D94" s="276"/>
      <c r="E94" s="276"/>
      <c r="F94" s="276"/>
      <c r="G94" s="276"/>
    </row>
    <row r="95" spans="1:7" ht="27.6" x14ac:dyDescent="0.3">
      <c r="A95" s="33" t="s">
        <v>30</v>
      </c>
      <c r="B95" s="275" t="s">
        <v>1013</v>
      </c>
      <c r="C95" s="275"/>
      <c r="D95" s="275"/>
      <c r="E95" s="275"/>
      <c r="F95" s="275"/>
      <c r="G95" s="275"/>
    </row>
    <row r="97" spans="1:7" ht="27.6" x14ac:dyDescent="0.3">
      <c r="A97" s="33" t="s">
        <v>289</v>
      </c>
      <c r="B97" s="275" t="s">
        <v>1024</v>
      </c>
      <c r="C97" s="275"/>
      <c r="D97" s="275"/>
      <c r="E97" s="33"/>
      <c r="F97" s="33"/>
      <c r="G97" s="33"/>
    </row>
    <row r="98" spans="1:7" ht="27.6" x14ac:dyDescent="0.3">
      <c r="A98" s="33" t="s">
        <v>1025</v>
      </c>
      <c r="B98" s="275" t="s">
        <v>1027</v>
      </c>
      <c r="C98" s="275" t="s">
        <v>249</v>
      </c>
      <c r="D98" s="275"/>
      <c r="E98" s="275" t="s">
        <v>974</v>
      </c>
      <c r="F98" s="275" t="s">
        <v>980</v>
      </c>
      <c r="G98" s="275" t="s">
        <v>1030</v>
      </c>
    </row>
    <row r="99" spans="1:7" ht="41.4" x14ac:dyDescent="0.3">
      <c r="A99" s="33" t="s">
        <v>1026</v>
      </c>
      <c r="B99" s="275" t="s">
        <v>1028</v>
      </c>
      <c r="C99" s="275" t="s">
        <v>1029</v>
      </c>
      <c r="D99" s="275"/>
      <c r="E99" s="275" t="s">
        <v>974</v>
      </c>
      <c r="F99" s="275" t="s">
        <v>980</v>
      </c>
      <c r="G99" s="275" t="s">
        <v>1030</v>
      </c>
    </row>
    <row r="100" spans="1:7" s="431" customFormat="1" ht="14.4" x14ac:dyDescent="0.3">
      <c r="A100" s="426">
        <v>16</v>
      </c>
      <c r="B100" s="427" t="s">
        <v>289</v>
      </c>
      <c r="C100" s="428"/>
      <c r="D100" s="429"/>
      <c r="E100" s="430"/>
      <c r="F100" s="430"/>
      <c r="G100" s="443"/>
    </row>
    <row r="101" spans="1:7" s="431" customFormat="1" ht="28.8" x14ac:dyDescent="0.3">
      <c r="A101" s="432" t="s">
        <v>408</v>
      </c>
      <c r="B101" s="433" t="s">
        <v>1176</v>
      </c>
      <c r="C101" s="434"/>
      <c r="D101" s="435"/>
      <c r="E101" s="436"/>
      <c r="F101" s="436"/>
      <c r="G101" s="443"/>
    </row>
    <row r="102" spans="1:7" s="431" customFormat="1" ht="14.4" x14ac:dyDescent="0.3">
      <c r="A102" s="437"/>
      <c r="B102" s="438"/>
      <c r="C102" s="434"/>
      <c r="D102" s="435"/>
      <c r="E102" s="436"/>
      <c r="F102" s="436"/>
      <c r="G102" s="443"/>
    </row>
    <row r="103" spans="1:7" s="431" customFormat="1" ht="14.4" x14ac:dyDescent="0.3">
      <c r="A103" s="426">
        <v>17</v>
      </c>
      <c r="B103" s="439" t="s">
        <v>1177</v>
      </c>
      <c r="C103" s="434"/>
      <c r="D103" s="435"/>
      <c r="E103" s="440"/>
      <c r="F103" s="436"/>
      <c r="G103" s="443"/>
    </row>
    <row r="104" spans="1:7" s="431" customFormat="1" ht="14.4" x14ac:dyDescent="0.3">
      <c r="A104" s="437" t="s">
        <v>1178</v>
      </c>
      <c r="B104" s="441" t="s">
        <v>1179</v>
      </c>
      <c r="C104" s="434"/>
      <c r="D104" s="435"/>
      <c r="E104" s="440"/>
      <c r="F104" s="436"/>
      <c r="G104" s="443"/>
    </row>
    <row r="105" spans="1:7" s="431" customFormat="1" ht="14.4" x14ac:dyDescent="0.3">
      <c r="A105" s="437" t="s">
        <v>1180</v>
      </c>
      <c r="B105" s="441" t="s">
        <v>1181</v>
      </c>
      <c r="C105" s="434"/>
      <c r="D105" s="435"/>
      <c r="E105" s="440"/>
      <c r="F105" s="436"/>
      <c r="G105" s="443"/>
    </row>
    <row r="106" spans="1:7" s="431" customFormat="1" ht="14.4" x14ac:dyDescent="0.3">
      <c r="A106" s="437" t="s">
        <v>1182</v>
      </c>
      <c r="B106" s="441" t="s">
        <v>1183</v>
      </c>
      <c r="C106" s="434"/>
      <c r="D106" s="435"/>
      <c r="E106" s="440"/>
      <c r="F106" s="436"/>
      <c r="G106" s="443"/>
    </row>
    <row r="107" spans="1:7" s="431" customFormat="1" ht="14.4" x14ac:dyDescent="0.3">
      <c r="A107" s="437" t="s">
        <v>1184</v>
      </c>
      <c r="B107" s="441" t="s">
        <v>1185</v>
      </c>
      <c r="C107" s="434"/>
      <c r="D107" s="435"/>
      <c r="E107" s="440"/>
      <c r="F107" s="436"/>
      <c r="G107" s="443"/>
    </row>
    <row r="108" spans="1:7" s="431" customFormat="1" ht="14.4" x14ac:dyDescent="0.3">
      <c r="A108" s="437" t="s">
        <v>1186</v>
      </c>
      <c r="B108" s="442" t="s">
        <v>1187</v>
      </c>
      <c r="C108" s="434"/>
      <c r="D108" s="435"/>
      <c r="E108" s="440"/>
      <c r="F108" s="436"/>
      <c r="G108" s="443"/>
    </row>
    <row r="109" spans="1:7" s="431" customFormat="1" ht="14.4" x14ac:dyDescent="0.3">
      <c r="A109" s="437" t="s">
        <v>1188</v>
      </c>
      <c r="B109" s="442" t="s">
        <v>1189</v>
      </c>
      <c r="C109" s="434"/>
      <c r="D109" s="435"/>
      <c r="E109" s="440"/>
      <c r="F109" s="436"/>
      <c r="G109" s="443"/>
    </row>
    <row r="110" spans="1:7" s="431" customFormat="1" ht="14.4" x14ac:dyDescent="0.3">
      <c r="A110" s="437" t="s">
        <v>1190</v>
      </c>
      <c r="B110" s="442" t="s">
        <v>1191</v>
      </c>
      <c r="C110" s="434"/>
      <c r="D110" s="435"/>
      <c r="E110" s="440"/>
      <c r="F110" s="436"/>
      <c r="G110" s="443"/>
    </row>
    <row r="111" spans="1:7" s="431" customFormat="1" ht="14.4" x14ac:dyDescent="0.3">
      <c r="A111" s="437" t="s">
        <v>1192</v>
      </c>
      <c r="B111" s="441" t="s">
        <v>1193</v>
      </c>
      <c r="C111" s="434"/>
      <c r="D111" s="435"/>
      <c r="E111" s="440"/>
      <c r="F111" s="436"/>
      <c r="G111" s="443"/>
    </row>
  </sheetData>
  <sheetProtection password="EC3B" sheet="1" objects="1" scenarios="1"/>
  <mergeCells count="4">
    <mergeCell ref="A1:G1"/>
    <mergeCell ref="A3:G3"/>
    <mergeCell ref="A4:G4"/>
    <mergeCell ref="A5:G5"/>
  </mergeCells>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
  <sheetViews>
    <sheetView topLeftCell="A3" zoomScale="85" zoomScaleNormal="85" workbookViewId="0">
      <selection activeCell="E20" sqref="E20:Y20"/>
    </sheetView>
  </sheetViews>
  <sheetFormatPr defaultColWidth="9.109375" defaultRowHeight="14.4" x14ac:dyDescent="0.3"/>
  <cols>
    <col min="1" max="1" width="9.109375" style="247"/>
    <col min="2" max="2" width="38.6640625" style="247" customWidth="1"/>
    <col min="3" max="3" width="32.6640625" style="247" customWidth="1"/>
    <col min="4" max="4" width="12.5546875" style="247" customWidth="1"/>
    <col min="5" max="5" width="14.109375" style="247" customWidth="1"/>
    <col min="6" max="6" width="11.5546875" style="247" bestFit="1" customWidth="1"/>
    <col min="7" max="24" width="9.109375" style="247"/>
    <col min="25" max="25" width="12.6640625" style="247" customWidth="1"/>
    <col min="26" max="16384" width="9.109375" style="247"/>
  </cols>
  <sheetData>
    <row r="1" spans="1:25" ht="25.8" x14ac:dyDescent="0.5">
      <c r="A1" s="778" t="s">
        <v>963</v>
      </c>
      <c r="B1" s="779"/>
      <c r="C1" s="779"/>
      <c r="D1" s="779"/>
      <c r="E1" s="779"/>
      <c r="F1" s="779"/>
      <c r="G1" s="779"/>
      <c r="H1" s="779"/>
      <c r="I1" s="779"/>
      <c r="J1" s="779"/>
      <c r="K1" s="779"/>
      <c r="L1" s="779"/>
      <c r="M1" s="779"/>
      <c r="N1" s="779"/>
      <c r="O1" s="779"/>
      <c r="P1" s="779"/>
      <c r="Q1" s="779"/>
      <c r="R1" s="779"/>
      <c r="S1" s="779"/>
      <c r="T1" s="779"/>
      <c r="U1" s="779"/>
      <c r="V1" s="779"/>
      <c r="W1" s="779"/>
      <c r="X1" s="779"/>
      <c r="Y1" s="779"/>
    </row>
    <row r="2" spans="1:25" ht="18" x14ac:dyDescent="0.35">
      <c r="A2" s="780" t="s">
        <v>163</v>
      </c>
      <c r="B2" s="781"/>
      <c r="C2" s="782"/>
      <c r="D2" s="791">
        <f>'General Information'!C3</f>
        <v>0</v>
      </c>
      <c r="E2" s="792"/>
      <c r="F2" s="792"/>
      <c r="G2" s="792"/>
      <c r="H2" s="792"/>
      <c r="I2" s="792"/>
      <c r="J2" s="792"/>
      <c r="K2" s="792"/>
      <c r="L2" s="792"/>
      <c r="M2" s="792"/>
      <c r="N2" s="792"/>
      <c r="O2" s="792"/>
      <c r="P2" s="792"/>
      <c r="Q2" s="792"/>
      <c r="R2" s="792"/>
      <c r="S2" s="792"/>
      <c r="T2" s="792"/>
      <c r="U2" s="792"/>
      <c r="V2" s="792"/>
      <c r="W2" s="792"/>
      <c r="X2" s="792"/>
      <c r="Y2" s="793"/>
    </row>
    <row r="3" spans="1:25" ht="18" x14ac:dyDescent="0.35">
      <c r="A3" s="789" t="s">
        <v>1059</v>
      </c>
      <c r="B3" s="790"/>
      <c r="C3" s="790"/>
      <c r="D3" s="790"/>
      <c r="E3" s="288" t="str">
        <f>'Form Sh'!S483</f>
        <v>Yes</v>
      </c>
      <c r="F3" s="288" t="str">
        <f>'Form Sh'!F483</f>
        <v>Yes</v>
      </c>
      <c r="G3" s="791"/>
      <c r="H3" s="792"/>
      <c r="I3" s="792"/>
      <c r="J3" s="792"/>
      <c r="K3" s="792"/>
      <c r="L3" s="792"/>
      <c r="M3" s="792"/>
      <c r="N3" s="792"/>
      <c r="O3" s="792"/>
      <c r="P3" s="792"/>
      <c r="Q3" s="792"/>
      <c r="R3" s="792"/>
      <c r="S3" s="792"/>
      <c r="T3" s="792"/>
      <c r="U3" s="792"/>
      <c r="V3" s="792"/>
      <c r="W3" s="792"/>
      <c r="X3" s="792"/>
      <c r="Y3" s="793"/>
    </row>
    <row r="4" spans="1:25" ht="18" x14ac:dyDescent="0.3">
      <c r="A4" s="780" t="s">
        <v>2</v>
      </c>
      <c r="B4" s="781"/>
      <c r="C4" s="782"/>
      <c r="D4" s="796" t="str">
        <f>'General Information'!D6</f>
        <v>Coal/Lignite/Oil/Gas Fired</v>
      </c>
      <c r="E4" s="797"/>
      <c r="F4" s="797"/>
      <c r="G4" s="797"/>
      <c r="H4" s="797"/>
      <c r="I4" s="797"/>
      <c r="J4" s="797"/>
      <c r="K4" s="797"/>
      <c r="L4" s="797"/>
      <c r="M4" s="797"/>
      <c r="N4" s="797"/>
      <c r="O4" s="797"/>
      <c r="P4" s="797"/>
      <c r="Q4" s="797"/>
      <c r="R4" s="797"/>
      <c r="S4" s="797"/>
      <c r="T4" s="797"/>
      <c r="U4" s="797"/>
      <c r="V4" s="797"/>
      <c r="W4" s="797"/>
      <c r="X4" s="797"/>
      <c r="Y4" s="798"/>
    </row>
    <row r="5" spans="1:25" s="347" customFormat="1" x14ac:dyDescent="0.3">
      <c r="A5" s="799" t="s">
        <v>146</v>
      </c>
      <c r="B5" s="799" t="s">
        <v>132</v>
      </c>
      <c r="C5" s="800" t="s">
        <v>180</v>
      </c>
      <c r="D5" s="799" t="s">
        <v>154</v>
      </c>
      <c r="E5" s="795" t="s">
        <v>31</v>
      </c>
      <c r="F5" s="795"/>
      <c r="G5" s="795" t="s">
        <v>33</v>
      </c>
      <c r="H5" s="795"/>
      <c r="I5" s="795" t="s">
        <v>35</v>
      </c>
      <c r="J5" s="795"/>
      <c r="K5" s="795" t="s">
        <v>37</v>
      </c>
      <c r="L5" s="795"/>
      <c r="M5" s="795" t="s">
        <v>39</v>
      </c>
      <c r="N5" s="795"/>
      <c r="O5" s="795" t="s">
        <v>41</v>
      </c>
      <c r="P5" s="795"/>
      <c r="Q5" s="795" t="s">
        <v>43</v>
      </c>
      <c r="R5" s="795"/>
      <c r="S5" s="795" t="s">
        <v>45</v>
      </c>
      <c r="T5" s="795"/>
      <c r="U5" s="795" t="s">
        <v>47</v>
      </c>
      <c r="V5" s="795"/>
      <c r="W5" s="795" t="s">
        <v>49</v>
      </c>
      <c r="X5" s="795"/>
      <c r="Y5" s="346"/>
    </row>
    <row r="6" spans="1:25" s="347" customFormat="1" x14ac:dyDescent="0.3">
      <c r="A6" s="799"/>
      <c r="B6" s="799"/>
      <c r="C6" s="800"/>
      <c r="D6" s="799"/>
      <c r="E6" s="348" t="s">
        <v>325</v>
      </c>
      <c r="F6" s="348" t="s">
        <v>326</v>
      </c>
      <c r="G6" s="348" t="s">
        <v>325</v>
      </c>
      <c r="H6" s="348" t="s">
        <v>326</v>
      </c>
      <c r="I6" s="348" t="s">
        <v>325</v>
      </c>
      <c r="J6" s="348" t="s">
        <v>326</v>
      </c>
      <c r="K6" s="348" t="s">
        <v>325</v>
      </c>
      <c r="L6" s="348" t="s">
        <v>326</v>
      </c>
      <c r="M6" s="348" t="s">
        <v>325</v>
      </c>
      <c r="N6" s="348" t="s">
        <v>326</v>
      </c>
      <c r="O6" s="348" t="s">
        <v>325</v>
      </c>
      <c r="P6" s="348" t="s">
        <v>326</v>
      </c>
      <c r="Q6" s="348" t="s">
        <v>325</v>
      </c>
      <c r="R6" s="348" t="s">
        <v>326</v>
      </c>
      <c r="S6" s="348" t="s">
        <v>325</v>
      </c>
      <c r="T6" s="348" t="s">
        <v>326</v>
      </c>
      <c r="U6" s="348" t="s">
        <v>325</v>
      </c>
      <c r="V6" s="348" t="s">
        <v>326</v>
      </c>
      <c r="W6" s="348" t="s">
        <v>325</v>
      </c>
      <c r="X6" s="348" t="s">
        <v>326</v>
      </c>
      <c r="Y6" s="344" t="s">
        <v>52</v>
      </c>
    </row>
    <row r="7" spans="1:25" s="261" customFormat="1" x14ac:dyDescent="0.3">
      <c r="A7" s="55">
        <v>1</v>
      </c>
      <c r="B7" s="260" t="s">
        <v>888</v>
      </c>
      <c r="C7" s="289" t="s">
        <v>896</v>
      </c>
      <c r="D7" s="345" t="s">
        <v>110</v>
      </c>
      <c r="E7" s="345">
        <f>'Form Sh'!K47</f>
        <v>0</v>
      </c>
      <c r="F7" s="345">
        <f>'Form Sh'!S47</f>
        <v>0</v>
      </c>
      <c r="G7" s="345">
        <f>'Form Sh'!K48</f>
        <v>0</v>
      </c>
      <c r="H7" s="345">
        <f>'Form Sh'!S48</f>
        <v>0</v>
      </c>
      <c r="I7" s="345">
        <f>'Form Sh'!K49</f>
        <v>0</v>
      </c>
      <c r="J7" s="345">
        <f>'Form Sh'!S49</f>
        <v>0</v>
      </c>
      <c r="K7" s="345">
        <f>'Form Sh'!K50</f>
        <v>0</v>
      </c>
      <c r="L7" s="345">
        <f>'Form Sh'!S50</f>
        <v>0</v>
      </c>
      <c r="M7" s="345">
        <f>'Form Sh'!K51</f>
        <v>0</v>
      </c>
      <c r="N7" s="345">
        <f>'Form Sh'!S51</f>
        <v>0</v>
      </c>
      <c r="O7" s="345">
        <f>'Form Sh'!K52</f>
        <v>0</v>
      </c>
      <c r="P7" s="345">
        <f>'Form Sh'!S52</f>
        <v>0</v>
      </c>
      <c r="Q7" s="345">
        <f>'Form Sh'!K53</f>
        <v>0</v>
      </c>
      <c r="R7" s="345">
        <f>'Form Sh'!S53</f>
        <v>0</v>
      </c>
      <c r="S7" s="345">
        <f>'Form Sh'!K54</f>
        <v>0</v>
      </c>
      <c r="T7" s="345">
        <f>'Form Sh'!S54</f>
        <v>0</v>
      </c>
      <c r="U7" s="345">
        <f>'Form Sh'!K55</f>
        <v>0</v>
      </c>
      <c r="V7" s="345">
        <f>'Form Sh'!S55</f>
        <v>0</v>
      </c>
      <c r="W7" s="345">
        <f>'Form Sh'!K56</f>
        <v>0</v>
      </c>
      <c r="X7" s="345">
        <f>'Form Sh'!S56</f>
        <v>0</v>
      </c>
      <c r="Y7" s="345"/>
    </row>
    <row r="8" spans="1:25" s="261" customFormat="1" x14ac:dyDescent="0.3">
      <c r="A8" s="55">
        <v>2</v>
      </c>
      <c r="B8" s="260" t="s">
        <v>890</v>
      </c>
      <c r="C8" s="289" t="s">
        <v>897</v>
      </c>
      <c r="D8" s="345" t="s">
        <v>28</v>
      </c>
      <c r="E8" s="345">
        <f>'Form Sh'!E47</f>
        <v>0</v>
      </c>
      <c r="F8" s="345">
        <f>'Form Sh'!M47</f>
        <v>0</v>
      </c>
      <c r="G8" s="345">
        <f>'Form Sh'!E48</f>
        <v>0</v>
      </c>
      <c r="H8" s="345">
        <f>'Form Sh'!M48</f>
        <v>0</v>
      </c>
      <c r="I8" s="345">
        <f>'Form Sh'!E49</f>
        <v>0</v>
      </c>
      <c r="J8" s="345">
        <f>'Form Sh'!M49</f>
        <v>0</v>
      </c>
      <c r="K8" s="345">
        <f>'Form Sh'!E50</f>
        <v>0</v>
      </c>
      <c r="L8" s="345">
        <f>'Form Sh'!M50</f>
        <v>0</v>
      </c>
      <c r="M8" s="345">
        <f>'Form Sh'!E51</f>
        <v>0</v>
      </c>
      <c r="N8" s="345">
        <f>'Form Sh'!M51</f>
        <v>0</v>
      </c>
      <c r="O8" s="345">
        <f>'Form Sh'!E52</f>
        <v>0</v>
      </c>
      <c r="P8" s="345">
        <f>'Form Sh'!M52</f>
        <v>0</v>
      </c>
      <c r="Q8" s="345">
        <f>'Form Sh'!E53</f>
        <v>0</v>
      </c>
      <c r="R8" s="345">
        <f>'Form Sh'!M53</f>
        <v>0</v>
      </c>
      <c r="S8" s="345">
        <f>'Form Sh'!E54</f>
        <v>0</v>
      </c>
      <c r="T8" s="345">
        <f>'Form Sh'!M54</f>
        <v>0</v>
      </c>
      <c r="U8" s="345">
        <f>'Form Sh'!E55</f>
        <v>0</v>
      </c>
      <c r="V8" s="345">
        <f>'Form Sh'!M55</f>
        <v>0</v>
      </c>
      <c r="W8" s="345">
        <f>'Form Sh'!E56</f>
        <v>0</v>
      </c>
      <c r="X8" s="345">
        <f>'Form Sh'!M56</f>
        <v>0</v>
      </c>
      <c r="Y8" s="345"/>
    </row>
    <row r="9" spans="1:25" s="261" customFormat="1" x14ac:dyDescent="0.3">
      <c r="A9" s="55">
        <v>3</v>
      </c>
      <c r="B9" s="260" t="s">
        <v>130</v>
      </c>
      <c r="C9" s="289" t="s">
        <v>898</v>
      </c>
      <c r="D9" s="345" t="s">
        <v>891</v>
      </c>
      <c r="E9" s="345">
        <f>'Form Sh'!I47</f>
        <v>0</v>
      </c>
      <c r="F9" s="345">
        <f>'Form Sh'!Q47</f>
        <v>0</v>
      </c>
      <c r="G9" s="345">
        <f>'Form Sh'!I48</f>
        <v>0</v>
      </c>
      <c r="H9" s="345">
        <f>'Form Sh'!Q48</f>
        <v>0</v>
      </c>
      <c r="I9" s="345">
        <f>'Form Sh'!I49</f>
        <v>0</v>
      </c>
      <c r="J9" s="345">
        <f>'Form Sh'!Q49</f>
        <v>0</v>
      </c>
      <c r="K9" s="345">
        <f>'Form Sh'!I50</f>
        <v>0</v>
      </c>
      <c r="L9" s="345">
        <f>'Form Sh'!Q50</f>
        <v>0</v>
      </c>
      <c r="M9" s="345">
        <f>'Form Sh'!I51</f>
        <v>0</v>
      </c>
      <c r="N9" s="345">
        <f>'Form Sh'!Q51</f>
        <v>0</v>
      </c>
      <c r="O9" s="345">
        <f>'Form Sh'!I52</f>
        <v>0</v>
      </c>
      <c r="P9" s="345">
        <f>'Form Sh'!Q52</f>
        <v>0</v>
      </c>
      <c r="Q9" s="345">
        <f>'Form Sh'!I53</f>
        <v>0</v>
      </c>
      <c r="R9" s="345">
        <f>'Form Sh'!Q53</f>
        <v>0</v>
      </c>
      <c r="S9" s="345">
        <f>'Form Sh'!I54</f>
        <v>0</v>
      </c>
      <c r="T9" s="345">
        <f>'Form Sh'!Q54</f>
        <v>0</v>
      </c>
      <c r="U9" s="345">
        <f>'Form Sh'!I55</f>
        <v>0</v>
      </c>
      <c r="V9" s="345">
        <f>'Form Sh'!Q55</f>
        <v>0</v>
      </c>
      <c r="W9" s="345">
        <f>'Form Sh'!I56</f>
        <v>0</v>
      </c>
      <c r="X9" s="345">
        <f>'Form Sh'!Q56</f>
        <v>0</v>
      </c>
      <c r="Y9" s="345"/>
    </row>
    <row r="10" spans="1:25" s="261" customFormat="1" x14ac:dyDescent="0.3">
      <c r="A10" s="55">
        <v>4</v>
      </c>
      <c r="B10" s="260" t="s">
        <v>199</v>
      </c>
      <c r="C10" s="259" t="s">
        <v>899</v>
      </c>
      <c r="D10" s="345" t="s">
        <v>212</v>
      </c>
      <c r="E10" s="345">
        <f t="shared" ref="E10:J10" si="0">IFERROR(E9*1000/E8,0)</f>
        <v>0</v>
      </c>
      <c r="F10" s="345">
        <f t="shared" si="0"/>
        <v>0</v>
      </c>
      <c r="G10" s="345">
        <f t="shared" si="0"/>
        <v>0</v>
      </c>
      <c r="H10" s="345">
        <f t="shared" si="0"/>
        <v>0</v>
      </c>
      <c r="I10" s="345">
        <f t="shared" si="0"/>
        <v>0</v>
      </c>
      <c r="J10" s="345">
        <f t="shared" si="0"/>
        <v>0</v>
      </c>
      <c r="K10" s="345">
        <f t="shared" ref="K10:X10" si="1">IFERROR(K9*1000/K8,0)</f>
        <v>0</v>
      </c>
      <c r="L10" s="345">
        <f t="shared" si="1"/>
        <v>0</v>
      </c>
      <c r="M10" s="345">
        <f t="shared" si="1"/>
        <v>0</v>
      </c>
      <c r="N10" s="345">
        <f t="shared" si="1"/>
        <v>0</v>
      </c>
      <c r="O10" s="345">
        <f t="shared" si="1"/>
        <v>0</v>
      </c>
      <c r="P10" s="345">
        <f t="shared" si="1"/>
        <v>0</v>
      </c>
      <c r="Q10" s="345">
        <f t="shared" si="1"/>
        <v>0</v>
      </c>
      <c r="R10" s="345">
        <f t="shared" si="1"/>
        <v>0</v>
      </c>
      <c r="S10" s="345">
        <f t="shared" si="1"/>
        <v>0</v>
      </c>
      <c r="T10" s="345">
        <f t="shared" si="1"/>
        <v>0</v>
      </c>
      <c r="U10" s="345">
        <f t="shared" si="1"/>
        <v>0</v>
      </c>
      <c r="V10" s="345">
        <f t="shared" si="1"/>
        <v>0</v>
      </c>
      <c r="W10" s="345">
        <f t="shared" si="1"/>
        <v>0</v>
      </c>
      <c r="X10" s="345">
        <f t="shared" si="1"/>
        <v>0</v>
      </c>
      <c r="Y10" s="345"/>
    </row>
    <row r="11" spans="1:25" s="261" customFormat="1" x14ac:dyDescent="0.3">
      <c r="A11" s="55">
        <v>5</v>
      </c>
      <c r="B11" s="260" t="s">
        <v>882</v>
      </c>
      <c r="C11" s="289" t="s">
        <v>900</v>
      </c>
      <c r="D11" s="345" t="s">
        <v>880</v>
      </c>
      <c r="E11" s="345">
        <f>'Form Sh'!H130</f>
        <v>0</v>
      </c>
      <c r="F11" s="345">
        <f>'Form Sh'!S130</f>
        <v>0</v>
      </c>
      <c r="G11" s="345">
        <f>'Form Sh'!H147</f>
        <v>0</v>
      </c>
      <c r="H11" s="345">
        <f>'Form Sh'!S147</f>
        <v>0</v>
      </c>
      <c r="I11" s="345">
        <f>'Form Sh'!H164</f>
        <v>0</v>
      </c>
      <c r="J11" s="345">
        <f>'Form Sh'!S164</f>
        <v>0</v>
      </c>
      <c r="K11" s="345">
        <f>'Form Sh'!H181</f>
        <v>0</v>
      </c>
      <c r="L11" s="345">
        <f>'Form Sh'!S181</f>
        <v>0</v>
      </c>
      <c r="M11" s="345">
        <f>'Form Sh'!H198</f>
        <v>0</v>
      </c>
      <c r="N11" s="345">
        <f>'Form Sh'!S198</f>
        <v>0</v>
      </c>
      <c r="O11" s="345">
        <f>'Form Sh'!H215</f>
        <v>0</v>
      </c>
      <c r="P11" s="345">
        <f>'Form Sh'!S215</f>
        <v>0</v>
      </c>
      <c r="Q11" s="345">
        <f>'Form Sh'!H232</f>
        <v>0</v>
      </c>
      <c r="R11" s="345">
        <f>'Form Sh'!S232</f>
        <v>0</v>
      </c>
      <c r="S11" s="345">
        <f>'Form Sh'!H249</f>
        <v>0</v>
      </c>
      <c r="T11" s="345">
        <f>'Form Sh'!S249</f>
        <v>0</v>
      </c>
      <c r="U11" s="345">
        <f>'Form Sh'!H266</f>
        <v>0</v>
      </c>
      <c r="V11" s="345">
        <f>'Form Sh'!S266</f>
        <v>0</v>
      </c>
      <c r="W11" s="345">
        <f>'Form Sh'!H283</f>
        <v>0</v>
      </c>
      <c r="X11" s="345">
        <f>'Form Sh'!S283</f>
        <v>0</v>
      </c>
      <c r="Y11" s="345"/>
    </row>
    <row r="12" spans="1:25" s="261" customFormat="1" x14ac:dyDescent="0.3">
      <c r="A12" s="55">
        <v>6</v>
      </c>
      <c r="B12" s="260" t="s">
        <v>468</v>
      </c>
      <c r="C12" s="259" t="s">
        <v>901</v>
      </c>
      <c r="D12" s="345" t="s">
        <v>892</v>
      </c>
      <c r="E12" s="345">
        <f t="shared" ref="E12:J12" si="2">IFERROR(E7*E8/E11,0)</f>
        <v>0</v>
      </c>
      <c r="F12" s="345">
        <f t="shared" si="2"/>
        <v>0</v>
      </c>
      <c r="G12" s="345">
        <f t="shared" si="2"/>
        <v>0</v>
      </c>
      <c r="H12" s="345">
        <f t="shared" si="2"/>
        <v>0</v>
      </c>
      <c r="I12" s="345">
        <f t="shared" si="2"/>
        <v>0</v>
      </c>
      <c r="J12" s="345">
        <f t="shared" si="2"/>
        <v>0</v>
      </c>
      <c r="K12" s="345">
        <f t="shared" ref="K12:X12" si="3">IFERROR(K7*K8/K11,0)</f>
        <v>0</v>
      </c>
      <c r="L12" s="345">
        <f t="shared" si="3"/>
        <v>0</v>
      </c>
      <c r="M12" s="345">
        <f t="shared" si="3"/>
        <v>0</v>
      </c>
      <c r="N12" s="345">
        <f t="shared" si="3"/>
        <v>0</v>
      </c>
      <c r="O12" s="345">
        <f t="shared" si="3"/>
        <v>0</v>
      </c>
      <c r="P12" s="345">
        <f t="shared" si="3"/>
        <v>0</v>
      </c>
      <c r="Q12" s="345">
        <f t="shared" si="3"/>
        <v>0</v>
      </c>
      <c r="R12" s="345">
        <f t="shared" si="3"/>
        <v>0</v>
      </c>
      <c r="S12" s="345">
        <f t="shared" si="3"/>
        <v>0</v>
      </c>
      <c r="T12" s="345">
        <f t="shared" si="3"/>
        <v>0</v>
      </c>
      <c r="U12" s="345">
        <f t="shared" si="3"/>
        <v>0</v>
      </c>
      <c r="V12" s="345">
        <f t="shared" si="3"/>
        <v>0</v>
      </c>
      <c r="W12" s="345">
        <f t="shared" si="3"/>
        <v>0</v>
      </c>
      <c r="X12" s="345">
        <f t="shared" si="3"/>
        <v>0</v>
      </c>
      <c r="Y12" s="345"/>
    </row>
    <row r="13" spans="1:25" s="261" customFormat="1" ht="43.2" x14ac:dyDescent="0.3">
      <c r="A13" s="55">
        <v>7</v>
      </c>
      <c r="B13" s="258" t="s">
        <v>966</v>
      </c>
      <c r="C13" s="259" t="s">
        <v>947</v>
      </c>
      <c r="D13" s="345" t="s">
        <v>891</v>
      </c>
      <c r="E13" s="345">
        <f>'Form Sh'!H138</f>
        <v>0</v>
      </c>
      <c r="F13" s="345">
        <f>'Form Sh'!S138</f>
        <v>0</v>
      </c>
      <c r="G13" s="345">
        <f>'Form Sh'!H155</f>
        <v>0</v>
      </c>
      <c r="H13" s="345">
        <f>'Form Sh'!S155</f>
        <v>0</v>
      </c>
      <c r="I13" s="345">
        <f>'Form Sh'!H172</f>
        <v>0</v>
      </c>
      <c r="J13" s="345">
        <f>'Form Sh'!S172</f>
        <v>0</v>
      </c>
      <c r="K13" s="345">
        <f>'Form Sh'!H189</f>
        <v>0</v>
      </c>
      <c r="L13" s="345">
        <f>'Form Sh'!S189</f>
        <v>0</v>
      </c>
      <c r="M13" s="345">
        <f>'Form Sh'!H206</f>
        <v>0</v>
      </c>
      <c r="N13" s="345">
        <f>'Form Sh'!S206</f>
        <v>0</v>
      </c>
      <c r="O13" s="345">
        <f>'Form Sh'!H223</f>
        <v>0</v>
      </c>
      <c r="P13" s="345">
        <f>'Form Sh'!S223</f>
        <v>0</v>
      </c>
      <c r="Q13" s="345">
        <f>'Form Sh'!H240</f>
        <v>0</v>
      </c>
      <c r="R13" s="345">
        <f>'Form Sh'!S240</f>
        <v>0</v>
      </c>
      <c r="S13" s="345">
        <f>'Form Sh'!H257</f>
        <v>0</v>
      </c>
      <c r="T13" s="345">
        <f>'Form Sh'!S257</f>
        <v>0</v>
      </c>
      <c r="U13" s="345">
        <f>'Form Sh'!H274</f>
        <v>0</v>
      </c>
      <c r="V13" s="345">
        <f>'Form Sh'!S274</f>
        <v>0</v>
      </c>
      <c r="W13" s="345">
        <f>'Form Sh'!H291</f>
        <v>0</v>
      </c>
      <c r="X13" s="345">
        <f>'Form Sh'!S291</f>
        <v>0</v>
      </c>
      <c r="Y13" s="345"/>
    </row>
    <row r="14" spans="1:25" s="261" customFormat="1" x14ac:dyDescent="0.3">
      <c r="A14" s="55">
        <v>8</v>
      </c>
      <c r="B14" s="260" t="s">
        <v>929</v>
      </c>
      <c r="C14" s="259" t="s">
        <v>948</v>
      </c>
      <c r="D14" s="345" t="s">
        <v>892</v>
      </c>
      <c r="E14" s="345">
        <f>IFERROR(F12*F11/E11,0)</f>
        <v>0</v>
      </c>
      <c r="F14" s="345"/>
      <c r="G14" s="345">
        <f t="shared" ref="G14" si="4">IFERROR(H12*H11/G11,0)</f>
        <v>0</v>
      </c>
      <c r="H14" s="345"/>
      <c r="I14" s="345">
        <f t="shared" ref="I14" si="5">IFERROR(J12*J11/I11,0)</f>
        <v>0</v>
      </c>
      <c r="J14" s="345"/>
      <c r="K14" s="345">
        <f t="shared" ref="K14" si="6">IFERROR(L12*L11/K11,0)</f>
        <v>0</v>
      </c>
      <c r="L14" s="345"/>
      <c r="M14" s="345">
        <f t="shared" ref="M14" si="7">IFERROR(N12*N11/M11,0)</f>
        <v>0</v>
      </c>
      <c r="N14" s="345"/>
      <c r="O14" s="345">
        <f t="shared" ref="O14" si="8">IFERROR(P12*P11/O11,0)</f>
        <v>0</v>
      </c>
      <c r="P14" s="345"/>
      <c r="Q14" s="345">
        <f t="shared" ref="Q14" si="9">IFERROR(R12*R11/Q11,0)</f>
        <v>0</v>
      </c>
      <c r="R14" s="345"/>
      <c r="S14" s="345">
        <f t="shared" ref="S14" si="10">IFERROR(T12*T11/S11,0)</f>
        <v>0</v>
      </c>
      <c r="T14" s="345"/>
      <c r="U14" s="345">
        <f t="shared" ref="U14" si="11">IFERROR(V12*V11/U11,0)</f>
        <v>0</v>
      </c>
      <c r="V14" s="345"/>
      <c r="W14" s="345">
        <f t="shared" ref="W14" si="12">IFERROR(X12*X11/W11,0)</f>
        <v>0</v>
      </c>
      <c r="X14" s="345"/>
      <c r="Y14" s="345"/>
    </row>
    <row r="15" spans="1:25" s="261" customFormat="1" ht="29.25" customHeight="1" x14ac:dyDescent="0.3">
      <c r="A15" s="55">
        <v>9</v>
      </c>
      <c r="B15" s="258" t="s">
        <v>919</v>
      </c>
      <c r="C15" s="259" t="s">
        <v>949</v>
      </c>
      <c r="D15" s="345" t="s">
        <v>892</v>
      </c>
      <c r="E15" s="345">
        <f>IFERROR(E14-F12,0)</f>
        <v>0</v>
      </c>
      <c r="F15" s="345"/>
      <c r="G15" s="345">
        <f t="shared" ref="G15" si="13">IFERROR(G14-H12,0)</f>
        <v>0</v>
      </c>
      <c r="H15" s="345"/>
      <c r="I15" s="345">
        <f t="shared" ref="I15" si="14">IFERROR(I14-J12,0)</f>
        <v>0</v>
      </c>
      <c r="J15" s="345"/>
      <c r="K15" s="345">
        <f t="shared" ref="K15" si="15">IFERROR(K14-L12,0)</f>
        <v>0</v>
      </c>
      <c r="L15" s="345"/>
      <c r="M15" s="345">
        <f t="shared" ref="M15" si="16">IFERROR(M14-N12,0)</f>
        <v>0</v>
      </c>
      <c r="N15" s="345"/>
      <c r="O15" s="345">
        <f t="shared" ref="O15" si="17">IFERROR(O14-P12,0)</f>
        <v>0</v>
      </c>
      <c r="P15" s="345"/>
      <c r="Q15" s="345">
        <f t="shared" ref="Q15" si="18">IFERROR(Q14-R12,0)</f>
        <v>0</v>
      </c>
      <c r="R15" s="345"/>
      <c r="S15" s="345">
        <f t="shared" ref="S15" si="19">IFERROR(S14-T12,0)</f>
        <v>0</v>
      </c>
      <c r="T15" s="345"/>
      <c r="U15" s="345">
        <f t="shared" ref="U15" si="20">IFERROR(U14-V12,0)</f>
        <v>0</v>
      </c>
      <c r="V15" s="345"/>
      <c r="W15" s="345">
        <f t="shared" ref="W15" si="21">IFERROR(W14-X12,0)</f>
        <v>0</v>
      </c>
      <c r="X15" s="345"/>
      <c r="Y15" s="345"/>
    </row>
    <row r="16" spans="1:25" s="261" customFormat="1" ht="28.8" x14ac:dyDescent="0.3">
      <c r="A16" s="55">
        <v>10</v>
      </c>
      <c r="B16" s="258" t="s">
        <v>928</v>
      </c>
      <c r="C16" s="259" t="s">
        <v>950</v>
      </c>
      <c r="D16" s="345" t="s">
        <v>886</v>
      </c>
      <c r="E16" s="345">
        <f>IFERROR(E13*10^6/E10,0)</f>
        <v>0</v>
      </c>
      <c r="F16" s="345">
        <f>IFERROR(F13*10^6/F10,0)</f>
        <v>0</v>
      </c>
      <c r="G16" s="345">
        <f t="shared" ref="G16:X16" si="22">IFERROR(G13*10^6/G10,0)</f>
        <v>0</v>
      </c>
      <c r="H16" s="345">
        <f t="shared" si="22"/>
        <v>0</v>
      </c>
      <c r="I16" s="345">
        <f t="shared" si="22"/>
        <v>0</v>
      </c>
      <c r="J16" s="345">
        <f t="shared" si="22"/>
        <v>0</v>
      </c>
      <c r="K16" s="345">
        <f t="shared" si="22"/>
        <v>0</v>
      </c>
      <c r="L16" s="345">
        <f t="shared" si="22"/>
        <v>0</v>
      </c>
      <c r="M16" s="345">
        <f t="shared" si="22"/>
        <v>0</v>
      </c>
      <c r="N16" s="345">
        <f t="shared" si="22"/>
        <v>0</v>
      </c>
      <c r="O16" s="345">
        <f t="shared" si="22"/>
        <v>0</v>
      </c>
      <c r="P16" s="345">
        <f t="shared" si="22"/>
        <v>0</v>
      </c>
      <c r="Q16" s="345">
        <f t="shared" si="22"/>
        <v>0</v>
      </c>
      <c r="R16" s="345">
        <f t="shared" si="22"/>
        <v>0</v>
      </c>
      <c r="S16" s="345">
        <f t="shared" si="22"/>
        <v>0</v>
      </c>
      <c r="T16" s="345">
        <f t="shared" si="22"/>
        <v>0</v>
      </c>
      <c r="U16" s="345">
        <f t="shared" si="22"/>
        <v>0</v>
      </c>
      <c r="V16" s="345">
        <f t="shared" si="22"/>
        <v>0</v>
      </c>
      <c r="W16" s="345">
        <f t="shared" si="22"/>
        <v>0</v>
      </c>
      <c r="X16" s="345">
        <f t="shared" si="22"/>
        <v>0</v>
      </c>
      <c r="Y16" s="345"/>
    </row>
    <row r="17" spans="1:25" s="261" customFormat="1" ht="28.8" x14ac:dyDescent="0.3">
      <c r="A17" s="55">
        <v>11</v>
      </c>
      <c r="B17" s="258" t="s">
        <v>965</v>
      </c>
      <c r="C17" s="259" t="s">
        <v>951</v>
      </c>
      <c r="D17" s="345" t="s">
        <v>930</v>
      </c>
      <c r="E17" s="345">
        <f>IFERROR(E16/E12,0)</f>
        <v>0</v>
      </c>
      <c r="F17" s="345">
        <f>IFERROR(F16/F12,0)</f>
        <v>0</v>
      </c>
      <c r="G17" s="345">
        <f t="shared" ref="G17:X17" si="23">IFERROR(G16/G12,0)</f>
        <v>0</v>
      </c>
      <c r="H17" s="345">
        <f t="shared" si="23"/>
        <v>0</v>
      </c>
      <c r="I17" s="345">
        <f t="shared" si="23"/>
        <v>0</v>
      </c>
      <c r="J17" s="345">
        <f t="shared" si="23"/>
        <v>0</v>
      </c>
      <c r="K17" s="345">
        <f t="shared" si="23"/>
        <v>0</v>
      </c>
      <c r="L17" s="345">
        <f t="shared" si="23"/>
        <v>0</v>
      </c>
      <c r="M17" s="345">
        <f t="shared" si="23"/>
        <v>0</v>
      </c>
      <c r="N17" s="345">
        <f t="shared" si="23"/>
        <v>0</v>
      </c>
      <c r="O17" s="345">
        <f t="shared" si="23"/>
        <v>0</v>
      </c>
      <c r="P17" s="345">
        <f t="shared" si="23"/>
        <v>0</v>
      </c>
      <c r="Q17" s="345">
        <f t="shared" si="23"/>
        <v>0</v>
      </c>
      <c r="R17" s="345">
        <f t="shared" si="23"/>
        <v>0</v>
      </c>
      <c r="S17" s="345">
        <f t="shared" si="23"/>
        <v>0</v>
      </c>
      <c r="T17" s="345">
        <f t="shared" si="23"/>
        <v>0</v>
      </c>
      <c r="U17" s="345">
        <f t="shared" si="23"/>
        <v>0</v>
      </c>
      <c r="V17" s="345">
        <f t="shared" si="23"/>
        <v>0</v>
      </c>
      <c r="W17" s="345">
        <f t="shared" si="23"/>
        <v>0</v>
      </c>
      <c r="X17" s="345">
        <f t="shared" si="23"/>
        <v>0</v>
      </c>
      <c r="Y17" s="345"/>
    </row>
    <row r="18" spans="1:25" s="261" customFormat="1" ht="28.8" x14ac:dyDescent="0.3">
      <c r="A18" s="55">
        <v>12</v>
      </c>
      <c r="B18" s="258" t="s">
        <v>920</v>
      </c>
      <c r="C18" s="259" t="s">
        <v>952</v>
      </c>
      <c r="D18" s="345" t="s">
        <v>886</v>
      </c>
      <c r="E18" s="345">
        <f>IFERROR(E15*F17,0)</f>
        <v>0</v>
      </c>
      <c r="F18" s="345"/>
      <c r="G18" s="345">
        <f t="shared" ref="G18" si="24">IFERROR(G15*H17,0)</f>
        <v>0</v>
      </c>
      <c r="H18" s="345"/>
      <c r="I18" s="345">
        <f t="shared" ref="I18" si="25">IFERROR(I15*J17,0)</f>
        <v>0</v>
      </c>
      <c r="J18" s="345"/>
      <c r="K18" s="345">
        <f t="shared" ref="K18" si="26">IFERROR(K15*L17,0)</f>
        <v>0</v>
      </c>
      <c r="L18" s="345"/>
      <c r="M18" s="345">
        <f t="shared" ref="M18" si="27">IFERROR(M15*N17,0)</f>
        <v>0</v>
      </c>
      <c r="N18" s="345"/>
      <c r="O18" s="345">
        <f t="shared" ref="O18" si="28">IFERROR(O15*P17,0)</f>
        <v>0</v>
      </c>
      <c r="P18" s="345"/>
      <c r="Q18" s="345">
        <f t="shared" ref="Q18" si="29">IFERROR(Q15*R17,0)</f>
        <v>0</v>
      </c>
      <c r="R18" s="345"/>
      <c r="S18" s="345">
        <f t="shared" ref="S18" si="30">IFERROR(S15*T17,0)</f>
        <v>0</v>
      </c>
      <c r="T18" s="345"/>
      <c r="U18" s="345">
        <f t="shared" ref="U18" si="31">IFERROR(U15*V17,0)</f>
        <v>0</v>
      </c>
      <c r="V18" s="345"/>
      <c r="W18" s="345">
        <f t="shared" ref="W18" si="32">IFERROR(W15*X17,0)</f>
        <v>0</v>
      </c>
      <c r="X18" s="345"/>
      <c r="Y18" s="345"/>
    </row>
    <row r="19" spans="1:25" s="261" customFormat="1" x14ac:dyDescent="0.3">
      <c r="A19" s="55">
        <v>13</v>
      </c>
      <c r="B19" s="260" t="s">
        <v>921</v>
      </c>
      <c r="C19" s="259" t="s">
        <v>953</v>
      </c>
      <c r="D19" s="345" t="s">
        <v>307</v>
      </c>
      <c r="E19" s="345">
        <f>IFERROR(E18*E7*E10/10^6,0)</f>
        <v>0</v>
      </c>
      <c r="F19" s="345"/>
      <c r="G19" s="345">
        <f t="shared" ref="G19" si="33">IFERROR(G18*G7*G10/10^6,0)</f>
        <v>0</v>
      </c>
      <c r="H19" s="345"/>
      <c r="I19" s="345">
        <f t="shared" ref="I19" si="34">IFERROR(I18*I7*I10/10^6,0)</f>
        <v>0</v>
      </c>
      <c r="J19" s="345"/>
      <c r="K19" s="345">
        <f t="shared" ref="K19" si="35">IFERROR(K18*K7*K10/10^6,0)</f>
        <v>0</v>
      </c>
      <c r="L19" s="345"/>
      <c r="M19" s="345">
        <f t="shared" ref="M19" si="36">IFERROR(M18*M7*M10/10^6,0)</f>
        <v>0</v>
      </c>
      <c r="N19" s="345"/>
      <c r="O19" s="345">
        <f t="shared" ref="O19" si="37">IFERROR(O18*O7*O10/10^6,0)</f>
        <v>0</v>
      </c>
      <c r="P19" s="345"/>
      <c r="Q19" s="345">
        <f t="shared" ref="Q19" si="38">IFERROR(Q18*Q7*Q10/10^6,0)</f>
        <v>0</v>
      </c>
      <c r="R19" s="345"/>
      <c r="S19" s="345">
        <f t="shared" ref="S19" si="39">IFERROR(S18*S7*S10/10^6,0)</f>
        <v>0</v>
      </c>
      <c r="T19" s="345"/>
      <c r="U19" s="345">
        <f t="shared" ref="U19" si="40">IFERROR(U18*U7*U10/10^6,0)</f>
        <v>0</v>
      </c>
      <c r="V19" s="345"/>
      <c r="W19" s="345">
        <f t="shared" ref="W19" si="41">IFERROR(W18*W7*W10/10^6,0)</f>
        <v>0</v>
      </c>
      <c r="X19" s="345"/>
      <c r="Y19" s="345"/>
    </row>
    <row r="20" spans="1:25" s="261" customFormat="1" ht="43.2" x14ac:dyDescent="0.3">
      <c r="A20" s="55">
        <v>14</v>
      </c>
      <c r="B20" s="258" t="s">
        <v>922</v>
      </c>
      <c r="C20" s="290" t="s">
        <v>954</v>
      </c>
      <c r="D20" s="345" t="s">
        <v>307</v>
      </c>
      <c r="E20" s="801">
        <f>IF(AND(E3="Yes", F3="Yes"),IF(SUM(E19:X19)&lt;0,0,SUM(E19:X19)),0)</f>
        <v>0</v>
      </c>
      <c r="F20" s="802"/>
      <c r="G20" s="802"/>
      <c r="H20" s="802"/>
      <c r="I20" s="802"/>
      <c r="J20" s="802"/>
      <c r="K20" s="802"/>
      <c r="L20" s="802"/>
      <c r="M20" s="802"/>
      <c r="N20" s="802"/>
      <c r="O20" s="802"/>
      <c r="P20" s="802"/>
      <c r="Q20" s="802"/>
      <c r="R20" s="802"/>
      <c r="S20" s="802"/>
      <c r="T20" s="802"/>
      <c r="U20" s="802"/>
      <c r="V20" s="802"/>
      <c r="W20" s="802"/>
      <c r="X20" s="802"/>
      <c r="Y20" s="803"/>
    </row>
  </sheetData>
  <sheetProtection password="EC3B" sheet="1" objects="1" scenarios="1"/>
  <mergeCells count="22">
    <mergeCell ref="E20:Y20"/>
    <mergeCell ref="G5:H5"/>
    <mergeCell ref="I5:J5"/>
    <mergeCell ref="K5:L5"/>
    <mergeCell ref="M5:N5"/>
    <mergeCell ref="O5:P5"/>
    <mergeCell ref="A2:C2"/>
    <mergeCell ref="Q5:R5"/>
    <mergeCell ref="A1:Y1"/>
    <mergeCell ref="D2:Y2"/>
    <mergeCell ref="A4:C4"/>
    <mergeCell ref="D4:Y4"/>
    <mergeCell ref="A5:A6"/>
    <mergeCell ref="B5:B6"/>
    <mergeCell ref="C5:C6"/>
    <mergeCell ref="D5:D6"/>
    <mergeCell ref="E5:F5"/>
    <mergeCell ref="S5:T5"/>
    <mergeCell ref="U5:V5"/>
    <mergeCell ref="W5:X5"/>
    <mergeCell ref="A3:D3"/>
    <mergeCell ref="G3:Y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zoomScale="66" zoomScaleNormal="66" workbookViewId="0">
      <pane xSplit="4" ySplit="6" topLeftCell="E7" activePane="bottomRight" state="frozen"/>
      <selection pane="topRight" activeCell="E1" sqref="E1"/>
      <selection pane="bottomLeft" activeCell="A4" sqref="A4"/>
      <selection pane="bottomRight" activeCell="E19" sqref="E19:F19"/>
    </sheetView>
  </sheetViews>
  <sheetFormatPr defaultColWidth="8.88671875" defaultRowHeight="14.4" x14ac:dyDescent="0.3"/>
  <cols>
    <col min="1" max="1" width="7" style="26" customWidth="1"/>
    <col min="2" max="2" width="39.88671875" style="27" customWidth="1"/>
    <col min="3" max="3" width="30.88671875" style="232" customWidth="1"/>
    <col min="4" max="4" width="12.88671875" style="26" customWidth="1"/>
    <col min="5" max="6" width="14.88671875" style="26" customWidth="1"/>
    <col min="7" max="8" width="15.109375" style="26" customWidth="1"/>
    <col min="9" max="10" width="14" style="26" customWidth="1"/>
    <col min="11" max="12" width="14.5546875" style="26" customWidth="1"/>
    <col min="13" max="14" width="13.6640625" style="26" customWidth="1"/>
    <col min="15" max="16" width="13.33203125" style="26" customWidth="1"/>
    <col min="17" max="18" width="13" style="26" customWidth="1"/>
    <col min="19" max="20" width="12.88671875" style="26" customWidth="1"/>
    <col min="21" max="22" width="12" style="26" customWidth="1"/>
    <col min="23" max="24" width="12.6640625" style="26" customWidth="1"/>
    <col min="25" max="25" width="34.5546875" style="26" customWidth="1"/>
    <col min="26" max="16384" width="8.88671875" style="26"/>
  </cols>
  <sheetData>
    <row r="1" spans="1:25" ht="25.8" x14ac:dyDescent="0.5">
      <c r="A1" s="752" t="s">
        <v>444</v>
      </c>
      <c r="B1" s="753"/>
      <c r="C1" s="753"/>
      <c r="D1" s="753"/>
      <c r="E1" s="753"/>
      <c r="F1" s="753"/>
      <c r="G1" s="753"/>
      <c r="H1" s="753"/>
      <c r="I1" s="753"/>
      <c r="J1" s="753"/>
      <c r="K1" s="753"/>
      <c r="L1" s="753"/>
      <c r="M1" s="753"/>
      <c r="N1" s="753"/>
      <c r="O1" s="753"/>
      <c r="P1" s="753"/>
      <c r="Q1" s="753"/>
      <c r="R1" s="753"/>
      <c r="S1" s="753"/>
      <c r="T1" s="753"/>
      <c r="U1" s="753"/>
      <c r="V1" s="753"/>
      <c r="W1" s="753"/>
      <c r="X1" s="753"/>
      <c r="Y1" s="753"/>
    </row>
    <row r="2" spans="1:25" ht="18" x14ac:dyDescent="0.35">
      <c r="A2" s="749" t="s">
        <v>163</v>
      </c>
      <c r="B2" s="739"/>
      <c r="C2" s="739"/>
      <c r="D2" s="740"/>
      <c r="E2" s="269">
        <f>'General Information'!C3</f>
        <v>0</v>
      </c>
      <c r="F2" s="270"/>
      <c r="G2" s="270"/>
      <c r="H2" s="270"/>
      <c r="I2" s="270"/>
      <c r="J2" s="270"/>
      <c r="K2" s="270"/>
      <c r="L2" s="270"/>
      <c r="M2" s="270"/>
      <c r="N2" s="270"/>
      <c r="O2" s="270"/>
      <c r="P2" s="270"/>
      <c r="Q2" s="270"/>
      <c r="R2" s="270"/>
      <c r="S2" s="270"/>
      <c r="T2" s="270"/>
      <c r="U2" s="270"/>
      <c r="V2" s="270"/>
      <c r="W2" s="270"/>
      <c r="X2" s="270"/>
      <c r="Y2" s="271"/>
    </row>
    <row r="3" spans="1:25" s="247" customFormat="1" ht="18" x14ac:dyDescent="0.35">
      <c r="A3" s="789" t="s">
        <v>1059</v>
      </c>
      <c r="B3" s="790"/>
      <c r="C3" s="790"/>
      <c r="D3" s="790"/>
      <c r="E3" s="288" t="str">
        <f>'Form Sh'!S484</f>
        <v>Yes</v>
      </c>
      <c r="F3" s="288" t="str">
        <f>'Form Sh'!F484</f>
        <v>Yes</v>
      </c>
      <c r="G3" s="791"/>
      <c r="H3" s="792"/>
      <c r="I3" s="792"/>
      <c r="J3" s="792"/>
      <c r="K3" s="792"/>
      <c r="L3" s="792"/>
      <c r="M3" s="792"/>
      <c r="N3" s="792"/>
      <c r="O3" s="792"/>
      <c r="P3" s="792"/>
      <c r="Q3" s="792"/>
      <c r="R3" s="792"/>
      <c r="S3" s="792"/>
      <c r="T3" s="792"/>
      <c r="U3" s="792"/>
      <c r="V3" s="792"/>
      <c r="W3" s="792"/>
      <c r="X3" s="792"/>
      <c r="Y3" s="793"/>
    </row>
    <row r="4" spans="1:25" ht="18" x14ac:dyDescent="0.35">
      <c r="A4" s="749" t="s">
        <v>2</v>
      </c>
      <c r="B4" s="739"/>
      <c r="C4" s="740"/>
      <c r="D4" s="763" t="str">
        <f>'General Information'!D6:E6</f>
        <v>Coal/Lignite/Oil/Gas Fired</v>
      </c>
      <c r="E4" s="743"/>
      <c r="F4" s="743"/>
      <c r="G4" s="743"/>
      <c r="H4" s="743"/>
      <c r="I4" s="104"/>
      <c r="J4" s="104"/>
      <c r="K4" s="104"/>
      <c r="L4" s="104"/>
      <c r="M4" s="104"/>
      <c r="N4" s="104"/>
      <c r="O4" s="104"/>
      <c r="P4" s="104"/>
      <c r="Q4" s="104"/>
      <c r="R4" s="104"/>
      <c r="S4" s="104"/>
      <c r="T4" s="104"/>
      <c r="U4" s="104"/>
      <c r="V4" s="104"/>
      <c r="W4" s="104"/>
      <c r="X4" s="104"/>
      <c r="Y4" s="105"/>
    </row>
    <row r="5" spans="1:25" ht="28.5" customHeight="1" x14ac:dyDescent="0.3">
      <c r="A5" s="812" t="s">
        <v>146</v>
      </c>
      <c r="B5" s="812" t="s">
        <v>132</v>
      </c>
      <c r="C5" s="764" t="s">
        <v>180</v>
      </c>
      <c r="D5" s="812" t="s">
        <v>154</v>
      </c>
      <c r="E5" s="806" t="s">
        <v>691</v>
      </c>
      <c r="F5" s="807"/>
      <c r="G5" s="806" t="s">
        <v>692</v>
      </c>
      <c r="H5" s="807"/>
      <c r="I5" s="806" t="s">
        <v>693</v>
      </c>
      <c r="J5" s="807"/>
      <c r="K5" s="806" t="s">
        <v>694</v>
      </c>
      <c r="L5" s="807"/>
      <c r="M5" s="806" t="s">
        <v>695</v>
      </c>
      <c r="N5" s="807"/>
      <c r="O5" s="806" t="s">
        <v>696</v>
      </c>
      <c r="P5" s="807"/>
      <c r="Q5" s="806" t="s">
        <v>697</v>
      </c>
      <c r="R5" s="807"/>
      <c r="S5" s="806" t="s">
        <v>698</v>
      </c>
      <c r="T5" s="807"/>
      <c r="U5" s="806" t="s">
        <v>699</v>
      </c>
      <c r="V5" s="807"/>
      <c r="W5" s="806" t="s">
        <v>700</v>
      </c>
      <c r="X5" s="807"/>
      <c r="Y5" s="128"/>
    </row>
    <row r="6" spans="1:25" s="336" customFormat="1" x14ac:dyDescent="0.3">
      <c r="A6" s="813"/>
      <c r="B6" s="813"/>
      <c r="C6" s="765"/>
      <c r="D6" s="813"/>
      <c r="E6" s="333" t="s">
        <v>325</v>
      </c>
      <c r="F6" s="334" t="s">
        <v>326</v>
      </c>
      <c r="G6" s="333" t="s">
        <v>325</v>
      </c>
      <c r="H6" s="334" t="s">
        <v>326</v>
      </c>
      <c r="I6" s="333" t="s">
        <v>325</v>
      </c>
      <c r="J6" s="334" t="s">
        <v>326</v>
      </c>
      <c r="K6" s="333" t="s">
        <v>325</v>
      </c>
      <c r="L6" s="334" t="s">
        <v>326</v>
      </c>
      <c r="M6" s="333" t="s">
        <v>325</v>
      </c>
      <c r="N6" s="334" t="s">
        <v>326</v>
      </c>
      <c r="O6" s="333" t="s">
        <v>325</v>
      </c>
      <c r="P6" s="334" t="s">
        <v>326</v>
      </c>
      <c r="Q6" s="333" t="s">
        <v>325</v>
      </c>
      <c r="R6" s="334" t="s">
        <v>326</v>
      </c>
      <c r="S6" s="333" t="s">
        <v>325</v>
      </c>
      <c r="T6" s="334" t="s">
        <v>326</v>
      </c>
      <c r="U6" s="333" t="s">
        <v>325</v>
      </c>
      <c r="V6" s="334" t="s">
        <v>326</v>
      </c>
      <c r="W6" s="333" t="s">
        <v>325</v>
      </c>
      <c r="X6" s="334" t="s">
        <v>326</v>
      </c>
      <c r="Y6" s="335" t="s">
        <v>52</v>
      </c>
    </row>
    <row r="7" spans="1:25" x14ac:dyDescent="0.3">
      <c r="A7" s="24">
        <v>1</v>
      </c>
      <c r="B7" s="25" t="str">
        <f>IF(OR($D$4="Gas Turbine (Open Cycle)",$D$4="Combined Cycle Gas Turbine (CCGT)"),"Module Capacity","Unit Capacity")</f>
        <v>Unit Capacity</v>
      </c>
      <c r="C7" s="228" t="s">
        <v>832</v>
      </c>
      <c r="D7" s="24" t="s">
        <v>28</v>
      </c>
      <c r="E7" s="313">
        <f>'Form Sh'!E18</f>
        <v>0</v>
      </c>
      <c r="F7" s="313">
        <f>'Form Sh'!E18</f>
        <v>0</v>
      </c>
      <c r="G7" s="313">
        <f>'Form Sh'!E19</f>
        <v>0</v>
      </c>
      <c r="H7" s="313">
        <f>'Form Sh'!E19</f>
        <v>0</v>
      </c>
      <c r="I7" s="313">
        <f>'Form Sh'!E20</f>
        <v>0</v>
      </c>
      <c r="J7" s="313">
        <f>'Form Sh'!E20</f>
        <v>0</v>
      </c>
      <c r="K7" s="313">
        <f>'Form Sh'!E21</f>
        <v>0</v>
      </c>
      <c r="L7" s="313">
        <f>'Form Sh'!E21</f>
        <v>0</v>
      </c>
      <c r="M7" s="313">
        <f>'Form Sh'!E22</f>
        <v>0</v>
      </c>
      <c r="N7" s="313">
        <f>'Form Sh'!E22</f>
        <v>0</v>
      </c>
      <c r="O7" s="313">
        <f>'Form Sh'!E23</f>
        <v>0</v>
      </c>
      <c r="P7" s="313">
        <f>'Form Sh'!E23</f>
        <v>0</v>
      </c>
      <c r="Q7" s="313">
        <f>'Form Sh'!E24</f>
        <v>0</v>
      </c>
      <c r="R7" s="313">
        <f>'Form Sh'!E24</f>
        <v>0</v>
      </c>
      <c r="S7" s="313">
        <f>'Form Sh'!E25</f>
        <v>0</v>
      </c>
      <c r="T7" s="313">
        <f>'Form Sh'!E25</f>
        <v>0</v>
      </c>
      <c r="U7" s="313">
        <f>'Form Sh'!E26</f>
        <v>0</v>
      </c>
      <c r="V7" s="313">
        <f>'Form Sh'!E26</f>
        <v>0</v>
      </c>
      <c r="W7" s="313">
        <f>'Form Sh'!E27</f>
        <v>0</v>
      </c>
      <c r="X7" s="313">
        <f>'Form Sh'!E27</f>
        <v>0</v>
      </c>
      <c r="Y7" s="313"/>
    </row>
    <row r="8" spans="1:25" ht="28.8" x14ac:dyDescent="0.3">
      <c r="A8" s="24">
        <v>2</v>
      </c>
      <c r="B8" s="25" t="s">
        <v>443</v>
      </c>
      <c r="C8" s="228" t="s">
        <v>832</v>
      </c>
      <c r="D8" s="24" t="s">
        <v>110</v>
      </c>
      <c r="E8" s="314">
        <f>IF('Form Sh'!H18=0,'Form Sh'!K18,'Form Sh'!H18)</f>
        <v>0</v>
      </c>
      <c r="F8" s="314">
        <f>E8</f>
        <v>0</v>
      </c>
      <c r="G8" s="314">
        <f>IF('Form Sh'!H19=0,'Form Sh'!K19,'Form Sh'!H19)</f>
        <v>0</v>
      </c>
      <c r="H8" s="314">
        <f>G8</f>
        <v>0</v>
      </c>
      <c r="I8" s="314">
        <f>IF('Form Sh'!H20=0,'Form Sh'!K20,'Form Sh'!H20)</f>
        <v>0</v>
      </c>
      <c r="J8" s="314">
        <f>I8</f>
        <v>0</v>
      </c>
      <c r="K8" s="314">
        <f>IF('Form Sh'!H21=0,'Form Sh'!K21,'Form Sh'!H21)</f>
        <v>0</v>
      </c>
      <c r="L8" s="314">
        <f>K8</f>
        <v>0</v>
      </c>
      <c r="M8" s="314">
        <f>IF('Form Sh'!H22=0,'Form Sh'!K22,'Form Sh'!H22)</f>
        <v>0</v>
      </c>
      <c r="N8" s="315">
        <f>M8</f>
        <v>0</v>
      </c>
      <c r="O8" s="315">
        <f>IF('Form Sh'!H23=0,'Form Sh'!K23,'Form Sh'!H23)</f>
        <v>0</v>
      </c>
      <c r="P8" s="315">
        <f>O8</f>
        <v>0</v>
      </c>
      <c r="Q8" s="315">
        <f>IF('Form Sh'!H24=0,'Form Sh'!K24,'Form Sh'!H24)</f>
        <v>0</v>
      </c>
      <c r="R8" s="315">
        <f>Q8</f>
        <v>0</v>
      </c>
      <c r="S8" s="315">
        <f>IF('Form Sh'!H25=0,'Form Sh'!K25,'Form Sh'!H25)</f>
        <v>0</v>
      </c>
      <c r="T8" s="315">
        <f>S8</f>
        <v>0</v>
      </c>
      <c r="U8" s="315">
        <f>IF('Form Sh'!H26=0,'Form Sh'!K26,'Form Sh'!H26)</f>
        <v>0</v>
      </c>
      <c r="V8" s="315">
        <f>U8</f>
        <v>0</v>
      </c>
      <c r="W8" s="315">
        <f>IF('Form Sh'!H27=0,'Form Sh'!K27,'Form Sh'!H27)</f>
        <v>0</v>
      </c>
      <c r="X8" s="315">
        <f>W8</f>
        <v>0</v>
      </c>
      <c r="Y8" s="313"/>
    </row>
    <row r="9" spans="1:25" ht="29.4" customHeight="1" x14ac:dyDescent="0.3">
      <c r="A9" s="24">
        <v>3</v>
      </c>
      <c r="B9" s="51" t="s">
        <v>762</v>
      </c>
      <c r="C9" s="228" t="s">
        <v>832</v>
      </c>
      <c r="D9" s="24" t="s">
        <v>110</v>
      </c>
      <c r="E9" s="313">
        <f>'Form Sh'!R18</f>
        <v>0</v>
      </c>
      <c r="F9" s="313">
        <f>'Form Sh'!R18</f>
        <v>0</v>
      </c>
      <c r="G9" s="313">
        <f>'Form Sh'!R19</f>
        <v>0</v>
      </c>
      <c r="H9" s="313">
        <f>'Form Sh'!R19</f>
        <v>0</v>
      </c>
      <c r="I9" s="313">
        <f>'Form Sh'!R20</f>
        <v>0</v>
      </c>
      <c r="J9" s="313">
        <f>'Form Sh'!R20</f>
        <v>0</v>
      </c>
      <c r="K9" s="313">
        <f>'Form Sh'!R21</f>
        <v>0</v>
      </c>
      <c r="L9" s="313">
        <f>'Form Sh'!R21</f>
        <v>0</v>
      </c>
      <c r="M9" s="313">
        <f>'Form Sh'!R22</f>
        <v>0</v>
      </c>
      <c r="N9" s="313">
        <f>'Form Sh'!R22</f>
        <v>0</v>
      </c>
      <c r="O9" s="313">
        <f>'Form Sh'!R23</f>
        <v>0</v>
      </c>
      <c r="P9" s="313">
        <f>'Form Sh'!R23</f>
        <v>0</v>
      </c>
      <c r="Q9" s="313">
        <f>'Form Sh'!R24</f>
        <v>0</v>
      </c>
      <c r="R9" s="313">
        <f>'Form Sh'!R24</f>
        <v>0</v>
      </c>
      <c r="S9" s="313">
        <f>'Form Sh'!R25</f>
        <v>0</v>
      </c>
      <c r="T9" s="313">
        <f>'Form Sh'!R25</f>
        <v>0</v>
      </c>
      <c r="U9" s="313">
        <f>'Form Sh'!R26</f>
        <v>0</v>
      </c>
      <c r="V9" s="313">
        <f>'Form Sh'!R26</f>
        <v>0</v>
      </c>
      <c r="W9" s="313">
        <f>'Form Sh'!R27</f>
        <v>0</v>
      </c>
      <c r="X9" s="313">
        <f>'Form Sh'!R27</f>
        <v>0</v>
      </c>
      <c r="Y9" s="313"/>
    </row>
    <row r="10" spans="1:25" ht="28.8" x14ac:dyDescent="0.3">
      <c r="A10" s="24">
        <v>4</v>
      </c>
      <c r="B10" s="25" t="s">
        <v>442</v>
      </c>
      <c r="C10" s="228" t="s">
        <v>832</v>
      </c>
      <c r="D10" s="24" t="s">
        <v>110</v>
      </c>
      <c r="E10" s="339">
        <f>'Form Sh'!S18</f>
        <v>0</v>
      </c>
      <c r="F10" s="339">
        <f>'Form Sh'!S18</f>
        <v>0</v>
      </c>
      <c r="G10" s="339">
        <f>'Form Sh'!S19</f>
        <v>0</v>
      </c>
      <c r="H10" s="339">
        <f>'Form Sh'!S19</f>
        <v>0</v>
      </c>
      <c r="I10" s="339">
        <f>'Form Sh'!S20</f>
        <v>0</v>
      </c>
      <c r="J10" s="339">
        <f>'Form Sh'!S20</f>
        <v>0</v>
      </c>
      <c r="K10" s="339">
        <f>'Form Sh'!S21</f>
        <v>0</v>
      </c>
      <c r="L10" s="339">
        <f>'Form Sh'!S21</f>
        <v>0</v>
      </c>
      <c r="M10" s="339">
        <f>'Form Sh'!S22</f>
        <v>0</v>
      </c>
      <c r="N10" s="339">
        <f>'Form Sh'!S22</f>
        <v>0</v>
      </c>
      <c r="O10" s="339">
        <f>'Form Sh'!S23</f>
        <v>0</v>
      </c>
      <c r="P10" s="339">
        <f>'Form Sh'!S23</f>
        <v>0</v>
      </c>
      <c r="Q10" s="339">
        <f>'Form Sh'!S24</f>
        <v>0</v>
      </c>
      <c r="R10" s="339">
        <f>'Form Sh'!S24</f>
        <v>0</v>
      </c>
      <c r="S10" s="339">
        <f>'Form Sh'!S25</f>
        <v>0</v>
      </c>
      <c r="T10" s="339">
        <f>'Form Sh'!S25</f>
        <v>0</v>
      </c>
      <c r="U10" s="339">
        <f>'Form Sh'!S26</f>
        <v>0</v>
      </c>
      <c r="V10" s="339">
        <f>'Form Sh'!S26</f>
        <v>0</v>
      </c>
      <c r="W10" s="339">
        <f>'Form Sh'!S27</f>
        <v>0</v>
      </c>
      <c r="X10" s="339">
        <f>'Form Sh'!S27</f>
        <v>0</v>
      </c>
      <c r="Y10" s="313"/>
    </row>
    <row r="11" spans="1:25" s="58" customFormat="1" ht="43.2" x14ac:dyDescent="0.3">
      <c r="A11" s="52">
        <v>5</v>
      </c>
      <c r="B11" s="245" t="s">
        <v>445</v>
      </c>
      <c r="C11" s="244" t="s">
        <v>833</v>
      </c>
      <c r="D11" s="52" t="s">
        <v>92</v>
      </c>
      <c r="E11" s="316">
        <f>'Form Sh'!D83+'Form Sh'!G83+'Form Sh'!J83</f>
        <v>0</v>
      </c>
      <c r="F11" s="316">
        <f>'Form Sh'!M83+'Form Sh'!P83+'Form Sh'!S83</f>
        <v>0</v>
      </c>
      <c r="G11" s="317">
        <f>'Form Sh'!D84+'Form Sh'!G84+'Form Sh'!J84</f>
        <v>0</v>
      </c>
      <c r="H11" s="317">
        <f>'Form Sh'!M84+'Form Sh'!P84+'Form Sh'!S84</f>
        <v>0</v>
      </c>
      <c r="I11" s="318">
        <f>'Form Sh'!D85+'Form Sh'!G85+'Form Sh'!J85</f>
        <v>0</v>
      </c>
      <c r="J11" s="318">
        <f>'Form Sh'!M85+'Form Sh'!P85+'Form Sh'!S85</f>
        <v>0</v>
      </c>
      <c r="K11" s="318">
        <f>'Form Sh'!D86+'Form Sh'!G86+'Form Sh'!J86</f>
        <v>0</v>
      </c>
      <c r="L11" s="318">
        <f>'Form Sh'!M86+'Form Sh'!P86+'Form Sh'!S86</f>
        <v>0</v>
      </c>
      <c r="M11" s="318">
        <f>'Form Sh'!D87+'Form Sh'!G87+'Form Sh'!J87</f>
        <v>0</v>
      </c>
      <c r="N11" s="318">
        <f>'Form Sh'!M87+'Form Sh'!P87+'Form Sh'!S87</f>
        <v>0</v>
      </c>
      <c r="O11" s="318">
        <f>'Form Sh'!D88+'Form Sh'!G88+'Form Sh'!J88</f>
        <v>0</v>
      </c>
      <c r="P11" s="318">
        <f>'Form Sh'!M88+'Form Sh'!P88+'Form Sh'!S88</f>
        <v>0</v>
      </c>
      <c r="Q11" s="318">
        <f>'Form Sh'!D89+'Form Sh'!G89+'Form Sh'!J89</f>
        <v>0</v>
      </c>
      <c r="R11" s="318">
        <f>'Form Sh'!M89+'Form Sh'!P89+'Form Sh'!S89</f>
        <v>0</v>
      </c>
      <c r="S11" s="318">
        <f>'Form Sh'!D90+'Form Sh'!G90+'Form Sh'!J90</f>
        <v>0</v>
      </c>
      <c r="T11" s="318">
        <f>'Form Sh'!M90+'Form Sh'!P90+'Form Sh'!S90</f>
        <v>0</v>
      </c>
      <c r="U11" s="318">
        <f>'Form Sh'!D91+'Form Sh'!G91+'Form Sh'!J91</f>
        <v>0</v>
      </c>
      <c r="V11" s="318">
        <f>'Form Sh'!M91+'Form Sh'!P91+'Form Sh'!S91</f>
        <v>0</v>
      </c>
      <c r="W11" s="318">
        <f>'Form Sh'!D92+'Form Sh'!G92+'Form Sh'!J92</f>
        <v>0</v>
      </c>
      <c r="X11" s="318">
        <f>'Form Sh'!M92+'Form Sh'!P92+'Form Sh'!S92</f>
        <v>0</v>
      </c>
      <c r="Y11" s="340"/>
    </row>
    <row r="12" spans="1:25" s="58" customFormat="1" ht="57.6" x14ac:dyDescent="0.3">
      <c r="A12" s="52">
        <v>6</v>
      </c>
      <c r="B12" s="246" t="s">
        <v>761</v>
      </c>
      <c r="C12" s="244" t="s">
        <v>834</v>
      </c>
      <c r="D12" s="52" t="s">
        <v>92</v>
      </c>
      <c r="E12" s="316">
        <f>'Form Sh'!E83+'Form Sh'!H83+'Form Sh'!K83</f>
        <v>0</v>
      </c>
      <c r="F12" s="316">
        <f>'Form Sh'!N83+'Form Sh'!Q83+'Form Sh'!T83</f>
        <v>0</v>
      </c>
      <c r="G12" s="316">
        <f>'Form Sh'!F83+'Form Sh'!H84+'Form Sh'!K84</f>
        <v>0</v>
      </c>
      <c r="H12" s="316">
        <f>'Form Sh'!N84+'Form Sh'!Q84+'Form Sh'!T84</f>
        <v>0</v>
      </c>
      <c r="I12" s="316">
        <f>'Form Sh'!F84+'Form Sh'!H85+'Form Sh'!K85</f>
        <v>0</v>
      </c>
      <c r="J12" s="316">
        <f>'Form Sh'!N85+'Form Sh'!Q85+'Form Sh'!T85</f>
        <v>0</v>
      </c>
      <c r="K12" s="316">
        <f>'Form Sh'!F85+'Form Sh'!H86+'Form Sh'!K86</f>
        <v>0</v>
      </c>
      <c r="L12" s="316">
        <f>'Form Sh'!N86+'Form Sh'!Q86+'Form Sh'!T86</f>
        <v>0</v>
      </c>
      <c r="M12" s="316">
        <f>'Form Sh'!F86+'Form Sh'!H87+'Form Sh'!K87</f>
        <v>0</v>
      </c>
      <c r="N12" s="316">
        <f>'Form Sh'!N87+'Form Sh'!Q87+'Form Sh'!T87</f>
        <v>0</v>
      </c>
      <c r="O12" s="316">
        <f>'Form Sh'!F87+'Form Sh'!H88+'Form Sh'!K88</f>
        <v>0</v>
      </c>
      <c r="P12" s="316">
        <f>'Form Sh'!N88+'Form Sh'!Q88+'Form Sh'!T88</f>
        <v>0</v>
      </c>
      <c r="Q12" s="316">
        <f>'Form Sh'!F88+'Form Sh'!H89+'Form Sh'!K89</f>
        <v>0</v>
      </c>
      <c r="R12" s="316">
        <f>'Form Sh'!N89+'Form Sh'!Q89+'Form Sh'!T89</f>
        <v>0</v>
      </c>
      <c r="S12" s="316">
        <f>'Form Sh'!F89+'Form Sh'!H90+'Form Sh'!K90</f>
        <v>0</v>
      </c>
      <c r="T12" s="316">
        <f>'Form Sh'!N90+'Form Sh'!Q90+'Form Sh'!T90</f>
        <v>0</v>
      </c>
      <c r="U12" s="316">
        <f>'Form Sh'!F90+'Form Sh'!H91+'Form Sh'!K91</f>
        <v>0</v>
      </c>
      <c r="V12" s="316">
        <f>'Form Sh'!N91+'Form Sh'!Q91+'Form Sh'!T91</f>
        <v>0</v>
      </c>
      <c r="W12" s="316">
        <f>'Form Sh'!F91+'Form Sh'!H92+'Form Sh'!K92</f>
        <v>0</v>
      </c>
      <c r="X12" s="316">
        <f>'Form Sh'!N92+'Form Sh'!Q92+'Form Sh'!T92</f>
        <v>0</v>
      </c>
      <c r="Y12" s="340"/>
    </row>
    <row r="13" spans="1:25" s="58" customFormat="1" ht="57.6" x14ac:dyDescent="0.3">
      <c r="A13" s="52">
        <v>7</v>
      </c>
      <c r="B13" s="245" t="s">
        <v>446</v>
      </c>
      <c r="C13" s="244" t="s">
        <v>835</v>
      </c>
      <c r="D13" s="52" t="s">
        <v>92</v>
      </c>
      <c r="E13" s="316">
        <f>'Form Sh'!F83+'Form Sh'!I83+'Form Sh'!L83</f>
        <v>0</v>
      </c>
      <c r="F13" s="316">
        <f>'Form Sh'!O83+'Form Sh'!R83+'Form Sh'!U83</f>
        <v>0</v>
      </c>
      <c r="G13" s="316">
        <f>'Form Sh'!F84+'Form Sh'!I84+'Form Sh'!L84</f>
        <v>0</v>
      </c>
      <c r="H13" s="316">
        <f>'Form Sh'!O84+'Form Sh'!R84+'Form Sh'!U84</f>
        <v>0</v>
      </c>
      <c r="I13" s="316">
        <f>'Form Sh'!F85+'Form Sh'!I85+'Form Sh'!L85</f>
        <v>0</v>
      </c>
      <c r="J13" s="316">
        <f>'Form Sh'!O85+'Form Sh'!R85+'Form Sh'!U85</f>
        <v>0</v>
      </c>
      <c r="K13" s="341">
        <f>'Form Sh'!F86+'Form Sh'!I86+'Form Sh'!L86</f>
        <v>0</v>
      </c>
      <c r="L13" s="341">
        <f>'Form Sh'!O86+'Form Sh'!R86+'Form Sh'!U86</f>
        <v>0</v>
      </c>
      <c r="M13" s="341">
        <f>'Form Sh'!F87+'Form Sh'!I87+'Form Sh'!L87</f>
        <v>0</v>
      </c>
      <c r="N13" s="341">
        <f>'Form Sh'!O87+'Form Sh'!R87+'Form Sh'!U87</f>
        <v>0</v>
      </c>
      <c r="O13" s="341">
        <f>'Form Sh'!F88+'Form Sh'!I88+'Form Sh'!L88</f>
        <v>0</v>
      </c>
      <c r="P13" s="341">
        <f>'Form Sh'!O88+'Form Sh'!R88+'Form Sh'!U88</f>
        <v>0</v>
      </c>
      <c r="Q13" s="341">
        <f>'Form Sh'!K410</f>
        <v>0</v>
      </c>
      <c r="R13" s="341">
        <f>'Form Sh'!O89+'Form Sh'!R89+'Form Sh'!U89</f>
        <v>0</v>
      </c>
      <c r="S13" s="341">
        <f>'Form Sh'!K411</f>
        <v>0</v>
      </c>
      <c r="T13" s="341">
        <f>'Form Sh'!O90+'Form Sh'!R90+'Form Sh'!U90</f>
        <v>0</v>
      </c>
      <c r="U13" s="341">
        <f>'Form Sh'!F91+'Form Sh'!I91+'Form Sh'!L91</f>
        <v>0</v>
      </c>
      <c r="V13" s="341">
        <f>'Form Sh'!O91+'Form Sh'!R91+'Form Sh'!U91</f>
        <v>0</v>
      </c>
      <c r="W13" s="341">
        <f>'Form Sh'!K413</f>
        <v>0</v>
      </c>
      <c r="X13" s="341">
        <f>'Form Sh'!O92+'Form Sh'!R92+'Form Sh'!U92</f>
        <v>0</v>
      </c>
      <c r="Y13" s="340"/>
    </row>
    <row r="14" spans="1:25" x14ac:dyDescent="0.3">
      <c r="A14" s="76"/>
      <c r="B14" s="77"/>
      <c r="C14" s="296"/>
      <c r="D14" s="76"/>
      <c r="E14" s="319"/>
      <c r="F14" s="319"/>
      <c r="G14" s="319"/>
      <c r="H14" s="319"/>
      <c r="I14" s="319"/>
      <c r="J14" s="319"/>
      <c r="K14" s="319"/>
      <c r="L14" s="319"/>
      <c r="M14" s="319"/>
      <c r="N14" s="319"/>
      <c r="O14" s="319"/>
      <c r="P14" s="319"/>
      <c r="Q14" s="319"/>
      <c r="R14" s="319"/>
      <c r="S14" s="319"/>
      <c r="T14" s="319"/>
      <c r="U14" s="319"/>
      <c r="V14" s="319"/>
      <c r="W14" s="319"/>
      <c r="X14" s="319"/>
      <c r="Y14" s="342"/>
    </row>
    <row r="15" spans="1:25" s="108" customFormat="1" x14ac:dyDescent="0.3">
      <c r="A15" s="106">
        <v>8</v>
      </c>
      <c r="B15" s="107" t="s">
        <v>449</v>
      </c>
      <c r="C15" s="237" t="s">
        <v>836</v>
      </c>
      <c r="D15" s="106" t="s">
        <v>92</v>
      </c>
      <c r="E15" s="129">
        <f>SUM(E11:E13)</f>
        <v>0</v>
      </c>
      <c r="F15" s="129">
        <f>SUM(F11:F13)</f>
        <v>0</v>
      </c>
      <c r="G15" s="129">
        <f t="shared" ref="G15:X15" si="0">SUM(G11:G13)</f>
        <v>0</v>
      </c>
      <c r="H15" s="129">
        <f t="shared" si="0"/>
        <v>0</v>
      </c>
      <c r="I15" s="129">
        <f t="shared" si="0"/>
        <v>0</v>
      </c>
      <c r="J15" s="129">
        <f t="shared" si="0"/>
        <v>0</v>
      </c>
      <c r="K15" s="129">
        <f t="shared" si="0"/>
        <v>0</v>
      </c>
      <c r="L15" s="129">
        <f t="shared" si="0"/>
        <v>0</v>
      </c>
      <c r="M15" s="129">
        <f t="shared" si="0"/>
        <v>0</v>
      </c>
      <c r="N15" s="129">
        <f t="shared" si="0"/>
        <v>0</v>
      </c>
      <c r="O15" s="129">
        <f t="shared" si="0"/>
        <v>0</v>
      </c>
      <c r="P15" s="129">
        <f t="shared" si="0"/>
        <v>0</v>
      </c>
      <c r="Q15" s="129">
        <f t="shared" si="0"/>
        <v>0</v>
      </c>
      <c r="R15" s="129">
        <f t="shared" si="0"/>
        <v>0</v>
      </c>
      <c r="S15" s="129">
        <f t="shared" si="0"/>
        <v>0</v>
      </c>
      <c r="T15" s="129">
        <f t="shared" si="0"/>
        <v>0</v>
      </c>
      <c r="U15" s="129">
        <f t="shared" si="0"/>
        <v>0</v>
      </c>
      <c r="V15" s="129">
        <f t="shared" si="0"/>
        <v>0</v>
      </c>
      <c r="W15" s="129">
        <f t="shared" si="0"/>
        <v>0</v>
      </c>
      <c r="X15" s="129">
        <f t="shared" si="0"/>
        <v>0</v>
      </c>
      <c r="Y15" s="339"/>
    </row>
    <row r="16" spans="1:25" ht="28.8" x14ac:dyDescent="0.3">
      <c r="A16" s="24">
        <v>9</v>
      </c>
      <c r="B16" s="25" t="s">
        <v>447</v>
      </c>
      <c r="C16" s="228" t="s">
        <v>837</v>
      </c>
      <c r="D16" s="24" t="s">
        <v>110</v>
      </c>
      <c r="E16" s="221">
        <f>IFERROR((E8*E11+E9*E12+E10*E13)/(E11+E12+E13),0)</f>
        <v>0</v>
      </c>
      <c r="F16" s="221">
        <f>IFERROR((F8*F11+F9*F12+F10*F13)/(F11+F12+F13),0)</f>
        <v>0</v>
      </c>
      <c r="G16" s="338">
        <f>IFERROR((G8*G11+G9*G12+G10*G13)/(G11+G12+G13),0)</f>
        <v>0</v>
      </c>
      <c r="H16" s="338">
        <f t="shared" ref="H16:X16" si="1">IFERROR((H8*H11+H9*H12+H10*H13)/(H11+H12+H13),0)</f>
        <v>0</v>
      </c>
      <c r="I16" s="338">
        <f t="shared" si="1"/>
        <v>0</v>
      </c>
      <c r="J16" s="338">
        <f t="shared" si="1"/>
        <v>0</v>
      </c>
      <c r="K16" s="338">
        <f t="shared" si="1"/>
        <v>0</v>
      </c>
      <c r="L16" s="338">
        <f t="shared" si="1"/>
        <v>0</v>
      </c>
      <c r="M16" s="338">
        <f t="shared" si="1"/>
        <v>0</v>
      </c>
      <c r="N16" s="338">
        <f t="shared" si="1"/>
        <v>0</v>
      </c>
      <c r="O16" s="338">
        <f t="shared" si="1"/>
        <v>0</v>
      </c>
      <c r="P16" s="338">
        <f t="shared" si="1"/>
        <v>0</v>
      </c>
      <c r="Q16" s="338">
        <f t="shared" si="1"/>
        <v>0</v>
      </c>
      <c r="R16" s="338">
        <f t="shared" si="1"/>
        <v>0</v>
      </c>
      <c r="S16" s="338">
        <f t="shared" si="1"/>
        <v>0</v>
      </c>
      <c r="T16" s="338">
        <f t="shared" si="1"/>
        <v>0</v>
      </c>
      <c r="U16" s="338">
        <f t="shared" si="1"/>
        <v>0</v>
      </c>
      <c r="V16" s="338">
        <f t="shared" si="1"/>
        <v>0</v>
      </c>
      <c r="W16" s="338">
        <f t="shared" si="1"/>
        <v>0</v>
      </c>
      <c r="X16" s="338">
        <f t="shared" si="1"/>
        <v>0</v>
      </c>
      <c r="Y16" s="313"/>
    </row>
    <row r="17" spans="1:25" ht="28.8" x14ac:dyDescent="0.3">
      <c r="A17" s="24">
        <v>10</v>
      </c>
      <c r="B17" s="25" t="s">
        <v>448</v>
      </c>
      <c r="C17" s="228" t="s">
        <v>838</v>
      </c>
      <c r="D17" s="24" t="s">
        <v>110</v>
      </c>
      <c r="E17" s="810">
        <f>E16-F16</f>
        <v>0</v>
      </c>
      <c r="F17" s="811"/>
      <c r="G17" s="804">
        <f>G16-H16</f>
        <v>0</v>
      </c>
      <c r="H17" s="805"/>
      <c r="I17" s="804">
        <f t="shared" ref="I17" si="2">I16-J16</f>
        <v>0</v>
      </c>
      <c r="J17" s="805"/>
      <c r="K17" s="804">
        <f t="shared" ref="K17" si="3">K16-L16</f>
        <v>0</v>
      </c>
      <c r="L17" s="805"/>
      <c r="M17" s="804">
        <f t="shared" ref="M17" si="4">M16-N16</f>
        <v>0</v>
      </c>
      <c r="N17" s="805"/>
      <c r="O17" s="804">
        <f t="shared" ref="O17" si="5">O16-P16</f>
        <v>0</v>
      </c>
      <c r="P17" s="805"/>
      <c r="Q17" s="804">
        <f t="shared" ref="Q17" si="6">Q16-R16</f>
        <v>0</v>
      </c>
      <c r="R17" s="805"/>
      <c r="S17" s="804">
        <f t="shared" ref="S17" si="7">S16-T16</f>
        <v>0</v>
      </c>
      <c r="T17" s="805"/>
      <c r="U17" s="804">
        <f t="shared" ref="U17" si="8">U16-V16</f>
        <v>0</v>
      </c>
      <c r="V17" s="805"/>
      <c r="W17" s="804">
        <f t="shared" ref="W17" si="9">W16-X16</f>
        <v>0</v>
      </c>
      <c r="X17" s="805"/>
      <c r="Y17" s="313"/>
    </row>
    <row r="18" spans="1:25" ht="28.8" x14ac:dyDescent="0.3">
      <c r="A18" s="24">
        <v>11</v>
      </c>
      <c r="B18" s="25" t="s">
        <v>734</v>
      </c>
      <c r="C18" s="228" t="s">
        <v>839</v>
      </c>
      <c r="D18" s="24" t="s">
        <v>307</v>
      </c>
      <c r="E18" s="804">
        <f>E17*E15</f>
        <v>0</v>
      </c>
      <c r="F18" s="805"/>
      <c r="G18" s="804">
        <f>G17*G15</f>
        <v>0</v>
      </c>
      <c r="H18" s="805"/>
      <c r="I18" s="804">
        <f>I17*I15</f>
        <v>0</v>
      </c>
      <c r="J18" s="805"/>
      <c r="K18" s="804">
        <f>K17*K15</f>
        <v>0</v>
      </c>
      <c r="L18" s="805"/>
      <c r="M18" s="804">
        <f>M17*M15</f>
        <v>0</v>
      </c>
      <c r="N18" s="805"/>
      <c r="O18" s="804">
        <f>O17*O15</f>
        <v>0</v>
      </c>
      <c r="P18" s="805"/>
      <c r="Q18" s="804">
        <f>Q17*Q15</f>
        <v>0</v>
      </c>
      <c r="R18" s="805"/>
      <c r="S18" s="804">
        <f>S17*S15</f>
        <v>0</v>
      </c>
      <c r="T18" s="805"/>
      <c r="U18" s="804">
        <f>U17*U15</f>
        <v>0</v>
      </c>
      <c r="V18" s="805"/>
      <c r="W18" s="804">
        <f>W17*W15</f>
        <v>0</v>
      </c>
      <c r="X18" s="805"/>
      <c r="Y18" s="313"/>
    </row>
    <row r="19" spans="1:25" s="49" customFormat="1" ht="28.8" x14ac:dyDescent="0.3">
      <c r="A19" s="48">
        <v>12</v>
      </c>
      <c r="B19" s="43" t="s">
        <v>735</v>
      </c>
      <c r="C19" s="230" t="s">
        <v>840</v>
      </c>
      <c r="D19" s="48" t="s">
        <v>307</v>
      </c>
      <c r="E19" s="808">
        <f>IF(AND(E3="Yes", F3="Yes"),SUM(E18:X18),0)</f>
        <v>0</v>
      </c>
      <c r="F19" s="809"/>
      <c r="G19" s="322"/>
      <c r="H19" s="322"/>
      <c r="I19" s="322"/>
      <c r="J19" s="322"/>
      <c r="K19" s="322"/>
      <c r="L19" s="322"/>
      <c r="M19" s="322"/>
      <c r="N19" s="322"/>
      <c r="O19" s="322"/>
      <c r="P19" s="322"/>
      <c r="Q19" s="322"/>
      <c r="R19" s="322"/>
      <c r="S19" s="322"/>
      <c r="T19" s="322"/>
      <c r="U19" s="322"/>
      <c r="V19" s="322"/>
      <c r="W19" s="322"/>
      <c r="X19" s="322"/>
      <c r="Y19" s="343"/>
    </row>
  </sheetData>
  <sheetProtection password="EC3B" sheet="1" objects="1" scenarios="1"/>
  <mergeCells count="41">
    <mergeCell ref="U18:V18"/>
    <mergeCell ref="W18:X18"/>
    <mergeCell ref="A1:Y1"/>
    <mergeCell ref="A4:C4"/>
    <mergeCell ref="D4:H4"/>
    <mergeCell ref="A5:A6"/>
    <mergeCell ref="B5:B6"/>
    <mergeCell ref="C5:C6"/>
    <mergeCell ref="D5:D6"/>
    <mergeCell ref="O18:P18"/>
    <mergeCell ref="E5:F5"/>
    <mergeCell ref="W5:X5"/>
    <mergeCell ref="U5:V5"/>
    <mergeCell ref="Q5:R5"/>
    <mergeCell ref="S5:T5"/>
    <mergeCell ref="A3:D3"/>
    <mergeCell ref="E19:F19"/>
    <mergeCell ref="E18:F18"/>
    <mergeCell ref="Q18:R18"/>
    <mergeCell ref="S18:T18"/>
    <mergeCell ref="E17:F17"/>
    <mergeCell ref="G18:H18"/>
    <mergeCell ref="I18:J18"/>
    <mergeCell ref="K18:L18"/>
    <mergeCell ref="M18:N18"/>
    <mergeCell ref="G17:H17"/>
    <mergeCell ref="I17:J17"/>
    <mergeCell ref="K17:L17"/>
    <mergeCell ref="M17:N17"/>
    <mergeCell ref="O17:P17"/>
    <mergeCell ref="Q17:R17"/>
    <mergeCell ref="S17:T17"/>
    <mergeCell ref="G3:Y3"/>
    <mergeCell ref="A2:D2"/>
    <mergeCell ref="U17:V17"/>
    <mergeCell ref="W17:X17"/>
    <mergeCell ref="G5:H5"/>
    <mergeCell ref="I5:J5"/>
    <mergeCell ref="K5:L5"/>
    <mergeCell ref="M5:N5"/>
    <mergeCell ref="O5:P5"/>
  </mergeCells>
  <pageMargins left="0.7" right="0.7" top="0.75" bottom="0.75" header="0.3" footer="0.3"/>
  <pageSetup paperSize="9"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zoomScale="89" zoomScaleNormal="89" workbookViewId="0">
      <pane xSplit="4" ySplit="6" topLeftCell="E11" activePane="bottomRight" state="frozen"/>
      <selection pane="topRight" activeCell="E1" sqref="E1"/>
      <selection pane="bottomLeft" activeCell="A4" sqref="A4"/>
      <selection pane="bottomRight" activeCell="E19" sqref="E19:F19"/>
    </sheetView>
  </sheetViews>
  <sheetFormatPr defaultColWidth="8.88671875" defaultRowHeight="14.4" x14ac:dyDescent="0.3"/>
  <cols>
    <col min="1" max="1" width="7" style="26" customWidth="1"/>
    <col min="2" max="2" width="32.88671875" style="27" customWidth="1"/>
    <col min="3" max="3" width="37" style="232" customWidth="1"/>
    <col min="4" max="4" width="13" style="26" customWidth="1"/>
    <col min="5" max="6" width="14.88671875" style="26" customWidth="1"/>
    <col min="7" max="8" width="15.109375" style="26" customWidth="1"/>
    <col min="9" max="10" width="14" style="26" customWidth="1"/>
    <col min="11" max="12" width="14.5546875" style="26" customWidth="1"/>
    <col min="13" max="14" width="13.6640625" style="26" customWidth="1"/>
    <col min="15" max="16" width="13.33203125" style="26" customWidth="1"/>
    <col min="17" max="18" width="13" style="26" customWidth="1"/>
    <col min="19" max="20" width="12.88671875" style="26" customWidth="1"/>
    <col min="21" max="22" width="12" style="26" customWidth="1"/>
    <col min="23" max="24" width="12.6640625" style="26" customWidth="1"/>
    <col min="25" max="25" width="18.88671875" style="26" customWidth="1"/>
    <col min="26" max="16384" width="8.88671875" style="26"/>
  </cols>
  <sheetData>
    <row r="1" spans="1:25" ht="25.8" x14ac:dyDescent="0.5">
      <c r="A1" s="752" t="s">
        <v>458</v>
      </c>
      <c r="B1" s="753"/>
      <c r="C1" s="753"/>
      <c r="D1" s="753"/>
      <c r="E1" s="753"/>
      <c r="F1" s="753"/>
      <c r="G1" s="753"/>
      <c r="H1" s="753"/>
      <c r="I1" s="753"/>
      <c r="J1" s="753"/>
      <c r="K1" s="753"/>
      <c r="L1" s="753"/>
      <c r="M1" s="753"/>
      <c r="N1" s="753"/>
      <c r="O1" s="753"/>
      <c r="P1" s="753"/>
      <c r="Q1" s="753"/>
      <c r="R1" s="753"/>
      <c r="S1" s="753"/>
      <c r="T1" s="753"/>
      <c r="U1" s="753"/>
      <c r="V1" s="753"/>
      <c r="W1" s="753"/>
      <c r="X1" s="753"/>
      <c r="Y1" s="753"/>
    </row>
    <row r="2" spans="1:25" ht="18" x14ac:dyDescent="0.35">
      <c r="A2" s="749" t="s">
        <v>163</v>
      </c>
      <c r="B2" s="739"/>
      <c r="C2" s="739"/>
      <c r="D2" s="740"/>
      <c r="E2" s="269">
        <f>'General Information'!C3</f>
        <v>0</v>
      </c>
      <c r="F2" s="270"/>
      <c r="G2" s="270"/>
      <c r="H2" s="270"/>
      <c r="I2" s="270"/>
      <c r="J2" s="270"/>
      <c r="K2" s="270"/>
      <c r="L2" s="270"/>
      <c r="M2" s="270"/>
      <c r="N2" s="270"/>
      <c r="O2" s="270"/>
      <c r="P2" s="270"/>
      <c r="Q2" s="270"/>
      <c r="R2" s="270"/>
      <c r="S2" s="270"/>
      <c r="T2" s="270"/>
      <c r="U2" s="270"/>
      <c r="V2" s="270"/>
      <c r="W2" s="270"/>
      <c r="X2" s="270"/>
      <c r="Y2" s="271"/>
    </row>
    <row r="3" spans="1:25" s="247" customFormat="1" ht="18" x14ac:dyDescent="0.35">
      <c r="A3" s="789" t="s">
        <v>1059</v>
      </c>
      <c r="B3" s="790"/>
      <c r="C3" s="790"/>
      <c r="D3" s="790"/>
      <c r="E3" s="288" t="str">
        <f>'Form Sh'!S485</f>
        <v>Yes</v>
      </c>
      <c r="F3" s="288" t="str">
        <f>'Form Sh'!F485</f>
        <v>Yes</v>
      </c>
      <c r="G3" s="791"/>
      <c r="H3" s="792"/>
      <c r="I3" s="792"/>
      <c r="J3" s="792"/>
      <c r="K3" s="792"/>
      <c r="L3" s="792"/>
      <c r="M3" s="792"/>
      <c r="N3" s="792"/>
      <c r="O3" s="792"/>
      <c r="P3" s="792"/>
      <c r="Q3" s="792"/>
      <c r="R3" s="792"/>
      <c r="S3" s="792"/>
      <c r="T3" s="792"/>
      <c r="U3" s="792"/>
      <c r="V3" s="792"/>
      <c r="W3" s="792"/>
      <c r="X3" s="792"/>
      <c r="Y3" s="793"/>
    </row>
    <row r="4" spans="1:25" ht="18" x14ac:dyDescent="0.35">
      <c r="A4" s="749" t="s">
        <v>2</v>
      </c>
      <c r="B4" s="739"/>
      <c r="C4" s="740"/>
      <c r="D4" s="763" t="str">
        <f>'General Information'!D6:E6</f>
        <v>Coal/Lignite/Oil/Gas Fired</v>
      </c>
      <c r="E4" s="743"/>
      <c r="F4" s="743"/>
      <c r="G4" s="743"/>
      <c r="H4" s="743"/>
      <c r="I4" s="104"/>
      <c r="J4" s="104"/>
      <c r="K4" s="104"/>
      <c r="L4" s="104"/>
      <c r="M4" s="104"/>
      <c r="N4" s="104"/>
      <c r="O4" s="104"/>
      <c r="P4" s="104"/>
      <c r="Q4" s="104"/>
      <c r="R4" s="104"/>
      <c r="S4" s="104"/>
      <c r="T4" s="104"/>
      <c r="U4" s="104"/>
      <c r="V4" s="104"/>
      <c r="W4" s="104"/>
      <c r="X4" s="104"/>
      <c r="Y4" s="105"/>
    </row>
    <row r="5" spans="1:25" x14ac:dyDescent="0.3">
      <c r="A5" s="812" t="s">
        <v>146</v>
      </c>
      <c r="B5" s="812" t="s">
        <v>132</v>
      </c>
      <c r="C5" s="764" t="s">
        <v>180</v>
      </c>
      <c r="D5" s="812" t="s">
        <v>154</v>
      </c>
      <c r="E5" s="806" t="s">
        <v>691</v>
      </c>
      <c r="F5" s="807"/>
      <c r="G5" s="806" t="s">
        <v>692</v>
      </c>
      <c r="H5" s="807"/>
      <c r="I5" s="806" t="s">
        <v>693</v>
      </c>
      <c r="J5" s="807"/>
      <c r="K5" s="806" t="s">
        <v>694</v>
      </c>
      <c r="L5" s="807"/>
      <c r="M5" s="806" t="s">
        <v>695</v>
      </c>
      <c r="N5" s="807"/>
      <c r="O5" s="806" t="s">
        <v>696</v>
      </c>
      <c r="P5" s="807"/>
      <c r="Q5" s="806" t="s">
        <v>697</v>
      </c>
      <c r="R5" s="807"/>
      <c r="S5" s="806" t="s">
        <v>698</v>
      </c>
      <c r="T5" s="807"/>
      <c r="U5" s="806" t="s">
        <v>699</v>
      </c>
      <c r="V5" s="807"/>
      <c r="W5" s="806" t="s">
        <v>700</v>
      </c>
      <c r="X5" s="807"/>
      <c r="Y5" s="98"/>
    </row>
    <row r="6" spans="1:25" s="23" customFormat="1" x14ac:dyDescent="0.3">
      <c r="A6" s="813"/>
      <c r="B6" s="813"/>
      <c r="C6" s="765"/>
      <c r="D6" s="813"/>
      <c r="E6" s="223" t="s">
        <v>325</v>
      </c>
      <c r="F6" s="224" t="s">
        <v>326</v>
      </c>
      <c r="G6" s="223" t="s">
        <v>325</v>
      </c>
      <c r="H6" s="224" t="s">
        <v>326</v>
      </c>
      <c r="I6" s="223" t="s">
        <v>325</v>
      </c>
      <c r="J6" s="224" t="s">
        <v>326</v>
      </c>
      <c r="K6" s="223" t="s">
        <v>325</v>
      </c>
      <c r="L6" s="224" t="s">
        <v>326</v>
      </c>
      <c r="M6" s="223" t="s">
        <v>325</v>
      </c>
      <c r="N6" s="224" t="s">
        <v>326</v>
      </c>
      <c r="O6" s="223" t="s">
        <v>325</v>
      </c>
      <c r="P6" s="224" t="s">
        <v>326</v>
      </c>
      <c r="Q6" s="223" t="s">
        <v>325</v>
      </c>
      <c r="R6" s="224" t="s">
        <v>326</v>
      </c>
      <c r="S6" s="223" t="s">
        <v>325</v>
      </c>
      <c r="T6" s="224" t="s">
        <v>326</v>
      </c>
      <c r="U6" s="223" t="s">
        <v>325</v>
      </c>
      <c r="V6" s="224" t="s">
        <v>326</v>
      </c>
      <c r="W6" s="223" t="s">
        <v>325</v>
      </c>
      <c r="X6" s="224" t="s">
        <v>326</v>
      </c>
      <c r="Y6" s="219" t="s">
        <v>52</v>
      </c>
    </row>
    <row r="7" spans="1:25" x14ac:dyDescent="0.3">
      <c r="A7" s="24">
        <v>1</v>
      </c>
      <c r="B7" s="25" t="str">
        <f>IF(OR($D$4="Gas Turbine (Open Cycle)",$D$4="Combined Cycle Gas Turbine (CCGT)"),"Module Capacity","Unit Capacity")</f>
        <v>Unit Capacity</v>
      </c>
      <c r="C7" s="228" t="s">
        <v>841</v>
      </c>
      <c r="D7" s="24" t="s">
        <v>28</v>
      </c>
      <c r="E7" s="313">
        <f>'Form Sh'!E18</f>
        <v>0</v>
      </c>
      <c r="F7" s="313">
        <f>'Form Sh'!E18</f>
        <v>0</v>
      </c>
      <c r="G7" s="313">
        <f>'Form Sh'!E19</f>
        <v>0</v>
      </c>
      <c r="H7" s="313">
        <f>'Form Sh'!E19</f>
        <v>0</v>
      </c>
      <c r="I7" s="313">
        <f>'Form Sh'!E20</f>
        <v>0</v>
      </c>
      <c r="J7" s="313">
        <f>'Form Sh'!E20</f>
        <v>0</v>
      </c>
      <c r="K7" s="313">
        <f>'Form Sh'!E21</f>
        <v>0</v>
      </c>
      <c r="L7" s="313">
        <f>'Form Sh'!E21</f>
        <v>0</v>
      </c>
      <c r="M7" s="313">
        <f>'Form Sh'!E22</f>
        <v>0</v>
      </c>
      <c r="N7" s="313">
        <f>'Form Sh'!E22</f>
        <v>0</v>
      </c>
      <c r="O7" s="313">
        <f>'Form Sh'!E23</f>
        <v>0</v>
      </c>
      <c r="P7" s="313">
        <f>'Form Sh'!E23</f>
        <v>0</v>
      </c>
      <c r="Q7" s="313">
        <f>'Form Sh'!E24</f>
        <v>0</v>
      </c>
      <c r="R7" s="313">
        <f>'Form Sh'!E24</f>
        <v>0</v>
      </c>
      <c r="S7" s="313">
        <f>'Form Sh'!E25</f>
        <v>0</v>
      </c>
      <c r="T7" s="313">
        <f>'Form Sh'!E25</f>
        <v>0</v>
      </c>
      <c r="U7" s="313">
        <f>'Form Sh'!E26</f>
        <v>0</v>
      </c>
      <c r="V7" s="313">
        <f>'Form Sh'!E26</f>
        <v>0</v>
      </c>
      <c r="W7" s="313">
        <f>'Form Sh'!E27</f>
        <v>0</v>
      </c>
      <c r="X7" s="313">
        <f>'Form Sh'!E27</f>
        <v>0</v>
      </c>
      <c r="Y7" s="24"/>
    </row>
    <row r="8" spans="1:25" ht="43.2" x14ac:dyDescent="0.3">
      <c r="A8" s="24">
        <v>2</v>
      </c>
      <c r="B8" s="25" t="s">
        <v>453</v>
      </c>
      <c r="C8" s="228" t="s">
        <v>842</v>
      </c>
      <c r="D8" s="24" t="s">
        <v>110</v>
      </c>
      <c r="E8" s="314">
        <f>IF('Form Sh'!H18=0,'Form Sh'!K18,'Form Sh'!H18)</f>
        <v>0</v>
      </c>
      <c r="F8" s="314">
        <f>IF('Form Sh'!H18=0,'Form Sh'!K18,'Form Sh'!H18)</f>
        <v>0</v>
      </c>
      <c r="G8" s="314">
        <f>IF('Form Sh'!H19=0,'Form Sh'!K19,'Form Sh'!H19)</f>
        <v>0</v>
      </c>
      <c r="H8" s="314">
        <f>IF('Form Sh'!H19=0,'Form Sh'!K19,'Form Sh'!H19)</f>
        <v>0</v>
      </c>
      <c r="I8" s="314">
        <f>IF('Form Sh'!H20=0,'Form Sh'!K20,'Form Sh'!H20)</f>
        <v>0</v>
      </c>
      <c r="J8" s="314">
        <f>IF('Form Sh'!H20=0,'Form Sh'!K20,'Form Sh'!H20)</f>
        <v>0</v>
      </c>
      <c r="K8" s="314">
        <f>IF('Form Sh'!H21=0,'Form Sh'!K21,'Form Sh'!H21)</f>
        <v>0</v>
      </c>
      <c r="L8" s="315">
        <f>IF('Form Sh'!H21=0,'Form Sh'!K21,'Form Sh'!H21)</f>
        <v>0</v>
      </c>
      <c r="M8" s="315">
        <f>IF('Form Sh'!H22=0,'Form Sh'!K22,'Form Sh'!H22)</f>
        <v>0</v>
      </c>
      <c r="N8" s="315">
        <f>M8</f>
        <v>0</v>
      </c>
      <c r="O8" s="315">
        <f>IF('Form Sh'!H23=0,'Form Sh'!K23,'Form Sh'!H23)</f>
        <v>0</v>
      </c>
      <c r="P8" s="315">
        <f>O8</f>
        <v>0</v>
      </c>
      <c r="Q8" s="315">
        <f>IF('Form Sh'!H24=0,'Form Sh'!K24,'Form Sh'!H24)</f>
        <v>0</v>
      </c>
      <c r="R8" s="315">
        <f>Q8</f>
        <v>0</v>
      </c>
      <c r="S8" s="315">
        <f>IF('Form Sh'!H25=0,'Form Sh'!K25,'Form Sh'!H25)</f>
        <v>0</v>
      </c>
      <c r="T8" s="315">
        <f>S8</f>
        <v>0</v>
      </c>
      <c r="U8" s="315">
        <f>IF('Form Sh'!H26=0,'Form Sh'!K26,'Form Sh'!H26)</f>
        <v>0</v>
      </c>
      <c r="V8" s="315">
        <f>U8</f>
        <v>0</v>
      </c>
      <c r="W8" s="315">
        <f>IF('Form Sh'!H27=0,'Form Sh'!K27,'Form Sh'!H27)</f>
        <v>0</v>
      </c>
      <c r="X8" s="315">
        <f>W8</f>
        <v>0</v>
      </c>
      <c r="Y8" s="222"/>
    </row>
    <row r="9" spans="1:25" ht="28.8" x14ac:dyDescent="0.3">
      <c r="A9" s="24">
        <v>3</v>
      </c>
      <c r="B9" s="25" t="s">
        <v>454</v>
      </c>
      <c r="C9" s="244" t="s">
        <v>843</v>
      </c>
      <c r="D9" s="24" t="s">
        <v>110</v>
      </c>
      <c r="E9" s="313">
        <f>'Form Sh'!T18</f>
        <v>0</v>
      </c>
      <c r="F9" s="313">
        <f>'Form Sh'!T18</f>
        <v>0</v>
      </c>
      <c r="G9" s="313">
        <f>'Form Sh'!T19</f>
        <v>0</v>
      </c>
      <c r="H9" s="313">
        <f>'Form Sh'!T19</f>
        <v>0</v>
      </c>
      <c r="I9" s="313">
        <f>'Form Sh'!T20</f>
        <v>0</v>
      </c>
      <c r="J9" s="313">
        <f>'Form Sh'!T20</f>
        <v>0</v>
      </c>
      <c r="K9" s="313">
        <f>'Form Sh'!T21</f>
        <v>0</v>
      </c>
      <c r="L9" s="313">
        <f>'Form Sh'!T21</f>
        <v>0</v>
      </c>
      <c r="M9" s="313">
        <f>'Form Sh'!T22</f>
        <v>0</v>
      </c>
      <c r="N9" s="313">
        <f>'Form Sh'!T22</f>
        <v>0</v>
      </c>
      <c r="O9" s="313">
        <f>'Form Sh'!T23</f>
        <v>0</v>
      </c>
      <c r="P9" s="313">
        <f>'Form Sh'!T23</f>
        <v>0</v>
      </c>
      <c r="Q9" s="313">
        <f>'Form Sh'!T24</f>
        <v>0</v>
      </c>
      <c r="R9" s="313">
        <f>'Form Sh'!T24</f>
        <v>0</v>
      </c>
      <c r="S9" s="313">
        <f>'Form Sh'!T25</f>
        <v>0</v>
      </c>
      <c r="T9" s="313">
        <f>'Form Sh'!T25</f>
        <v>0</v>
      </c>
      <c r="U9" s="313">
        <f>'Form Sh'!T26</f>
        <v>0</v>
      </c>
      <c r="V9" s="313">
        <f>'Form Sh'!T26</f>
        <v>0</v>
      </c>
      <c r="W9" s="313">
        <f>'Form Sh'!T27</f>
        <v>0</v>
      </c>
      <c r="X9" s="313">
        <f>'Form Sh'!T27</f>
        <v>0</v>
      </c>
      <c r="Y9" s="24"/>
    </row>
    <row r="10" spans="1:25" ht="28.8" x14ac:dyDescent="0.3">
      <c r="A10" s="24">
        <v>4</v>
      </c>
      <c r="B10" s="25" t="s">
        <v>442</v>
      </c>
      <c r="C10" s="244" t="s">
        <v>844</v>
      </c>
      <c r="D10" s="24" t="s">
        <v>110</v>
      </c>
      <c r="E10" s="313">
        <f>'Form Sh'!S18</f>
        <v>0</v>
      </c>
      <c r="F10" s="313">
        <f>'Form Sh'!S18</f>
        <v>0</v>
      </c>
      <c r="G10" s="313">
        <f>'Form Sh'!S19</f>
        <v>0</v>
      </c>
      <c r="H10" s="313">
        <f>'Form Sh'!S19</f>
        <v>0</v>
      </c>
      <c r="I10" s="313">
        <f>'Form Sh'!S20</f>
        <v>0</v>
      </c>
      <c r="J10" s="313">
        <f>'Form Sh'!S20</f>
        <v>0</v>
      </c>
      <c r="K10" s="313">
        <f>'Form Sh'!S21</f>
        <v>0</v>
      </c>
      <c r="L10" s="313">
        <f>'Form Sh'!S21</f>
        <v>0</v>
      </c>
      <c r="M10" s="313">
        <f>'Form Sh'!S22</f>
        <v>0</v>
      </c>
      <c r="N10" s="313">
        <f>'Form Sh'!S22</f>
        <v>0</v>
      </c>
      <c r="O10" s="313">
        <f>'Form Sh'!S23</f>
        <v>0</v>
      </c>
      <c r="P10" s="313">
        <f>'Form Sh'!S23</f>
        <v>0</v>
      </c>
      <c r="Q10" s="313">
        <f>'Form Sh'!S24</f>
        <v>0</v>
      </c>
      <c r="R10" s="313">
        <f>'Form Sh'!S24</f>
        <v>0</v>
      </c>
      <c r="S10" s="313">
        <f>'Form Sh'!S25</f>
        <v>0</v>
      </c>
      <c r="T10" s="313">
        <f>'Form Sh'!S25</f>
        <v>0</v>
      </c>
      <c r="U10" s="313">
        <f>'Form Sh'!S26</f>
        <v>0</v>
      </c>
      <c r="V10" s="313">
        <f>'Form Sh'!S26</f>
        <v>0</v>
      </c>
      <c r="W10" s="313">
        <f>'Form Sh'!S27</f>
        <v>0</v>
      </c>
      <c r="X10" s="313">
        <f>'Form Sh'!S27</f>
        <v>0</v>
      </c>
      <c r="Y10" s="24"/>
    </row>
    <row r="11" spans="1:25" ht="28.8" x14ac:dyDescent="0.3">
      <c r="A11" s="24">
        <v>5</v>
      </c>
      <c r="B11" s="25" t="s">
        <v>455</v>
      </c>
      <c r="C11" s="228" t="s">
        <v>845</v>
      </c>
      <c r="D11" s="24" t="s">
        <v>92</v>
      </c>
      <c r="E11" s="315">
        <f>SUM('Form Sh'!D83:F83)</f>
        <v>0</v>
      </c>
      <c r="F11" s="315">
        <f>SUM('Form Sh'!M83:O83)</f>
        <v>0</v>
      </c>
      <c r="G11" s="337">
        <f>SUM('Form Sh'!D84:F84)</f>
        <v>0</v>
      </c>
      <c r="H11" s="337">
        <f>SUM('Form Sh'!M84:O84)</f>
        <v>0</v>
      </c>
      <c r="I11" s="337">
        <f>SUM('Form Sh'!D85:F85)</f>
        <v>0</v>
      </c>
      <c r="J11" s="337">
        <f>SUM('Form Sh'!M85:O85)</f>
        <v>0</v>
      </c>
      <c r="K11" s="337">
        <f>SUM('Form Sh'!D86:F86)</f>
        <v>0</v>
      </c>
      <c r="L11" s="337">
        <f>SUM('Form Sh'!M86:O86)</f>
        <v>0</v>
      </c>
      <c r="M11" s="337">
        <f>SUM('Form Sh'!D87:F87)</f>
        <v>0</v>
      </c>
      <c r="N11" s="337">
        <f>SUM('Form Sh'!M87:O87)</f>
        <v>0</v>
      </c>
      <c r="O11" s="337">
        <f>SUM('Form Sh'!D88:F88)</f>
        <v>0</v>
      </c>
      <c r="P11" s="337">
        <f>SUM('Form Sh'!M88:O88)</f>
        <v>0</v>
      </c>
      <c r="Q11" s="337">
        <f>SUM('Form Sh'!D89:F89)</f>
        <v>0</v>
      </c>
      <c r="R11" s="337">
        <f>SUM('Form Sh'!M89:O89)</f>
        <v>0</v>
      </c>
      <c r="S11" s="337">
        <f>SUM('Form Sh'!D90:F90)</f>
        <v>0</v>
      </c>
      <c r="T11" s="337">
        <f>SUM('Form Sh'!M90:O90)</f>
        <v>0</v>
      </c>
      <c r="U11" s="337">
        <f>SUM('Form Sh'!D91:F91)</f>
        <v>0</v>
      </c>
      <c r="V11" s="337">
        <f>SUM('Form Sh'!M91:O91)</f>
        <v>0</v>
      </c>
      <c r="W11" s="337">
        <f>SUM('Form Sh'!D92:F92)</f>
        <v>0</v>
      </c>
      <c r="X11" s="337">
        <f>SUM('Form Sh'!M92:O92)</f>
        <v>0</v>
      </c>
      <c r="Y11" s="24"/>
    </row>
    <row r="12" spans="1:25" ht="28.8" x14ac:dyDescent="0.3">
      <c r="A12" s="24">
        <v>6</v>
      </c>
      <c r="B12" s="25" t="s">
        <v>456</v>
      </c>
      <c r="C12" s="228" t="s">
        <v>846</v>
      </c>
      <c r="D12" s="24" t="s">
        <v>92</v>
      </c>
      <c r="E12" s="315">
        <f>SUM('Form Sh'!J83:L83)</f>
        <v>0</v>
      </c>
      <c r="F12" s="315">
        <f>SUM('Form Sh'!S83:U83)</f>
        <v>0</v>
      </c>
      <c r="G12" s="315">
        <f>SUM('Form Sh'!J84:L84)</f>
        <v>0</v>
      </c>
      <c r="H12" s="315">
        <f>SUM('Form Sh'!S84:U84)</f>
        <v>0</v>
      </c>
      <c r="I12" s="315">
        <f>SUM('Form Sh'!J85:L85)</f>
        <v>0</v>
      </c>
      <c r="J12" s="315">
        <f>SUM('Form Sh'!S85:U85)</f>
        <v>0</v>
      </c>
      <c r="K12" s="315">
        <f>SUM('Form Sh'!J86:L86)</f>
        <v>0</v>
      </c>
      <c r="L12" s="315">
        <f>SUM('Form Sh'!S86:U86)</f>
        <v>0</v>
      </c>
      <c r="M12" s="315">
        <f>SUM('Form Sh'!J87:L87)</f>
        <v>0</v>
      </c>
      <c r="N12" s="315">
        <f>SUM('Form Sh'!S87:U87)</f>
        <v>0</v>
      </c>
      <c r="O12" s="315">
        <f>SUM('Form Sh'!J88:L88)</f>
        <v>0</v>
      </c>
      <c r="P12" s="315">
        <f>SUM('Form Sh'!S88:U88)</f>
        <v>0</v>
      </c>
      <c r="Q12" s="315">
        <f>SUM('Form Sh'!J89:L89)</f>
        <v>0</v>
      </c>
      <c r="R12" s="315">
        <f>SUM('Form Sh'!S89:U89)</f>
        <v>0</v>
      </c>
      <c r="S12" s="315">
        <f>SUM('Form Sh'!J90:L90)</f>
        <v>0</v>
      </c>
      <c r="T12" s="315">
        <f>SUM('Form Sh'!S90:U90)</f>
        <v>0</v>
      </c>
      <c r="U12" s="315">
        <f>SUM('Form Sh'!J91:L91)</f>
        <v>0</v>
      </c>
      <c r="V12" s="315">
        <f>SUM('Form Sh'!S91:U91)</f>
        <v>0</v>
      </c>
      <c r="W12" s="315">
        <f>SUM('Form Sh'!J92:L92)</f>
        <v>0</v>
      </c>
      <c r="X12" s="315">
        <f>SUM('Form Sh'!S92:U92)</f>
        <v>0</v>
      </c>
      <c r="Y12" s="24"/>
    </row>
    <row r="13" spans="1:25" ht="28.8" x14ac:dyDescent="0.3">
      <c r="A13" s="24">
        <v>7</v>
      </c>
      <c r="B13" s="25" t="s">
        <v>457</v>
      </c>
      <c r="C13" s="228" t="s">
        <v>847</v>
      </c>
      <c r="D13" s="24" t="s">
        <v>92</v>
      </c>
      <c r="E13" s="315">
        <f>SUM('Form Sh'!$G83:$I83)</f>
        <v>0</v>
      </c>
      <c r="F13" s="315">
        <f>SUM('Form Sh'!$P83:$R83)</f>
        <v>0</v>
      </c>
      <c r="G13" s="314">
        <f>SUM('Form Sh'!$G84:$I84)</f>
        <v>0</v>
      </c>
      <c r="H13" s="314">
        <f>SUM('Form Sh'!$P84:$R84)</f>
        <v>0</v>
      </c>
      <c r="I13" s="314">
        <f>SUM('Form Sh'!$G85:$I85)</f>
        <v>0</v>
      </c>
      <c r="J13" s="314">
        <f>SUM('Form Sh'!$P85:$R85)</f>
        <v>0</v>
      </c>
      <c r="K13" s="314">
        <f>SUM('Form Sh'!$G86:$I86)</f>
        <v>0</v>
      </c>
      <c r="L13" s="314">
        <f>SUM('Form Sh'!$P86:$R86)</f>
        <v>0</v>
      </c>
      <c r="M13" s="314">
        <f>SUM('Form Sh'!$G87:$I87)</f>
        <v>0</v>
      </c>
      <c r="N13" s="314">
        <f>SUM('Form Sh'!$P87:$R87)</f>
        <v>0</v>
      </c>
      <c r="O13" s="314">
        <f>SUM('Form Sh'!$G88:$I88)</f>
        <v>0</v>
      </c>
      <c r="P13" s="314">
        <f>SUM('Form Sh'!$P88:$R88)</f>
        <v>0</v>
      </c>
      <c r="Q13" s="314">
        <f>SUM('Form Sh'!$G89:$I89)</f>
        <v>0</v>
      </c>
      <c r="R13" s="314">
        <f>SUM('Form Sh'!$P89:$R89)</f>
        <v>0</v>
      </c>
      <c r="S13" s="314">
        <f>SUM('Form Sh'!$G90:$I90)</f>
        <v>0</v>
      </c>
      <c r="T13" s="314">
        <f>SUM('Form Sh'!$P90:$R90)</f>
        <v>0</v>
      </c>
      <c r="U13" s="314">
        <f>SUM('Form Sh'!$G91:$I91)</f>
        <v>0</v>
      </c>
      <c r="V13" s="314">
        <f>SUM('Form Sh'!$P91:$R91)</f>
        <v>0</v>
      </c>
      <c r="W13" s="314">
        <f>SUM('Form Sh'!$G92:$I92)</f>
        <v>0</v>
      </c>
      <c r="X13" s="314">
        <f>SUM('Form Sh'!$P92:$R92)</f>
        <v>0</v>
      </c>
      <c r="Y13" s="126"/>
    </row>
    <row r="14" spans="1:25" x14ac:dyDescent="0.3">
      <c r="A14" s="76"/>
      <c r="B14" s="77"/>
      <c r="C14" s="239"/>
      <c r="D14" s="76"/>
      <c r="E14" s="319"/>
      <c r="F14" s="319"/>
      <c r="G14" s="319"/>
      <c r="H14" s="319"/>
      <c r="I14" s="319"/>
      <c r="J14" s="319"/>
      <c r="K14" s="319"/>
      <c r="L14" s="319"/>
      <c r="M14" s="319"/>
      <c r="N14" s="319"/>
      <c r="O14" s="319"/>
      <c r="P14" s="319"/>
      <c r="Q14" s="319"/>
      <c r="R14" s="319"/>
      <c r="S14" s="319"/>
      <c r="T14" s="319"/>
      <c r="U14" s="319"/>
      <c r="V14" s="319"/>
      <c r="W14" s="319"/>
      <c r="X14" s="319"/>
      <c r="Y14" s="78"/>
    </row>
    <row r="15" spans="1:25" s="108" customFormat="1" ht="43.2" x14ac:dyDescent="0.3">
      <c r="A15" s="106">
        <v>8</v>
      </c>
      <c r="B15" s="107" t="s">
        <v>736</v>
      </c>
      <c r="C15" s="237" t="s">
        <v>848</v>
      </c>
      <c r="D15" s="106" t="s">
        <v>92</v>
      </c>
      <c r="E15" s="129">
        <f>SUM(E11:E12)</f>
        <v>0</v>
      </c>
      <c r="F15" s="129">
        <f t="shared" ref="F15:X15" si="0">SUM(F11:F12)</f>
        <v>0</v>
      </c>
      <c r="G15" s="129">
        <f t="shared" si="0"/>
        <v>0</v>
      </c>
      <c r="H15" s="129">
        <f t="shared" si="0"/>
        <v>0</v>
      </c>
      <c r="I15" s="129">
        <f t="shared" si="0"/>
        <v>0</v>
      </c>
      <c r="J15" s="129">
        <f t="shared" si="0"/>
        <v>0</v>
      </c>
      <c r="K15" s="129">
        <f t="shared" si="0"/>
        <v>0</v>
      </c>
      <c r="L15" s="129">
        <f t="shared" si="0"/>
        <v>0</v>
      </c>
      <c r="M15" s="129">
        <f t="shared" si="0"/>
        <v>0</v>
      </c>
      <c r="N15" s="129">
        <f t="shared" si="0"/>
        <v>0</v>
      </c>
      <c r="O15" s="129">
        <f t="shared" si="0"/>
        <v>0</v>
      </c>
      <c r="P15" s="129">
        <f t="shared" si="0"/>
        <v>0</v>
      </c>
      <c r="Q15" s="129">
        <f t="shared" si="0"/>
        <v>0</v>
      </c>
      <c r="R15" s="129">
        <f t="shared" si="0"/>
        <v>0</v>
      </c>
      <c r="S15" s="129">
        <f t="shared" si="0"/>
        <v>0</v>
      </c>
      <c r="T15" s="129">
        <f t="shared" si="0"/>
        <v>0</v>
      </c>
      <c r="U15" s="129">
        <f t="shared" si="0"/>
        <v>0</v>
      </c>
      <c r="V15" s="129">
        <f t="shared" si="0"/>
        <v>0</v>
      </c>
      <c r="W15" s="129">
        <f t="shared" si="0"/>
        <v>0</v>
      </c>
      <c r="X15" s="129">
        <f t="shared" si="0"/>
        <v>0</v>
      </c>
      <c r="Y15" s="106"/>
    </row>
    <row r="16" spans="1:25" ht="28.8" x14ac:dyDescent="0.3">
      <c r="A16" s="24">
        <v>9</v>
      </c>
      <c r="B16" s="25" t="s">
        <v>733</v>
      </c>
      <c r="C16" s="228" t="s">
        <v>849</v>
      </c>
      <c r="D16" s="24" t="s">
        <v>110</v>
      </c>
      <c r="E16" s="338">
        <f>IFERROR((E8*E11+E9*E12)/(E11+E12),0)</f>
        <v>0</v>
      </c>
      <c r="F16" s="338">
        <f t="shared" ref="F16:X16" si="1">IFERROR((F8*F11+F9*F12)/(F11+F12),0)</f>
        <v>0</v>
      </c>
      <c r="G16" s="338">
        <f t="shared" si="1"/>
        <v>0</v>
      </c>
      <c r="H16" s="338">
        <f t="shared" si="1"/>
        <v>0</v>
      </c>
      <c r="I16" s="338">
        <f t="shared" si="1"/>
        <v>0</v>
      </c>
      <c r="J16" s="338">
        <f t="shared" si="1"/>
        <v>0</v>
      </c>
      <c r="K16" s="338">
        <f t="shared" si="1"/>
        <v>0</v>
      </c>
      <c r="L16" s="338">
        <f t="shared" si="1"/>
        <v>0</v>
      </c>
      <c r="M16" s="338">
        <f t="shared" si="1"/>
        <v>0</v>
      </c>
      <c r="N16" s="338">
        <f t="shared" si="1"/>
        <v>0</v>
      </c>
      <c r="O16" s="338">
        <f t="shared" si="1"/>
        <v>0</v>
      </c>
      <c r="P16" s="338">
        <f t="shared" si="1"/>
        <v>0</v>
      </c>
      <c r="Q16" s="338">
        <f t="shared" si="1"/>
        <v>0</v>
      </c>
      <c r="R16" s="338">
        <f t="shared" si="1"/>
        <v>0</v>
      </c>
      <c r="S16" s="338">
        <f t="shared" si="1"/>
        <v>0</v>
      </c>
      <c r="T16" s="338">
        <f t="shared" si="1"/>
        <v>0</v>
      </c>
      <c r="U16" s="338">
        <f t="shared" si="1"/>
        <v>0</v>
      </c>
      <c r="V16" s="338">
        <f t="shared" si="1"/>
        <v>0</v>
      </c>
      <c r="W16" s="338">
        <f t="shared" si="1"/>
        <v>0</v>
      </c>
      <c r="X16" s="338">
        <f t="shared" si="1"/>
        <v>0</v>
      </c>
      <c r="Y16" s="24"/>
    </row>
    <row r="17" spans="1:25" ht="28.8" x14ac:dyDescent="0.3">
      <c r="A17" s="24">
        <v>10</v>
      </c>
      <c r="B17" s="25" t="s">
        <v>448</v>
      </c>
      <c r="C17" s="228" t="s">
        <v>850</v>
      </c>
      <c r="D17" s="24" t="s">
        <v>110</v>
      </c>
      <c r="E17" s="804">
        <f>E16-F16</f>
        <v>0</v>
      </c>
      <c r="F17" s="805"/>
      <c r="G17" s="804">
        <f t="shared" ref="G17" si="2">G16-H16</f>
        <v>0</v>
      </c>
      <c r="H17" s="805"/>
      <c r="I17" s="804">
        <f t="shared" ref="I17" si="3">I16-J16</f>
        <v>0</v>
      </c>
      <c r="J17" s="805"/>
      <c r="K17" s="804">
        <f t="shared" ref="K17" si="4">K16-L16</f>
        <v>0</v>
      </c>
      <c r="L17" s="805"/>
      <c r="M17" s="804">
        <f t="shared" ref="M17" si="5">M16-N16</f>
        <v>0</v>
      </c>
      <c r="N17" s="805"/>
      <c r="O17" s="804">
        <f t="shared" ref="O17" si="6">O16-P16</f>
        <v>0</v>
      </c>
      <c r="P17" s="805"/>
      <c r="Q17" s="804">
        <f t="shared" ref="Q17" si="7">Q16-R16</f>
        <v>0</v>
      </c>
      <c r="R17" s="805"/>
      <c r="S17" s="804">
        <f t="shared" ref="S17" si="8">S16-T16</f>
        <v>0</v>
      </c>
      <c r="T17" s="805"/>
      <c r="U17" s="804">
        <f t="shared" ref="U17" si="9">U16-V16</f>
        <v>0</v>
      </c>
      <c r="V17" s="805"/>
      <c r="W17" s="804">
        <f t="shared" ref="W17" si="10">W16-X16</f>
        <v>0</v>
      </c>
      <c r="X17" s="805"/>
      <c r="Y17" s="24"/>
    </row>
    <row r="18" spans="1:25" ht="28.8" x14ac:dyDescent="0.3">
      <c r="A18" s="24">
        <v>11</v>
      </c>
      <c r="B18" s="25" t="s">
        <v>516</v>
      </c>
      <c r="C18" s="228" t="s">
        <v>851</v>
      </c>
      <c r="D18" s="24" t="s">
        <v>307</v>
      </c>
      <c r="E18" s="804">
        <f>E17*E15</f>
        <v>0</v>
      </c>
      <c r="F18" s="805"/>
      <c r="G18" s="804">
        <f>G17*G15</f>
        <v>0</v>
      </c>
      <c r="H18" s="805"/>
      <c r="I18" s="804">
        <f>I17*I15</f>
        <v>0</v>
      </c>
      <c r="J18" s="805"/>
      <c r="K18" s="804">
        <f>K17*K15</f>
        <v>0</v>
      </c>
      <c r="L18" s="805"/>
      <c r="M18" s="804">
        <f>M17*M15</f>
        <v>0</v>
      </c>
      <c r="N18" s="805"/>
      <c r="O18" s="804">
        <f>O17*O15</f>
        <v>0</v>
      </c>
      <c r="P18" s="805"/>
      <c r="Q18" s="804">
        <f>Q17*Q15</f>
        <v>0</v>
      </c>
      <c r="R18" s="805"/>
      <c r="S18" s="804">
        <f>S17*S15</f>
        <v>0</v>
      </c>
      <c r="T18" s="805"/>
      <c r="U18" s="804">
        <f>U17*U15</f>
        <v>0</v>
      </c>
      <c r="V18" s="805"/>
      <c r="W18" s="804">
        <f>W17*W15</f>
        <v>0</v>
      </c>
      <c r="X18" s="805"/>
      <c r="Y18" s="24"/>
    </row>
    <row r="19" spans="1:25" s="49" customFormat="1" ht="28.8" x14ac:dyDescent="0.3">
      <c r="A19" s="48">
        <v>12</v>
      </c>
      <c r="B19" s="43" t="s">
        <v>517</v>
      </c>
      <c r="C19" s="230" t="s">
        <v>852</v>
      </c>
      <c r="D19" s="24" t="s">
        <v>307</v>
      </c>
      <c r="E19" s="814">
        <f>IF(AND(E3="Yes", F3="Yes"),SUM(E18:X18),0)</f>
        <v>0</v>
      </c>
      <c r="F19" s="815"/>
      <c r="G19" s="322"/>
      <c r="H19" s="322"/>
      <c r="I19" s="322"/>
      <c r="J19" s="322"/>
      <c r="K19" s="322"/>
      <c r="L19" s="322"/>
      <c r="M19" s="322"/>
      <c r="N19" s="322"/>
      <c r="O19" s="322"/>
      <c r="P19" s="322"/>
      <c r="Q19" s="322"/>
      <c r="R19" s="322"/>
      <c r="S19" s="322"/>
      <c r="T19" s="322"/>
      <c r="U19" s="322"/>
      <c r="V19" s="322"/>
      <c r="W19" s="322"/>
      <c r="X19" s="322"/>
      <c r="Y19" s="101"/>
    </row>
  </sheetData>
  <sheetProtection password="EC3B" sheet="1" objects="1" scenarios="1"/>
  <mergeCells count="41">
    <mergeCell ref="S17:T17"/>
    <mergeCell ref="U17:V17"/>
    <mergeCell ref="W17:X17"/>
    <mergeCell ref="K5:L5"/>
    <mergeCell ref="O18:P18"/>
    <mergeCell ref="K17:L17"/>
    <mergeCell ref="M17:N17"/>
    <mergeCell ref="O17:P17"/>
    <mergeCell ref="Q17:R17"/>
    <mergeCell ref="A1:Y1"/>
    <mergeCell ref="A4:C4"/>
    <mergeCell ref="D4:H4"/>
    <mergeCell ref="A5:A6"/>
    <mergeCell ref="B5:B6"/>
    <mergeCell ref="C5:C6"/>
    <mergeCell ref="D5:D6"/>
    <mergeCell ref="M5:N5"/>
    <mergeCell ref="O5:P5"/>
    <mergeCell ref="Q5:R5"/>
    <mergeCell ref="S5:T5"/>
    <mergeCell ref="U5:V5"/>
    <mergeCell ref="W5:X5"/>
    <mergeCell ref="G5:H5"/>
    <mergeCell ref="I5:J5"/>
    <mergeCell ref="A3:D3"/>
    <mergeCell ref="G3:Y3"/>
    <mergeCell ref="A2:D2"/>
    <mergeCell ref="E19:F19"/>
    <mergeCell ref="E17:F17"/>
    <mergeCell ref="E18:F18"/>
    <mergeCell ref="G18:H18"/>
    <mergeCell ref="I18:J18"/>
    <mergeCell ref="G17:H17"/>
    <mergeCell ref="I17:J17"/>
    <mergeCell ref="Q18:R18"/>
    <mergeCell ref="S18:T18"/>
    <mergeCell ref="U18:V18"/>
    <mergeCell ref="W18:X18"/>
    <mergeCell ref="E5:F5"/>
    <mergeCell ref="K18:L18"/>
    <mergeCell ref="M18:N18"/>
  </mergeCells>
  <pageMargins left="0.7" right="0.7" top="0.75" bottom="0.75" header="0.3" footer="0.3"/>
  <pageSetup paperSize="9"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E13" sqref="E13"/>
    </sheetView>
  </sheetViews>
  <sheetFormatPr defaultRowHeight="14.4" x14ac:dyDescent="0.3"/>
  <cols>
    <col min="1" max="1" width="5.5546875" customWidth="1"/>
    <col min="2" max="2" width="36" customWidth="1"/>
    <col min="3" max="3" width="30.109375" customWidth="1"/>
    <col min="4" max="4" width="13.5546875" customWidth="1"/>
    <col min="5" max="6" width="28.6640625" bestFit="1" customWidth="1"/>
  </cols>
  <sheetData>
    <row r="1" spans="1:6" ht="25.8" x14ac:dyDescent="0.5">
      <c r="A1" s="770" t="s">
        <v>904</v>
      </c>
      <c r="B1" s="771"/>
      <c r="C1" s="771"/>
      <c r="D1" s="771"/>
      <c r="E1" s="771"/>
      <c r="F1" s="771"/>
    </row>
    <row r="2" spans="1:6" ht="18" x14ac:dyDescent="0.35">
      <c r="A2" s="816" t="s">
        <v>163</v>
      </c>
      <c r="B2" s="816"/>
      <c r="C2" s="817">
        <f>'General Information'!C3</f>
        <v>0</v>
      </c>
      <c r="D2" s="817"/>
      <c r="E2" s="817"/>
      <c r="F2" s="817"/>
    </row>
    <row r="3" spans="1:6" ht="18" x14ac:dyDescent="0.35">
      <c r="A3" s="789" t="s">
        <v>1059</v>
      </c>
      <c r="B3" s="790"/>
      <c r="C3" s="790"/>
      <c r="D3" s="790"/>
      <c r="E3" s="288" t="str">
        <f>'Form Sh'!S486</f>
        <v>Yes</v>
      </c>
      <c r="F3" s="288" t="str">
        <f>'Form Sh'!F486</f>
        <v>Yes</v>
      </c>
    </row>
    <row r="4" spans="1:6" ht="18" x14ac:dyDescent="0.3">
      <c r="A4" s="816" t="s">
        <v>2</v>
      </c>
      <c r="B4" s="816"/>
      <c r="C4" s="818" t="str">
        <f>'General Information'!D6</f>
        <v>Coal/Lignite/Oil/Gas Fired</v>
      </c>
      <c r="D4" s="818"/>
      <c r="E4" s="818"/>
      <c r="F4" s="818"/>
    </row>
    <row r="5" spans="1:6" x14ac:dyDescent="0.3">
      <c r="A5" s="819" t="s">
        <v>146</v>
      </c>
      <c r="B5" s="819" t="s">
        <v>132</v>
      </c>
      <c r="C5" s="820" t="s">
        <v>180</v>
      </c>
      <c r="D5" s="819" t="s">
        <v>154</v>
      </c>
      <c r="E5" s="819" t="s">
        <v>325</v>
      </c>
      <c r="F5" s="819" t="s">
        <v>326</v>
      </c>
    </row>
    <row r="6" spans="1:6" x14ac:dyDescent="0.3">
      <c r="A6" s="819"/>
      <c r="B6" s="819"/>
      <c r="C6" s="820"/>
      <c r="D6" s="819"/>
      <c r="E6" s="819"/>
      <c r="F6" s="819"/>
    </row>
    <row r="7" spans="1:6" x14ac:dyDescent="0.3">
      <c r="A7" s="281">
        <v>1</v>
      </c>
      <c r="B7" s="19" t="s">
        <v>1075</v>
      </c>
      <c r="C7" s="287" t="s">
        <v>914</v>
      </c>
      <c r="D7" s="19" t="s">
        <v>110</v>
      </c>
      <c r="E7" s="41">
        <f>'Form Sh'!F73</f>
        <v>0</v>
      </c>
      <c r="F7" s="41">
        <f>'Form Sh'!M73</f>
        <v>0</v>
      </c>
    </row>
    <row r="8" spans="1:6" x14ac:dyDescent="0.3">
      <c r="A8" s="281">
        <v>2</v>
      </c>
      <c r="B8" s="19" t="s">
        <v>905</v>
      </c>
      <c r="C8" s="287" t="s">
        <v>915</v>
      </c>
      <c r="D8" s="19" t="s">
        <v>880</v>
      </c>
      <c r="E8" s="281">
        <f>'Form Sh'!H316</f>
        <v>0</v>
      </c>
      <c r="F8" s="281">
        <f>'Form Sh'!S316</f>
        <v>0</v>
      </c>
    </row>
    <row r="9" spans="1:6" x14ac:dyDescent="0.3">
      <c r="A9" s="281">
        <v>3</v>
      </c>
      <c r="B9" s="19" t="s">
        <v>906</v>
      </c>
      <c r="C9" s="132" t="s">
        <v>908</v>
      </c>
      <c r="D9" s="19" t="s">
        <v>110</v>
      </c>
      <c r="E9" s="281" t="s">
        <v>908</v>
      </c>
      <c r="F9" s="281" t="s">
        <v>908</v>
      </c>
    </row>
    <row r="10" spans="1:6" s="257" customFormat="1" ht="28.8" x14ac:dyDescent="0.3">
      <c r="A10" s="20">
        <v>4</v>
      </c>
      <c r="B10" s="74" t="s">
        <v>907</v>
      </c>
      <c r="C10" s="137" t="s">
        <v>918</v>
      </c>
      <c r="D10" s="74" t="s">
        <v>110</v>
      </c>
      <c r="E10" s="20">
        <f xml:space="preserve"> -10^-7*E8^2 + 0.0051*E8 + 1490.5</f>
        <v>1490.5</v>
      </c>
      <c r="F10" s="20">
        <f t="shared" ref="F10" si="0" xml:space="preserve"> -10^-7*F8^2 + 0.0051*F8 + 1490.5</f>
        <v>1490.5</v>
      </c>
    </row>
    <row r="11" spans="1:6" ht="28.8" x14ac:dyDescent="0.3">
      <c r="A11" s="281">
        <v>5</v>
      </c>
      <c r="B11" s="74" t="s">
        <v>909</v>
      </c>
      <c r="C11" s="132" t="s">
        <v>916</v>
      </c>
      <c r="D11" s="19" t="s">
        <v>110</v>
      </c>
      <c r="E11" s="281">
        <f>E10-F10</f>
        <v>0</v>
      </c>
      <c r="F11" s="281"/>
    </row>
    <row r="12" spans="1:6" x14ac:dyDescent="0.3">
      <c r="A12" s="281">
        <v>6</v>
      </c>
      <c r="B12" s="19" t="s">
        <v>912</v>
      </c>
      <c r="C12" s="287" t="s">
        <v>917</v>
      </c>
      <c r="D12" s="19" t="s">
        <v>891</v>
      </c>
      <c r="E12" s="281">
        <f>'Form Sh'!I57</f>
        <v>0</v>
      </c>
      <c r="F12" s="281"/>
    </row>
    <row r="13" spans="1:6" ht="28.8" x14ac:dyDescent="0.3">
      <c r="A13" s="281">
        <v>7</v>
      </c>
      <c r="B13" s="74" t="s">
        <v>910</v>
      </c>
      <c r="C13" s="132" t="s">
        <v>913</v>
      </c>
      <c r="D13" s="19" t="s">
        <v>911</v>
      </c>
      <c r="E13" s="41">
        <f>IF(AND(E3="Yes", F3="Yes"),E12*E11,0)</f>
        <v>0</v>
      </c>
      <c r="F13" s="281"/>
    </row>
  </sheetData>
  <sheetProtection password="EC3B" sheet="1" objects="1" scenarios="1"/>
  <mergeCells count="12">
    <mergeCell ref="A5:A6"/>
    <mergeCell ref="B5:B6"/>
    <mergeCell ref="C5:C6"/>
    <mergeCell ref="D5:D6"/>
    <mergeCell ref="F5:F6"/>
    <mergeCell ref="E5:E6"/>
    <mergeCell ref="A2:B2"/>
    <mergeCell ref="A4:B4"/>
    <mergeCell ref="C2:F2"/>
    <mergeCell ref="C4:F4"/>
    <mergeCell ref="A1:F1"/>
    <mergeCell ref="A3:D3"/>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80" zoomScaleNormal="80" workbookViewId="0">
      <selection activeCell="K5" sqref="K5:P14"/>
    </sheetView>
  </sheetViews>
  <sheetFormatPr defaultColWidth="8.88671875" defaultRowHeight="14.4" x14ac:dyDescent="0.3"/>
  <cols>
    <col min="1" max="1" width="8.109375" style="30" customWidth="1"/>
    <col min="2" max="2" width="31.6640625" style="110" customWidth="1"/>
    <col min="3" max="3" width="26.109375" style="29" customWidth="1"/>
    <col min="4" max="4" width="12.44140625" style="30" customWidth="1"/>
    <col min="5" max="5" width="11.44140625" style="30" customWidth="1"/>
    <col min="6" max="6" width="13" style="30" customWidth="1"/>
    <col min="7" max="7" width="16.109375" style="29" customWidth="1"/>
    <col min="8" max="8" width="10.6640625" style="29" bestFit="1" customWidth="1"/>
    <col min="9" max="9" width="11.6640625" style="29" customWidth="1"/>
    <col min="10" max="10" width="11.33203125" style="29" customWidth="1"/>
    <col min="11" max="16" width="11.33203125" style="30" customWidth="1"/>
    <col min="17" max="17" width="16" style="29" customWidth="1"/>
    <col min="18" max="16384" width="8.88671875" style="29"/>
  </cols>
  <sheetData>
    <row r="1" spans="1:17" ht="25.8" x14ac:dyDescent="0.5">
      <c r="A1" s="824" t="s">
        <v>1060</v>
      </c>
      <c r="B1" s="825"/>
      <c r="C1" s="825"/>
      <c r="D1" s="825"/>
      <c r="E1" s="825"/>
      <c r="F1" s="825"/>
      <c r="G1" s="825"/>
      <c r="H1" s="825"/>
      <c r="I1" s="825"/>
      <c r="J1" s="825"/>
      <c r="K1" s="825"/>
      <c r="L1" s="825"/>
      <c r="M1" s="825"/>
      <c r="N1" s="825"/>
      <c r="O1" s="825"/>
      <c r="P1" s="825"/>
      <c r="Q1" s="825"/>
    </row>
    <row r="2" spans="1:17" ht="18" x14ac:dyDescent="0.3">
      <c r="A2" s="768" t="s">
        <v>163</v>
      </c>
      <c r="B2" s="769"/>
      <c r="C2" s="818">
        <f>'General Information'!C3</f>
        <v>0</v>
      </c>
      <c r="D2" s="818"/>
      <c r="E2" s="818"/>
      <c r="F2" s="818"/>
      <c r="G2" s="818"/>
      <c r="H2" s="818"/>
      <c r="I2" s="818"/>
      <c r="J2" s="818"/>
      <c r="K2" s="818"/>
      <c r="L2" s="818"/>
      <c r="M2" s="818"/>
      <c r="N2" s="818"/>
      <c r="O2" s="818"/>
      <c r="P2" s="818"/>
      <c r="Q2" s="818"/>
    </row>
    <row r="3" spans="1:17" s="85" customFormat="1" x14ac:dyDescent="0.3">
      <c r="A3" s="829" t="s">
        <v>146</v>
      </c>
      <c r="B3" s="819" t="s">
        <v>154</v>
      </c>
      <c r="C3" s="829" t="s">
        <v>180</v>
      </c>
      <c r="D3" s="830" t="s">
        <v>28</v>
      </c>
      <c r="E3" s="826" t="s">
        <v>186</v>
      </c>
      <c r="F3" s="827"/>
      <c r="G3" s="828"/>
      <c r="H3" s="826" t="s">
        <v>187</v>
      </c>
      <c r="I3" s="827"/>
      <c r="J3" s="828"/>
      <c r="K3" s="826" t="s">
        <v>340</v>
      </c>
      <c r="L3" s="827"/>
      <c r="M3" s="828"/>
      <c r="N3" s="826" t="s">
        <v>341</v>
      </c>
      <c r="O3" s="827"/>
      <c r="P3" s="828"/>
      <c r="Q3" s="830" t="s">
        <v>52</v>
      </c>
    </row>
    <row r="4" spans="1:17" s="85" customFormat="1" x14ac:dyDescent="0.3">
      <c r="A4" s="829"/>
      <c r="B4" s="819"/>
      <c r="C4" s="829"/>
      <c r="D4" s="830"/>
      <c r="E4" s="125" t="s">
        <v>337</v>
      </c>
      <c r="F4" s="125" t="s">
        <v>338</v>
      </c>
      <c r="G4" s="125" t="s">
        <v>339</v>
      </c>
      <c r="H4" s="125" t="s">
        <v>337</v>
      </c>
      <c r="I4" s="125" t="s">
        <v>338</v>
      </c>
      <c r="J4" s="125" t="s">
        <v>339</v>
      </c>
      <c r="K4" s="125" t="s">
        <v>337</v>
      </c>
      <c r="L4" s="125" t="s">
        <v>338</v>
      </c>
      <c r="M4" s="125" t="s">
        <v>339</v>
      </c>
      <c r="N4" s="125" t="s">
        <v>337</v>
      </c>
      <c r="O4" s="125" t="s">
        <v>338</v>
      </c>
      <c r="P4" s="125" t="s">
        <v>339</v>
      </c>
      <c r="Q4" s="830"/>
    </row>
    <row r="5" spans="1:17" x14ac:dyDescent="0.3">
      <c r="A5" s="24">
        <v>1</v>
      </c>
      <c r="B5" s="83" t="s">
        <v>167</v>
      </c>
      <c r="C5" s="295" t="s">
        <v>853</v>
      </c>
      <c r="D5" s="84">
        <f>'Form Sh'!E442</f>
        <v>0</v>
      </c>
      <c r="E5" s="59">
        <f>'Form Sh'!R442</f>
        <v>0</v>
      </c>
      <c r="F5" s="59">
        <f>'Form Sh'!S442</f>
        <v>0</v>
      </c>
      <c r="G5" s="59">
        <f>'Form Sh'!T442</f>
        <v>0</v>
      </c>
      <c r="H5" s="59">
        <f>'Form Sh'!F442</f>
        <v>0</v>
      </c>
      <c r="I5" s="59">
        <f>'Form Sh'!G442</f>
        <v>0</v>
      </c>
      <c r="J5" s="59">
        <f>'Form Sh'!H442</f>
        <v>0</v>
      </c>
      <c r="K5" s="541">
        <f>IF(OR('NF-1 Coal Quality'!E6=0,'NF-1 Coal Quality'!F6=0),0,H5-E5)</f>
        <v>0</v>
      </c>
      <c r="L5" s="541">
        <f>IF(OR('NF-1 Coal Quality'!E6=0,'NF-1 Coal Quality'!F6=0),0,I5-F5)</f>
        <v>0</v>
      </c>
      <c r="M5" s="541">
        <f>IF(OR('NF-1 Coal Quality'!E6=0,'NF-1 Coal Quality'!F6=0),0,J5-G5)</f>
        <v>0</v>
      </c>
      <c r="N5" s="541">
        <f>IF(D5&lt;=250,K5*50,IF(AND(D5&lt;=500,D5&gt;250),K5*90,IF(AND(D5&gt;500,D5&lt;=660),K5*110)))</f>
        <v>0</v>
      </c>
      <c r="O5" s="541">
        <f>IF(D5&lt;=250,L5*30,IF(AND(D5&lt;=500,D5&gt;250),L5*50,IF(AND(D5&gt;500,D5&lt;=660),L5*60)))</f>
        <v>0</v>
      </c>
      <c r="P5" s="541">
        <f>IF(D5&lt;=250,M5*20,IF(AND(D5&lt;=500,D5&gt;250),M5*30,IF(AND(D5&gt;500,D5&lt;=660),M5*40)))</f>
        <v>0</v>
      </c>
      <c r="Q5" s="132"/>
    </row>
    <row r="6" spans="1:17" x14ac:dyDescent="0.3">
      <c r="A6" s="24">
        <v>2</v>
      </c>
      <c r="B6" s="83" t="s">
        <v>170</v>
      </c>
      <c r="C6" s="295" t="s">
        <v>854</v>
      </c>
      <c r="D6" s="84">
        <f>'Form Sh'!E443</f>
        <v>0</v>
      </c>
      <c r="E6" s="59">
        <f>'Form Sh'!R443</f>
        <v>0</v>
      </c>
      <c r="F6" s="59">
        <f>'Form Sh'!S443</f>
        <v>0</v>
      </c>
      <c r="G6" s="59">
        <f>'Form Sh'!T443</f>
        <v>0</v>
      </c>
      <c r="H6" s="59">
        <f>'Form Sh'!F443</f>
        <v>0</v>
      </c>
      <c r="I6" s="59">
        <f>'Form Sh'!G443</f>
        <v>0</v>
      </c>
      <c r="J6" s="59">
        <f>'Form Sh'!H443</f>
        <v>0</v>
      </c>
      <c r="K6" s="541">
        <f>IF(OR('NF-1 Coal Quality'!H6=0,'NF-1 Coal Quality'!I6=0),0,H6-E6)</f>
        <v>0</v>
      </c>
      <c r="L6" s="541">
        <f>IF(OR('NF-1 Coal Quality'!H6=0,'NF-1 Coal Quality'!I6=0),0,I6-F6)</f>
        <v>0</v>
      </c>
      <c r="M6" s="541">
        <f>IF(OR('NF-1 Coal Quality'!H6=0,'NF-1 Coal Quality'!I6=0),0,J6-G6)</f>
        <v>0</v>
      </c>
      <c r="N6" s="541">
        <f t="shared" ref="N6:N14" si="0">IF(D6&lt;=250,K6*50,IF(AND(D6&lt;=500,D6&gt;250),K6*90,IF(AND(D6&gt;500,D6&lt;=660),K6*110)))</f>
        <v>0</v>
      </c>
      <c r="O6" s="541">
        <f t="shared" ref="O6:O14" si="1">IF(D6&lt;=250,L6*30,IF(AND(D6&lt;=500,D6&gt;250),L6*50,IF(AND(D6&gt;500,D6&lt;=660),L6*60)))</f>
        <v>0</v>
      </c>
      <c r="P6" s="541">
        <f t="shared" ref="P6:P14" si="2">IF(D6&lt;=250,M6*20,IF(AND(D6&lt;=500,D6&gt;250),M6*30,IF(AND(D6&gt;500,D6&lt;=660),M6*40)))</f>
        <v>0</v>
      </c>
      <c r="Q6" s="19"/>
    </row>
    <row r="7" spans="1:17" x14ac:dyDescent="0.3">
      <c r="A7" s="24">
        <v>3</v>
      </c>
      <c r="B7" s="83" t="s">
        <v>172</v>
      </c>
      <c r="C7" s="295" t="s">
        <v>855</v>
      </c>
      <c r="D7" s="84">
        <f>'Form Sh'!E444</f>
        <v>0</v>
      </c>
      <c r="E7" s="59">
        <f>'Form Sh'!R444</f>
        <v>0</v>
      </c>
      <c r="F7" s="59">
        <f>'Form Sh'!S444</f>
        <v>0</v>
      </c>
      <c r="G7" s="59">
        <f>'Form Sh'!T444</f>
        <v>0</v>
      </c>
      <c r="H7" s="59">
        <f>'Form Sh'!F444</f>
        <v>0</v>
      </c>
      <c r="I7" s="59">
        <f>'Form Sh'!G444</f>
        <v>0</v>
      </c>
      <c r="J7" s="59">
        <f>'Form Sh'!H444</f>
        <v>0</v>
      </c>
      <c r="K7" s="541">
        <f>IF(OR('NF-1 Coal Quality'!K6=0,'NF-1 Coal Quality'!L6=0),0,H7-E7)</f>
        <v>0</v>
      </c>
      <c r="L7" s="541">
        <f>IF(OR('NF-1 Coal Quality'!K6=0,'NF-1 Coal Quality'!L6=0),0,I7-F7)</f>
        <v>0</v>
      </c>
      <c r="M7" s="541">
        <f>IF(OR('NF-1 Coal Quality'!K6=0,'NF-1 Coal Quality'!L6=0),0,J7-G7)</f>
        <v>0</v>
      </c>
      <c r="N7" s="541">
        <f t="shared" si="0"/>
        <v>0</v>
      </c>
      <c r="O7" s="541">
        <f t="shared" si="1"/>
        <v>0</v>
      </c>
      <c r="P7" s="541">
        <f t="shared" si="2"/>
        <v>0</v>
      </c>
      <c r="Q7" s="19"/>
    </row>
    <row r="8" spans="1:17" x14ac:dyDescent="0.3">
      <c r="A8" s="24">
        <v>4</v>
      </c>
      <c r="B8" s="83" t="s">
        <v>173</v>
      </c>
      <c r="C8" s="295" t="s">
        <v>856</v>
      </c>
      <c r="D8" s="84">
        <f>'Form Sh'!E445</f>
        <v>0</v>
      </c>
      <c r="E8" s="59">
        <f>'Form Sh'!R445</f>
        <v>0</v>
      </c>
      <c r="F8" s="59">
        <f>'Form Sh'!S445</f>
        <v>0</v>
      </c>
      <c r="G8" s="59">
        <f>'Form Sh'!T445</f>
        <v>0</v>
      </c>
      <c r="H8" s="59">
        <f>'Form Sh'!F445</f>
        <v>0</v>
      </c>
      <c r="I8" s="59">
        <f>'Form Sh'!G445</f>
        <v>0</v>
      </c>
      <c r="J8" s="59">
        <f>'Form Sh'!H445</f>
        <v>0</v>
      </c>
      <c r="K8" s="541">
        <f>IF(OR('NF-1 Coal Quality'!N6=0,'NF-1 Coal Quality'!O6=0),0,H8-E8)</f>
        <v>0</v>
      </c>
      <c r="L8" s="541">
        <f>IF(OR('NF-1 Coal Quality'!N6=0,'NF-1 Coal Quality'!O6=0),0,I8-F8)</f>
        <v>0</v>
      </c>
      <c r="M8" s="541">
        <f>IF(OR('NF-1 Coal Quality'!N6=0,'NF-1 Coal Quality'!O6=0),0,J8-G8)</f>
        <v>0</v>
      </c>
      <c r="N8" s="541">
        <f t="shared" si="0"/>
        <v>0</v>
      </c>
      <c r="O8" s="541">
        <f t="shared" si="1"/>
        <v>0</v>
      </c>
      <c r="P8" s="541">
        <f t="shared" si="2"/>
        <v>0</v>
      </c>
      <c r="Q8" s="19"/>
    </row>
    <row r="9" spans="1:17" x14ac:dyDescent="0.3">
      <c r="A9" s="24">
        <v>5</v>
      </c>
      <c r="B9" s="83" t="s">
        <v>174</v>
      </c>
      <c r="C9" s="295" t="s">
        <v>857</v>
      </c>
      <c r="D9" s="84">
        <f>'Form Sh'!E446</f>
        <v>0</v>
      </c>
      <c r="E9" s="59">
        <f>'Form Sh'!R446</f>
        <v>0</v>
      </c>
      <c r="F9" s="59">
        <f>'Form Sh'!S446</f>
        <v>0</v>
      </c>
      <c r="G9" s="59">
        <f>'Form Sh'!T446</f>
        <v>0</v>
      </c>
      <c r="H9" s="59">
        <f>'Form Sh'!F446</f>
        <v>0</v>
      </c>
      <c r="I9" s="59">
        <f>'Form Sh'!G446</f>
        <v>0</v>
      </c>
      <c r="J9" s="59">
        <f>'Form Sh'!H446</f>
        <v>0</v>
      </c>
      <c r="K9" s="541">
        <f>IF(OR('NF-1 Coal Quality'!Q6=0,'NF-1 Coal Quality'!R6=0),0,H9-E9)</f>
        <v>0</v>
      </c>
      <c r="L9" s="541">
        <f>IF(OR('NF-1 Coal Quality'!Q6=0,'NF-1 Coal Quality'!R6=0),0,I9-F9)</f>
        <v>0</v>
      </c>
      <c r="M9" s="541">
        <f>IF(OR('NF-1 Coal Quality'!Q6=0,'NF-1 Coal Quality'!R6=0),0,J9-G9)</f>
        <v>0</v>
      </c>
      <c r="N9" s="541">
        <f t="shared" si="0"/>
        <v>0</v>
      </c>
      <c r="O9" s="541">
        <f t="shared" si="1"/>
        <v>0</v>
      </c>
      <c r="P9" s="541">
        <f t="shared" si="2"/>
        <v>0</v>
      </c>
      <c r="Q9" s="19"/>
    </row>
    <row r="10" spans="1:17" x14ac:dyDescent="0.3">
      <c r="A10" s="24">
        <v>6</v>
      </c>
      <c r="B10" s="83" t="s">
        <v>175</v>
      </c>
      <c r="C10" s="295" t="s">
        <v>858</v>
      </c>
      <c r="D10" s="84">
        <f>'Form Sh'!E447</f>
        <v>0</v>
      </c>
      <c r="E10" s="59">
        <f>'Form Sh'!R447</f>
        <v>0</v>
      </c>
      <c r="F10" s="59">
        <f>'Form Sh'!S447</f>
        <v>0</v>
      </c>
      <c r="G10" s="59">
        <f>'Form Sh'!T447</f>
        <v>0</v>
      </c>
      <c r="H10" s="59">
        <f>'Form Sh'!F447</f>
        <v>0</v>
      </c>
      <c r="I10" s="59">
        <f>'Form Sh'!G447</f>
        <v>0</v>
      </c>
      <c r="J10" s="59">
        <f>'Form Sh'!H447</f>
        <v>0</v>
      </c>
      <c r="K10" s="541">
        <f>IF(OR('NF-1 Coal Quality'!T6=0,'NF-1 Coal Quality'!U6=0),0,H10-E10)</f>
        <v>0</v>
      </c>
      <c r="L10" s="541">
        <f>IF(OR('NF-1 Coal Quality'!T6=0,'NF-1 Coal Quality'!U6=0),0,I10-F10)</f>
        <v>0</v>
      </c>
      <c r="M10" s="541">
        <f>IF(OR('NF-1 Coal Quality'!T6=0,'NF-1 Coal Quality'!U6=0),0,J10-G10)</f>
        <v>0</v>
      </c>
      <c r="N10" s="541">
        <f t="shared" si="0"/>
        <v>0</v>
      </c>
      <c r="O10" s="541">
        <f t="shared" si="1"/>
        <v>0</v>
      </c>
      <c r="P10" s="541">
        <f t="shared" si="2"/>
        <v>0</v>
      </c>
      <c r="Q10" s="19"/>
    </row>
    <row r="11" spans="1:17" x14ac:dyDescent="0.3">
      <c r="A11" s="24">
        <v>7</v>
      </c>
      <c r="B11" s="83" t="s">
        <v>176</v>
      </c>
      <c r="C11" s="295" t="s">
        <v>859</v>
      </c>
      <c r="D11" s="84">
        <f>'Form Sh'!E448</f>
        <v>0</v>
      </c>
      <c r="E11" s="59">
        <f>'Form Sh'!R448</f>
        <v>0</v>
      </c>
      <c r="F11" s="59">
        <f>'Form Sh'!S448</f>
        <v>0</v>
      </c>
      <c r="G11" s="59">
        <f>'Form Sh'!T448</f>
        <v>0</v>
      </c>
      <c r="H11" s="59">
        <f>'Form Sh'!F448</f>
        <v>0</v>
      </c>
      <c r="I11" s="59">
        <f>'Form Sh'!G448</f>
        <v>0</v>
      </c>
      <c r="J11" s="59">
        <f>'Form Sh'!H448</f>
        <v>0</v>
      </c>
      <c r="K11" s="541">
        <f>IF(OR('NF-1 Coal Quality'!W6=0,'NF-1 Coal Quality'!X6=0),0,H11-E11)</f>
        <v>0</v>
      </c>
      <c r="L11" s="541">
        <f>IF(OR('NF-1 Coal Quality'!W6=0,'NF-1 Coal Quality'!X6=0),0,I11-F11)</f>
        <v>0</v>
      </c>
      <c r="M11" s="541">
        <f>IF(OR('NF-1 Coal Quality'!W6=0,'NF-1 Coal Quality'!X6=0),0,J11-G11)</f>
        <v>0</v>
      </c>
      <c r="N11" s="541">
        <f t="shared" si="0"/>
        <v>0</v>
      </c>
      <c r="O11" s="541">
        <f t="shared" si="1"/>
        <v>0</v>
      </c>
      <c r="P11" s="541">
        <f t="shared" si="2"/>
        <v>0</v>
      </c>
      <c r="Q11" s="19"/>
    </row>
    <row r="12" spans="1:17" x14ac:dyDescent="0.3">
      <c r="A12" s="24">
        <v>8</v>
      </c>
      <c r="B12" s="83" t="s">
        <v>177</v>
      </c>
      <c r="C12" s="295" t="s">
        <v>860</v>
      </c>
      <c r="D12" s="84">
        <f>'Form Sh'!E449</f>
        <v>0</v>
      </c>
      <c r="E12" s="59">
        <f>'Form Sh'!R449</f>
        <v>0</v>
      </c>
      <c r="F12" s="59">
        <f>'Form Sh'!S449</f>
        <v>0</v>
      </c>
      <c r="G12" s="59">
        <f>'Form Sh'!T449</f>
        <v>0</v>
      </c>
      <c r="H12" s="59">
        <f>'Form Sh'!F449</f>
        <v>0</v>
      </c>
      <c r="I12" s="59">
        <f>'Form Sh'!G449</f>
        <v>0</v>
      </c>
      <c r="J12" s="59">
        <f>'Form Sh'!H449</f>
        <v>0</v>
      </c>
      <c r="K12" s="541">
        <f>IF(OR('NF-1 Coal Quality'!Z6=0,'NF-1 Coal Quality'!AA6=0),0,H12-E12)</f>
        <v>0</v>
      </c>
      <c r="L12" s="541">
        <f>IF(OR('NF-1 Coal Quality'!Z6=0,'NF-1 Coal Quality'!AA6=0),0,I12-F12)</f>
        <v>0</v>
      </c>
      <c r="M12" s="541">
        <f>IF(OR('NF-1 Coal Quality'!Z6=0,'NF-1 Coal Quality'!AA6=0),0,J12-G12)</f>
        <v>0</v>
      </c>
      <c r="N12" s="541">
        <f t="shared" si="0"/>
        <v>0</v>
      </c>
      <c r="O12" s="541">
        <f t="shared" si="1"/>
        <v>0</v>
      </c>
      <c r="P12" s="541">
        <f t="shared" si="2"/>
        <v>0</v>
      </c>
      <c r="Q12" s="19"/>
    </row>
    <row r="13" spans="1:17" x14ac:dyDescent="0.3">
      <c r="A13" s="24">
        <v>9</v>
      </c>
      <c r="B13" s="83" t="s">
        <v>178</v>
      </c>
      <c r="C13" s="295" t="s">
        <v>861</v>
      </c>
      <c r="D13" s="84">
        <f>'Form Sh'!E450</f>
        <v>0</v>
      </c>
      <c r="E13" s="59">
        <f>'Form Sh'!R450</f>
        <v>0</v>
      </c>
      <c r="F13" s="59">
        <f>'Form Sh'!S450</f>
        <v>0</v>
      </c>
      <c r="G13" s="59">
        <f>'Form Sh'!T450</f>
        <v>0</v>
      </c>
      <c r="H13" s="59">
        <f>'Form Sh'!F450</f>
        <v>0</v>
      </c>
      <c r="I13" s="59">
        <f>'Form Sh'!G450</f>
        <v>0</v>
      </c>
      <c r="J13" s="59">
        <f>'Form Sh'!H450</f>
        <v>0</v>
      </c>
      <c r="K13" s="541">
        <f>IF(OR('NF-1 Coal Quality'!AC6=0,'NF-1 Coal Quality'!AD6=0),0,H13-E13)</f>
        <v>0</v>
      </c>
      <c r="L13" s="541">
        <f>IF(OR('NF-1 Coal Quality'!AC6=0,'NF-1 Coal Quality'!AD6=0),0,I13-F13)</f>
        <v>0</v>
      </c>
      <c r="M13" s="541">
        <f>IF(OR('NF-1 Coal Quality'!AC6=0,'NF-1 Coal Quality'!AD6=0),0,J13-G13)</f>
        <v>0</v>
      </c>
      <c r="N13" s="541">
        <f t="shared" si="0"/>
        <v>0</v>
      </c>
      <c r="O13" s="541">
        <f t="shared" si="1"/>
        <v>0</v>
      </c>
      <c r="P13" s="541">
        <f t="shared" si="2"/>
        <v>0</v>
      </c>
      <c r="Q13" s="19"/>
    </row>
    <row r="14" spans="1:17" x14ac:dyDescent="0.3">
      <c r="A14" s="24">
        <v>10</v>
      </c>
      <c r="B14" s="83" t="s">
        <v>179</v>
      </c>
      <c r="C14" s="295" t="s">
        <v>862</v>
      </c>
      <c r="D14" s="84">
        <f>'Form Sh'!E451</f>
        <v>0</v>
      </c>
      <c r="E14" s="59">
        <f>'Form Sh'!R451</f>
        <v>0</v>
      </c>
      <c r="F14" s="59">
        <f>'Form Sh'!S451</f>
        <v>0</v>
      </c>
      <c r="G14" s="59">
        <f>'Form Sh'!T451</f>
        <v>0</v>
      </c>
      <c r="H14" s="59">
        <f>'Form Sh'!F451</f>
        <v>0</v>
      </c>
      <c r="I14" s="59">
        <f>'Form Sh'!G451</f>
        <v>0</v>
      </c>
      <c r="J14" s="59">
        <f>'Form Sh'!H451</f>
        <v>0</v>
      </c>
      <c r="K14" s="541">
        <f>IF(OR('NF-1 Coal Quality'!AF6=0,'NF-1 Coal Quality'!AG6=0),0,H14-E14)</f>
        <v>0</v>
      </c>
      <c r="L14" s="541">
        <f>IF(OR('NF-1 Coal Quality'!AF6=0,'NF-1 Coal Quality'!AG6=0),0,I14-F14)</f>
        <v>0</v>
      </c>
      <c r="M14" s="541">
        <f>IF(OR('NF-1 Coal Quality'!AF6=0,'NF-1 Coal Quality'!AG6=0),0,J14-G14)</f>
        <v>0</v>
      </c>
      <c r="N14" s="541">
        <f t="shared" si="0"/>
        <v>0</v>
      </c>
      <c r="O14" s="541">
        <f t="shared" si="1"/>
        <v>0</v>
      </c>
      <c r="P14" s="541">
        <f t="shared" si="2"/>
        <v>0</v>
      </c>
      <c r="Q14" s="19"/>
    </row>
    <row r="15" spans="1:17" ht="18" x14ac:dyDescent="0.3">
      <c r="A15" s="24"/>
      <c r="B15" s="122"/>
      <c r="C15" s="220"/>
      <c r="D15" s="124"/>
      <c r="E15" s="79"/>
      <c r="F15" s="124"/>
      <c r="G15" s="79"/>
      <c r="H15" s="19"/>
      <c r="I15" s="19"/>
      <c r="J15" s="19"/>
      <c r="K15" s="17"/>
      <c r="L15" s="17"/>
      <c r="M15" s="17"/>
      <c r="N15" s="41">
        <f>SUM(N5:N14)</f>
        <v>0</v>
      </c>
      <c r="O15" s="41">
        <f t="shared" ref="O15:P15" si="3">SUM(O5:O14)</f>
        <v>0</v>
      </c>
      <c r="P15" s="41">
        <f t="shared" si="3"/>
        <v>0</v>
      </c>
      <c r="Q15" s="19"/>
    </row>
    <row r="16" spans="1:17" ht="18" x14ac:dyDescent="0.3">
      <c r="A16" s="821" t="s">
        <v>1059</v>
      </c>
      <c r="B16" s="822"/>
      <c r="C16" s="822"/>
      <c r="D16" s="823"/>
      <c r="E16" s="327" t="str">
        <f>'Form Sh'!F487</f>
        <v>Yes</v>
      </c>
      <c r="F16" s="327" t="str">
        <f>'Form Sh'!S487</f>
        <v>Yes</v>
      </c>
      <c r="G16" s="327"/>
      <c r="H16" s="291"/>
      <c r="I16" s="291"/>
      <c r="J16" s="291"/>
      <c r="K16" s="292"/>
      <c r="L16" s="292"/>
      <c r="M16" s="292"/>
      <c r="N16" s="293"/>
      <c r="O16" s="293"/>
      <c r="P16" s="293"/>
      <c r="Q16" s="291"/>
    </row>
    <row r="17" spans="1:16" s="63" customFormat="1" ht="28.8" x14ac:dyDescent="0.3">
      <c r="A17" s="300" t="s">
        <v>146</v>
      </c>
      <c r="B17" s="328" t="s">
        <v>132</v>
      </c>
      <c r="C17" s="329" t="s">
        <v>180</v>
      </c>
      <c r="D17" s="330" t="s">
        <v>154</v>
      </c>
      <c r="E17" s="297" t="s">
        <v>187</v>
      </c>
      <c r="F17" s="331" t="s">
        <v>186</v>
      </c>
      <c r="G17" s="332" t="s">
        <v>52</v>
      </c>
      <c r="K17" s="80"/>
      <c r="L17" s="80"/>
      <c r="M17" s="80"/>
      <c r="N17" s="80"/>
      <c r="O17" s="80"/>
      <c r="P17" s="80"/>
    </row>
    <row r="18" spans="1:16" s="63" customFormat="1" ht="43.2" x14ac:dyDescent="0.3">
      <c r="A18" s="22">
        <v>12</v>
      </c>
      <c r="B18" s="74" t="s">
        <v>422</v>
      </c>
      <c r="C18" s="323" t="s">
        <v>863</v>
      </c>
      <c r="D18" s="135" t="s">
        <v>307</v>
      </c>
      <c r="E18" s="549">
        <f>IF('Summary Sheet'!D3="Coal/Lignite/Oil/Gas Fired",(N15+O15+P15)*10,0)</f>
        <v>0</v>
      </c>
      <c r="F18" s="87"/>
      <c r="G18" s="86"/>
      <c r="K18" s="80"/>
      <c r="L18" s="80"/>
      <c r="M18" s="80"/>
      <c r="N18" s="80"/>
      <c r="O18" s="80"/>
      <c r="P18" s="80"/>
    </row>
    <row r="19" spans="1:16" s="40" customFormat="1" ht="28.8" x14ac:dyDescent="0.3">
      <c r="A19" s="22">
        <v>13</v>
      </c>
      <c r="B19" s="74" t="s">
        <v>758</v>
      </c>
      <c r="C19" s="243" t="s">
        <v>864</v>
      </c>
      <c r="D19" s="22" t="s">
        <v>92</v>
      </c>
      <c r="E19" s="39">
        <f>'Form Sh'!F436</f>
        <v>0</v>
      </c>
      <c r="F19" s="39">
        <f>'Form Sh'!S436</f>
        <v>0</v>
      </c>
      <c r="G19" s="38"/>
      <c r="K19" s="81"/>
      <c r="L19" s="81"/>
      <c r="M19" s="81"/>
      <c r="N19" s="81"/>
      <c r="O19" s="81"/>
      <c r="P19" s="81"/>
    </row>
    <row r="20" spans="1:16" ht="43.2" x14ac:dyDescent="0.3">
      <c r="A20" s="22">
        <v>14</v>
      </c>
      <c r="B20" s="74" t="s">
        <v>759</v>
      </c>
      <c r="C20" s="286" t="s">
        <v>865</v>
      </c>
      <c r="D20" s="121" t="s">
        <v>92</v>
      </c>
      <c r="E20" s="53">
        <f>'Form Sh'!J469</f>
        <v>0</v>
      </c>
      <c r="F20" s="17"/>
      <c r="G20" s="19"/>
    </row>
    <row r="21" spans="1:16" ht="43.2" x14ac:dyDescent="0.3">
      <c r="A21" s="22">
        <v>15</v>
      </c>
      <c r="B21" s="74" t="s">
        <v>760</v>
      </c>
      <c r="C21" s="286" t="s">
        <v>866</v>
      </c>
      <c r="D21" s="121" t="s">
        <v>307</v>
      </c>
      <c r="E21" s="53">
        <f>'Form Sh'!K469</f>
        <v>0</v>
      </c>
      <c r="F21" s="17"/>
      <c r="G21" s="19"/>
    </row>
    <row r="22" spans="1:16" ht="43.2" x14ac:dyDescent="0.3">
      <c r="A22" s="22">
        <v>16</v>
      </c>
      <c r="B22" s="74" t="s">
        <v>757</v>
      </c>
      <c r="C22" s="287" t="s">
        <v>867</v>
      </c>
      <c r="D22" s="121" t="s">
        <v>92</v>
      </c>
      <c r="E22" s="53">
        <f>'Form Sh'!F475</f>
        <v>0</v>
      </c>
      <c r="F22" s="22">
        <f>'Form Sh'!S475</f>
        <v>0</v>
      </c>
      <c r="G22" s="137"/>
    </row>
    <row r="23" spans="1:16" ht="43.2" x14ac:dyDescent="0.3">
      <c r="A23" s="22">
        <v>17</v>
      </c>
      <c r="B23" s="74" t="s">
        <v>756</v>
      </c>
      <c r="C23" s="287" t="s">
        <v>868</v>
      </c>
      <c r="D23" s="121" t="s">
        <v>307</v>
      </c>
      <c r="E23" s="53">
        <f>'Form Sh'!F476</f>
        <v>0</v>
      </c>
      <c r="F23" s="17">
        <f>'Form Sh'!S476</f>
        <v>0</v>
      </c>
      <c r="G23" s="137"/>
    </row>
    <row r="24" spans="1:16" x14ac:dyDescent="0.3">
      <c r="A24" s="22">
        <v>18</v>
      </c>
      <c r="B24" s="74" t="s">
        <v>319</v>
      </c>
      <c r="C24" s="287" t="s">
        <v>869</v>
      </c>
      <c r="D24" s="121" t="s">
        <v>110</v>
      </c>
      <c r="E24" s="75">
        <f>'Form Sh'!K57</f>
        <v>0</v>
      </c>
      <c r="F24" s="75">
        <f>'Form Sh'!S57</f>
        <v>0</v>
      </c>
      <c r="G24" s="19"/>
    </row>
    <row r="25" spans="1:16" s="63" customFormat="1" x14ac:dyDescent="0.3">
      <c r="A25" s="60"/>
      <c r="B25" s="130"/>
      <c r="C25" s="324"/>
      <c r="D25" s="123"/>
      <c r="E25" s="133"/>
      <c r="F25" s="62"/>
      <c r="G25" s="61"/>
      <c r="K25" s="80"/>
      <c r="L25" s="80"/>
      <c r="M25" s="80"/>
      <c r="N25" s="80"/>
      <c r="O25" s="80"/>
      <c r="P25" s="80"/>
    </row>
    <row r="26" spans="1:16" s="63" customFormat="1" ht="25.5" customHeight="1" x14ac:dyDescent="0.3">
      <c r="A26" s="64">
        <v>19</v>
      </c>
      <c r="B26" s="131" t="s">
        <v>755</v>
      </c>
      <c r="C26" s="325" t="s">
        <v>871</v>
      </c>
      <c r="D26" s="121" t="s">
        <v>307</v>
      </c>
      <c r="E26" s="55">
        <f>(E19+E20+E22)*E24</f>
        <v>0</v>
      </c>
      <c r="F26" s="73">
        <f>(F19+F22)*F24</f>
        <v>0</v>
      </c>
      <c r="G26" s="65"/>
      <c r="K26" s="80"/>
      <c r="L26" s="80"/>
      <c r="M26" s="80"/>
      <c r="N26" s="80"/>
      <c r="O26" s="80"/>
      <c r="P26" s="80"/>
    </row>
    <row r="27" spans="1:16" s="63" customFormat="1" ht="24" x14ac:dyDescent="0.3">
      <c r="A27" s="64">
        <v>20</v>
      </c>
      <c r="B27" s="131" t="s">
        <v>320</v>
      </c>
      <c r="C27" s="325" t="s">
        <v>872</v>
      </c>
      <c r="D27" s="121" t="s">
        <v>307</v>
      </c>
      <c r="E27" s="55">
        <f>E21+E23+E18</f>
        <v>0</v>
      </c>
      <c r="F27" s="73">
        <f>F23</f>
        <v>0</v>
      </c>
      <c r="G27" s="65"/>
      <c r="K27" s="80"/>
      <c r="L27" s="80"/>
      <c r="M27" s="80"/>
      <c r="N27" s="80"/>
      <c r="O27" s="80"/>
      <c r="P27" s="80"/>
    </row>
    <row r="28" spans="1:16" s="70" customFormat="1" ht="18" customHeight="1" x14ac:dyDescent="0.3">
      <c r="A28" s="66">
        <v>21</v>
      </c>
      <c r="B28" s="67" t="s">
        <v>321</v>
      </c>
      <c r="C28" s="326" t="s">
        <v>873</v>
      </c>
      <c r="D28" s="136" t="s">
        <v>307</v>
      </c>
      <c r="E28" s="134">
        <f>IF(AND(E16="Yes", F16="Yes"), SUM(E26:E27)-SUM(F26:F27),0)</f>
        <v>0</v>
      </c>
      <c r="F28" s="69"/>
      <c r="G28" s="68"/>
      <c r="K28" s="82"/>
      <c r="L28" s="82"/>
      <c r="M28" s="82"/>
      <c r="N28" s="82"/>
      <c r="O28" s="82"/>
      <c r="P28" s="82"/>
    </row>
  </sheetData>
  <sheetProtection password="EC3B" sheet="1" objects="1" scenarios="1"/>
  <mergeCells count="13">
    <mergeCell ref="A16:D16"/>
    <mergeCell ref="A1:Q1"/>
    <mergeCell ref="A2:B2"/>
    <mergeCell ref="E3:G3"/>
    <mergeCell ref="H3:J3"/>
    <mergeCell ref="A3:A4"/>
    <mergeCell ref="B3:B4"/>
    <mergeCell ref="C3:C4"/>
    <mergeCell ref="D3:D4"/>
    <mergeCell ref="C2:Q2"/>
    <mergeCell ref="K3:M3"/>
    <mergeCell ref="Q3:Q4"/>
    <mergeCell ref="N3:P3"/>
  </mergeCells>
  <pageMargins left="0.7" right="0.7" top="0.75" bottom="0.75" header="0.3" footer="0.3"/>
  <pageSetup paperSize="9"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E1" zoomScaleNormal="100" workbookViewId="0">
      <selection activeCell="N29" sqref="N29"/>
    </sheetView>
  </sheetViews>
  <sheetFormatPr defaultRowHeight="14.4" x14ac:dyDescent="0.3"/>
  <cols>
    <col min="3" max="3" width="11" customWidth="1"/>
    <col min="4" max="4" width="10.44140625" customWidth="1"/>
  </cols>
  <sheetData>
    <row r="1" spans="1:4" x14ac:dyDescent="0.3">
      <c r="B1" s="831"/>
      <c r="C1" s="831"/>
      <c r="D1" s="831"/>
    </row>
    <row r="2" spans="1:4" x14ac:dyDescent="0.3">
      <c r="A2" s="832" t="s">
        <v>350</v>
      </c>
      <c r="B2" s="832"/>
      <c r="C2" s="832"/>
      <c r="D2" s="832"/>
    </row>
    <row r="3" spans="1:4" ht="43.2" x14ac:dyDescent="0.3">
      <c r="A3" s="32" t="s">
        <v>164</v>
      </c>
      <c r="B3" s="37" t="s">
        <v>165</v>
      </c>
      <c r="C3" s="37" t="s">
        <v>346</v>
      </c>
      <c r="D3" s="88" t="s">
        <v>348</v>
      </c>
    </row>
    <row r="4" spans="1:4" x14ac:dyDescent="0.3">
      <c r="A4" s="17" t="s">
        <v>62</v>
      </c>
      <c r="B4" s="20" t="s">
        <v>28</v>
      </c>
      <c r="C4" s="20" t="s">
        <v>347</v>
      </c>
      <c r="D4" s="74" t="s">
        <v>349</v>
      </c>
    </row>
    <row r="5" spans="1:4" x14ac:dyDescent="0.3">
      <c r="A5" s="21">
        <f t="shared" ref="A5:A12" si="0">B5*100/$B$13</f>
        <v>30.285714285714285</v>
      </c>
      <c r="B5" s="17">
        <v>63.6</v>
      </c>
      <c r="C5" s="89">
        <v>2327.75</v>
      </c>
      <c r="D5" s="90">
        <f t="shared" ref="D5:D12" si="1">0.017*B5^2-6.5974*B5+2684.1</f>
        <v>2333.2696799999999</v>
      </c>
    </row>
    <row r="6" spans="1:4" x14ac:dyDescent="0.3">
      <c r="A6" s="21">
        <f t="shared" si="0"/>
        <v>35.714285714285715</v>
      </c>
      <c r="B6" s="17">
        <v>75</v>
      </c>
      <c r="C6" s="89">
        <v>2292.6</v>
      </c>
      <c r="D6" s="90">
        <f t="shared" si="1"/>
        <v>2284.92</v>
      </c>
    </row>
    <row r="7" spans="1:4" x14ac:dyDescent="0.3">
      <c r="A7" s="21">
        <f t="shared" si="0"/>
        <v>47.61904761904762</v>
      </c>
      <c r="B7" s="17">
        <v>100</v>
      </c>
      <c r="C7" s="89">
        <v>2196</v>
      </c>
      <c r="D7" s="90">
        <f t="shared" si="1"/>
        <v>2194.3599999999997</v>
      </c>
    </row>
    <row r="8" spans="1:4" x14ac:dyDescent="0.3">
      <c r="A8" s="21">
        <f t="shared" si="0"/>
        <v>59.523809523809526</v>
      </c>
      <c r="B8" s="17">
        <v>125</v>
      </c>
      <c r="C8" s="89">
        <v>2116.65</v>
      </c>
      <c r="D8" s="90">
        <f t="shared" si="1"/>
        <v>2125.0499999999997</v>
      </c>
    </row>
    <row r="9" spans="1:4" x14ac:dyDescent="0.3">
      <c r="A9" s="21">
        <f t="shared" si="0"/>
        <v>71.428571428571431</v>
      </c>
      <c r="B9" s="17">
        <v>150</v>
      </c>
      <c r="C9" s="89">
        <v>2074.0500000000002</v>
      </c>
      <c r="D9" s="90">
        <f t="shared" si="1"/>
        <v>2076.9899999999998</v>
      </c>
    </row>
    <row r="10" spans="1:4" x14ac:dyDescent="0.3">
      <c r="A10" s="21">
        <f t="shared" si="0"/>
        <v>83.333333333333329</v>
      </c>
      <c r="B10" s="17">
        <v>175</v>
      </c>
      <c r="C10" s="89">
        <v>2057.4</v>
      </c>
      <c r="D10" s="90">
        <f t="shared" si="1"/>
        <v>2050.1799999999998</v>
      </c>
    </row>
    <row r="11" spans="1:4" x14ac:dyDescent="0.3">
      <c r="A11" s="21">
        <f t="shared" si="0"/>
        <v>86.19047619047619</v>
      </c>
      <c r="B11" s="17">
        <v>181</v>
      </c>
      <c r="C11" s="89">
        <v>2052</v>
      </c>
      <c r="D11" s="90">
        <f t="shared" si="1"/>
        <v>2046.9076</v>
      </c>
    </row>
    <row r="12" spans="1:4" x14ac:dyDescent="0.3">
      <c r="A12" s="21">
        <f t="shared" si="0"/>
        <v>95.238095238095241</v>
      </c>
      <c r="B12" s="17">
        <v>200</v>
      </c>
      <c r="C12" s="89">
        <v>2042.6</v>
      </c>
      <c r="D12" s="90">
        <f t="shared" si="1"/>
        <v>2044.62</v>
      </c>
    </row>
    <row r="13" spans="1:4" x14ac:dyDescent="0.3">
      <c r="A13" s="21">
        <f>B13*100/$B$13</f>
        <v>100</v>
      </c>
      <c r="B13" s="22">
        <v>210</v>
      </c>
      <c r="C13" s="91">
        <v>2044.44</v>
      </c>
      <c r="D13" s="90">
        <f>0.017*B13^2-6.5974*B13+2684.1</f>
        <v>2048.3459999999995</v>
      </c>
    </row>
    <row r="25" spans="11:11" x14ac:dyDescent="0.3">
      <c r="K25">
        <f>210*60</f>
        <v>12600</v>
      </c>
    </row>
  </sheetData>
  <sheetProtection password="EC3B" sheet="1" objects="1" scenarios="1"/>
  <mergeCells count="2">
    <mergeCell ref="B1:D1"/>
    <mergeCell ref="A2:D2"/>
  </mergeCells>
  <pageMargins left="0.7" right="0.7" top="0.75" bottom="0.75" header="0.3" footer="0.3"/>
  <pageSetup paperSize="9" scale="60" orientation="landscape" horizontalDpi="4294967295" verticalDpi="4294967295"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K7" sqref="K7"/>
    </sheetView>
  </sheetViews>
  <sheetFormatPr defaultRowHeight="14.4" x14ac:dyDescent="0.3"/>
  <sheetData/>
  <sheetProtection password="EC3B" sheet="1" objects="1" scenarios="1"/>
  <pageMargins left="0.7" right="0.7" top="0.75" bottom="0.75" header="0.3" footer="0.3"/>
  <pageSetup paperSize="9" orientation="portrait" horizontalDpi="4294967295" verticalDpi="4294967295" r:id="rId1"/>
  <drawing r:id="rId2"/>
  <legacyDrawing r:id="rId3"/>
  <oleObjects>
    <mc:AlternateContent xmlns:mc="http://schemas.openxmlformats.org/markup-compatibility/2006">
      <mc:Choice Requires="x14">
        <oleObject progId="Excel.Chart.8" shapeId="9219" r:id="rId4">
          <objectPr defaultSize="0" autoPict="0" r:id="rId5">
            <anchor moveWithCells="1">
              <from>
                <xdr:col>0</xdr:col>
                <xdr:colOff>60960</xdr:colOff>
                <xdr:row>7</xdr:row>
                <xdr:rowOff>152400</xdr:rowOff>
              </from>
              <to>
                <xdr:col>13</xdr:col>
                <xdr:colOff>441960</xdr:colOff>
                <xdr:row>28</xdr:row>
                <xdr:rowOff>99060</xdr:rowOff>
              </to>
            </anchor>
          </objectPr>
        </oleObject>
      </mc:Choice>
      <mc:Fallback>
        <oleObject progId="Excel.Chart.8" shapeId="9219" r:id="rId4"/>
      </mc:Fallback>
    </mc:AlternateContent>
  </oleObjec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89" zoomScaleNormal="89" workbookViewId="0">
      <pane xSplit="4" ySplit="5" topLeftCell="E6" activePane="bottomRight" state="frozen"/>
      <selection pane="topRight" activeCell="E1" sqref="E1"/>
      <selection pane="bottomLeft" activeCell="A4" sqref="A4"/>
      <selection pane="bottomRight" activeCell="E16" sqref="E16:F16"/>
    </sheetView>
  </sheetViews>
  <sheetFormatPr defaultColWidth="8.88671875" defaultRowHeight="14.4" x14ac:dyDescent="0.3"/>
  <cols>
    <col min="1" max="1" width="7" style="26" customWidth="1"/>
    <col min="2" max="2" width="39.88671875" style="27" customWidth="1"/>
    <col min="3" max="3" width="28.6640625" style="232" customWidth="1"/>
    <col min="4" max="4" width="12.88671875" style="26" customWidth="1"/>
    <col min="5" max="6" width="14.88671875" style="26" customWidth="1"/>
    <col min="7" max="8" width="15.109375" style="26" customWidth="1"/>
    <col min="9" max="10" width="14" style="26" customWidth="1"/>
    <col min="11" max="12" width="14.5546875" style="26" customWidth="1"/>
    <col min="13" max="14" width="13.6640625" style="26" customWidth="1"/>
    <col min="15" max="15" width="34.5546875" style="26" customWidth="1"/>
    <col min="16" max="16384" width="8.88671875" style="26"/>
  </cols>
  <sheetData>
    <row r="1" spans="1:15" ht="25.8" x14ac:dyDescent="0.5">
      <c r="A1" s="835" t="s">
        <v>1014</v>
      </c>
      <c r="B1" s="836"/>
      <c r="C1" s="836"/>
      <c r="D1" s="836"/>
      <c r="E1" s="836"/>
      <c r="F1" s="836"/>
      <c r="G1" s="836"/>
      <c r="H1" s="836"/>
      <c r="I1" s="836"/>
      <c r="J1" s="836"/>
      <c r="K1" s="836"/>
      <c r="L1" s="836"/>
      <c r="M1" s="836"/>
      <c r="N1" s="836"/>
      <c r="O1" s="836"/>
    </row>
    <row r="2" spans="1:15" ht="18" x14ac:dyDescent="0.35">
      <c r="A2" s="749" t="s">
        <v>163</v>
      </c>
      <c r="B2" s="740"/>
      <c r="C2" s="837">
        <f>'General Information'!C3</f>
        <v>0</v>
      </c>
      <c r="D2" s="838"/>
      <c r="E2" s="269"/>
      <c r="F2" s="270"/>
      <c r="G2" s="270"/>
      <c r="H2" s="270"/>
      <c r="I2" s="270"/>
      <c r="J2" s="270"/>
      <c r="K2" s="270"/>
      <c r="L2" s="270"/>
      <c r="M2" s="270"/>
      <c r="N2" s="270"/>
      <c r="O2" s="271"/>
    </row>
    <row r="3" spans="1:15" ht="18" x14ac:dyDescent="0.35">
      <c r="A3" s="272" t="s">
        <v>2</v>
      </c>
      <c r="B3" s="273"/>
      <c r="C3" s="818" t="str">
        <f>'General Information'!D6</f>
        <v>Coal/Lignite/Oil/Gas Fired</v>
      </c>
      <c r="D3" s="818"/>
      <c r="E3" s="273"/>
      <c r="F3" s="273"/>
      <c r="G3" s="273"/>
      <c r="H3" s="273"/>
      <c r="I3" s="266"/>
      <c r="J3" s="266"/>
      <c r="K3" s="266"/>
      <c r="L3" s="266"/>
      <c r="M3" s="266"/>
      <c r="N3" s="266"/>
      <c r="O3" s="267"/>
    </row>
    <row r="4" spans="1:15" ht="28.5" customHeight="1" x14ac:dyDescent="0.3">
      <c r="A4" s="812" t="s">
        <v>146</v>
      </c>
      <c r="B4" s="812" t="s">
        <v>132</v>
      </c>
      <c r="C4" s="764" t="s">
        <v>180</v>
      </c>
      <c r="D4" s="812" t="s">
        <v>154</v>
      </c>
      <c r="E4" s="806" t="s">
        <v>31</v>
      </c>
      <c r="F4" s="807"/>
      <c r="G4" s="806" t="s">
        <v>33</v>
      </c>
      <c r="H4" s="807"/>
      <c r="I4" s="806" t="s">
        <v>35</v>
      </c>
      <c r="J4" s="807"/>
      <c r="K4" s="806" t="s">
        <v>37</v>
      </c>
      <c r="L4" s="807"/>
      <c r="M4" s="806" t="s">
        <v>39</v>
      </c>
      <c r="N4" s="807"/>
      <c r="O4" s="268" t="s">
        <v>52</v>
      </c>
    </row>
    <row r="5" spans="1:15" s="336" customFormat="1" x14ac:dyDescent="0.3">
      <c r="A5" s="813"/>
      <c r="B5" s="813"/>
      <c r="C5" s="765"/>
      <c r="D5" s="813"/>
      <c r="E5" s="333" t="s">
        <v>325</v>
      </c>
      <c r="F5" s="334" t="s">
        <v>326</v>
      </c>
      <c r="G5" s="333" t="s">
        <v>325</v>
      </c>
      <c r="H5" s="334" t="s">
        <v>326</v>
      </c>
      <c r="I5" s="333" t="s">
        <v>325</v>
      </c>
      <c r="J5" s="334" t="s">
        <v>326</v>
      </c>
      <c r="K5" s="333" t="s">
        <v>325</v>
      </c>
      <c r="L5" s="334" t="s">
        <v>326</v>
      </c>
      <c r="M5" s="333" t="s">
        <v>325</v>
      </c>
      <c r="N5" s="334" t="s">
        <v>326</v>
      </c>
      <c r="O5" s="335"/>
    </row>
    <row r="6" spans="1:15" ht="15.75" customHeight="1" x14ac:dyDescent="0.3">
      <c r="A6" s="24">
        <v>1</v>
      </c>
      <c r="B6" s="25" t="str">
        <f>IF(OR($C$3="Gas Turbine (Open Cycle)",$C$3="Combined Cycle Gas Turbine (CCGT)"),"Module Capacity","Unit Capacity")</f>
        <v>Unit Capacity</v>
      </c>
      <c r="C6" s="228" t="s">
        <v>832</v>
      </c>
      <c r="D6" s="24" t="s">
        <v>28</v>
      </c>
      <c r="E6" s="313">
        <f>'Form Sh'!E18</f>
        <v>0</v>
      </c>
      <c r="F6" s="313">
        <f>'Form Sh'!E18</f>
        <v>0</v>
      </c>
      <c r="G6" s="313">
        <f>'Form Sh'!E19</f>
        <v>0</v>
      </c>
      <c r="H6" s="313">
        <f>'Form Sh'!E19</f>
        <v>0</v>
      </c>
      <c r="I6" s="313">
        <f>'Form Sh'!E20</f>
        <v>0</v>
      </c>
      <c r="J6" s="313">
        <f>'Form Sh'!E20</f>
        <v>0</v>
      </c>
      <c r="K6" s="313">
        <f>'Form Sh'!E21</f>
        <v>0</v>
      </c>
      <c r="L6" s="313">
        <f>'Form Sh'!E21</f>
        <v>0</v>
      </c>
      <c r="M6" s="313">
        <f>'Form Sh'!E22</f>
        <v>0</v>
      </c>
      <c r="N6" s="313">
        <f>'Form Sh'!E22</f>
        <v>0</v>
      </c>
      <c r="O6" s="24"/>
    </row>
    <row r="7" spans="1:15" ht="28.8" x14ac:dyDescent="0.3">
      <c r="A7" s="24">
        <v>2</v>
      </c>
      <c r="B7" s="25" t="s">
        <v>1061</v>
      </c>
      <c r="C7" s="228" t="s">
        <v>832</v>
      </c>
      <c r="D7" s="24" t="s">
        <v>110</v>
      </c>
      <c r="E7" s="314">
        <f>IF('Form Sh'!H18=0,'Form Sh'!K18,'Form Sh'!H18)</f>
        <v>0</v>
      </c>
      <c r="F7" s="314">
        <f>E7</f>
        <v>0</v>
      </c>
      <c r="G7" s="314">
        <f>IF('Form Sh'!H19=0,'Form Sh'!K19,'Form Sh'!H19)</f>
        <v>0</v>
      </c>
      <c r="H7" s="314">
        <f>G7</f>
        <v>0</v>
      </c>
      <c r="I7" s="314">
        <f>IF('Form Sh'!H20=0,'Form Sh'!K20,'Form Sh'!H20)</f>
        <v>0</v>
      </c>
      <c r="J7" s="314">
        <f>I7</f>
        <v>0</v>
      </c>
      <c r="K7" s="314">
        <f>IF('Form Sh'!H21=0,'Form Sh'!K21,'Form Sh'!H21)</f>
        <v>0</v>
      </c>
      <c r="L7" s="314">
        <f>K7</f>
        <v>0</v>
      </c>
      <c r="M7" s="314">
        <f>IF('Form Sh'!H22=0,'Form Sh'!K22,'Form Sh'!H22)</f>
        <v>0</v>
      </c>
      <c r="N7" s="315">
        <f>M7</f>
        <v>0</v>
      </c>
      <c r="O7" s="126"/>
    </row>
    <row r="8" spans="1:15" ht="29.4" customHeight="1" x14ac:dyDescent="0.3">
      <c r="A8" s="24">
        <v>3</v>
      </c>
      <c r="B8" s="51" t="s">
        <v>1040</v>
      </c>
      <c r="C8" s="228" t="s">
        <v>1017</v>
      </c>
      <c r="D8" s="24" t="s">
        <v>110</v>
      </c>
      <c r="E8" s="313">
        <f>IF('Form Sh'!H30=0,'Form Sh'!K30,'Form Sh'!H30)</f>
        <v>0</v>
      </c>
      <c r="F8" s="313">
        <f>E8</f>
        <v>0</v>
      </c>
      <c r="G8" s="313">
        <f>IF('Form Sh'!H31=0,'Form Sh'!K31,'Form Sh'!H31)</f>
        <v>0</v>
      </c>
      <c r="H8" s="313">
        <f>G8</f>
        <v>0</v>
      </c>
      <c r="I8" s="313">
        <f>IF('Form Sh'!H32=0,'Form Sh'!K32,'Form Sh'!H32)</f>
        <v>0</v>
      </c>
      <c r="J8" s="313">
        <f>I8</f>
        <v>0</v>
      </c>
      <c r="K8" s="313">
        <f>IF('Form Sh'!H33=0,'Form Sh'!K33,'Form Sh'!H33)</f>
        <v>0</v>
      </c>
      <c r="L8" s="313">
        <f>K8</f>
        <v>0</v>
      </c>
      <c r="M8" s="313">
        <f>IF('Form Sh'!H34=0,'Form Sh'!K34,'Form Sh'!H34)</f>
        <v>0</v>
      </c>
      <c r="N8" s="313">
        <f>M8</f>
        <v>0</v>
      </c>
      <c r="O8" s="24"/>
    </row>
    <row r="9" spans="1:15" s="58" customFormat="1" ht="43.2" x14ac:dyDescent="0.3">
      <c r="A9" s="52">
        <v>4</v>
      </c>
      <c r="B9" s="245" t="s">
        <v>1062</v>
      </c>
      <c r="C9" s="244" t="s">
        <v>833</v>
      </c>
      <c r="D9" s="52" t="s">
        <v>92</v>
      </c>
      <c r="E9" s="316">
        <f>'Form Sh'!D83+'Form Sh'!G83+'Form Sh'!J83</f>
        <v>0</v>
      </c>
      <c r="F9" s="316">
        <f>'Form Sh'!M83+'Form Sh'!P83+'Form Sh'!S83</f>
        <v>0</v>
      </c>
      <c r="G9" s="317">
        <f>'Form Sh'!D84+'Form Sh'!G84+'Form Sh'!J84</f>
        <v>0</v>
      </c>
      <c r="H9" s="317">
        <f>'Form Sh'!M84+'Form Sh'!P84+'Form Sh'!S84</f>
        <v>0</v>
      </c>
      <c r="I9" s="318">
        <f>'Form Sh'!D85+'Form Sh'!G85+'Form Sh'!J85</f>
        <v>0</v>
      </c>
      <c r="J9" s="318">
        <f>'Form Sh'!M85+'Form Sh'!P85+'Form Sh'!S85</f>
        <v>0</v>
      </c>
      <c r="K9" s="318">
        <f>'Form Sh'!D86+'Form Sh'!G86+'Form Sh'!J86</f>
        <v>0</v>
      </c>
      <c r="L9" s="318">
        <f>'Form Sh'!M86+'Form Sh'!P86+'Form Sh'!S86</f>
        <v>0</v>
      </c>
      <c r="M9" s="318">
        <f>'Form Sh'!D87+'Form Sh'!G87+'Form Sh'!J87</f>
        <v>0</v>
      </c>
      <c r="N9" s="318">
        <f>'Form Sh'!M87+'Form Sh'!P87+'Form Sh'!S87</f>
        <v>0</v>
      </c>
      <c r="O9" s="52"/>
    </row>
    <row r="10" spans="1:15" s="58" customFormat="1" ht="42.6" customHeight="1" x14ac:dyDescent="0.3">
      <c r="A10" s="52">
        <v>5</v>
      </c>
      <c r="B10" s="246" t="s">
        <v>1023</v>
      </c>
      <c r="C10" s="244" t="s">
        <v>1016</v>
      </c>
      <c r="D10" s="52" t="s">
        <v>92</v>
      </c>
      <c r="E10" s="316">
        <f>'Form Sh'!F83+'Form Sh'!I83+'Form Sh'!L83</f>
        <v>0</v>
      </c>
      <c r="F10" s="316">
        <f>'Form Sh'!O83+'Form Sh'!R83+'Form Sh'!U83</f>
        <v>0</v>
      </c>
      <c r="G10" s="316">
        <f>'Form Sh'!F84+'Form Sh'!I84+'Form Sh'!L84</f>
        <v>0</v>
      </c>
      <c r="H10" s="316">
        <f>'Form Sh'!O84+'Form Sh'!R84+'Form Sh'!U84</f>
        <v>0</v>
      </c>
      <c r="I10" s="316">
        <f>'Form Sh'!F85+'Form Sh'!I85+'Form Sh'!L85</f>
        <v>0</v>
      </c>
      <c r="J10" s="316">
        <f>'Form Sh'!O85+'Form Sh'!R85+'Form Sh'!U85</f>
        <v>0</v>
      </c>
      <c r="K10" s="316">
        <f>'Form Sh'!F86+'Form Sh'!I86+'Form Sh'!L86</f>
        <v>0</v>
      </c>
      <c r="L10" s="316">
        <f>'Form Sh'!O86+'Form Sh'!R86+'Form Sh'!U86</f>
        <v>0</v>
      </c>
      <c r="M10" s="316">
        <f>'Form Sh'!F87+'Form Sh'!I87+'Form Sh'!L87</f>
        <v>0</v>
      </c>
      <c r="N10" s="316">
        <f>'Form Sh'!O87+'Form Sh'!R87+'Form Sh'!U87</f>
        <v>0</v>
      </c>
      <c r="O10" s="52"/>
    </row>
    <row r="11" spans="1:15" x14ac:dyDescent="0.3">
      <c r="A11" s="76"/>
      <c r="B11" s="77"/>
      <c r="C11" s="265"/>
      <c r="D11" s="76"/>
      <c r="E11" s="319"/>
      <c r="F11" s="319"/>
      <c r="G11" s="319"/>
      <c r="H11" s="319"/>
      <c r="I11" s="319"/>
      <c r="J11" s="319"/>
      <c r="K11" s="319"/>
      <c r="L11" s="319"/>
      <c r="M11" s="319"/>
      <c r="N11" s="319" t="s">
        <v>1015</v>
      </c>
      <c r="O11" s="76"/>
    </row>
    <row r="12" spans="1:15" s="108" customFormat="1" x14ac:dyDescent="0.3">
      <c r="A12" s="106">
        <v>6</v>
      </c>
      <c r="B12" s="107" t="s">
        <v>449</v>
      </c>
      <c r="C12" s="237" t="s">
        <v>1018</v>
      </c>
      <c r="D12" s="106" t="s">
        <v>92</v>
      </c>
      <c r="E12" s="129">
        <f>E9+E10</f>
        <v>0</v>
      </c>
      <c r="F12" s="129">
        <f>F9+F10</f>
        <v>0</v>
      </c>
      <c r="G12" s="129">
        <f t="shared" ref="G12:H12" si="0">G9+G10</f>
        <v>0</v>
      </c>
      <c r="H12" s="129">
        <f t="shared" si="0"/>
        <v>0</v>
      </c>
      <c r="I12" s="129">
        <f t="shared" ref="I12:N12" si="1">I9+I10</f>
        <v>0</v>
      </c>
      <c r="J12" s="129">
        <f t="shared" si="1"/>
        <v>0</v>
      </c>
      <c r="K12" s="129">
        <f t="shared" si="1"/>
        <v>0</v>
      </c>
      <c r="L12" s="129">
        <f t="shared" si="1"/>
        <v>0</v>
      </c>
      <c r="M12" s="129">
        <f t="shared" si="1"/>
        <v>0</v>
      </c>
      <c r="N12" s="129">
        <f t="shared" si="1"/>
        <v>0</v>
      </c>
      <c r="O12" s="106"/>
    </row>
    <row r="13" spans="1:15" x14ac:dyDescent="0.3">
      <c r="A13" s="24">
        <v>7</v>
      </c>
      <c r="B13" s="25" t="s">
        <v>1041</v>
      </c>
      <c r="C13" s="228" t="s">
        <v>1019</v>
      </c>
      <c r="D13" s="24" t="s">
        <v>110</v>
      </c>
      <c r="E13" s="221">
        <f t="shared" ref="E13:F13" si="2">IFERROR((E7*E9+E8*E10)/(E9+E10),0)</f>
        <v>0</v>
      </c>
      <c r="F13" s="221">
        <f t="shared" si="2"/>
        <v>0</v>
      </c>
      <c r="G13" s="221">
        <f>IFERROR((G7*G9+G8*G10)/(G9+G10),0)</f>
        <v>0</v>
      </c>
      <c r="H13" s="221">
        <f>IFERROR((H7*H9+H8*H10)/(H9+H10),0)</f>
        <v>0</v>
      </c>
      <c r="I13" s="221">
        <f t="shared" ref="I13:N13" si="3">IFERROR((I7*I9+I8*I10)/(I9+I10),0)</f>
        <v>0</v>
      </c>
      <c r="J13" s="221">
        <f t="shared" si="3"/>
        <v>0</v>
      </c>
      <c r="K13" s="221">
        <f t="shared" si="3"/>
        <v>0</v>
      </c>
      <c r="L13" s="221">
        <f t="shared" si="3"/>
        <v>0</v>
      </c>
      <c r="M13" s="221">
        <f t="shared" si="3"/>
        <v>0</v>
      </c>
      <c r="N13" s="221">
        <f t="shared" si="3"/>
        <v>0</v>
      </c>
      <c r="O13" s="24"/>
    </row>
    <row r="14" spans="1:15" ht="28.8" x14ac:dyDescent="0.3">
      <c r="A14" s="24">
        <v>8</v>
      </c>
      <c r="B14" s="25" t="s">
        <v>448</v>
      </c>
      <c r="C14" s="228" t="s">
        <v>1020</v>
      </c>
      <c r="D14" s="24" t="s">
        <v>110</v>
      </c>
      <c r="E14" s="810">
        <f>E13-F13</f>
        <v>0</v>
      </c>
      <c r="F14" s="811"/>
      <c r="G14" s="320">
        <f t="shared" ref="G14" si="4">G13-H13</f>
        <v>0</v>
      </c>
      <c r="H14" s="321"/>
      <c r="I14" s="320">
        <f t="shared" ref="I14" si="5">I13-J13</f>
        <v>0</v>
      </c>
      <c r="J14" s="321"/>
      <c r="K14" s="320">
        <f t="shared" ref="K14" si="6">K13-L13</f>
        <v>0</v>
      </c>
      <c r="L14" s="321"/>
      <c r="M14" s="320">
        <f t="shared" ref="M14" si="7">M13-N13</f>
        <v>0</v>
      </c>
      <c r="N14" s="321"/>
      <c r="O14" s="24"/>
    </row>
    <row r="15" spans="1:15" ht="28.8" x14ac:dyDescent="0.3">
      <c r="A15" s="24">
        <v>9</v>
      </c>
      <c r="B15" s="25" t="s">
        <v>734</v>
      </c>
      <c r="C15" s="228" t="s">
        <v>1021</v>
      </c>
      <c r="D15" s="24" t="s">
        <v>307</v>
      </c>
      <c r="E15" s="804">
        <f>E14*E12</f>
        <v>0</v>
      </c>
      <c r="F15" s="805"/>
      <c r="G15" s="298">
        <f t="shared" ref="G15" si="8">G14*G12</f>
        <v>0</v>
      </c>
      <c r="H15" s="299"/>
      <c r="I15" s="298">
        <f t="shared" ref="I15" si="9">I14*I12</f>
        <v>0</v>
      </c>
      <c r="J15" s="299"/>
      <c r="K15" s="298">
        <f t="shared" ref="K15" si="10">K14*K12</f>
        <v>0</v>
      </c>
      <c r="L15" s="299"/>
      <c r="M15" s="298">
        <f t="shared" ref="M15" si="11">M14*M12</f>
        <v>0</v>
      </c>
      <c r="N15" s="299"/>
      <c r="O15" s="24"/>
    </row>
    <row r="16" spans="1:15" s="49" customFormat="1" ht="28.8" x14ac:dyDescent="0.3">
      <c r="A16" s="48">
        <v>10</v>
      </c>
      <c r="B16" s="43" t="s">
        <v>735</v>
      </c>
      <c r="C16" s="230" t="s">
        <v>1022</v>
      </c>
      <c r="D16" s="48" t="s">
        <v>307</v>
      </c>
      <c r="E16" s="833">
        <f>SUM(E15:N15)</f>
        <v>0</v>
      </c>
      <c r="F16" s="834"/>
      <c r="G16" s="322"/>
      <c r="H16" s="322"/>
      <c r="I16" s="322"/>
      <c r="J16" s="322"/>
      <c r="K16" s="322"/>
      <c r="L16" s="322"/>
      <c r="M16" s="322"/>
      <c r="N16" s="322"/>
      <c r="O16" s="101"/>
    </row>
  </sheetData>
  <sheetProtection password="EC3B" sheet="1" objects="1" scenarios="1"/>
  <mergeCells count="16">
    <mergeCell ref="C3:D3"/>
    <mergeCell ref="E16:F16"/>
    <mergeCell ref="A1:O1"/>
    <mergeCell ref="A2:B2"/>
    <mergeCell ref="C2:D2"/>
    <mergeCell ref="E15:F15"/>
    <mergeCell ref="E14:F14"/>
    <mergeCell ref="I4:J4"/>
    <mergeCell ref="K4:L4"/>
    <mergeCell ref="M4:N4"/>
    <mergeCell ref="A4:A5"/>
    <mergeCell ref="B4:B5"/>
    <mergeCell ref="C4:C5"/>
    <mergeCell ref="D4:D5"/>
    <mergeCell ref="E4:F4"/>
    <mergeCell ref="G4:H4"/>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topLeftCell="A3" zoomScale="70" zoomScaleNormal="70" workbookViewId="0">
      <selection activeCell="M11" sqref="M11"/>
    </sheetView>
  </sheetViews>
  <sheetFormatPr defaultColWidth="9.109375" defaultRowHeight="15.6" x14ac:dyDescent="0.3"/>
  <cols>
    <col min="1" max="1" width="8.109375" style="141" customWidth="1"/>
    <col min="2" max="2" width="31.5546875" style="163" customWidth="1"/>
    <col min="3" max="3" width="21.44140625" style="138" customWidth="1"/>
    <col min="4" max="4" width="29.109375" style="138" customWidth="1"/>
    <col min="5" max="5" width="35" style="138" customWidth="1"/>
    <col min="6" max="6" width="9.109375" style="138"/>
    <col min="7" max="7" width="26.109375" style="138" customWidth="1"/>
    <col min="8" max="16384" width="9.109375" style="138"/>
  </cols>
  <sheetData>
    <row r="1" spans="1:5" ht="17.399999999999999" x14ac:dyDescent="0.3">
      <c r="A1" s="561" t="s">
        <v>592</v>
      </c>
      <c r="B1" s="561"/>
      <c r="C1" s="561"/>
      <c r="D1" s="561"/>
      <c r="E1" s="561"/>
    </row>
    <row r="2" spans="1:5" ht="17.399999999999999" x14ac:dyDescent="0.3">
      <c r="A2" s="561" t="s">
        <v>593</v>
      </c>
      <c r="B2" s="561"/>
      <c r="C2" s="561"/>
      <c r="D2" s="561"/>
      <c r="E2" s="561"/>
    </row>
    <row r="3" spans="1:5" s="141" customFormat="1" ht="17.399999999999999" x14ac:dyDescent="0.3">
      <c r="A3" s="139" t="s">
        <v>594</v>
      </c>
      <c r="B3" s="140" t="s">
        <v>595</v>
      </c>
      <c r="C3" s="562" t="s">
        <v>596</v>
      </c>
      <c r="D3" s="562"/>
      <c r="E3" s="562"/>
    </row>
    <row r="4" spans="1:5" x14ac:dyDescent="0.3">
      <c r="A4" s="142">
        <v>1</v>
      </c>
      <c r="B4" s="143" t="s">
        <v>597</v>
      </c>
      <c r="C4" s="563">
        <f>'General Information'!C3:F3</f>
        <v>0</v>
      </c>
      <c r="D4" s="564"/>
      <c r="E4" s="565"/>
    </row>
    <row r="5" spans="1:5" x14ac:dyDescent="0.3">
      <c r="A5" s="566">
        <v>2</v>
      </c>
      <c r="B5" s="144" t="s">
        <v>598</v>
      </c>
      <c r="C5" s="563">
        <f>'General Information'!C4:F4</f>
        <v>0</v>
      </c>
      <c r="D5" s="564"/>
      <c r="E5" s="565"/>
    </row>
    <row r="6" spans="1:5" ht="31.2" x14ac:dyDescent="0.3">
      <c r="A6" s="567"/>
      <c r="B6" s="304" t="s">
        <v>1074</v>
      </c>
      <c r="C6" s="563">
        <f>'General Information'!C5</f>
        <v>0</v>
      </c>
      <c r="D6" s="564"/>
      <c r="E6" s="565"/>
    </row>
    <row r="7" spans="1:5" ht="28.5" customHeight="1" x14ac:dyDescent="0.3">
      <c r="A7" s="566">
        <v>3</v>
      </c>
      <c r="B7" s="571" t="s">
        <v>599</v>
      </c>
      <c r="C7" s="573" t="s">
        <v>600</v>
      </c>
      <c r="D7" s="574"/>
      <c r="E7" s="142" t="s">
        <v>601</v>
      </c>
    </row>
    <row r="8" spans="1:5" ht="35.25" customHeight="1" x14ac:dyDescent="0.3">
      <c r="A8" s="567"/>
      <c r="B8" s="572"/>
      <c r="C8" s="563" t="str">
        <f>'General Information'!A2</f>
        <v>Sector - Thermal Power Plant</v>
      </c>
      <c r="D8" s="565"/>
      <c r="E8" s="145" t="str">
        <f>'General Information'!D6</f>
        <v>Coal/Lignite/Oil/Gas Fired</v>
      </c>
    </row>
    <row r="9" spans="1:5" ht="96.75" customHeight="1" x14ac:dyDescent="0.3">
      <c r="A9" s="146" t="s">
        <v>602</v>
      </c>
      <c r="B9" s="147" t="s">
        <v>603</v>
      </c>
      <c r="C9" s="575" t="str">
        <f>'General Information'!C8:F8&amp;", "&amp;'General Information'!C9:F9&amp;", "&amp;'General Information'!C10:F10&amp;", "&amp;'General Information'!C11:D11&amp;"- "&amp;'General Information'!F11&amp;", "&amp;'General Information'!B12&amp;"- "&amp;'General Information'!C12:D12&amp;", "&amp;'General Information'!E12&amp;"- "&amp;'General Information'!F12&amp;", "&amp;'General Information'!B13&amp;"-"&amp;'General Information'!C13:F13&amp;", "&amp; 'General Information'!C14:F14&amp;", "&amp;'General Information'!B15&amp;"- "&amp;'General Information'!C15:D15&amp;", "&amp;'General Information'!E15&amp;"- "&amp;'General Information'!F15&amp;", "&amp;'General Information'!B16&amp;"-"&amp;'General Information'!C16&amp;", "&amp;'General Information'!D16&amp;"- "&amp;'General Information'!E16</f>
        <v xml:space="preserve">, , , - , Telephone- , Fax- , Plant's Chief Executive Name-, , Telephone with STD Code- , Fax- , Mobile-, E-mail- </v>
      </c>
      <c r="D9" s="576"/>
      <c r="E9" s="577"/>
    </row>
    <row r="10" spans="1:5" ht="57" customHeight="1" x14ac:dyDescent="0.3">
      <c r="A10" s="146" t="s">
        <v>409</v>
      </c>
      <c r="B10" s="147" t="s">
        <v>604</v>
      </c>
      <c r="C10" s="575" t="str">
        <f>'General Information'!B18&amp;":"&amp;'General Information'!C18:F18&amp;","&amp;'General Information'!B19&amp;":"&amp;'General Information'!C19:F19&amp;","&amp;'General Information'!B20&amp;":"&amp;'General Information'!C20:F20&amp;","&amp;'General Information'!B21&amp;"-"&amp;'General Information'!C21:D21&amp;","&amp;'General Information'!E21&amp;"-"&amp;'General Information'!F21&amp;", "&amp;'General Information'!B22&amp;"-"&amp;'General Information'!C22:D22&amp;","&amp;'General Information'!B23&amp;"-"&amp;'General Information'!C23:D23&amp;","&amp;'General Information'!E23&amp;"-"&amp;'General Information'!F23&amp;", "&amp;'General Information'!B24&amp;"-"&amp;'General Information'!C24:D24&amp;","&amp;'General Information'!E24&amp;"-"&amp;'General Information'!F24</f>
        <v>Company's Chief Executive Name:,Designation:,Address:,City/Town/Village-,P.O.-, District-,State-,Pin-, Telephone-,Fax-</v>
      </c>
      <c r="D10" s="576"/>
      <c r="E10" s="577"/>
    </row>
    <row r="11" spans="1:5" ht="62.4" x14ac:dyDescent="0.3">
      <c r="A11" s="146" t="s">
        <v>410</v>
      </c>
      <c r="B11" s="147" t="s">
        <v>605</v>
      </c>
      <c r="C11" s="575" t="str">
        <f>'General Information'!C26:F26&amp;", "&amp; 'General Information'!C27:D27&amp;", "&amp;'General Information'!F27&amp;", "&amp;'General Information'!B28&amp;"- "&amp;'General Information'!C28:F28&amp;", "&amp;'General Information'!B29&amp;"-"&amp;'General Information'!C29:D29&amp;", "&amp;'General Information'!E29&amp;"- "&amp;'General Information'!F29&amp;", "&amp;'General Information'!B30&amp;"- "&amp;'General Information'!C30&amp;", "&amp;'General Information'!D30&amp;"-"&amp;'General Information'!E30</f>
        <v>, , , EA/EM Registration No.- , Telephone-, Fax- , Mobile- , E-mail ID-</v>
      </c>
      <c r="D11" s="576"/>
      <c r="E11" s="577"/>
    </row>
    <row r="12" spans="1:5" ht="17.399999999999999" x14ac:dyDescent="0.3">
      <c r="A12" s="139" t="s">
        <v>606</v>
      </c>
      <c r="B12" s="568" t="s">
        <v>607</v>
      </c>
      <c r="C12" s="569"/>
      <c r="D12" s="569"/>
      <c r="E12" s="570"/>
    </row>
    <row r="13" spans="1:5" x14ac:dyDescent="0.3">
      <c r="A13" s="142">
        <v>5</v>
      </c>
      <c r="B13" s="578" t="s">
        <v>608</v>
      </c>
      <c r="C13" s="579"/>
      <c r="D13" s="579"/>
      <c r="E13" s="580"/>
    </row>
    <row r="14" spans="1:5" x14ac:dyDescent="0.3">
      <c r="A14" s="142"/>
      <c r="B14" s="148" t="s">
        <v>609</v>
      </c>
      <c r="C14" s="142" t="s">
        <v>154</v>
      </c>
      <c r="D14" s="142" t="s">
        <v>688</v>
      </c>
      <c r="E14" s="142" t="s">
        <v>689</v>
      </c>
    </row>
    <row r="15" spans="1:5" x14ac:dyDescent="0.3">
      <c r="A15" s="142" t="s">
        <v>408</v>
      </c>
      <c r="B15" s="149" t="s">
        <v>610</v>
      </c>
      <c r="C15" s="145" t="s">
        <v>97</v>
      </c>
      <c r="D15" s="145"/>
      <c r="E15" s="145"/>
    </row>
    <row r="16" spans="1:5" x14ac:dyDescent="0.3">
      <c r="A16" s="142" t="s">
        <v>409</v>
      </c>
      <c r="B16" s="149" t="s">
        <v>611</v>
      </c>
      <c r="C16" s="145" t="s">
        <v>97</v>
      </c>
      <c r="D16" s="145"/>
      <c r="E16" s="145"/>
    </row>
    <row r="17" spans="1:5" x14ac:dyDescent="0.3">
      <c r="A17" s="142" t="s">
        <v>410</v>
      </c>
      <c r="B17" s="149" t="s">
        <v>612</v>
      </c>
      <c r="C17" s="145" t="s">
        <v>97</v>
      </c>
      <c r="D17" s="145"/>
      <c r="E17" s="145"/>
    </row>
    <row r="18" spans="1:5" ht="31.2" x14ac:dyDescent="0.3">
      <c r="A18" s="142" t="s">
        <v>411</v>
      </c>
      <c r="B18" s="149" t="s">
        <v>613</v>
      </c>
      <c r="C18" s="145" t="s">
        <v>97</v>
      </c>
      <c r="D18" s="145"/>
      <c r="E18" s="145"/>
    </row>
    <row r="19" spans="1:5" x14ac:dyDescent="0.3">
      <c r="A19" s="142" t="s">
        <v>412</v>
      </c>
      <c r="B19" s="149" t="s">
        <v>614</v>
      </c>
      <c r="C19" s="145" t="s">
        <v>97</v>
      </c>
      <c r="D19" s="145"/>
      <c r="E19" s="145"/>
    </row>
    <row r="20" spans="1:5" ht="17.399999999999999" x14ac:dyDescent="0.3">
      <c r="A20" s="139" t="s">
        <v>190</v>
      </c>
      <c r="B20" s="568" t="s">
        <v>615</v>
      </c>
      <c r="C20" s="569"/>
      <c r="D20" s="569"/>
      <c r="E20" s="570"/>
    </row>
    <row r="21" spans="1:5" ht="31.2" x14ac:dyDescent="0.3">
      <c r="A21" s="142" t="s">
        <v>616</v>
      </c>
      <c r="B21" s="143" t="s">
        <v>617</v>
      </c>
      <c r="C21" s="145" t="s">
        <v>618</v>
      </c>
      <c r="D21" s="145"/>
      <c r="E21" s="145"/>
    </row>
    <row r="22" spans="1:5" x14ac:dyDescent="0.3">
      <c r="A22" s="142" t="s">
        <v>409</v>
      </c>
      <c r="B22" s="143" t="s">
        <v>619</v>
      </c>
      <c r="C22" s="145" t="s">
        <v>618</v>
      </c>
      <c r="D22" s="145"/>
      <c r="E22" s="145"/>
    </row>
    <row r="23" spans="1:5" x14ac:dyDescent="0.3">
      <c r="A23" s="142" t="s">
        <v>410</v>
      </c>
      <c r="B23" s="143" t="s">
        <v>620</v>
      </c>
      <c r="C23" s="145" t="s">
        <v>618</v>
      </c>
      <c r="D23" s="145"/>
      <c r="E23" s="145"/>
    </row>
    <row r="24" spans="1:5" ht="31.2" x14ac:dyDescent="0.3">
      <c r="A24" s="142" t="s">
        <v>411</v>
      </c>
      <c r="B24" s="143" t="s">
        <v>621</v>
      </c>
      <c r="C24" s="145" t="s">
        <v>618</v>
      </c>
      <c r="D24" s="145"/>
      <c r="E24" s="145"/>
    </row>
    <row r="25" spans="1:5" x14ac:dyDescent="0.3">
      <c r="A25" s="142" t="s">
        <v>412</v>
      </c>
      <c r="B25" s="143" t="s">
        <v>622</v>
      </c>
      <c r="C25" s="145" t="s">
        <v>623</v>
      </c>
      <c r="D25" s="145"/>
      <c r="E25" s="145"/>
    </row>
    <row r="26" spans="1:5" x14ac:dyDescent="0.3">
      <c r="A26" s="142" t="s">
        <v>413</v>
      </c>
      <c r="B26" s="143" t="s">
        <v>624</v>
      </c>
      <c r="C26" s="145" t="s">
        <v>623</v>
      </c>
      <c r="D26" s="145"/>
      <c r="E26" s="145"/>
    </row>
    <row r="27" spans="1:5" x14ac:dyDescent="0.3">
      <c r="A27" s="142" t="s">
        <v>625</v>
      </c>
      <c r="B27" s="143" t="s">
        <v>626</v>
      </c>
      <c r="C27" s="145" t="s">
        <v>623</v>
      </c>
      <c r="D27" s="143"/>
      <c r="E27" s="143"/>
    </row>
    <row r="28" spans="1:5" ht="31.2" x14ac:dyDescent="0.3">
      <c r="A28" s="142" t="s">
        <v>414</v>
      </c>
      <c r="B28" s="143" t="s">
        <v>627</v>
      </c>
      <c r="C28" s="145" t="s">
        <v>623</v>
      </c>
      <c r="D28" s="143"/>
      <c r="E28" s="143"/>
    </row>
    <row r="29" spans="1:5" ht="46.8" x14ac:dyDescent="0.3">
      <c r="A29" s="142" t="s">
        <v>628</v>
      </c>
      <c r="B29" s="143" t="s">
        <v>629</v>
      </c>
      <c r="C29" s="145" t="s">
        <v>630</v>
      </c>
      <c r="D29" s="143"/>
      <c r="E29" s="143"/>
    </row>
    <row r="30" spans="1:5" ht="17.399999999999999" x14ac:dyDescent="0.3">
      <c r="A30" s="150" t="s">
        <v>191</v>
      </c>
      <c r="B30" s="581" t="s">
        <v>631</v>
      </c>
      <c r="C30" s="582"/>
      <c r="D30" s="582"/>
      <c r="E30" s="583"/>
    </row>
    <row r="31" spans="1:5" ht="46.8" x14ac:dyDescent="0.3">
      <c r="A31" s="142" t="s">
        <v>632</v>
      </c>
      <c r="B31" s="143" t="s">
        <v>633</v>
      </c>
      <c r="C31" s="145" t="s">
        <v>634</v>
      </c>
      <c r="D31" s="145"/>
      <c r="E31" s="145"/>
    </row>
    <row r="32" spans="1:5" ht="31.2" x14ac:dyDescent="0.3">
      <c r="A32" s="142" t="s">
        <v>32</v>
      </c>
      <c r="B32" s="143" t="s">
        <v>635</v>
      </c>
      <c r="C32" s="145" t="s">
        <v>634</v>
      </c>
      <c r="D32" s="145"/>
      <c r="E32" s="145"/>
    </row>
    <row r="33" spans="1:11" ht="17.399999999999999" x14ac:dyDescent="0.3">
      <c r="A33" s="139" t="s">
        <v>192</v>
      </c>
      <c r="B33" s="568" t="s">
        <v>636</v>
      </c>
      <c r="C33" s="569"/>
      <c r="D33" s="569"/>
      <c r="E33" s="570"/>
    </row>
    <row r="34" spans="1:11" x14ac:dyDescent="0.3">
      <c r="A34" s="142" t="s">
        <v>637</v>
      </c>
      <c r="B34" s="149" t="s">
        <v>461</v>
      </c>
      <c r="C34" s="145" t="s">
        <v>28</v>
      </c>
      <c r="D34" s="151">
        <f>'Form Sh'!M8</f>
        <v>0</v>
      </c>
      <c r="E34" s="151">
        <f>'Form Sh'!E8</f>
        <v>0</v>
      </c>
    </row>
    <row r="35" spans="1:11" ht="31.2" x14ac:dyDescent="0.3">
      <c r="A35" s="142" t="s">
        <v>32</v>
      </c>
      <c r="B35" s="149" t="s">
        <v>463</v>
      </c>
      <c r="C35" s="145" t="s">
        <v>1079</v>
      </c>
      <c r="D35" s="151">
        <f>'Form Sh'!M9</f>
        <v>0</v>
      </c>
      <c r="E35" s="151">
        <f>'Form Sh'!E9</f>
        <v>0</v>
      </c>
    </row>
    <row r="36" spans="1:11" s="152" customFormat="1" x14ac:dyDescent="0.3">
      <c r="A36" s="142" t="s">
        <v>77</v>
      </c>
      <c r="B36" s="149" t="s">
        <v>638</v>
      </c>
      <c r="C36" s="145" t="s">
        <v>92</v>
      </c>
      <c r="D36" s="151">
        <f>'Form Sh'!Q57</f>
        <v>0</v>
      </c>
      <c r="E36" s="151">
        <f>'Form Sh'!I57</f>
        <v>0</v>
      </c>
    </row>
    <row r="37" spans="1:11" s="152" customFormat="1" x14ac:dyDescent="0.3">
      <c r="A37" s="142" t="s">
        <v>283</v>
      </c>
      <c r="B37" s="149" t="s">
        <v>639</v>
      </c>
      <c r="C37" s="145" t="s">
        <v>62</v>
      </c>
      <c r="D37" s="151">
        <f>'Form Sh'!M69</f>
        <v>0</v>
      </c>
      <c r="E37" s="151">
        <f>'Form Sh'!F69</f>
        <v>0</v>
      </c>
    </row>
    <row r="38" spans="1:11" x14ac:dyDescent="0.3">
      <c r="A38" s="142" t="s">
        <v>38</v>
      </c>
      <c r="B38" s="149" t="s">
        <v>640</v>
      </c>
      <c r="C38" s="145" t="s">
        <v>110</v>
      </c>
      <c r="D38" s="517">
        <f>'NF-1 Coal Quality'!F26</f>
        <v>0</v>
      </c>
      <c r="E38" s="517">
        <f>'NF-1 Coal Quality'!E26</f>
        <v>0</v>
      </c>
    </row>
    <row r="39" spans="1:11" ht="31.2" x14ac:dyDescent="0.3">
      <c r="A39" s="142" t="s">
        <v>40</v>
      </c>
      <c r="B39" s="149" t="s">
        <v>641</v>
      </c>
      <c r="C39" s="145" t="s">
        <v>110</v>
      </c>
      <c r="D39" s="153">
        <f>'Form Sh'!S57</f>
        <v>0</v>
      </c>
      <c r="E39" s="154">
        <f>'Form Sh'!K57</f>
        <v>0</v>
      </c>
    </row>
    <row r="40" spans="1:11" x14ac:dyDescent="0.3">
      <c r="A40" s="142" t="s">
        <v>42</v>
      </c>
      <c r="B40" s="149" t="s">
        <v>642</v>
      </c>
      <c r="C40" s="145" t="s">
        <v>62</v>
      </c>
      <c r="D40" s="155">
        <f>'Form Sh'!M71</f>
        <v>0</v>
      </c>
      <c r="E40" s="155">
        <f>'Form Sh'!F71</f>
        <v>0</v>
      </c>
    </row>
    <row r="41" spans="1:11" x14ac:dyDescent="0.3">
      <c r="A41" s="142" t="s">
        <v>44</v>
      </c>
      <c r="B41" s="149" t="s">
        <v>643</v>
      </c>
      <c r="C41" s="145" t="s">
        <v>110</v>
      </c>
      <c r="D41" s="153">
        <f>'Form Sh'!M73</f>
        <v>0</v>
      </c>
      <c r="E41" s="153">
        <f>'Form Sh'!F73</f>
        <v>0</v>
      </c>
    </row>
    <row r="42" spans="1:11" ht="31.2" x14ac:dyDescent="0.3">
      <c r="A42" s="141" t="s">
        <v>46</v>
      </c>
      <c r="B42" s="149" t="s">
        <v>644</v>
      </c>
      <c r="C42" s="145" t="s">
        <v>110</v>
      </c>
      <c r="D42" s="156"/>
      <c r="E42" s="157">
        <f>IF(OR(E8="Gas Turbine (Open Cycle)",E8="Combined Cycle Gas Turbine (CCGT)"),('Summary Sheet'!E92), IF(E8="Coal/Lignite/Oil/Gas Fired", 'Summary Sheet'!E79, IF(E8= "DG Set", 'Summary Sheet'!E101,"Not Applicable")))</f>
        <v>0</v>
      </c>
    </row>
    <row r="43" spans="1:11" ht="30" customHeight="1" x14ac:dyDescent="0.3">
      <c r="A43" s="158" t="s">
        <v>193</v>
      </c>
      <c r="B43" s="569" t="s">
        <v>646</v>
      </c>
      <c r="C43" s="569"/>
      <c r="D43" s="569"/>
      <c r="E43" s="570"/>
      <c r="J43" s="113"/>
      <c r="K43" s="113"/>
    </row>
    <row r="44" spans="1:11" ht="30" customHeight="1" x14ac:dyDescent="0.3">
      <c r="A44" s="158" t="s">
        <v>647</v>
      </c>
      <c r="B44" s="159" t="s">
        <v>648</v>
      </c>
      <c r="C44" s="158" t="s">
        <v>601</v>
      </c>
      <c r="D44" s="584" t="s">
        <v>649</v>
      </c>
      <c r="E44" s="584"/>
    </row>
    <row r="45" spans="1:11" ht="30" customHeight="1" x14ac:dyDescent="0.3">
      <c r="A45" s="585" t="s">
        <v>408</v>
      </c>
      <c r="B45" s="587" t="s">
        <v>650</v>
      </c>
      <c r="C45" s="160" t="s">
        <v>651</v>
      </c>
      <c r="D45" s="589" t="s">
        <v>652</v>
      </c>
      <c r="E45" s="590"/>
    </row>
    <row r="46" spans="1:11" ht="30" customHeight="1" x14ac:dyDescent="0.3">
      <c r="A46" s="586"/>
      <c r="B46" s="588"/>
      <c r="C46" s="161" t="s">
        <v>653</v>
      </c>
      <c r="D46" s="589" t="s">
        <v>654</v>
      </c>
      <c r="E46" s="590"/>
    </row>
    <row r="47" spans="1:11" ht="30" customHeight="1" x14ac:dyDescent="0.3">
      <c r="A47" s="158" t="s">
        <v>409</v>
      </c>
      <c r="B47" s="143" t="s">
        <v>655</v>
      </c>
      <c r="C47" s="160" t="s">
        <v>655</v>
      </c>
      <c r="D47" s="589" t="s">
        <v>656</v>
      </c>
      <c r="E47" s="590"/>
    </row>
    <row r="48" spans="1:11" ht="30" customHeight="1" x14ac:dyDescent="0.3">
      <c r="A48" s="158" t="s">
        <v>410</v>
      </c>
      <c r="B48" s="161" t="s">
        <v>657</v>
      </c>
      <c r="C48" s="160" t="s">
        <v>657</v>
      </c>
      <c r="D48" s="589" t="s">
        <v>658</v>
      </c>
      <c r="E48" s="590"/>
    </row>
    <row r="49" spans="1:8" ht="30" customHeight="1" x14ac:dyDescent="0.3">
      <c r="A49" s="158" t="s">
        <v>411</v>
      </c>
      <c r="B49" s="161" t="s">
        <v>659</v>
      </c>
      <c r="C49" s="160" t="s">
        <v>659</v>
      </c>
      <c r="D49" s="589" t="s">
        <v>660</v>
      </c>
      <c r="E49" s="590"/>
    </row>
    <row r="50" spans="1:8" ht="30" customHeight="1" x14ac:dyDescent="0.3">
      <c r="A50" s="585" t="s">
        <v>412</v>
      </c>
      <c r="B50" s="591" t="s">
        <v>661</v>
      </c>
      <c r="C50" s="160" t="s">
        <v>662</v>
      </c>
      <c r="D50" s="589" t="s">
        <v>663</v>
      </c>
      <c r="E50" s="590"/>
    </row>
    <row r="51" spans="1:8" ht="30" customHeight="1" x14ac:dyDescent="0.3">
      <c r="A51" s="586"/>
      <c r="B51" s="591"/>
      <c r="C51" s="160" t="s">
        <v>664</v>
      </c>
      <c r="D51" s="589" t="s">
        <v>665</v>
      </c>
      <c r="E51" s="590"/>
    </row>
    <row r="52" spans="1:8" ht="30" customHeight="1" x14ac:dyDescent="0.3">
      <c r="A52" s="158" t="s">
        <v>413</v>
      </c>
      <c r="B52" s="161" t="s">
        <v>666</v>
      </c>
      <c r="C52" s="160" t="s">
        <v>666</v>
      </c>
      <c r="D52" s="589" t="s">
        <v>667</v>
      </c>
      <c r="E52" s="590"/>
    </row>
    <row r="53" spans="1:8" x14ac:dyDescent="0.3">
      <c r="A53" s="585" t="s">
        <v>625</v>
      </c>
      <c r="B53" s="591" t="s">
        <v>668</v>
      </c>
      <c r="C53" s="160" t="s">
        <v>669</v>
      </c>
      <c r="D53" s="589" t="s">
        <v>670</v>
      </c>
      <c r="E53" s="590"/>
    </row>
    <row r="54" spans="1:8" x14ac:dyDescent="0.3">
      <c r="A54" s="595"/>
      <c r="B54" s="591"/>
      <c r="C54" s="160" t="s">
        <v>671</v>
      </c>
      <c r="D54" s="589" t="s">
        <v>672</v>
      </c>
      <c r="E54" s="590"/>
    </row>
    <row r="55" spans="1:8" x14ac:dyDescent="0.3">
      <c r="A55" s="595"/>
      <c r="B55" s="591"/>
      <c r="C55" s="160" t="s">
        <v>673</v>
      </c>
      <c r="D55" s="589" t="s">
        <v>674</v>
      </c>
      <c r="E55" s="590"/>
    </row>
    <row r="56" spans="1:8" x14ac:dyDescent="0.3">
      <c r="A56" s="586"/>
      <c r="B56" s="591"/>
      <c r="C56" s="160" t="s">
        <v>675</v>
      </c>
      <c r="D56" s="589" t="s">
        <v>676</v>
      </c>
      <c r="E56" s="590"/>
    </row>
    <row r="57" spans="1:8" x14ac:dyDescent="0.3">
      <c r="A57" s="158" t="s">
        <v>414</v>
      </c>
      <c r="B57" s="161" t="s">
        <v>677</v>
      </c>
      <c r="C57" s="160" t="s">
        <v>677</v>
      </c>
      <c r="D57" s="589" t="s">
        <v>678</v>
      </c>
      <c r="E57" s="590"/>
    </row>
    <row r="58" spans="1:8" x14ac:dyDescent="0.3">
      <c r="A58" s="593"/>
      <c r="B58" s="593"/>
      <c r="C58" s="593"/>
      <c r="D58" s="594"/>
      <c r="E58" s="594"/>
    </row>
    <row r="59" spans="1:8" x14ac:dyDescent="0.3">
      <c r="A59" s="592" t="s">
        <v>1200</v>
      </c>
      <c r="B59" s="592"/>
      <c r="C59" s="592"/>
      <c r="D59" s="592"/>
      <c r="E59" s="592"/>
    </row>
    <row r="60" spans="1:8" x14ac:dyDescent="0.35">
      <c r="A60" s="592"/>
      <c r="B60" s="592"/>
      <c r="C60" s="592"/>
      <c r="D60" s="592"/>
      <c r="E60" s="592"/>
      <c r="F60" s="162"/>
      <c r="G60" s="162"/>
    </row>
    <row r="61" spans="1:8" x14ac:dyDescent="0.35">
      <c r="A61" s="453" t="s">
        <v>1201</v>
      </c>
      <c r="B61" s="454"/>
      <c r="C61" s="454"/>
      <c r="D61" s="454"/>
      <c r="E61" s="454"/>
      <c r="G61" s="162"/>
      <c r="H61" s="162"/>
    </row>
    <row r="62" spans="1:8" x14ac:dyDescent="0.35">
      <c r="A62" s="455"/>
      <c r="B62" s="456"/>
      <c r="C62" s="457"/>
      <c r="D62" s="458" t="s">
        <v>679</v>
      </c>
      <c r="E62" s="459"/>
      <c r="F62" s="162"/>
      <c r="H62" s="162"/>
    </row>
    <row r="63" spans="1:8" x14ac:dyDescent="0.35">
      <c r="A63" s="455"/>
      <c r="B63" s="456"/>
      <c r="C63" s="457"/>
      <c r="D63" s="453" t="s">
        <v>680</v>
      </c>
      <c r="E63" s="459"/>
      <c r="G63" s="162"/>
      <c r="H63" s="162"/>
    </row>
    <row r="64" spans="1:8" x14ac:dyDescent="0.35">
      <c r="A64" s="458" t="s">
        <v>1202</v>
      </c>
      <c r="B64" s="456"/>
      <c r="C64" s="457"/>
      <c r="D64" s="453" t="s">
        <v>681</v>
      </c>
      <c r="E64" s="459"/>
      <c r="F64" s="162"/>
      <c r="G64" s="162"/>
      <c r="H64" s="162"/>
    </row>
    <row r="65" spans="1:8" x14ac:dyDescent="0.35">
      <c r="A65" s="453" t="s">
        <v>1203</v>
      </c>
      <c r="B65" s="456"/>
      <c r="C65" s="457"/>
      <c r="D65" s="460"/>
      <c r="E65" s="459"/>
      <c r="F65" s="162"/>
      <c r="G65" s="162"/>
      <c r="H65" s="162"/>
    </row>
    <row r="66" spans="1:8" x14ac:dyDescent="0.35">
      <c r="A66" s="453" t="s">
        <v>682</v>
      </c>
      <c r="B66" s="456"/>
      <c r="C66" s="456"/>
      <c r="D66" s="456"/>
      <c r="E66" s="459"/>
      <c r="F66" s="162"/>
      <c r="G66" s="162"/>
      <c r="H66" s="162"/>
    </row>
    <row r="67" spans="1:8" x14ac:dyDescent="0.35">
      <c r="A67" s="453"/>
      <c r="B67" s="456"/>
      <c r="C67" s="456"/>
      <c r="D67" s="456"/>
      <c r="E67" s="459"/>
      <c r="F67" s="162"/>
      <c r="G67" s="162"/>
      <c r="H67" s="162"/>
    </row>
    <row r="68" spans="1:8" x14ac:dyDescent="0.25">
      <c r="A68" s="461"/>
      <c r="B68" s="459"/>
      <c r="C68" s="459"/>
      <c r="D68" s="460"/>
      <c r="E68" s="459"/>
    </row>
    <row r="69" spans="1:8" x14ac:dyDescent="0.25">
      <c r="A69" s="453" t="s">
        <v>683</v>
      </c>
      <c r="B69" s="459"/>
      <c r="C69" s="459"/>
      <c r="D69" s="459"/>
      <c r="E69" s="459"/>
    </row>
    <row r="70" spans="1:8" x14ac:dyDescent="0.3">
      <c r="A70" s="462"/>
      <c r="B70" s="463"/>
      <c r="C70" s="464"/>
      <c r="D70" s="464"/>
      <c r="E70" s="464"/>
    </row>
    <row r="71" spans="1:8" x14ac:dyDescent="0.25">
      <c r="A71" s="455"/>
      <c r="B71" s="460"/>
      <c r="C71" s="460"/>
      <c r="D71" s="460"/>
      <c r="E71" s="465"/>
    </row>
    <row r="72" spans="1:8" x14ac:dyDescent="0.25">
      <c r="A72" s="461" t="s">
        <v>136</v>
      </c>
      <c r="B72" s="460"/>
      <c r="C72" s="460"/>
      <c r="D72" s="460"/>
      <c r="E72" s="465"/>
    </row>
  </sheetData>
  <sheetProtection password="EC3B" sheet="1" objects="1" scenarios="1"/>
  <mergeCells count="42">
    <mergeCell ref="A59:E60"/>
    <mergeCell ref="D57:E57"/>
    <mergeCell ref="A58:E58"/>
    <mergeCell ref="D52:E52"/>
    <mergeCell ref="A53:A56"/>
    <mergeCell ref="B53:B56"/>
    <mergeCell ref="D53:E53"/>
    <mergeCell ref="D54:E54"/>
    <mergeCell ref="D55:E55"/>
    <mergeCell ref="D56:E56"/>
    <mergeCell ref="D47:E47"/>
    <mergeCell ref="D48:E48"/>
    <mergeCell ref="D49:E49"/>
    <mergeCell ref="A50:A51"/>
    <mergeCell ref="B50:B51"/>
    <mergeCell ref="D50:E50"/>
    <mergeCell ref="D51:E51"/>
    <mergeCell ref="B43:E43"/>
    <mergeCell ref="D44:E44"/>
    <mergeCell ref="A45:A46"/>
    <mergeCell ref="B45:B46"/>
    <mergeCell ref="D45:E45"/>
    <mergeCell ref="D46:E46"/>
    <mergeCell ref="B33:E33"/>
    <mergeCell ref="A7:A8"/>
    <mergeCell ref="B7:B8"/>
    <mergeCell ref="C7:D7"/>
    <mergeCell ref="C8:D8"/>
    <mergeCell ref="C9:E9"/>
    <mergeCell ref="C10:E10"/>
    <mergeCell ref="C11:E11"/>
    <mergeCell ref="B12:E12"/>
    <mergeCell ref="B13:E13"/>
    <mergeCell ref="B20:E20"/>
    <mergeCell ref="B30:E30"/>
    <mergeCell ref="A1:E1"/>
    <mergeCell ref="A2:E2"/>
    <mergeCell ref="C3:E3"/>
    <mergeCell ref="C4:E4"/>
    <mergeCell ref="A5:A6"/>
    <mergeCell ref="C5:E5"/>
    <mergeCell ref="C6:E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zoomScale="80" zoomScaleNormal="80" workbookViewId="0">
      <selection activeCell="C40" sqref="C40"/>
    </sheetView>
  </sheetViews>
  <sheetFormatPr defaultColWidth="9.109375" defaultRowHeight="18.600000000000001" x14ac:dyDescent="0.3"/>
  <cols>
    <col min="1" max="1" width="9.109375" style="3" customWidth="1"/>
    <col min="2" max="2" width="51.5546875" style="8" customWidth="1"/>
    <col min="3" max="3" width="43.44140625" style="9" customWidth="1"/>
    <col min="4" max="4" width="18.88671875" style="10" customWidth="1"/>
    <col min="5" max="5" width="23.5546875" style="9" customWidth="1"/>
    <col min="6" max="6" width="37.88671875" style="9" customWidth="1"/>
    <col min="7" max="248" width="9.109375" style="9"/>
    <col min="249" max="249" width="9.5546875" style="9" customWidth="1"/>
    <col min="250" max="250" width="12.44140625" style="9" customWidth="1"/>
    <col min="251" max="251" width="12" style="9" customWidth="1"/>
    <col min="252" max="252" width="12.88671875" style="9" customWidth="1"/>
    <col min="253" max="253" width="11.109375" style="9" customWidth="1"/>
    <col min="254" max="254" width="15.109375" style="9" customWidth="1"/>
    <col min="255" max="255" width="14.109375" style="9" customWidth="1"/>
    <col min="256" max="256" width="13.109375" style="9" customWidth="1"/>
    <col min="257" max="257" width="13.44140625" style="9" customWidth="1"/>
    <col min="258" max="258" width="14.33203125" style="9" customWidth="1"/>
    <col min="259" max="259" width="13.44140625" style="9" customWidth="1"/>
    <col min="260" max="260" width="12.88671875" style="9" customWidth="1"/>
    <col min="261" max="261" width="14.44140625" style="9" customWidth="1"/>
    <col min="262" max="504" width="9.109375" style="9"/>
    <col min="505" max="505" width="9.5546875" style="9" customWidth="1"/>
    <col min="506" max="506" width="12.44140625" style="9" customWidth="1"/>
    <col min="507" max="507" width="12" style="9" customWidth="1"/>
    <col min="508" max="508" width="12.88671875" style="9" customWidth="1"/>
    <col min="509" max="509" width="11.109375" style="9" customWidth="1"/>
    <col min="510" max="510" width="15.109375" style="9" customWidth="1"/>
    <col min="511" max="511" width="14.109375" style="9" customWidth="1"/>
    <col min="512" max="512" width="13.109375" style="9" customWidth="1"/>
    <col min="513" max="513" width="13.44140625" style="9" customWidth="1"/>
    <col min="514" max="514" width="14.33203125" style="9" customWidth="1"/>
    <col min="515" max="515" width="13.44140625" style="9" customWidth="1"/>
    <col min="516" max="516" width="12.88671875" style="9" customWidth="1"/>
    <col min="517" max="517" width="14.44140625" style="9" customWidth="1"/>
    <col min="518" max="760" width="9.109375" style="9"/>
    <col min="761" max="761" width="9.5546875" style="9" customWidth="1"/>
    <col min="762" max="762" width="12.44140625" style="9" customWidth="1"/>
    <col min="763" max="763" width="12" style="9" customWidth="1"/>
    <col min="764" max="764" width="12.88671875" style="9" customWidth="1"/>
    <col min="765" max="765" width="11.109375" style="9" customWidth="1"/>
    <col min="766" max="766" width="15.109375" style="9" customWidth="1"/>
    <col min="767" max="767" width="14.109375" style="9" customWidth="1"/>
    <col min="768" max="768" width="13.109375" style="9" customWidth="1"/>
    <col min="769" max="769" width="13.44140625" style="9" customWidth="1"/>
    <col min="770" max="770" width="14.33203125" style="9" customWidth="1"/>
    <col min="771" max="771" width="13.44140625" style="9" customWidth="1"/>
    <col min="772" max="772" width="12.88671875" style="9" customWidth="1"/>
    <col min="773" max="773" width="14.44140625" style="9" customWidth="1"/>
    <col min="774" max="1016" width="9.109375" style="9"/>
    <col min="1017" max="1017" width="9.5546875" style="9" customWidth="1"/>
    <col min="1018" max="1018" width="12.44140625" style="9" customWidth="1"/>
    <col min="1019" max="1019" width="12" style="9" customWidth="1"/>
    <col min="1020" max="1020" width="12.88671875" style="9" customWidth="1"/>
    <col min="1021" max="1021" width="11.109375" style="9" customWidth="1"/>
    <col min="1022" max="1022" width="15.109375" style="9" customWidth="1"/>
    <col min="1023" max="1023" width="14.109375" style="9" customWidth="1"/>
    <col min="1024" max="1024" width="13.109375" style="9" customWidth="1"/>
    <col min="1025" max="1025" width="13.44140625" style="9" customWidth="1"/>
    <col min="1026" max="1026" width="14.33203125" style="9" customWidth="1"/>
    <col min="1027" max="1027" width="13.44140625" style="9" customWidth="1"/>
    <col min="1028" max="1028" width="12.88671875" style="9" customWidth="1"/>
    <col min="1029" max="1029" width="14.44140625" style="9" customWidth="1"/>
    <col min="1030" max="1272" width="9.109375" style="9"/>
    <col min="1273" max="1273" width="9.5546875" style="9" customWidth="1"/>
    <col min="1274" max="1274" width="12.44140625" style="9" customWidth="1"/>
    <col min="1275" max="1275" width="12" style="9" customWidth="1"/>
    <col min="1276" max="1276" width="12.88671875" style="9" customWidth="1"/>
    <col min="1277" max="1277" width="11.109375" style="9" customWidth="1"/>
    <col min="1278" max="1278" width="15.109375" style="9" customWidth="1"/>
    <col min="1279" max="1279" width="14.109375" style="9" customWidth="1"/>
    <col min="1280" max="1280" width="13.109375" style="9" customWidth="1"/>
    <col min="1281" max="1281" width="13.44140625" style="9" customWidth="1"/>
    <col min="1282" max="1282" width="14.33203125" style="9" customWidth="1"/>
    <col min="1283" max="1283" width="13.44140625" style="9" customWidth="1"/>
    <col min="1284" max="1284" width="12.88671875" style="9" customWidth="1"/>
    <col min="1285" max="1285" width="14.44140625" style="9" customWidth="1"/>
    <col min="1286" max="1528" width="9.109375" style="9"/>
    <col min="1529" max="1529" width="9.5546875" style="9" customWidth="1"/>
    <col min="1530" max="1530" width="12.44140625" style="9" customWidth="1"/>
    <col min="1531" max="1531" width="12" style="9" customWidth="1"/>
    <col min="1532" max="1532" width="12.88671875" style="9" customWidth="1"/>
    <col min="1533" max="1533" width="11.109375" style="9" customWidth="1"/>
    <col min="1534" max="1534" width="15.109375" style="9" customWidth="1"/>
    <col min="1535" max="1535" width="14.109375" style="9" customWidth="1"/>
    <col min="1536" max="1536" width="13.109375" style="9" customWidth="1"/>
    <col min="1537" max="1537" width="13.44140625" style="9" customWidth="1"/>
    <col min="1538" max="1538" width="14.33203125" style="9" customWidth="1"/>
    <col min="1539" max="1539" width="13.44140625" style="9" customWidth="1"/>
    <col min="1540" max="1540" width="12.88671875" style="9" customWidth="1"/>
    <col min="1541" max="1541" width="14.44140625" style="9" customWidth="1"/>
    <col min="1542" max="1784" width="9.109375" style="9"/>
    <col min="1785" max="1785" width="9.5546875" style="9" customWidth="1"/>
    <col min="1786" max="1786" width="12.44140625" style="9" customWidth="1"/>
    <col min="1787" max="1787" width="12" style="9" customWidth="1"/>
    <col min="1788" max="1788" width="12.88671875" style="9" customWidth="1"/>
    <col min="1789" max="1789" width="11.109375" style="9" customWidth="1"/>
    <col min="1790" max="1790" width="15.109375" style="9" customWidth="1"/>
    <col min="1791" max="1791" width="14.109375" style="9" customWidth="1"/>
    <col min="1792" max="1792" width="13.109375" style="9" customWidth="1"/>
    <col min="1793" max="1793" width="13.44140625" style="9" customWidth="1"/>
    <col min="1794" max="1794" width="14.33203125" style="9" customWidth="1"/>
    <col min="1795" max="1795" width="13.44140625" style="9" customWidth="1"/>
    <col min="1796" max="1796" width="12.88671875" style="9" customWidth="1"/>
    <col min="1797" max="1797" width="14.44140625" style="9" customWidth="1"/>
    <col min="1798" max="2040" width="9.109375" style="9"/>
    <col min="2041" max="2041" width="9.5546875" style="9" customWidth="1"/>
    <col min="2042" max="2042" width="12.44140625" style="9" customWidth="1"/>
    <col min="2043" max="2043" width="12" style="9" customWidth="1"/>
    <col min="2044" max="2044" width="12.88671875" style="9" customWidth="1"/>
    <col min="2045" max="2045" width="11.109375" style="9" customWidth="1"/>
    <col min="2046" max="2046" width="15.109375" style="9" customWidth="1"/>
    <col min="2047" max="2047" width="14.109375" style="9" customWidth="1"/>
    <col min="2048" max="2048" width="13.109375" style="9" customWidth="1"/>
    <col min="2049" max="2049" width="13.44140625" style="9" customWidth="1"/>
    <col min="2050" max="2050" width="14.33203125" style="9" customWidth="1"/>
    <col min="2051" max="2051" width="13.44140625" style="9" customWidth="1"/>
    <col min="2052" max="2052" width="12.88671875" style="9" customWidth="1"/>
    <col min="2053" max="2053" width="14.44140625" style="9" customWidth="1"/>
    <col min="2054" max="2296" width="9.109375" style="9"/>
    <col min="2297" max="2297" width="9.5546875" style="9" customWidth="1"/>
    <col min="2298" max="2298" width="12.44140625" style="9" customWidth="1"/>
    <col min="2299" max="2299" width="12" style="9" customWidth="1"/>
    <col min="2300" max="2300" width="12.88671875" style="9" customWidth="1"/>
    <col min="2301" max="2301" width="11.109375" style="9" customWidth="1"/>
    <col min="2302" max="2302" width="15.109375" style="9" customWidth="1"/>
    <col min="2303" max="2303" width="14.109375" style="9" customWidth="1"/>
    <col min="2304" max="2304" width="13.109375" style="9" customWidth="1"/>
    <col min="2305" max="2305" width="13.44140625" style="9" customWidth="1"/>
    <col min="2306" max="2306" width="14.33203125" style="9" customWidth="1"/>
    <col min="2307" max="2307" width="13.44140625" style="9" customWidth="1"/>
    <col min="2308" max="2308" width="12.88671875" style="9" customWidth="1"/>
    <col min="2309" max="2309" width="14.44140625" style="9" customWidth="1"/>
    <col min="2310" max="2552" width="9.109375" style="9"/>
    <col min="2553" max="2553" width="9.5546875" style="9" customWidth="1"/>
    <col min="2554" max="2554" width="12.44140625" style="9" customWidth="1"/>
    <col min="2555" max="2555" width="12" style="9" customWidth="1"/>
    <col min="2556" max="2556" width="12.88671875" style="9" customWidth="1"/>
    <col min="2557" max="2557" width="11.109375" style="9" customWidth="1"/>
    <col min="2558" max="2558" width="15.109375" style="9" customWidth="1"/>
    <col min="2559" max="2559" width="14.109375" style="9" customWidth="1"/>
    <col min="2560" max="2560" width="13.109375" style="9" customWidth="1"/>
    <col min="2561" max="2561" width="13.44140625" style="9" customWidth="1"/>
    <col min="2562" max="2562" width="14.33203125" style="9" customWidth="1"/>
    <col min="2563" max="2563" width="13.44140625" style="9" customWidth="1"/>
    <col min="2564" max="2564" width="12.88671875" style="9" customWidth="1"/>
    <col min="2565" max="2565" width="14.44140625" style="9" customWidth="1"/>
    <col min="2566" max="2808" width="9.109375" style="9"/>
    <col min="2809" max="2809" width="9.5546875" style="9" customWidth="1"/>
    <col min="2810" max="2810" width="12.44140625" style="9" customWidth="1"/>
    <col min="2811" max="2811" width="12" style="9" customWidth="1"/>
    <col min="2812" max="2812" width="12.88671875" style="9" customWidth="1"/>
    <col min="2813" max="2813" width="11.109375" style="9" customWidth="1"/>
    <col min="2814" max="2814" width="15.109375" style="9" customWidth="1"/>
    <col min="2815" max="2815" width="14.109375" style="9" customWidth="1"/>
    <col min="2816" max="2816" width="13.109375" style="9" customWidth="1"/>
    <col min="2817" max="2817" width="13.44140625" style="9" customWidth="1"/>
    <col min="2818" max="2818" width="14.33203125" style="9" customWidth="1"/>
    <col min="2819" max="2819" width="13.44140625" style="9" customWidth="1"/>
    <col min="2820" max="2820" width="12.88671875" style="9" customWidth="1"/>
    <col min="2821" max="2821" width="14.44140625" style="9" customWidth="1"/>
    <col min="2822" max="3064" width="9.109375" style="9"/>
    <col min="3065" max="3065" width="9.5546875" style="9" customWidth="1"/>
    <col min="3066" max="3066" width="12.44140625" style="9" customWidth="1"/>
    <col min="3067" max="3067" width="12" style="9" customWidth="1"/>
    <col min="3068" max="3068" width="12.88671875" style="9" customWidth="1"/>
    <col min="3069" max="3069" width="11.109375" style="9" customWidth="1"/>
    <col min="3070" max="3070" width="15.109375" style="9" customWidth="1"/>
    <col min="3071" max="3071" width="14.109375" style="9" customWidth="1"/>
    <col min="3072" max="3072" width="13.109375" style="9" customWidth="1"/>
    <col min="3073" max="3073" width="13.44140625" style="9" customWidth="1"/>
    <col min="3074" max="3074" width="14.33203125" style="9" customWidth="1"/>
    <col min="3075" max="3075" width="13.44140625" style="9" customWidth="1"/>
    <col min="3076" max="3076" width="12.88671875" style="9" customWidth="1"/>
    <col min="3077" max="3077" width="14.44140625" style="9" customWidth="1"/>
    <col min="3078" max="3320" width="9.109375" style="9"/>
    <col min="3321" max="3321" width="9.5546875" style="9" customWidth="1"/>
    <col min="3322" max="3322" width="12.44140625" style="9" customWidth="1"/>
    <col min="3323" max="3323" width="12" style="9" customWidth="1"/>
    <col min="3324" max="3324" width="12.88671875" style="9" customWidth="1"/>
    <col min="3325" max="3325" width="11.109375" style="9" customWidth="1"/>
    <col min="3326" max="3326" width="15.109375" style="9" customWidth="1"/>
    <col min="3327" max="3327" width="14.109375" style="9" customWidth="1"/>
    <col min="3328" max="3328" width="13.109375" style="9" customWidth="1"/>
    <col min="3329" max="3329" width="13.44140625" style="9" customWidth="1"/>
    <col min="3330" max="3330" width="14.33203125" style="9" customWidth="1"/>
    <col min="3331" max="3331" width="13.44140625" style="9" customWidth="1"/>
    <col min="3332" max="3332" width="12.88671875" style="9" customWidth="1"/>
    <col min="3333" max="3333" width="14.44140625" style="9" customWidth="1"/>
    <col min="3334" max="3576" width="9.109375" style="9"/>
    <col min="3577" max="3577" width="9.5546875" style="9" customWidth="1"/>
    <col min="3578" max="3578" width="12.44140625" style="9" customWidth="1"/>
    <col min="3579" max="3579" width="12" style="9" customWidth="1"/>
    <col min="3580" max="3580" width="12.88671875" style="9" customWidth="1"/>
    <col min="3581" max="3581" width="11.109375" style="9" customWidth="1"/>
    <col min="3582" max="3582" width="15.109375" style="9" customWidth="1"/>
    <col min="3583" max="3583" width="14.109375" style="9" customWidth="1"/>
    <col min="3584" max="3584" width="13.109375" style="9" customWidth="1"/>
    <col min="3585" max="3585" width="13.44140625" style="9" customWidth="1"/>
    <col min="3586" max="3586" width="14.33203125" style="9" customWidth="1"/>
    <col min="3587" max="3587" width="13.44140625" style="9" customWidth="1"/>
    <col min="3588" max="3588" width="12.88671875" style="9" customWidth="1"/>
    <col min="3589" max="3589" width="14.44140625" style="9" customWidth="1"/>
    <col min="3590" max="3832" width="9.109375" style="9"/>
    <col min="3833" max="3833" width="9.5546875" style="9" customWidth="1"/>
    <col min="3834" max="3834" width="12.44140625" style="9" customWidth="1"/>
    <col min="3835" max="3835" width="12" style="9" customWidth="1"/>
    <col min="3836" max="3836" width="12.88671875" style="9" customWidth="1"/>
    <col min="3837" max="3837" width="11.109375" style="9" customWidth="1"/>
    <col min="3838" max="3838" width="15.109375" style="9" customWidth="1"/>
    <col min="3839" max="3839" width="14.109375" style="9" customWidth="1"/>
    <col min="3840" max="3840" width="13.109375" style="9" customWidth="1"/>
    <col min="3841" max="3841" width="13.44140625" style="9" customWidth="1"/>
    <col min="3842" max="3842" width="14.33203125" style="9" customWidth="1"/>
    <col min="3843" max="3843" width="13.44140625" style="9" customWidth="1"/>
    <col min="3844" max="3844" width="12.88671875" style="9" customWidth="1"/>
    <col min="3845" max="3845" width="14.44140625" style="9" customWidth="1"/>
    <col min="3846" max="4088" width="9.109375" style="9"/>
    <col min="4089" max="4089" width="9.5546875" style="9" customWidth="1"/>
    <col min="4090" max="4090" width="12.44140625" style="9" customWidth="1"/>
    <col min="4091" max="4091" width="12" style="9" customWidth="1"/>
    <col min="4092" max="4092" width="12.88671875" style="9" customWidth="1"/>
    <col min="4093" max="4093" width="11.109375" style="9" customWidth="1"/>
    <col min="4094" max="4094" width="15.109375" style="9" customWidth="1"/>
    <col min="4095" max="4095" width="14.109375" style="9" customWidth="1"/>
    <col min="4096" max="4096" width="13.109375" style="9" customWidth="1"/>
    <col min="4097" max="4097" width="13.44140625" style="9" customWidth="1"/>
    <col min="4098" max="4098" width="14.33203125" style="9" customWidth="1"/>
    <col min="4099" max="4099" width="13.44140625" style="9" customWidth="1"/>
    <col min="4100" max="4100" width="12.88671875" style="9" customWidth="1"/>
    <col min="4101" max="4101" width="14.44140625" style="9" customWidth="1"/>
    <col min="4102" max="4344" width="9.109375" style="9"/>
    <col min="4345" max="4345" width="9.5546875" style="9" customWidth="1"/>
    <col min="4346" max="4346" width="12.44140625" style="9" customWidth="1"/>
    <col min="4347" max="4347" width="12" style="9" customWidth="1"/>
    <col min="4348" max="4348" width="12.88671875" style="9" customWidth="1"/>
    <col min="4349" max="4349" width="11.109375" style="9" customWidth="1"/>
    <col min="4350" max="4350" width="15.109375" style="9" customWidth="1"/>
    <col min="4351" max="4351" width="14.109375" style="9" customWidth="1"/>
    <col min="4352" max="4352" width="13.109375" style="9" customWidth="1"/>
    <col min="4353" max="4353" width="13.44140625" style="9" customWidth="1"/>
    <col min="4354" max="4354" width="14.33203125" style="9" customWidth="1"/>
    <col min="4355" max="4355" width="13.44140625" style="9" customWidth="1"/>
    <col min="4356" max="4356" width="12.88671875" style="9" customWidth="1"/>
    <col min="4357" max="4357" width="14.44140625" style="9" customWidth="1"/>
    <col min="4358" max="4600" width="9.109375" style="9"/>
    <col min="4601" max="4601" width="9.5546875" style="9" customWidth="1"/>
    <col min="4602" max="4602" width="12.44140625" style="9" customWidth="1"/>
    <col min="4603" max="4603" width="12" style="9" customWidth="1"/>
    <col min="4604" max="4604" width="12.88671875" style="9" customWidth="1"/>
    <col min="4605" max="4605" width="11.109375" style="9" customWidth="1"/>
    <col min="4606" max="4606" width="15.109375" style="9" customWidth="1"/>
    <col min="4607" max="4607" width="14.109375" style="9" customWidth="1"/>
    <col min="4608" max="4608" width="13.109375" style="9" customWidth="1"/>
    <col min="4609" max="4609" width="13.44140625" style="9" customWidth="1"/>
    <col min="4610" max="4610" width="14.33203125" style="9" customWidth="1"/>
    <col min="4611" max="4611" width="13.44140625" style="9" customWidth="1"/>
    <col min="4612" max="4612" width="12.88671875" style="9" customWidth="1"/>
    <col min="4613" max="4613" width="14.44140625" style="9" customWidth="1"/>
    <col min="4614" max="4856" width="9.109375" style="9"/>
    <col min="4857" max="4857" width="9.5546875" style="9" customWidth="1"/>
    <col min="4858" max="4858" width="12.44140625" style="9" customWidth="1"/>
    <col min="4859" max="4859" width="12" style="9" customWidth="1"/>
    <col min="4860" max="4860" width="12.88671875" style="9" customWidth="1"/>
    <col min="4861" max="4861" width="11.109375" style="9" customWidth="1"/>
    <col min="4862" max="4862" width="15.109375" style="9" customWidth="1"/>
    <col min="4863" max="4863" width="14.109375" style="9" customWidth="1"/>
    <col min="4864" max="4864" width="13.109375" style="9" customWidth="1"/>
    <col min="4865" max="4865" width="13.44140625" style="9" customWidth="1"/>
    <col min="4866" max="4866" width="14.33203125" style="9" customWidth="1"/>
    <col min="4867" max="4867" width="13.44140625" style="9" customWidth="1"/>
    <col min="4868" max="4868" width="12.88671875" style="9" customWidth="1"/>
    <col min="4869" max="4869" width="14.44140625" style="9" customWidth="1"/>
    <col min="4870" max="5112" width="9.109375" style="9"/>
    <col min="5113" max="5113" width="9.5546875" style="9" customWidth="1"/>
    <col min="5114" max="5114" width="12.44140625" style="9" customWidth="1"/>
    <col min="5115" max="5115" width="12" style="9" customWidth="1"/>
    <col min="5116" max="5116" width="12.88671875" style="9" customWidth="1"/>
    <col min="5117" max="5117" width="11.109375" style="9" customWidth="1"/>
    <col min="5118" max="5118" width="15.109375" style="9" customWidth="1"/>
    <col min="5119" max="5119" width="14.109375" style="9" customWidth="1"/>
    <col min="5120" max="5120" width="13.109375" style="9" customWidth="1"/>
    <col min="5121" max="5121" width="13.44140625" style="9" customWidth="1"/>
    <col min="5122" max="5122" width="14.33203125" style="9" customWidth="1"/>
    <col min="5123" max="5123" width="13.44140625" style="9" customWidth="1"/>
    <col min="5124" max="5124" width="12.88671875" style="9" customWidth="1"/>
    <col min="5125" max="5125" width="14.44140625" style="9" customWidth="1"/>
    <col min="5126" max="5368" width="9.109375" style="9"/>
    <col min="5369" max="5369" width="9.5546875" style="9" customWidth="1"/>
    <col min="5370" max="5370" width="12.44140625" style="9" customWidth="1"/>
    <col min="5371" max="5371" width="12" style="9" customWidth="1"/>
    <col min="5372" max="5372" width="12.88671875" style="9" customWidth="1"/>
    <col min="5373" max="5373" width="11.109375" style="9" customWidth="1"/>
    <col min="5374" max="5374" width="15.109375" style="9" customWidth="1"/>
    <col min="5375" max="5375" width="14.109375" style="9" customWidth="1"/>
    <col min="5376" max="5376" width="13.109375" style="9" customWidth="1"/>
    <col min="5377" max="5377" width="13.44140625" style="9" customWidth="1"/>
    <col min="5378" max="5378" width="14.33203125" style="9" customWidth="1"/>
    <col min="5379" max="5379" width="13.44140625" style="9" customWidth="1"/>
    <col min="5380" max="5380" width="12.88671875" style="9" customWidth="1"/>
    <col min="5381" max="5381" width="14.44140625" style="9" customWidth="1"/>
    <col min="5382" max="5624" width="9.109375" style="9"/>
    <col min="5625" max="5625" width="9.5546875" style="9" customWidth="1"/>
    <col min="5626" max="5626" width="12.44140625" style="9" customWidth="1"/>
    <col min="5627" max="5627" width="12" style="9" customWidth="1"/>
    <col min="5628" max="5628" width="12.88671875" style="9" customWidth="1"/>
    <col min="5629" max="5629" width="11.109375" style="9" customWidth="1"/>
    <col min="5630" max="5630" width="15.109375" style="9" customWidth="1"/>
    <col min="5631" max="5631" width="14.109375" style="9" customWidth="1"/>
    <col min="5632" max="5632" width="13.109375" style="9" customWidth="1"/>
    <col min="5633" max="5633" width="13.44140625" style="9" customWidth="1"/>
    <col min="5634" max="5634" width="14.33203125" style="9" customWidth="1"/>
    <col min="5635" max="5635" width="13.44140625" style="9" customWidth="1"/>
    <col min="5636" max="5636" width="12.88671875" style="9" customWidth="1"/>
    <col min="5637" max="5637" width="14.44140625" style="9" customWidth="1"/>
    <col min="5638" max="5880" width="9.109375" style="9"/>
    <col min="5881" max="5881" width="9.5546875" style="9" customWidth="1"/>
    <col min="5882" max="5882" width="12.44140625" style="9" customWidth="1"/>
    <col min="5883" max="5883" width="12" style="9" customWidth="1"/>
    <col min="5884" max="5884" width="12.88671875" style="9" customWidth="1"/>
    <col min="5885" max="5885" width="11.109375" style="9" customWidth="1"/>
    <col min="5886" max="5886" width="15.109375" style="9" customWidth="1"/>
    <col min="5887" max="5887" width="14.109375" style="9" customWidth="1"/>
    <col min="5888" max="5888" width="13.109375" style="9" customWidth="1"/>
    <col min="5889" max="5889" width="13.44140625" style="9" customWidth="1"/>
    <col min="5890" max="5890" width="14.33203125" style="9" customWidth="1"/>
    <col min="5891" max="5891" width="13.44140625" style="9" customWidth="1"/>
    <col min="5892" max="5892" width="12.88671875" style="9" customWidth="1"/>
    <col min="5893" max="5893" width="14.44140625" style="9" customWidth="1"/>
    <col min="5894" max="6136" width="9.109375" style="9"/>
    <col min="6137" max="6137" width="9.5546875" style="9" customWidth="1"/>
    <col min="6138" max="6138" width="12.44140625" style="9" customWidth="1"/>
    <col min="6139" max="6139" width="12" style="9" customWidth="1"/>
    <col min="6140" max="6140" width="12.88671875" style="9" customWidth="1"/>
    <col min="6141" max="6141" width="11.109375" style="9" customWidth="1"/>
    <col min="6142" max="6142" width="15.109375" style="9" customWidth="1"/>
    <col min="6143" max="6143" width="14.109375" style="9" customWidth="1"/>
    <col min="6144" max="6144" width="13.109375" style="9" customWidth="1"/>
    <col min="6145" max="6145" width="13.44140625" style="9" customWidth="1"/>
    <col min="6146" max="6146" width="14.33203125" style="9" customWidth="1"/>
    <col min="6147" max="6147" width="13.44140625" style="9" customWidth="1"/>
    <col min="6148" max="6148" width="12.88671875" style="9" customWidth="1"/>
    <col min="6149" max="6149" width="14.44140625" style="9" customWidth="1"/>
    <col min="6150" max="6392" width="9.109375" style="9"/>
    <col min="6393" max="6393" width="9.5546875" style="9" customWidth="1"/>
    <col min="6394" max="6394" width="12.44140625" style="9" customWidth="1"/>
    <col min="6395" max="6395" width="12" style="9" customWidth="1"/>
    <col min="6396" max="6396" width="12.88671875" style="9" customWidth="1"/>
    <col min="6397" max="6397" width="11.109375" style="9" customWidth="1"/>
    <col min="6398" max="6398" width="15.109375" style="9" customWidth="1"/>
    <col min="6399" max="6399" width="14.109375" style="9" customWidth="1"/>
    <col min="6400" max="6400" width="13.109375" style="9" customWidth="1"/>
    <col min="6401" max="6401" width="13.44140625" style="9" customWidth="1"/>
    <col min="6402" max="6402" width="14.33203125" style="9" customWidth="1"/>
    <col min="6403" max="6403" width="13.44140625" style="9" customWidth="1"/>
    <col min="6404" max="6404" width="12.88671875" style="9" customWidth="1"/>
    <col min="6405" max="6405" width="14.44140625" style="9" customWidth="1"/>
    <col min="6406" max="6648" width="9.109375" style="9"/>
    <col min="6649" max="6649" width="9.5546875" style="9" customWidth="1"/>
    <col min="6650" max="6650" width="12.44140625" style="9" customWidth="1"/>
    <col min="6651" max="6651" width="12" style="9" customWidth="1"/>
    <col min="6652" max="6652" width="12.88671875" style="9" customWidth="1"/>
    <col min="6653" max="6653" width="11.109375" style="9" customWidth="1"/>
    <col min="6654" max="6654" width="15.109375" style="9" customWidth="1"/>
    <col min="6655" max="6655" width="14.109375" style="9" customWidth="1"/>
    <col min="6656" max="6656" width="13.109375" style="9" customWidth="1"/>
    <col min="6657" max="6657" width="13.44140625" style="9" customWidth="1"/>
    <col min="6658" max="6658" width="14.33203125" style="9" customWidth="1"/>
    <col min="6659" max="6659" width="13.44140625" style="9" customWidth="1"/>
    <col min="6660" max="6660" width="12.88671875" style="9" customWidth="1"/>
    <col min="6661" max="6661" width="14.44140625" style="9" customWidth="1"/>
    <col min="6662" max="6904" width="9.109375" style="9"/>
    <col min="6905" max="6905" width="9.5546875" style="9" customWidth="1"/>
    <col min="6906" max="6906" width="12.44140625" style="9" customWidth="1"/>
    <col min="6907" max="6907" width="12" style="9" customWidth="1"/>
    <col min="6908" max="6908" width="12.88671875" style="9" customWidth="1"/>
    <col min="6909" max="6909" width="11.109375" style="9" customWidth="1"/>
    <col min="6910" max="6910" width="15.109375" style="9" customWidth="1"/>
    <col min="6911" max="6911" width="14.109375" style="9" customWidth="1"/>
    <col min="6912" max="6912" width="13.109375" style="9" customWidth="1"/>
    <col min="6913" max="6913" width="13.44140625" style="9" customWidth="1"/>
    <col min="6914" max="6914" width="14.33203125" style="9" customWidth="1"/>
    <col min="6915" max="6915" width="13.44140625" style="9" customWidth="1"/>
    <col min="6916" max="6916" width="12.88671875" style="9" customWidth="1"/>
    <col min="6917" max="6917" width="14.44140625" style="9" customWidth="1"/>
    <col min="6918" max="7160" width="9.109375" style="9"/>
    <col min="7161" max="7161" width="9.5546875" style="9" customWidth="1"/>
    <col min="7162" max="7162" width="12.44140625" style="9" customWidth="1"/>
    <col min="7163" max="7163" width="12" style="9" customWidth="1"/>
    <col min="7164" max="7164" width="12.88671875" style="9" customWidth="1"/>
    <col min="7165" max="7165" width="11.109375" style="9" customWidth="1"/>
    <col min="7166" max="7166" width="15.109375" style="9" customWidth="1"/>
    <col min="7167" max="7167" width="14.109375" style="9" customWidth="1"/>
    <col min="7168" max="7168" width="13.109375" style="9" customWidth="1"/>
    <col min="7169" max="7169" width="13.44140625" style="9" customWidth="1"/>
    <col min="7170" max="7170" width="14.33203125" style="9" customWidth="1"/>
    <col min="7171" max="7171" width="13.44140625" style="9" customWidth="1"/>
    <col min="7172" max="7172" width="12.88671875" style="9" customWidth="1"/>
    <col min="7173" max="7173" width="14.44140625" style="9" customWidth="1"/>
    <col min="7174" max="7416" width="9.109375" style="9"/>
    <col min="7417" max="7417" width="9.5546875" style="9" customWidth="1"/>
    <col min="7418" max="7418" width="12.44140625" style="9" customWidth="1"/>
    <col min="7419" max="7419" width="12" style="9" customWidth="1"/>
    <col min="7420" max="7420" width="12.88671875" style="9" customWidth="1"/>
    <col min="7421" max="7421" width="11.109375" style="9" customWidth="1"/>
    <col min="7422" max="7422" width="15.109375" style="9" customWidth="1"/>
    <col min="7423" max="7423" width="14.109375" style="9" customWidth="1"/>
    <col min="7424" max="7424" width="13.109375" style="9" customWidth="1"/>
    <col min="7425" max="7425" width="13.44140625" style="9" customWidth="1"/>
    <col min="7426" max="7426" width="14.33203125" style="9" customWidth="1"/>
    <col min="7427" max="7427" width="13.44140625" style="9" customWidth="1"/>
    <col min="7428" max="7428" width="12.88671875" style="9" customWidth="1"/>
    <col min="7429" max="7429" width="14.44140625" style="9" customWidth="1"/>
    <col min="7430" max="7672" width="9.109375" style="9"/>
    <col min="7673" max="7673" width="9.5546875" style="9" customWidth="1"/>
    <col min="7674" max="7674" width="12.44140625" style="9" customWidth="1"/>
    <col min="7675" max="7675" width="12" style="9" customWidth="1"/>
    <col min="7676" max="7676" width="12.88671875" style="9" customWidth="1"/>
    <col min="7677" max="7677" width="11.109375" style="9" customWidth="1"/>
    <col min="7678" max="7678" width="15.109375" style="9" customWidth="1"/>
    <col min="7679" max="7679" width="14.109375" style="9" customWidth="1"/>
    <col min="7680" max="7680" width="13.109375" style="9" customWidth="1"/>
    <col min="7681" max="7681" width="13.44140625" style="9" customWidth="1"/>
    <col min="7682" max="7682" width="14.33203125" style="9" customWidth="1"/>
    <col min="7683" max="7683" width="13.44140625" style="9" customWidth="1"/>
    <col min="7684" max="7684" width="12.88671875" style="9" customWidth="1"/>
    <col min="7685" max="7685" width="14.44140625" style="9" customWidth="1"/>
    <col min="7686" max="7928" width="9.109375" style="9"/>
    <col min="7929" max="7929" width="9.5546875" style="9" customWidth="1"/>
    <col min="7930" max="7930" width="12.44140625" style="9" customWidth="1"/>
    <col min="7931" max="7931" width="12" style="9" customWidth="1"/>
    <col min="7932" max="7932" width="12.88671875" style="9" customWidth="1"/>
    <col min="7933" max="7933" width="11.109375" style="9" customWidth="1"/>
    <col min="7934" max="7934" width="15.109375" style="9" customWidth="1"/>
    <col min="7935" max="7935" width="14.109375" style="9" customWidth="1"/>
    <col min="7936" max="7936" width="13.109375" style="9" customWidth="1"/>
    <col min="7937" max="7937" width="13.44140625" style="9" customWidth="1"/>
    <col min="7938" max="7938" width="14.33203125" style="9" customWidth="1"/>
    <col min="7939" max="7939" width="13.44140625" style="9" customWidth="1"/>
    <col min="7940" max="7940" width="12.88671875" style="9" customWidth="1"/>
    <col min="7941" max="7941" width="14.44140625" style="9" customWidth="1"/>
    <col min="7942" max="8184" width="9.109375" style="9"/>
    <col min="8185" max="8185" width="9.5546875" style="9" customWidth="1"/>
    <col min="8186" max="8186" width="12.44140625" style="9" customWidth="1"/>
    <col min="8187" max="8187" width="12" style="9" customWidth="1"/>
    <col min="8188" max="8188" width="12.88671875" style="9" customWidth="1"/>
    <col min="8189" max="8189" width="11.109375" style="9" customWidth="1"/>
    <col min="8190" max="8190" width="15.109375" style="9" customWidth="1"/>
    <col min="8191" max="8191" width="14.109375" style="9" customWidth="1"/>
    <col min="8192" max="8192" width="13.109375" style="9" customWidth="1"/>
    <col min="8193" max="8193" width="13.44140625" style="9" customWidth="1"/>
    <col min="8194" max="8194" width="14.33203125" style="9" customWidth="1"/>
    <col min="8195" max="8195" width="13.44140625" style="9" customWidth="1"/>
    <col min="8196" max="8196" width="12.88671875" style="9" customWidth="1"/>
    <col min="8197" max="8197" width="14.44140625" style="9" customWidth="1"/>
    <col min="8198" max="8440" width="9.109375" style="9"/>
    <col min="8441" max="8441" width="9.5546875" style="9" customWidth="1"/>
    <col min="8442" max="8442" width="12.44140625" style="9" customWidth="1"/>
    <col min="8443" max="8443" width="12" style="9" customWidth="1"/>
    <col min="8444" max="8444" width="12.88671875" style="9" customWidth="1"/>
    <col min="8445" max="8445" width="11.109375" style="9" customWidth="1"/>
    <col min="8446" max="8446" width="15.109375" style="9" customWidth="1"/>
    <col min="8447" max="8447" width="14.109375" style="9" customWidth="1"/>
    <col min="8448" max="8448" width="13.109375" style="9" customWidth="1"/>
    <col min="8449" max="8449" width="13.44140625" style="9" customWidth="1"/>
    <col min="8450" max="8450" width="14.33203125" style="9" customWidth="1"/>
    <col min="8451" max="8451" width="13.44140625" style="9" customWidth="1"/>
    <col min="8452" max="8452" width="12.88671875" style="9" customWidth="1"/>
    <col min="8453" max="8453" width="14.44140625" style="9" customWidth="1"/>
    <col min="8454" max="8696" width="9.109375" style="9"/>
    <col min="8697" max="8697" width="9.5546875" style="9" customWidth="1"/>
    <col min="8698" max="8698" width="12.44140625" style="9" customWidth="1"/>
    <col min="8699" max="8699" width="12" style="9" customWidth="1"/>
    <col min="8700" max="8700" width="12.88671875" style="9" customWidth="1"/>
    <col min="8701" max="8701" width="11.109375" style="9" customWidth="1"/>
    <col min="8702" max="8702" width="15.109375" style="9" customWidth="1"/>
    <col min="8703" max="8703" width="14.109375" style="9" customWidth="1"/>
    <col min="8704" max="8704" width="13.109375" style="9" customWidth="1"/>
    <col min="8705" max="8705" width="13.44140625" style="9" customWidth="1"/>
    <col min="8706" max="8706" width="14.33203125" style="9" customWidth="1"/>
    <col min="8707" max="8707" width="13.44140625" style="9" customWidth="1"/>
    <col min="8708" max="8708" width="12.88671875" style="9" customWidth="1"/>
    <col min="8709" max="8709" width="14.44140625" style="9" customWidth="1"/>
    <col min="8710" max="8952" width="9.109375" style="9"/>
    <col min="8953" max="8953" width="9.5546875" style="9" customWidth="1"/>
    <col min="8954" max="8954" width="12.44140625" style="9" customWidth="1"/>
    <col min="8955" max="8955" width="12" style="9" customWidth="1"/>
    <col min="8956" max="8956" width="12.88671875" style="9" customWidth="1"/>
    <col min="8957" max="8957" width="11.109375" style="9" customWidth="1"/>
    <col min="8958" max="8958" width="15.109375" style="9" customWidth="1"/>
    <col min="8959" max="8959" width="14.109375" style="9" customWidth="1"/>
    <col min="8960" max="8960" width="13.109375" style="9" customWidth="1"/>
    <col min="8961" max="8961" width="13.44140625" style="9" customWidth="1"/>
    <col min="8962" max="8962" width="14.33203125" style="9" customWidth="1"/>
    <col min="8963" max="8963" width="13.44140625" style="9" customWidth="1"/>
    <col min="8964" max="8964" width="12.88671875" style="9" customWidth="1"/>
    <col min="8965" max="8965" width="14.44140625" style="9" customWidth="1"/>
    <col min="8966" max="9208" width="9.109375" style="9"/>
    <col min="9209" max="9209" width="9.5546875" style="9" customWidth="1"/>
    <col min="9210" max="9210" width="12.44140625" style="9" customWidth="1"/>
    <col min="9211" max="9211" width="12" style="9" customWidth="1"/>
    <col min="9212" max="9212" width="12.88671875" style="9" customWidth="1"/>
    <col min="9213" max="9213" width="11.109375" style="9" customWidth="1"/>
    <col min="9214" max="9214" width="15.109375" style="9" customWidth="1"/>
    <col min="9215" max="9215" width="14.109375" style="9" customWidth="1"/>
    <col min="9216" max="9216" width="13.109375" style="9" customWidth="1"/>
    <col min="9217" max="9217" width="13.44140625" style="9" customWidth="1"/>
    <col min="9218" max="9218" width="14.33203125" style="9" customWidth="1"/>
    <col min="9219" max="9219" width="13.44140625" style="9" customWidth="1"/>
    <col min="9220" max="9220" width="12.88671875" style="9" customWidth="1"/>
    <col min="9221" max="9221" width="14.44140625" style="9" customWidth="1"/>
    <col min="9222" max="9464" width="9.109375" style="9"/>
    <col min="9465" max="9465" width="9.5546875" style="9" customWidth="1"/>
    <col min="9466" max="9466" width="12.44140625" style="9" customWidth="1"/>
    <col min="9467" max="9467" width="12" style="9" customWidth="1"/>
    <col min="9468" max="9468" width="12.88671875" style="9" customWidth="1"/>
    <col min="9469" max="9469" width="11.109375" style="9" customWidth="1"/>
    <col min="9470" max="9470" width="15.109375" style="9" customWidth="1"/>
    <col min="9471" max="9471" width="14.109375" style="9" customWidth="1"/>
    <col min="9472" max="9472" width="13.109375" style="9" customWidth="1"/>
    <col min="9473" max="9473" width="13.44140625" style="9" customWidth="1"/>
    <col min="9474" max="9474" width="14.33203125" style="9" customWidth="1"/>
    <col min="9475" max="9475" width="13.44140625" style="9" customWidth="1"/>
    <col min="9476" max="9476" width="12.88671875" style="9" customWidth="1"/>
    <col min="9477" max="9477" width="14.44140625" style="9" customWidth="1"/>
    <col min="9478" max="9720" width="9.109375" style="9"/>
    <col min="9721" max="9721" width="9.5546875" style="9" customWidth="1"/>
    <col min="9722" max="9722" width="12.44140625" style="9" customWidth="1"/>
    <col min="9723" max="9723" width="12" style="9" customWidth="1"/>
    <col min="9724" max="9724" width="12.88671875" style="9" customWidth="1"/>
    <col min="9725" max="9725" width="11.109375" style="9" customWidth="1"/>
    <col min="9726" max="9726" width="15.109375" style="9" customWidth="1"/>
    <col min="9727" max="9727" width="14.109375" style="9" customWidth="1"/>
    <col min="9728" max="9728" width="13.109375" style="9" customWidth="1"/>
    <col min="9729" max="9729" width="13.44140625" style="9" customWidth="1"/>
    <col min="9730" max="9730" width="14.33203125" style="9" customWidth="1"/>
    <col min="9731" max="9731" width="13.44140625" style="9" customWidth="1"/>
    <col min="9732" max="9732" width="12.88671875" style="9" customWidth="1"/>
    <col min="9733" max="9733" width="14.44140625" style="9" customWidth="1"/>
    <col min="9734" max="9976" width="9.109375" style="9"/>
    <col min="9977" max="9977" width="9.5546875" style="9" customWidth="1"/>
    <col min="9978" max="9978" width="12.44140625" style="9" customWidth="1"/>
    <col min="9979" max="9979" width="12" style="9" customWidth="1"/>
    <col min="9980" max="9980" width="12.88671875" style="9" customWidth="1"/>
    <col min="9981" max="9981" width="11.109375" style="9" customWidth="1"/>
    <col min="9982" max="9982" width="15.109375" style="9" customWidth="1"/>
    <col min="9983" max="9983" width="14.109375" style="9" customWidth="1"/>
    <col min="9984" max="9984" width="13.109375" style="9" customWidth="1"/>
    <col min="9985" max="9985" width="13.44140625" style="9" customWidth="1"/>
    <col min="9986" max="9986" width="14.33203125" style="9" customWidth="1"/>
    <col min="9987" max="9987" width="13.44140625" style="9" customWidth="1"/>
    <col min="9988" max="9988" width="12.88671875" style="9" customWidth="1"/>
    <col min="9989" max="9989" width="14.44140625" style="9" customWidth="1"/>
    <col min="9990" max="10232" width="9.109375" style="9"/>
    <col min="10233" max="10233" width="9.5546875" style="9" customWidth="1"/>
    <col min="10234" max="10234" width="12.44140625" style="9" customWidth="1"/>
    <col min="10235" max="10235" width="12" style="9" customWidth="1"/>
    <col min="10236" max="10236" width="12.88671875" style="9" customWidth="1"/>
    <col min="10237" max="10237" width="11.109375" style="9" customWidth="1"/>
    <col min="10238" max="10238" width="15.109375" style="9" customWidth="1"/>
    <col min="10239" max="10239" width="14.109375" style="9" customWidth="1"/>
    <col min="10240" max="10240" width="13.109375" style="9" customWidth="1"/>
    <col min="10241" max="10241" width="13.44140625" style="9" customWidth="1"/>
    <col min="10242" max="10242" width="14.33203125" style="9" customWidth="1"/>
    <col min="10243" max="10243" width="13.44140625" style="9" customWidth="1"/>
    <col min="10244" max="10244" width="12.88671875" style="9" customWidth="1"/>
    <col min="10245" max="10245" width="14.44140625" style="9" customWidth="1"/>
    <col min="10246" max="10488" width="9.109375" style="9"/>
    <col min="10489" max="10489" width="9.5546875" style="9" customWidth="1"/>
    <col min="10490" max="10490" width="12.44140625" style="9" customWidth="1"/>
    <col min="10491" max="10491" width="12" style="9" customWidth="1"/>
    <col min="10492" max="10492" width="12.88671875" style="9" customWidth="1"/>
    <col min="10493" max="10493" width="11.109375" style="9" customWidth="1"/>
    <col min="10494" max="10494" width="15.109375" style="9" customWidth="1"/>
    <col min="10495" max="10495" width="14.109375" style="9" customWidth="1"/>
    <col min="10496" max="10496" width="13.109375" style="9" customWidth="1"/>
    <col min="10497" max="10497" width="13.44140625" style="9" customWidth="1"/>
    <col min="10498" max="10498" width="14.33203125" style="9" customWidth="1"/>
    <col min="10499" max="10499" width="13.44140625" style="9" customWidth="1"/>
    <col min="10500" max="10500" width="12.88671875" style="9" customWidth="1"/>
    <col min="10501" max="10501" width="14.44140625" style="9" customWidth="1"/>
    <col min="10502" max="10744" width="9.109375" style="9"/>
    <col min="10745" max="10745" width="9.5546875" style="9" customWidth="1"/>
    <col min="10746" max="10746" width="12.44140625" style="9" customWidth="1"/>
    <col min="10747" max="10747" width="12" style="9" customWidth="1"/>
    <col min="10748" max="10748" width="12.88671875" style="9" customWidth="1"/>
    <col min="10749" max="10749" width="11.109375" style="9" customWidth="1"/>
    <col min="10750" max="10750" width="15.109375" style="9" customWidth="1"/>
    <col min="10751" max="10751" width="14.109375" style="9" customWidth="1"/>
    <col min="10752" max="10752" width="13.109375" style="9" customWidth="1"/>
    <col min="10753" max="10753" width="13.44140625" style="9" customWidth="1"/>
    <col min="10754" max="10754" width="14.33203125" style="9" customWidth="1"/>
    <col min="10755" max="10755" width="13.44140625" style="9" customWidth="1"/>
    <col min="10756" max="10756" width="12.88671875" style="9" customWidth="1"/>
    <col min="10757" max="10757" width="14.44140625" style="9" customWidth="1"/>
    <col min="10758" max="11000" width="9.109375" style="9"/>
    <col min="11001" max="11001" width="9.5546875" style="9" customWidth="1"/>
    <col min="11002" max="11002" width="12.44140625" style="9" customWidth="1"/>
    <col min="11003" max="11003" width="12" style="9" customWidth="1"/>
    <col min="11004" max="11004" width="12.88671875" style="9" customWidth="1"/>
    <col min="11005" max="11005" width="11.109375" style="9" customWidth="1"/>
    <col min="11006" max="11006" width="15.109375" style="9" customWidth="1"/>
    <col min="11007" max="11007" width="14.109375" style="9" customWidth="1"/>
    <col min="11008" max="11008" width="13.109375" style="9" customWidth="1"/>
    <col min="11009" max="11009" width="13.44140625" style="9" customWidth="1"/>
    <col min="11010" max="11010" width="14.33203125" style="9" customWidth="1"/>
    <col min="11011" max="11011" width="13.44140625" style="9" customWidth="1"/>
    <col min="11012" max="11012" width="12.88671875" style="9" customWidth="1"/>
    <col min="11013" max="11013" width="14.44140625" style="9" customWidth="1"/>
    <col min="11014" max="11256" width="9.109375" style="9"/>
    <col min="11257" max="11257" width="9.5546875" style="9" customWidth="1"/>
    <col min="11258" max="11258" width="12.44140625" style="9" customWidth="1"/>
    <col min="11259" max="11259" width="12" style="9" customWidth="1"/>
    <col min="11260" max="11260" width="12.88671875" style="9" customWidth="1"/>
    <col min="11261" max="11261" width="11.109375" style="9" customWidth="1"/>
    <col min="11262" max="11262" width="15.109375" style="9" customWidth="1"/>
    <col min="11263" max="11263" width="14.109375" style="9" customWidth="1"/>
    <col min="11264" max="11264" width="13.109375" style="9" customWidth="1"/>
    <col min="11265" max="11265" width="13.44140625" style="9" customWidth="1"/>
    <col min="11266" max="11266" width="14.33203125" style="9" customWidth="1"/>
    <col min="11267" max="11267" width="13.44140625" style="9" customWidth="1"/>
    <col min="11268" max="11268" width="12.88671875" style="9" customWidth="1"/>
    <col min="11269" max="11269" width="14.44140625" style="9" customWidth="1"/>
    <col min="11270" max="11512" width="9.109375" style="9"/>
    <col min="11513" max="11513" width="9.5546875" style="9" customWidth="1"/>
    <col min="11514" max="11514" width="12.44140625" style="9" customWidth="1"/>
    <col min="11515" max="11515" width="12" style="9" customWidth="1"/>
    <col min="11516" max="11516" width="12.88671875" style="9" customWidth="1"/>
    <col min="11517" max="11517" width="11.109375" style="9" customWidth="1"/>
    <col min="11518" max="11518" width="15.109375" style="9" customWidth="1"/>
    <col min="11519" max="11519" width="14.109375" style="9" customWidth="1"/>
    <col min="11520" max="11520" width="13.109375" style="9" customWidth="1"/>
    <col min="11521" max="11521" width="13.44140625" style="9" customWidth="1"/>
    <col min="11522" max="11522" width="14.33203125" style="9" customWidth="1"/>
    <col min="11523" max="11523" width="13.44140625" style="9" customWidth="1"/>
    <col min="11524" max="11524" width="12.88671875" style="9" customWidth="1"/>
    <col min="11525" max="11525" width="14.44140625" style="9" customWidth="1"/>
    <col min="11526" max="11768" width="9.109375" style="9"/>
    <col min="11769" max="11769" width="9.5546875" style="9" customWidth="1"/>
    <col min="11770" max="11770" width="12.44140625" style="9" customWidth="1"/>
    <col min="11771" max="11771" width="12" style="9" customWidth="1"/>
    <col min="11772" max="11772" width="12.88671875" style="9" customWidth="1"/>
    <col min="11773" max="11773" width="11.109375" style="9" customWidth="1"/>
    <col min="11774" max="11774" width="15.109375" style="9" customWidth="1"/>
    <col min="11775" max="11775" width="14.109375" style="9" customWidth="1"/>
    <col min="11776" max="11776" width="13.109375" style="9" customWidth="1"/>
    <col min="11777" max="11777" width="13.44140625" style="9" customWidth="1"/>
    <col min="11778" max="11778" width="14.33203125" style="9" customWidth="1"/>
    <col min="11779" max="11779" width="13.44140625" style="9" customWidth="1"/>
    <col min="11780" max="11780" width="12.88671875" style="9" customWidth="1"/>
    <col min="11781" max="11781" width="14.44140625" style="9" customWidth="1"/>
    <col min="11782" max="12024" width="9.109375" style="9"/>
    <col min="12025" max="12025" width="9.5546875" style="9" customWidth="1"/>
    <col min="12026" max="12026" width="12.44140625" style="9" customWidth="1"/>
    <col min="12027" max="12027" width="12" style="9" customWidth="1"/>
    <col min="12028" max="12028" width="12.88671875" style="9" customWidth="1"/>
    <col min="12029" max="12029" width="11.109375" style="9" customWidth="1"/>
    <col min="12030" max="12030" width="15.109375" style="9" customWidth="1"/>
    <col min="12031" max="12031" width="14.109375" style="9" customWidth="1"/>
    <col min="12032" max="12032" width="13.109375" style="9" customWidth="1"/>
    <col min="12033" max="12033" width="13.44140625" style="9" customWidth="1"/>
    <col min="12034" max="12034" width="14.33203125" style="9" customWidth="1"/>
    <col min="12035" max="12035" width="13.44140625" style="9" customWidth="1"/>
    <col min="12036" max="12036" width="12.88671875" style="9" customWidth="1"/>
    <col min="12037" max="12037" width="14.44140625" style="9" customWidth="1"/>
    <col min="12038" max="12280" width="9.109375" style="9"/>
    <col min="12281" max="12281" width="9.5546875" style="9" customWidth="1"/>
    <col min="12282" max="12282" width="12.44140625" style="9" customWidth="1"/>
    <col min="12283" max="12283" width="12" style="9" customWidth="1"/>
    <col min="12284" max="12284" width="12.88671875" style="9" customWidth="1"/>
    <col min="12285" max="12285" width="11.109375" style="9" customWidth="1"/>
    <col min="12286" max="12286" width="15.109375" style="9" customWidth="1"/>
    <col min="12287" max="12287" width="14.109375" style="9" customWidth="1"/>
    <col min="12288" max="12288" width="13.109375" style="9" customWidth="1"/>
    <col min="12289" max="12289" width="13.44140625" style="9" customWidth="1"/>
    <col min="12290" max="12290" width="14.33203125" style="9" customWidth="1"/>
    <col min="12291" max="12291" width="13.44140625" style="9" customWidth="1"/>
    <col min="12292" max="12292" width="12.88671875" style="9" customWidth="1"/>
    <col min="12293" max="12293" width="14.44140625" style="9" customWidth="1"/>
    <col min="12294" max="12536" width="9.109375" style="9"/>
    <col min="12537" max="12537" width="9.5546875" style="9" customWidth="1"/>
    <col min="12538" max="12538" width="12.44140625" style="9" customWidth="1"/>
    <col min="12539" max="12539" width="12" style="9" customWidth="1"/>
    <col min="12540" max="12540" width="12.88671875" style="9" customWidth="1"/>
    <col min="12541" max="12541" width="11.109375" style="9" customWidth="1"/>
    <col min="12542" max="12542" width="15.109375" style="9" customWidth="1"/>
    <col min="12543" max="12543" width="14.109375" style="9" customWidth="1"/>
    <col min="12544" max="12544" width="13.109375" style="9" customWidth="1"/>
    <col min="12545" max="12545" width="13.44140625" style="9" customWidth="1"/>
    <col min="12546" max="12546" width="14.33203125" style="9" customWidth="1"/>
    <col min="12547" max="12547" width="13.44140625" style="9" customWidth="1"/>
    <col min="12548" max="12548" width="12.88671875" style="9" customWidth="1"/>
    <col min="12549" max="12549" width="14.44140625" style="9" customWidth="1"/>
    <col min="12550" max="12792" width="9.109375" style="9"/>
    <col min="12793" max="12793" width="9.5546875" style="9" customWidth="1"/>
    <col min="12794" max="12794" width="12.44140625" style="9" customWidth="1"/>
    <col min="12795" max="12795" width="12" style="9" customWidth="1"/>
    <col min="12796" max="12796" width="12.88671875" style="9" customWidth="1"/>
    <col min="12797" max="12797" width="11.109375" style="9" customWidth="1"/>
    <col min="12798" max="12798" width="15.109375" style="9" customWidth="1"/>
    <col min="12799" max="12799" width="14.109375" style="9" customWidth="1"/>
    <col min="12800" max="12800" width="13.109375" style="9" customWidth="1"/>
    <col min="12801" max="12801" width="13.44140625" style="9" customWidth="1"/>
    <col min="12802" max="12802" width="14.33203125" style="9" customWidth="1"/>
    <col min="12803" max="12803" width="13.44140625" style="9" customWidth="1"/>
    <col min="12804" max="12804" width="12.88671875" style="9" customWidth="1"/>
    <col min="12805" max="12805" width="14.44140625" style="9" customWidth="1"/>
    <col min="12806" max="13048" width="9.109375" style="9"/>
    <col min="13049" max="13049" width="9.5546875" style="9" customWidth="1"/>
    <col min="13050" max="13050" width="12.44140625" style="9" customWidth="1"/>
    <col min="13051" max="13051" width="12" style="9" customWidth="1"/>
    <col min="13052" max="13052" width="12.88671875" style="9" customWidth="1"/>
    <col min="13053" max="13053" width="11.109375" style="9" customWidth="1"/>
    <col min="13054" max="13054" width="15.109375" style="9" customWidth="1"/>
    <col min="13055" max="13055" width="14.109375" style="9" customWidth="1"/>
    <col min="13056" max="13056" width="13.109375" style="9" customWidth="1"/>
    <col min="13057" max="13057" width="13.44140625" style="9" customWidth="1"/>
    <col min="13058" max="13058" width="14.33203125" style="9" customWidth="1"/>
    <col min="13059" max="13059" width="13.44140625" style="9" customWidth="1"/>
    <col min="13060" max="13060" width="12.88671875" style="9" customWidth="1"/>
    <col min="13061" max="13061" width="14.44140625" style="9" customWidth="1"/>
    <col min="13062" max="13304" width="9.109375" style="9"/>
    <col min="13305" max="13305" width="9.5546875" style="9" customWidth="1"/>
    <col min="13306" max="13306" width="12.44140625" style="9" customWidth="1"/>
    <col min="13307" max="13307" width="12" style="9" customWidth="1"/>
    <col min="13308" max="13308" width="12.88671875" style="9" customWidth="1"/>
    <col min="13309" max="13309" width="11.109375" style="9" customWidth="1"/>
    <col min="13310" max="13310" width="15.109375" style="9" customWidth="1"/>
    <col min="13311" max="13311" width="14.109375" style="9" customWidth="1"/>
    <col min="13312" max="13312" width="13.109375" style="9" customWidth="1"/>
    <col min="13313" max="13313" width="13.44140625" style="9" customWidth="1"/>
    <col min="13314" max="13314" width="14.33203125" style="9" customWidth="1"/>
    <col min="13315" max="13315" width="13.44140625" style="9" customWidth="1"/>
    <col min="13316" max="13316" width="12.88671875" style="9" customWidth="1"/>
    <col min="13317" max="13317" width="14.44140625" style="9" customWidth="1"/>
    <col min="13318" max="13560" width="9.109375" style="9"/>
    <col min="13561" max="13561" width="9.5546875" style="9" customWidth="1"/>
    <col min="13562" max="13562" width="12.44140625" style="9" customWidth="1"/>
    <col min="13563" max="13563" width="12" style="9" customWidth="1"/>
    <col min="13564" max="13564" width="12.88671875" style="9" customWidth="1"/>
    <col min="13565" max="13565" width="11.109375" style="9" customWidth="1"/>
    <col min="13566" max="13566" width="15.109375" style="9" customWidth="1"/>
    <col min="13567" max="13567" width="14.109375" style="9" customWidth="1"/>
    <col min="13568" max="13568" width="13.109375" style="9" customWidth="1"/>
    <col min="13569" max="13569" width="13.44140625" style="9" customWidth="1"/>
    <col min="13570" max="13570" width="14.33203125" style="9" customWidth="1"/>
    <col min="13571" max="13571" width="13.44140625" style="9" customWidth="1"/>
    <col min="13572" max="13572" width="12.88671875" style="9" customWidth="1"/>
    <col min="13573" max="13573" width="14.44140625" style="9" customWidth="1"/>
    <col min="13574" max="13816" width="9.109375" style="9"/>
    <col min="13817" max="13817" width="9.5546875" style="9" customWidth="1"/>
    <col min="13818" max="13818" width="12.44140625" style="9" customWidth="1"/>
    <col min="13819" max="13819" width="12" style="9" customWidth="1"/>
    <col min="13820" max="13820" width="12.88671875" style="9" customWidth="1"/>
    <col min="13821" max="13821" width="11.109375" style="9" customWidth="1"/>
    <col min="13822" max="13822" width="15.109375" style="9" customWidth="1"/>
    <col min="13823" max="13823" width="14.109375" style="9" customWidth="1"/>
    <col min="13824" max="13824" width="13.109375" style="9" customWidth="1"/>
    <col min="13825" max="13825" width="13.44140625" style="9" customWidth="1"/>
    <col min="13826" max="13826" width="14.33203125" style="9" customWidth="1"/>
    <col min="13827" max="13827" width="13.44140625" style="9" customWidth="1"/>
    <col min="13828" max="13828" width="12.88671875" style="9" customWidth="1"/>
    <col min="13829" max="13829" width="14.44140625" style="9" customWidth="1"/>
    <col min="13830" max="14072" width="9.109375" style="9"/>
    <col min="14073" max="14073" width="9.5546875" style="9" customWidth="1"/>
    <col min="14074" max="14074" width="12.44140625" style="9" customWidth="1"/>
    <col min="14075" max="14075" width="12" style="9" customWidth="1"/>
    <col min="14076" max="14076" width="12.88671875" style="9" customWidth="1"/>
    <col min="14077" max="14077" width="11.109375" style="9" customWidth="1"/>
    <col min="14078" max="14078" width="15.109375" style="9" customWidth="1"/>
    <col min="14079" max="14079" width="14.109375" style="9" customWidth="1"/>
    <col min="14080" max="14080" width="13.109375" style="9" customWidth="1"/>
    <col min="14081" max="14081" width="13.44140625" style="9" customWidth="1"/>
    <col min="14082" max="14082" width="14.33203125" style="9" customWidth="1"/>
    <col min="14083" max="14083" width="13.44140625" style="9" customWidth="1"/>
    <col min="14084" max="14084" width="12.88671875" style="9" customWidth="1"/>
    <col min="14085" max="14085" width="14.44140625" style="9" customWidth="1"/>
    <col min="14086" max="14328" width="9.109375" style="9"/>
    <col min="14329" max="14329" width="9.5546875" style="9" customWidth="1"/>
    <col min="14330" max="14330" width="12.44140625" style="9" customWidth="1"/>
    <col min="14331" max="14331" width="12" style="9" customWidth="1"/>
    <col min="14332" max="14332" width="12.88671875" style="9" customWidth="1"/>
    <col min="14333" max="14333" width="11.109375" style="9" customWidth="1"/>
    <col min="14334" max="14334" width="15.109375" style="9" customWidth="1"/>
    <col min="14335" max="14335" width="14.109375" style="9" customWidth="1"/>
    <col min="14336" max="14336" width="13.109375" style="9" customWidth="1"/>
    <col min="14337" max="14337" width="13.44140625" style="9" customWidth="1"/>
    <col min="14338" max="14338" width="14.33203125" style="9" customWidth="1"/>
    <col min="14339" max="14339" width="13.44140625" style="9" customWidth="1"/>
    <col min="14340" max="14340" width="12.88671875" style="9" customWidth="1"/>
    <col min="14341" max="14341" width="14.44140625" style="9" customWidth="1"/>
    <col min="14342" max="14584" width="9.109375" style="9"/>
    <col min="14585" max="14585" width="9.5546875" style="9" customWidth="1"/>
    <col min="14586" max="14586" width="12.44140625" style="9" customWidth="1"/>
    <col min="14587" max="14587" width="12" style="9" customWidth="1"/>
    <col min="14588" max="14588" width="12.88671875" style="9" customWidth="1"/>
    <col min="14589" max="14589" width="11.109375" style="9" customWidth="1"/>
    <col min="14590" max="14590" width="15.109375" style="9" customWidth="1"/>
    <col min="14591" max="14591" width="14.109375" style="9" customWidth="1"/>
    <col min="14592" max="14592" width="13.109375" style="9" customWidth="1"/>
    <col min="14593" max="14593" width="13.44140625" style="9" customWidth="1"/>
    <col min="14594" max="14594" width="14.33203125" style="9" customWidth="1"/>
    <col min="14595" max="14595" width="13.44140625" style="9" customWidth="1"/>
    <col min="14596" max="14596" width="12.88671875" style="9" customWidth="1"/>
    <col min="14597" max="14597" width="14.44140625" style="9" customWidth="1"/>
    <col min="14598" max="14840" width="9.109375" style="9"/>
    <col min="14841" max="14841" width="9.5546875" style="9" customWidth="1"/>
    <col min="14842" max="14842" width="12.44140625" style="9" customWidth="1"/>
    <col min="14843" max="14843" width="12" style="9" customWidth="1"/>
    <col min="14844" max="14844" width="12.88671875" style="9" customWidth="1"/>
    <col min="14845" max="14845" width="11.109375" style="9" customWidth="1"/>
    <col min="14846" max="14846" width="15.109375" style="9" customWidth="1"/>
    <col min="14847" max="14847" width="14.109375" style="9" customWidth="1"/>
    <col min="14848" max="14848" width="13.109375" style="9" customWidth="1"/>
    <col min="14849" max="14849" width="13.44140625" style="9" customWidth="1"/>
    <col min="14850" max="14850" width="14.33203125" style="9" customWidth="1"/>
    <col min="14851" max="14851" width="13.44140625" style="9" customWidth="1"/>
    <col min="14852" max="14852" width="12.88671875" style="9" customWidth="1"/>
    <col min="14853" max="14853" width="14.44140625" style="9" customWidth="1"/>
    <col min="14854" max="15096" width="9.109375" style="9"/>
    <col min="15097" max="15097" width="9.5546875" style="9" customWidth="1"/>
    <col min="15098" max="15098" width="12.44140625" style="9" customWidth="1"/>
    <col min="15099" max="15099" width="12" style="9" customWidth="1"/>
    <col min="15100" max="15100" width="12.88671875" style="9" customWidth="1"/>
    <col min="15101" max="15101" width="11.109375" style="9" customWidth="1"/>
    <col min="15102" max="15102" width="15.109375" style="9" customWidth="1"/>
    <col min="15103" max="15103" width="14.109375" style="9" customWidth="1"/>
    <col min="15104" max="15104" width="13.109375" style="9" customWidth="1"/>
    <col min="15105" max="15105" width="13.44140625" style="9" customWidth="1"/>
    <col min="15106" max="15106" width="14.33203125" style="9" customWidth="1"/>
    <col min="15107" max="15107" width="13.44140625" style="9" customWidth="1"/>
    <col min="15108" max="15108" width="12.88671875" style="9" customWidth="1"/>
    <col min="15109" max="15109" width="14.44140625" style="9" customWidth="1"/>
    <col min="15110" max="15352" width="9.109375" style="9"/>
    <col min="15353" max="15353" width="9.5546875" style="9" customWidth="1"/>
    <col min="15354" max="15354" width="12.44140625" style="9" customWidth="1"/>
    <col min="15355" max="15355" width="12" style="9" customWidth="1"/>
    <col min="15356" max="15356" width="12.88671875" style="9" customWidth="1"/>
    <col min="15357" max="15357" width="11.109375" style="9" customWidth="1"/>
    <col min="15358" max="15358" width="15.109375" style="9" customWidth="1"/>
    <col min="15359" max="15359" width="14.109375" style="9" customWidth="1"/>
    <col min="15360" max="15360" width="13.109375" style="9" customWidth="1"/>
    <col min="15361" max="15361" width="13.44140625" style="9" customWidth="1"/>
    <col min="15362" max="15362" width="14.33203125" style="9" customWidth="1"/>
    <col min="15363" max="15363" width="13.44140625" style="9" customWidth="1"/>
    <col min="15364" max="15364" width="12.88671875" style="9" customWidth="1"/>
    <col min="15365" max="15365" width="14.44140625" style="9" customWidth="1"/>
    <col min="15366" max="15608" width="9.109375" style="9"/>
    <col min="15609" max="15609" width="9.5546875" style="9" customWidth="1"/>
    <col min="15610" max="15610" width="12.44140625" style="9" customWidth="1"/>
    <col min="15611" max="15611" width="12" style="9" customWidth="1"/>
    <col min="15612" max="15612" width="12.88671875" style="9" customWidth="1"/>
    <col min="15613" max="15613" width="11.109375" style="9" customWidth="1"/>
    <col min="15614" max="15614" width="15.109375" style="9" customWidth="1"/>
    <col min="15615" max="15615" width="14.109375" style="9" customWidth="1"/>
    <col min="15616" max="15616" width="13.109375" style="9" customWidth="1"/>
    <col min="15617" max="15617" width="13.44140625" style="9" customWidth="1"/>
    <col min="15618" max="15618" width="14.33203125" style="9" customWidth="1"/>
    <col min="15619" max="15619" width="13.44140625" style="9" customWidth="1"/>
    <col min="15620" max="15620" width="12.88671875" style="9" customWidth="1"/>
    <col min="15621" max="15621" width="14.44140625" style="9" customWidth="1"/>
    <col min="15622" max="15864" width="9.109375" style="9"/>
    <col min="15865" max="15865" width="9.5546875" style="9" customWidth="1"/>
    <col min="15866" max="15866" width="12.44140625" style="9" customWidth="1"/>
    <col min="15867" max="15867" width="12" style="9" customWidth="1"/>
    <col min="15868" max="15868" width="12.88671875" style="9" customWidth="1"/>
    <col min="15869" max="15869" width="11.109375" style="9" customWidth="1"/>
    <col min="15870" max="15870" width="15.109375" style="9" customWidth="1"/>
    <col min="15871" max="15871" width="14.109375" style="9" customWidth="1"/>
    <col min="15872" max="15872" width="13.109375" style="9" customWidth="1"/>
    <col min="15873" max="15873" width="13.44140625" style="9" customWidth="1"/>
    <col min="15874" max="15874" width="14.33203125" style="9" customWidth="1"/>
    <col min="15875" max="15875" width="13.44140625" style="9" customWidth="1"/>
    <col min="15876" max="15876" width="12.88671875" style="9" customWidth="1"/>
    <col min="15877" max="15877" width="14.44140625" style="9" customWidth="1"/>
    <col min="15878" max="16120" width="9.109375" style="9"/>
    <col min="16121" max="16121" width="9.5546875" style="9" customWidth="1"/>
    <col min="16122" max="16122" width="12.44140625" style="9" customWidth="1"/>
    <col min="16123" max="16123" width="12" style="9" customWidth="1"/>
    <col min="16124" max="16124" width="12.88671875" style="9" customWidth="1"/>
    <col min="16125" max="16125" width="11.109375" style="9" customWidth="1"/>
    <col min="16126" max="16126" width="15.109375" style="9" customWidth="1"/>
    <col min="16127" max="16127" width="14.109375" style="9" customWidth="1"/>
    <col min="16128" max="16128" width="13.109375" style="9" customWidth="1"/>
    <col min="16129" max="16129" width="13.44140625" style="9" customWidth="1"/>
    <col min="16130" max="16130" width="14.33203125" style="9" customWidth="1"/>
    <col min="16131" max="16131" width="13.44140625" style="9" customWidth="1"/>
    <col min="16132" max="16132" width="12.88671875" style="9" customWidth="1"/>
    <col min="16133" max="16133" width="14.44140625" style="9" customWidth="1"/>
    <col min="16134" max="16384" width="9.109375" style="9"/>
  </cols>
  <sheetData>
    <row r="1" spans="1:6" ht="29.25" customHeight="1" x14ac:dyDescent="0.3">
      <c r="A1" s="602" t="s">
        <v>585</v>
      </c>
      <c r="B1" s="602"/>
      <c r="C1" s="602"/>
      <c r="D1" s="602"/>
      <c r="E1" s="602"/>
      <c r="F1" s="602"/>
    </row>
    <row r="2" spans="1:6" ht="39.75" customHeight="1" x14ac:dyDescent="0.3">
      <c r="A2" s="603" t="s">
        <v>0</v>
      </c>
      <c r="B2" s="604"/>
      <c r="C2" s="604"/>
      <c r="D2" s="604"/>
      <c r="E2" s="604"/>
      <c r="F2" s="605"/>
    </row>
    <row r="3" spans="1:6" ht="33" customHeight="1" x14ac:dyDescent="0.3">
      <c r="A3" s="92">
        <v>1</v>
      </c>
      <c r="B3" s="93" t="s">
        <v>163</v>
      </c>
      <c r="C3" s="597"/>
      <c r="D3" s="597"/>
      <c r="E3" s="597"/>
      <c r="F3" s="597"/>
    </row>
    <row r="4" spans="1:6" ht="46.2" customHeight="1" x14ac:dyDescent="0.3">
      <c r="A4" s="92">
        <v>2</v>
      </c>
      <c r="B4" s="93" t="s">
        <v>598</v>
      </c>
      <c r="C4" s="597"/>
      <c r="D4" s="597"/>
      <c r="E4" s="597"/>
      <c r="F4" s="597"/>
    </row>
    <row r="5" spans="1:6" x14ac:dyDescent="0.3">
      <c r="A5" s="94"/>
      <c r="B5" s="93" t="s">
        <v>1074</v>
      </c>
      <c r="C5" s="600"/>
      <c r="D5" s="608"/>
      <c r="E5" s="608"/>
      <c r="F5" s="599"/>
    </row>
    <row r="6" spans="1:6" ht="18.75" customHeight="1" x14ac:dyDescent="0.3">
      <c r="A6" s="94">
        <v>3</v>
      </c>
      <c r="B6" s="95" t="s">
        <v>2</v>
      </c>
      <c r="C6" s="111" t="s">
        <v>1240</v>
      </c>
      <c r="D6" s="606" t="str">
        <f>C6</f>
        <v>Coal/Lignite/Oil/Gas Fired</v>
      </c>
      <c r="E6" s="607"/>
      <c r="F6" s="4"/>
    </row>
    <row r="7" spans="1:6" ht="31.5" customHeight="1" x14ac:dyDescent="0.3">
      <c r="A7" s="96">
        <v>4</v>
      </c>
      <c r="B7" s="601" t="s">
        <v>3</v>
      </c>
      <c r="C7" s="601"/>
      <c r="D7" s="601"/>
      <c r="E7" s="601"/>
      <c r="F7" s="601"/>
    </row>
    <row r="8" spans="1:6" s="16" customFormat="1" x14ac:dyDescent="0.3">
      <c r="A8" s="92" t="s">
        <v>4</v>
      </c>
      <c r="B8" s="93" t="s">
        <v>5</v>
      </c>
      <c r="C8" s="609"/>
      <c r="D8" s="610"/>
      <c r="E8" s="610"/>
      <c r="F8" s="611"/>
    </row>
    <row r="9" spans="1:6" x14ac:dyDescent="0.3">
      <c r="A9" s="92" t="s">
        <v>30</v>
      </c>
      <c r="B9" s="97" t="s">
        <v>6</v>
      </c>
      <c r="C9" s="600"/>
      <c r="D9" s="608"/>
      <c r="E9" s="608"/>
      <c r="F9" s="599"/>
    </row>
    <row r="10" spans="1:6" x14ac:dyDescent="0.3">
      <c r="A10" s="92" t="s">
        <v>32</v>
      </c>
      <c r="B10" s="97" t="s">
        <v>7</v>
      </c>
      <c r="C10" s="597"/>
      <c r="D10" s="597"/>
      <c r="E10" s="597"/>
      <c r="F10" s="597"/>
    </row>
    <row r="11" spans="1:6" x14ac:dyDescent="0.3">
      <c r="A11" s="92" t="s">
        <v>77</v>
      </c>
      <c r="B11" s="97" t="s">
        <v>8</v>
      </c>
      <c r="C11" s="597"/>
      <c r="D11" s="597"/>
      <c r="E11" s="112" t="s">
        <v>9</v>
      </c>
      <c r="F11" s="111"/>
    </row>
    <row r="12" spans="1:6" x14ac:dyDescent="0.3">
      <c r="A12" s="92" t="s">
        <v>283</v>
      </c>
      <c r="B12" s="97" t="s">
        <v>10</v>
      </c>
      <c r="C12" s="597"/>
      <c r="D12" s="597"/>
      <c r="E12" s="112" t="s">
        <v>11</v>
      </c>
      <c r="F12" s="111"/>
    </row>
    <row r="13" spans="1:6" s="16" customFormat="1" x14ac:dyDescent="0.3">
      <c r="A13" s="92" t="s">
        <v>12</v>
      </c>
      <c r="B13" s="93" t="s">
        <v>13</v>
      </c>
      <c r="C13" s="612"/>
      <c r="D13" s="612"/>
      <c r="E13" s="612"/>
      <c r="F13" s="612"/>
    </row>
    <row r="14" spans="1:6" x14ac:dyDescent="0.3">
      <c r="A14" s="92" t="s">
        <v>30</v>
      </c>
      <c r="B14" s="97" t="s">
        <v>14</v>
      </c>
      <c r="C14" s="597"/>
      <c r="D14" s="597"/>
      <c r="E14" s="597"/>
      <c r="F14" s="597"/>
    </row>
    <row r="15" spans="1:6" x14ac:dyDescent="0.3">
      <c r="A15" s="92" t="s">
        <v>32</v>
      </c>
      <c r="B15" s="97" t="s">
        <v>684</v>
      </c>
      <c r="C15" s="597"/>
      <c r="D15" s="597"/>
      <c r="E15" s="112" t="s">
        <v>11</v>
      </c>
      <c r="F15" s="111"/>
    </row>
    <row r="16" spans="1:6" x14ac:dyDescent="0.3">
      <c r="A16" s="92" t="s">
        <v>77</v>
      </c>
      <c r="B16" s="97" t="s">
        <v>15</v>
      </c>
      <c r="C16" s="111"/>
      <c r="D16" s="112" t="s">
        <v>16</v>
      </c>
      <c r="E16" s="598"/>
      <c r="F16" s="599"/>
    </row>
    <row r="17" spans="1:8" x14ac:dyDescent="0.3">
      <c r="A17" s="96">
        <v>5</v>
      </c>
      <c r="B17" s="601" t="s">
        <v>17</v>
      </c>
      <c r="C17" s="601"/>
      <c r="D17" s="601"/>
      <c r="E17" s="601"/>
      <c r="F17" s="601"/>
    </row>
    <row r="18" spans="1:8" x14ac:dyDescent="0.3">
      <c r="A18" s="92" t="s">
        <v>30</v>
      </c>
      <c r="B18" s="97" t="s">
        <v>18</v>
      </c>
      <c r="C18" s="597"/>
      <c r="D18" s="597"/>
      <c r="E18" s="597"/>
      <c r="F18" s="597"/>
    </row>
    <row r="19" spans="1:8" x14ac:dyDescent="0.3">
      <c r="A19" s="92" t="s">
        <v>32</v>
      </c>
      <c r="B19" s="97" t="s">
        <v>14</v>
      </c>
      <c r="C19" s="597"/>
      <c r="D19" s="597"/>
      <c r="E19" s="597"/>
      <c r="F19" s="597"/>
    </row>
    <row r="20" spans="1:8" x14ac:dyDescent="0.3">
      <c r="A20" s="92" t="s">
        <v>77</v>
      </c>
      <c r="B20" s="97" t="s">
        <v>19</v>
      </c>
      <c r="C20" s="597"/>
      <c r="D20" s="597"/>
      <c r="E20" s="597"/>
      <c r="F20" s="597"/>
    </row>
    <row r="21" spans="1:8" x14ac:dyDescent="0.3">
      <c r="A21" s="92" t="s">
        <v>283</v>
      </c>
      <c r="B21" s="97" t="s">
        <v>6</v>
      </c>
      <c r="C21" s="597"/>
      <c r="D21" s="597"/>
      <c r="E21" s="112" t="s">
        <v>20</v>
      </c>
      <c r="F21" s="111"/>
    </row>
    <row r="22" spans="1:8" x14ac:dyDescent="0.3">
      <c r="A22" s="92" t="s">
        <v>38</v>
      </c>
      <c r="B22" s="97" t="s">
        <v>7</v>
      </c>
      <c r="C22" s="600"/>
      <c r="D22" s="599"/>
      <c r="E22" s="111"/>
      <c r="F22" s="111"/>
    </row>
    <row r="23" spans="1:8" x14ac:dyDescent="0.3">
      <c r="A23" s="92" t="s">
        <v>40</v>
      </c>
      <c r="B23" s="97" t="s">
        <v>8</v>
      </c>
      <c r="C23" s="597"/>
      <c r="D23" s="597"/>
      <c r="E23" s="112" t="s">
        <v>9</v>
      </c>
      <c r="F23" s="111"/>
    </row>
    <row r="24" spans="1:8" x14ac:dyDescent="0.3">
      <c r="A24" s="92" t="s">
        <v>42</v>
      </c>
      <c r="B24" s="97" t="s">
        <v>10</v>
      </c>
      <c r="C24" s="597"/>
      <c r="D24" s="597"/>
      <c r="E24" s="112" t="s">
        <v>11</v>
      </c>
      <c r="F24" s="111"/>
    </row>
    <row r="25" spans="1:8" ht="29.25" customHeight="1" x14ac:dyDescent="0.3">
      <c r="A25" s="96">
        <v>6</v>
      </c>
      <c r="B25" s="601" t="s">
        <v>21</v>
      </c>
      <c r="C25" s="601"/>
      <c r="D25" s="601"/>
      <c r="E25" s="601"/>
      <c r="F25" s="601"/>
    </row>
    <row r="26" spans="1:8" x14ac:dyDescent="0.3">
      <c r="A26" s="92" t="s">
        <v>30</v>
      </c>
      <c r="B26" s="97" t="s">
        <v>22</v>
      </c>
      <c r="C26" s="597"/>
      <c r="D26" s="597"/>
      <c r="E26" s="597"/>
      <c r="F26" s="597"/>
    </row>
    <row r="27" spans="1:8" ht="36.75" customHeight="1" x14ac:dyDescent="0.3">
      <c r="A27" s="92" t="s">
        <v>32</v>
      </c>
      <c r="B27" s="97" t="s">
        <v>14</v>
      </c>
      <c r="C27" s="600"/>
      <c r="D27" s="599"/>
      <c r="E27" s="112" t="s">
        <v>23</v>
      </c>
      <c r="F27" s="111"/>
    </row>
    <row r="28" spans="1:8" x14ac:dyDescent="0.3">
      <c r="A28" s="92" t="s">
        <v>77</v>
      </c>
      <c r="B28" s="97" t="s">
        <v>24</v>
      </c>
      <c r="C28" s="597"/>
      <c r="D28" s="597"/>
      <c r="E28" s="597"/>
      <c r="F28" s="597"/>
    </row>
    <row r="29" spans="1:8" x14ac:dyDescent="0.3">
      <c r="A29" s="92" t="s">
        <v>283</v>
      </c>
      <c r="B29" s="97" t="s">
        <v>10</v>
      </c>
      <c r="C29" s="597"/>
      <c r="D29" s="597"/>
      <c r="E29" s="112" t="s">
        <v>11</v>
      </c>
      <c r="F29" s="111"/>
    </row>
    <row r="30" spans="1:8" ht="22.5" customHeight="1" x14ac:dyDescent="0.3">
      <c r="A30" s="92" t="s">
        <v>38</v>
      </c>
      <c r="B30" s="97" t="s">
        <v>15</v>
      </c>
      <c r="C30" s="111"/>
      <c r="D30" s="112" t="s">
        <v>25</v>
      </c>
      <c r="E30" s="597"/>
      <c r="F30" s="597"/>
    </row>
    <row r="31" spans="1:8" x14ac:dyDescent="0.3">
      <c r="A31" s="1"/>
      <c r="B31" s="11"/>
      <c r="C31" s="6"/>
      <c r="D31" s="6"/>
      <c r="E31" s="6"/>
      <c r="F31" s="6"/>
      <c r="G31" s="5"/>
      <c r="H31" s="5"/>
    </row>
    <row r="32" spans="1:8" x14ac:dyDescent="0.3">
      <c r="A32" s="1"/>
      <c r="B32" s="12"/>
      <c r="C32" s="5"/>
      <c r="D32" s="5"/>
      <c r="E32" s="5"/>
      <c r="F32" s="5"/>
      <c r="G32" s="5"/>
      <c r="H32" s="5"/>
    </row>
    <row r="33" spans="1:8" x14ac:dyDescent="0.3">
      <c r="A33" s="1"/>
      <c r="B33" s="7"/>
      <c r="C33" s="5"/>
      <c r="D33" s="5"/>
      <c r="E33" s="5"/>
      <c r="F33" s="5"/>
      <c r="G33" s="5"/>
      <c r="H33" s="5"/>
    </row>
    <row r="34" spans="1:8" x14ac:dyDescent="0.3">
      <c r="A34" s="1"/>
      <c r="B34" s="7"/>
      <c r="C34" s="5"/>
      <c r="D34" s="5"/>
      <c r="E34" s="5"/>
      <c r="F34" s="5"/>
      <c r="G34" s="5"/>
      <c r="H34" s="5"/>
    </row>
    <row r="35" spans="1:8" x14ac:dyDescent="0.3">
      <c r="A35" s="1"/>
      <c r="B35" s="13"/>
      <c r="C35" s="2"/>
      <c r="D35" s="2"/>
      <c r="E35" s="2"/>
      <c r="F35" s="2"/>
      <c r="G35" s="5"/>
      <c r="H35" s="5"/>
    </row>
    <row r="36" spans="1:8" x14ac:dyDescent="0.3">
      <c r="A36" s="1"/>
      <c r="B36" s="15"/>
      <c r="C36" s="596"/>
      <c r="D36" s="596"/>
      <c r="E36" s="596"/>
      <c r="F36" s="15"/>
      <c r="G36" s="5"/>
      <c r="H36" s="5"/>
    </row>
    <row r="37" spans="1:8" x14ac:dyDescent="0.3">
      <c r="A37" s="1"/>
      <c r="B37" s="15"/>
      <c r="C37" s="596"/>
      <c r="D37" s="596"/>
      <c r="E37" s="596"/>
      <c r="F37" s="15"/>
    </row>
    <row r="38" spans="1:8" x14ac:dyDescent="0.3">
      <c r="A38" s="1"/>
      <c r="B38" s="15"/>
      <c r="C38" s="596"/>
      <c r="D38" s="596"/>
      <c r="E38" s="596"/>
      <c r="F38" s="15"/>
    </row>
    <row r="39" spans="1:8" x14ac:dyDescent="0.3">
      <c r="A39" s="1"/>
      <c r="B39" s="13"/>
      <c r="C39" s="2"/>
      <c r="D39" s="2"/>
      <c r="E39" s="2"/>
      <c r="F39" s="2"/>
    </row>
    <row r="40" spans="1:8" x14ac:dyDescent="0.3">
      <c r="A40" s="1"/>
      <c r="B40" s="7"/>
      <c r="C40" s="5"/>
      <c r="D40" s="5"/>
      <c r="E40" s="5"/>
      <c r="F40" s="15"/>
    </row>
    <row r="41" spans="1:8" x14ac:dyDescent="0.3">
      <c r="A41" s="1"/>
      <c r="B41" s="7"/>
      <c r="C41" s="5"/>
      <c r="D41" s="5"/>
      <c r="E41" s="5"/>
      <c r="F41" s="15"/>
    </row>
    <row r="42" spans="1:8" x14ac:dyDescent="0.3">
      <c r="A42" s="1"/>
      <c r="B42" s="7"/>
      <c r="C42" s="5"/>
      <c r="D42" s="14"/>
      <c r="E42" s="5"/>
      <c r="F42" s="5"/>
    </row>
    <row r="43" spans="1:8" x14ac:dyDescent="0.3">
      <c r="A43" s="1"/>
      <c r="B43" s="7"/>
      <c r="C43" s="5"/>
      <c r="D43" s="14"/>
      <c r="E43" s="5"/>
      <c r="F43" s="5"/>
    </row>
  </sheetData>
  <sheetProtection password="EC3B" sheet="1" objects="1" scenarios="1"/>
  <mergeCells count="33">
    <mergeCell ref="C27:D27"/>
    <mergeCell ref="C21:D21"/>
    <mergeCell ref="B7:F7"/>
    <mergeCell ref="C8:F8"/>
    <mergeCell ref="C9:F9"/>
    <mergeCell ref="C10:F10"/>
    <mergeCell ref="C11:D11"/>
    <mergeCell ref="C12:D12"/>
    <mergeCell ref="C13:F13"/>
    <mergeCell ref="B17:F17"/>
    <mergeCell ref="C18:F18"/>
    <mergeCell ref="A1:F1"/>
    <mergeCell ref="A2:F2"/>
    <mergeCell ref="C3:F3"/>
    <mergeCell ref="C4:F4"/>
    <mergeCell ref="D6:E6"/>
    <mergeCell ref="C5:F5"/>
    <mergeCell ref="C38:E38"/>
    <mergeCell ref="C14:F14"/>
    <mergeCell ref="C15:D15"/>
    <mergeCell ref="E16:F16"/>
    <mergeCell ref="C36:E36"/>
    <mergeCell ref="C37:E37"/>
    <mergeCell ref="C28:F28"/>
    <mergeCell ref="C29:D29"/>
    <mergeCell ref="E30:F30"/>
    <mergeCell ref="C22:D22"/>
    <mergeCell ref="C23:D23"/>
    <mergeCell ref="C24:D24"/>
    <mergeCell ref="B25:F25"/>
    <mergeCell ref="C26:F26"/>
    <mergeCell ref="C19:F19"/>
    <mergeCell ref="C20:F20"/>
  </mergeCells>
  <dataValidations count="1">
    <dataValidation type="list" allowBlank="1" showInputMessage="1" showErrorMessage="1" sqref="C6">
      <formula1>"Coal/Lignite/Oil/Gas Fired,Gas Turbine (Open Cycle),Combined Cycle Gas Turbine (CCGT),DG Set"</formula1>
    </dataValidation>
  </dataValidations>
  <pageMargins left="0.2" right="0.2" top="0.5" bottom="0.25" header="0.3" footer="0.3"/>
  <pageSetup paperSize="9" scale="72" orientation="landscape"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6"/>
  <sheetViews>
    <sheetView tabSelected="1" zoomScale="83" zoomScaleNormal="83" zoomScaleSheetLayoutView="80" workbookViewId="0">
      <pane xSplit="1" ySplit="2" topLeftCell="P393" activePane="bottomRight" state="frozen"/>
      <selection pane="topRight" activeCell="B1" sqref="B1"/>
      <selection pane="bottomLeft" activeCell="A3" sqref="A3"/>
      <selection pane="bottomRight" activeCell="T404" sqref="T404:T413"/>
    </sheetView>
  </sheetViews>
  <sheetFormatPr defaultColWidth="9.109375" defaultRowHeight="13.8" x14ac:dyDescent="0.3"/>
  <cols>
    <col min="1" max="1" width="6.88671875" style="178" customWidth="1"/>
    <col min="2" max="2" width="40.6640625" style="218" customWidth="1"/>
    <col min="3" max="3" width="15.88671875" style="218" customWidth="1"/>
    <col min="4" max="4" width="14.88671875" style="218" customWidth="1"/>
    <col min="5" max="5" width="17.109375" style="179" customWidth="1"/>
    <col min="6" max="6" width="14.6640625" style="179" customWidth="1"/>
    <col min="7" max="7" width="15.33203125" style="179" customWidth="1"/>
    <col min="8" max="8" width="14.6640625" style="164" customWidth="1"/>
    <col min="9" max="9" width="27" style="164" bestFit="1" customWidth="1"/>
    <col min="10" max="10" width="21" style="164" bestFit="1" customWidth="1"/>
    <col min="11" max="11" width="18.88671875" style="179" customWidth="1"/>
    <col min="12" max="12" width="15.6640625" style="179" customWidth="1"/>
    <col min="13" max="13" width="13.33203125" style="164" customWidth="1"/>
    <col min="14" max="14" width="14.44140625" style="164" customWidth="1"/>
    <col min="15" max="15" width="13.33203125" style="164" customWidth="1"/>
    <col min="16" max="16" width="13.5546875" style="164" customWidth="1"/>
    <col min="17" max="17" width="23.6640625" style="164" customWidth="1"/>
    <col min="18" max="18" width="16.44140625" style="164" customWidth="1"/>
    <col min="19" max="19" width="29.6640625" style="164" bestFit="1" customWidth="1"/>
    <col min="20" max="21" width="17.5546875" style="164" customWidth="1"/>
    <col min="22" max="22" width="31.5546875" style="179" customWidth="1"/>
    <col min="23" max="23" width="32.88671875" style="164" customWidth="1"/>
    <col min="24" max="25" width="13.109375" style="164" bestFit="1" customWidth="1"/>
    <col min="26" max="265" width="9.109375" style="164"/>
    <col min="266" max="266" width="9.5546875" style="164" customWidth="1"/>
    <col min="267" max="267" width="12.44140625" style="164" customWidth="1"/>
    <col min="268" max="268" width="12" style="164" customWidth="1"/>
    <col min="269" max="269" width="12.88671875" style="164" customWidth="1"/>
    <col min="270" max="270" width="11.109375" style="164" customWidth="1"/>
    <col min="271" max="271" width="15.109375" style="164" customWidth="1"/>
    <col min="272" max="272" width="14.109375" style="164" customWidth="1"/>
    <col min="273" max="273" width="13.109375" style="164" customWidth="1"/>
    <col min="274" max="274" width="13.44140625" style="164" customWidth="1"/>
    <col min="275" max="275" width="14.33203125" style="164" customWidth="1"/>
    <col min="276" max="276" width="13.44140625" style="164" customWidth="1"/>
    <col min="277" max="277" width="12.88671875" style="164" customWidth="1"/>
    <col min="278" max="278" width="14.44140625" style="164" customWidth="1"/>
    <col min="279" max="521" width="9.109375" style="164"/>
    <col min="522" max="522" width="9.5546875" style="164" customWidth="1"/>
    <col min="523" max="523" width="12.44140625" style="164" customWidth="1"/>
    <col min="524" max="524" width="12" style="164" customWidth="1"/>
    <col min="525" max="525" width="12.88671875" style="164" customWidth="1"/>
    <col min="526" max="526" width="11.109375" style="164" customWidth="1"/>
    <col min="527" max="527" width="15.109375" style="164" customWidth="1"/>
    <col min="528" max="528" width="14.109375" style="164" customWidth="1"/>
    <col min="529" max="529" width="13.109375" style="164" customWidth="1"/>
    <col min="530" max="530" width="13.44140625" style="164" customWidth="1"/>
    <col min="531" max="531" width="14.33203125" style="164" customWidth="1"/>
    <col min="532" max="532" width="13.44140625" style="164" customWidth="1"/>
    <col min="533" max="533" width="12.88671875" style="164" customWidth="1"/>
    <col min="534" max="534" width="14.44140625" style="164" customWidth="1"/>
    <col min="535" max="777" width="9.109375" style="164"/>
    <col min="778" max="778" width="9.5546875" style="164" customWidth="1"/>
    <col min="779" max="779" width="12.44140625" style="164" customWidth="1"/>
    <col min="780" max="780" width="12" style="164" customWidth="1"/>
    <col min="781" max="781" width="12.88671875" style="164" customWidth="1"/>
    <col min="782" max="782" width="11.109375" style="164" customWidth="1"/>
    <col min="783" max="783" width="15.109375" style="164" customWidth="1"/>
    <col min="784" max="784" width="14.109375" style="164" customWidth="1"/>
    <col min="785" max="785" width="13.109375" style="164" customWidth="1"/>
    <col min="786" max="786" width="13.44140625" style="164" customWidth="1"/>
    <col min="787" max="787" width="14.33203125" style="164" customWidth="1"/>
    <col min="788" max="788" width="13.44140625" style="164" customWidth="1"/>
    <col min="789" max="789" width="12.88671875" style="164" customWidth="1"/>
    <col min="790" max="790" width="14.44140625" style="164" customWidth="1"/>
    <col min="791" max="1033" width="9.109375" style="164"/>
    <col min="1034" max="1034" width="9.5546875" style="164" customWidth="1"/>
    <col min="1035" max="1035" width="12.44140625" style="164" customWidth="1"/>
    <col min="1036" max="1036" width="12" style="164" customWidth="1"/>
    <col min="1037" max="1037" width="12.88671875" style="164" customWidth="1"/>
    <col min="1038" max="1038" width="11.109375" style="164" customWidth="1"/>
    <col min="1039" max="1039" width="15.109375" style="164" customWidth="1"/>
    <col min="1040" max="1040" width="14.109375" style="164" customWidth="1"/>
    <col min="1041" max="1041" width="13.109375" style="164" customWidth="1"/>
    <col min="1042" max="1042" width="13.44140625" style="164" customWidth="1"/>
    <col min="1043" max="1043" width="14.33203125" style="164" customWidth="1"/>
    <col min="1044" max="1044" width="13.44140625" style="164" customWidth="1"/>
    <col min="1045" max="1045" width="12.88671875" style="164" customWidth="1"/>
    <col min="1046" max="1046" width="14.44140625" style="164" customWidth="1"/>
    <col min="1047" max="1289" width="9.109375" style="164"/>
    <col min="1290" max="1290" width="9.5546875" style="164" customWidth="1"/>
    <col min="1291" max="1291" width="12.44140625" style="164" customWidth="1"/>
    <col min="1292" max="1292" width="12" style="164" customWidth="1"/>
    <col min="1293" max="1293" width="12.88671875" style="164" customWidth="1"/>
    <col min="1294" max="1294" width="11.109375" style="164" customWidth="1"/>
    <col min="1295" max="1295" width="15.109375" style="164" customWidth="1"/>
    <col min="1296" max="1296" width="14.109375" style="164" customWidth="1"/>
    <col min="1297" max="1297" width="13.109375" style="164" customWidth="1"/>
    <col min="1298" max="1298" width="13.44140625" style="164" customWidth="1"/>
    <col min="1299" max="1299" width="14.33203125" style="164" customWidth="1"/>
    <col min="1300" max="1300" width="13.44140625" style="164" customWidth="1"/>
    <col min="1301" max="1301" width="12.88671875" style="164" customWidth="1"/>
    <col min="1302" max="1302" width="14.44140625" style="164" customWidth="1"/>
    <col min="1303" max="1545" width="9.109375" style="164"/>
    <col min="1546" max="1546" width="9.5546875" style="164" customWidth="1"/>
    <col min="1547" max="1547" width="12.44140625" style="164" customWidth="1"/>
    <col min="1548" max="1548" width="12" style="164" customWidth="1"/>
    <col min="1549" max="1549" width="12.88671875" style="164" customWidth="1"/>
    <col min="1550" max="1550" width="11.109375" style="164" customWidth="1"/>
    <col min="1551" max="1551" width="15.109375" style="164" customWidth="1"/>
    <col min="1552" max="1552" width="14.109375" style="164" customWidth="1"/>
    <col min="1553" max="1553" width="13.109375" style="164" customWidth="1"/>
    <col min="1554" max="1554" width="13.44140625" style="164" customWidth="1"/>
    <col min="1555" max="1555" width="14.33203125" style="164" customWidth="1"/>
    <col min="1556" max="1556" width="13.44140625" style="164" customWidth="1"/>
    <col min="1557" max="1557" width="12.88671875" style="164" customWidth="1"/>
    <col min="1558" max="1558" width="14.44140625" style="164" customWidth="1"/>
    <col min="1559" max="1801" width="9.109375" style="164"/>
    <col min="1802" max="1802" width="9.5546875" style="164" customWidth="1"/>
    <col min="1803" max="1803" width="12.44140625" style="164" customWidth="1"/>
    <col min="1804" max="1804" width="12" style="164" customWidth="1"/>
    <col min="1805" max="1805" width="12.88671875" style="164" customWidth="1"/>
    <col min="1806" max="1806" width="11.109375" style="164" customWidth="1"/>
    <col min="1807" max="1807" width="15.109375" style="164" customWidth="1"/>
    <col min="1808" max="1808" width="14.109375" style="164" customWidth="1"/>
    <col min="1809" max="1809" width="13.109375" style="164" customWidth="1"/>
    <col min="1810" max="1810" width="13.44140625" style="164" customWidth="1"/>
    <col min="1811" max="1811" width="14.33203125" style="164" customWidth="1"/>
    <col min="1812" max="1812" width="13.44140625" style="164" customWidth="1"/>
    <col min="1813" max="1813" width="12.88671875" style="164" customWidth="1"/>
    <col min="1814" max="1814" width="14.44140625" style="164" customWidth="1"/>
    <col min="1815" max="2057" width="9.109375" style="164"/>
    <col min="2058" max="2058" width="9.5546875" style="164" customWidth="1"/>
    <col min="2059" max="2059" width="12.44140625" style="164" customWidth="1"/>
    <col min="2060" max="2060" width="12" style="164" customWidth="1"/>
    <col min="2061" max="2061" width="12.88671875" style="164" customWidth="1"/>
    <col min="2062" max="2062" width="11.109375" style="164" customWidth="1"/>
    <col min="2063" max="2063" width="15.109375" style="164" customWidth="1"/>
    <col min="2064" max="2064" width="14.109375" style="164" customWidth="1"/>
    <col min="2065" max="2065" width="13.109375" style="164" customWidth="1"/>
    <col min="2066" max="2066" width="13.44140625" style="164" customWidth="1"/>
    <col min="2067" max="2067" width="14.33203125" style="164" customWidth="1"/>
    <col min="2068" max="2068" width="13.44140625" style="164" customWidth="1"/>
    <col min="2069" max="2069" width="12.88671875" style="164" customWidth="1"/>
    <col min="2070" max="2070" width="14.44140625" style="164" customWidth="1"/>
    <col min="2071" max="2313" width="9.109375" style="164"/>
    <col min="2314" max="2314" width="9.5546875" style="164" customWidth="1"/>
    <col min="2315" max="2315" width="12.44140625" style="164" customWidth="1"/>
    <col min="2316" max="2316" width="12" style="164" customWidth="1"/>
    <col min="2317" max="2317" width="12.88671875" style="164" customWidth="1"/>
    <col min="2318" max="2318" width="11.109375" style="164" customWidth="1"/>
    <col min="2319" max="2319" width="15.109375" style="164" customWidth="1"/>
    <col min="2320" max="2320" width="14.109375" style="164" customWidth="1"/>
    <col min="2321" max="2321" width="13.109375" style="164" customWidth="1"/>
    <col min="2322" max="2322" width="13.44140625" style="164" customWidth="1"/>
    <col min="2323" max="2323" width="14.33203125" style="164" customWidth="1"/>
    <col min="2324" max="2324" width="13.44140625" style="164" customWidth="1"/>
    <col min="2325" max="2325" width="12.88671875" style="164" customWidth="1"/>
    <col min="2326" max="2326" width="14.44140625" style="164" customWidth="1"/>
    <col min="2327" max="2569" width="9.109375" style="164"/>
    <col min="2570" max="2570" width="9.5546875" style="164" customWidth="1"/>
    <col min="2571" max="2571" width="12.44140625" style="164" customWidth="1"/>
    <col min="2572" max="2572" width="12" style="164" customWidth="1"/>
    <col min="2573" max="2573" width="12.88671875" style="164" customWidth="1"/>
    <col min="2574" max="2574" width="11.109375" style="164" customWidth="1"/>
    <col min="2575" max="2575" width="15.109375" style="164" customWidth="1"/>
    <col min="2576" max="2576" width="14.109375" style="164" customWidth="1"/>
    <col min="2577" max="2577" width="13.109375" style="164" customWidth="1"/>
    <col min="2578" max="2578" width="13.44140625" style="164" customWidth="1"/>
    <col min="2579" max="2579" width="14.33203125" style="164" customWidth="1"/>
    <col min="2580" max="2580" width="13.44140625" style="164" customWidth="1"/>
    <col min="2581" max="2581" width="12.88671875" style="164" customWidth="1"/>
    <col min="2582" max="2582" width="14.44140625" style="164" customWidth="1"/>
    <col min="2583" max="2825" width="9.109375" style="164"/>
    <col min="2826" max="2826" width="9.5546875" style="164" customWidth="1"/>
    <col min="2827" max="2827" width="12.44140625" style="164" customWidth="1"/>
    <col min="2828" max="2828" width="12" style="164" customWidth="1"/>
    <col min="2829" max="2829" width="12.88671875" style="164" customWidth="1"/>
    <col min="2830" max="2830" width="11.109375" style="164" customWidth="1"/>
    <col min="2831" max="2831" width="15.109375" style="164" customWidth="1"/>
    <col min="2832" max="2832" width="14.109375" style="164" customWidth="1"/>
    <col min="2833" max="2833" width="13.109375" style="164" customWidth="1"/>
    <col min="2834" max="2834" width="13.44140625" style="164" customWidth="1"/>
    <col min="2835" max="2835" width="14.33203125" style="164" customWidth="1"/>
    <col min="2836" max="2836" width="13.44140625" style="164" customWidth="1"/>
    <col min="2837" max="2837" width="12.88671875" style="164" customWidth="1"/>
    <col min="2838" max="2838" width="14.44140625" style="164" customWidth="1"/>
    <col min="2839" max="3081" width="9.109375" style="164"/>
    <col min="3082" max="3082" width="9.5546875" style="164" customWidth="1"/>
    <col min="3083" max="3083" width="12.44140625" style="164" customWidth="1"/>
    <col min="3084" max="3084" width="12" style="164" customWidth="1"/>
    <col min="3085" max="3085" width="12.88671875" style="164" customWidth="1"/>
    <col min="3086" max="3086" width="11.109375" style="164" customWidth="1"/>
    <col min="3087" max="3087" width="15.109375" style="164" customWidth="1"/>
    <col min="3088" max="3088" width="14.109375" style="164" customWidth="1"/>
    <col min="3089" max="3089" width="13.109375" style="164" customWidth="1"/>
    <col min="3090" max="3090" width="13.44140625" style="164" customWidth="1"/>
    <col min="3091" max="3091" width="14.33203125" style="164" customWidth="1"/>
    <col min="3092" max="3092" width="13.44140625" style="164" customWidth="1"/>
    <col min="3093" max="3093" width="12.88671875" style="164" customWidth="1"/>
    <col min="3094" max="3094" width="14.44140625" style="164" customWidth="1"/>
    <col min="3095" max="3337" width="9.109375" style="164"/>
    <col min="3338" max="3338" width="9.5546875" style="164" customWidth="1"/>
    <col min="3339" max="3339" width="12.44140625" style="164" customWidth="1"/>
    <col min="3340" max="3340" width="12" style="164" customWidth="1"/>
    <col min="3341" max="3341" width="12.88671875" style="164" customWidth="1"/>
    <col min="3342" max="3342" width="11.109375" style="164" customWidth="1"/>
    <col min="3343" max="3343" width="15.109375" style="164" customWidth="1"/>
    <col min="3344" max="3344" width="14.109375" style="164" customWidth="1"/>
    <col min="3345" max="3345" width="13.109375" style="164" customWidth="1"/>
    <col min="3346" max="3346" width="13.44140625" style="164" customWidth="1"/>
    <col min="3347" max="3347" width="14.33203125" style="164" customWidth="1"/>
    <col min="3348" max="3348" width="13.44140625" style="164" customWidth="1"/>
    <col min="3349" max="3349" width="12.88671875" style="164" customWidth="1"/>
    <col min="3350" max="3350" width="14.44140625" style="164" customWidth="1"/>
    <col min="3351" max="3593" width="9.109375" style="164"/>
    <col min="3594" max="3594" width="9.5546875" style="164" customWidth="1"/>
    <col min="3595" max="3595" width="12.44140625" style="164" customWidth="1"/>
    <col min="3596" max="3596" width="12" style="164" customWidth="1"/>
    <col min="3597" max="3597" width="12.88671875" style="164" customWidth="1"/>
    <col min="3598" max="3598" width="11.109375" style="164" customWidth="1"/>
    <col min="3599" max="3599" width="15.109375" style="164" customWidth="1"/>
    <col min="3600" max="3600" width="14.109375" style="164" customWidth="1"/>
    <col min="3601" max="3601" width="13.109375" style="164" customWidth="1"/>
    <col min="3602" max="3602" width="13.44140625" style="164" customWidth="1"/>
    <col min="3603" max="3603" width="14.33203125" style="164" customWidth="1"/>
    <col min="3604" max="3604" width="13.44140625" style="164" customWidth="1"/>
    <col min="3605" max="3605" width="12.88671875" style="164" customWidth="1"/>
    <col min="3606" max="3606" width="14.44140625" style="164" customWidth="1"/>
    <col min="3607" max="3849" width="9.109375" style="164"/>
    <col min="3850" max="3850" width="9.5546875" style="164" customWidth="1"/>
    <col min="3851" max="3851" width="12.44140625" style="164" customWidth="1"/>
    <col min="3852" max="3852" width="12" style="164" customWidth="1"/>
    <col min="3853" max="3853" width="12.88671875" style="164" customWidth="1"/>
    <col min="3854" max="3854" width="11.109375" style="164" customWidth="1"/>
    <col min="3855" max="3855" width="15.109375" style="164" customWidth="1"/>
    <col min="3856" max="3856" width="14.109375" style="164" customWidth="1"/>
    <col min="3857" max="3857" width="13.109375" style="164" customWidth="1"/>
    <col min="3858" max="3858" width="13.44140625" style="164" customWidth="1"/>
    <col min="3859" max="3859" width="14.33203125" style="164" customWidth="1"/>
    <col min="3860" max="3860" width="13.44140625" style="164" customWidth="1"/>
    <col min="3861" max="3861" width="12.88671875" style="164" customWidth="1"/>
    <col min="3862" max="3862" width="14.44140625" style="164" customWidth="1"/>
    <col min="3863" max="4105" width="9.109375" style="164"/>
    <col min="4106" max="4106" width="9.5546875" style="164" customWidth="1"/>
    <col min="4107" max="4107" width="12.44140625" style="164" customWidth="1"/>
    <col min="4108" max="4108" width="12" style="164" customWidth="1"/>
    <col min="4109" max="4109" width="12.88671875" style="164" customWidth="1"/>
    <col min="4110" max="4110" width="11.109375" style="164" customWidth="1"/>
    <col min="4111" max="4111" width="15.109375" style="164" customWidth="1"/>
    <col min="4112" max="4112" width="14.109375" style="164" customWidth="1"/>
    <col min="4113" max="4113" width="13.109375" style="164" customWidth="1"/>
    <col min="4114" max="4114" width="13.44140625" style="164" customWidth="1"/>
    <col min="4115" max="4115" width="14.33203125" style="164" customWidth="1"/>
    <col min="4116" max="4116" width="13.44140625" style="164" customWidth="1"/>
    <col min="4117" max="4117" width="12.88671875" style="164" customWidth="1"/>
    <col min="4118" max="4118" width="14.44140625" style="164" customWidth="1"/>
    <col min="4119" max="4361" width="9.109375" style="164"/>
    <col min="4362" max="4362" width="9.5546875" style="164" customWidth="1"/>
    <col min="4363" max="4363" width="12.44140625" style="164" customWidth="1"/>
    <col min="4364" max="4364" width="12" style="164" customWidth="1"/>
    <col min="4365" max="4365" width="12.88671875" style="164" customWidth="1"/>
    <col min="4366" max="4366" width="11.109375" style="164" customWidth="1"/>
    <col min="4367" max="4367" width="15.109375" style="164" customWidth="1"/>
    <col min="4368" max="4368" width="14.109375" style="164" customWidth="1"/>
    <col min="4369" max="4369" width="13.109375" style="164" customWidth="1"/>
    <col min="4370" max="4370" width="13.44140625" style="164" customWidth="1"/>
    <col min="4371" max="4371" width="14.33203125" style="164" customWidth="1"/>
    <col min="4372" max="4372" width="13.44140625" style="164" customWidth="1"/>
    <col min="4373" max="4373" width="12.88671875" style="164" customWidth="1"/>
    <col min="4374" max="4374" width="14.44140625" style="164" customWidth="1"/>
    <col min="4375" max="4617" width="9.109375" style="164"/>
    <col min="4618" max="4618" width="9.5546875" style="164" customWidth="1"/>
    <col min="4619" max="4619" width="12.44140625" style="164" customWidth="1"/>
    <col min="4620" max="4620" width="12" style="164" customWidth="1"/>
    <col min="4621" max="4621" width="12.88671875" style="164" customWidth="1"/>
    <col min="4622" max="4622" width="11.109375" style="164" customWidth="1"/>
    <col min="4623" max="4623" width="15.109375" style="164" customWidth="1"/>
    <col min="4624" max="4624" width="14.109375" style="164" customWidth="1"/>
    <col min="4625" max="4625" width="13.109375" style="164" customWidth="1"/>
    <col min="4626" max="4626" width="13.44140625" style="164" customWidth="1"/>
    <col min="4627" max="4627" width="14.33203125" style="164" customWidth="1"/>
    <col min="4628" max="4628" width="13.44140625" style="164" customWidth="1"/>
    <col min="4629" max="4629" width="12.88671875" style="164" customWidth="1"/>
    <col min="4630" max="4630" width="14.44140625" style="164" customWidth="1"/>
    <col min="4631" max="4873" width="9.109375" style="164"/>
    <col min="4874" max="4874" width="9.5546875" style="164" customWidth="1"/>
    <col min="4875" max="4875" width="12.44140625" style="164" customWidth="1"/>
    <col min="4876" max="4876" width="12" style="164" customWidth="1"/>
    <col min="4877" max="4877" width="12.88671875" style="164" customWidth="1"/>
    <col min="4878" max="4878" width="11.109375" style="164" customWidth="1"/>
    <col min="4879" max="4879" width="15.109375" style="164" customWidth="1"/>
    <col min="4880" max="4880" width="14.109375" style="164" customWidth="1"/>
    <col min="4881" max="4881" width="13.109375" style="164" customWidth="1"/>
    <col min="4882" max="4882" width="13.44140625" style="164" customWidth="1"/>
    <col min="4883" max="4883" width="14.33203125" style="164" customWidth="1"/>
    <col min="4884" max="4884" width="13.44140625" style="164" customWidth="1"/>
    <col min="4885" max="4885" width="12.88671875" style="164" customWidth="1"/>
    <col min="4886" max="4886" width="14.44140625" style="164" customWidth="1"/>
    <col min="4887" max="5129" width="9.109375" style="164"/>
    <col min="5130" max="5130" width="9.5546875" style="164" customWidth="1"/>
    <col min="5131" max="5131" width="12.44140625" style="164" customWidth="1"/>
    <col min="5132" max="5132" width="12" style="164" customWidth="1"/>
    <col min="5133" max="5133" width="12.88671875" style="164" customWidth="1"/>
    <col min="5134" max="5134" width="11.109375" style="164" customWidth="1"/>
    <col min="5135" max="5135" width="15.109375" style="164" customWidth="1"/>
    <col min="5136" max="5136" width="14.109375" style="164" customWidth="1"/>
    <col min="5137" max="5137" width="13.109375" style="164" customWidth="1"/>
    <col min="5138" max="5138" width="13.44140625" style="164" customWidth="1"/>
    <col min="5139" max="5139" width="14.33203125" style="164" customWidth="1"/>
    <col min="5140" max="5140" width="13.44140625" style="164" customWidth="1"/>
    <col min="5141" max="5141" width="12.88671875" style="164" customWidth="1"/>
    <col min="5142" max="5142" width="14.44140625" style="164" customWidth="1"/>
    <col min="5143" max="5385" width="9.109375" style="164"/>
    <col min="5386" max="5386" width="9.5546875" style="164" customWidth="1"/>
    <col min="5387" max="5387" width="12.44140625" style="164" customWidth="1"/>
    <col min="5388" max="5388" width="12" style="164" customWidth="1"/>
    <col min="5389" max="5389" width="12.88671875" style="164" customWidth="1"/>
    <col min="5390" max="5390" width="11.109375" style="164" customWidth="1"/>
    <col min="5391" max="5391" width="15.109375" style="164" customWidth="1"/>
    <col min="5392" max="5392" width="14.109375" style="164" customWidth="1"/>
    <col min="5393" max="5393" width="13.109375" style="164" customWidth="1"/>
    <col min="5394" max="5394" width="13.44140625" style="164" customWidth="1"/>
    <col min="5395" max="5395" width="14.33203125" style="164" customWidth="1"/>
    <col min="5396" max="5396" width="13.44140625" style="164" customWidth="1"/>
    <col min="5397" max="5397" width="12.88671875" style="164" customWidth="1"/>
    <col min="5398" max="5398" width="14.44140625" style="164" customWidth="1"/>
    <col min="5399" max="5641" width="9.109375" style="164"/>
    <col min="5642" max="5642" width="9.5546875" style="164" customWidth="1"/>
    <col min="5643" max="5643" width="12.44140625" style="164" customWidth="1"/>
    <col min="5644" max="5644" width="12" style="164" customWidth="1"/>
    <col min="5645" max="5645" width="12.88671875" style="164" customWidth="1"/>
    <col min="5646" max="5646" width="11.109375" style="164" customWidth="1"/>
    <col min="5647" max="5647" width="15.109375" style="164" customWidth="1"/>
    <col min="5648" max="5648" width="14.109375" style="164" customWidth="1"/>
    <col min="5649" max="5649" width="13.109375" style="164" customWidth="1"/>
    <col min="5650" max="5650" width="13.44140625" style="164" customWidth="1"/>
    <col min="5651" max="5651" width="14.33203125" style="164" customWidth="1"/>
    <col min="5652" max="5652" width="13.44140625" style="164" customWidth="1"/>
    <col min="5653" max="5653" width="12.88671875" style="164" customWidth="1"/>
    <col min="5654" max="5654" width="14.44140625" style="164" customWidth="1"/>
    <col min="5655" max="5897" width="9.109375" style="164"/>
    <col min="5898" max="5898" width="9.5546875" style="164" customWidth="1"/>
    <col min="5899" max="5899" width="12.44140625" style="164" customWidth="1"/>
    <col min="5900" max="5900" width="12" style="164" customWidth="1"/>
    <col min="5901" max="5901" width="12.88671875" style="164" customWidth="1"/>
    <col min="5902" max="5902" width="11.109375" style="164" customWidth="1"/>
    <col min="5903" max="5903" width="15.109375" style="164" customWidth="1"/>
    <col min="5904" max="5904" width="14.109375" style="164" customWidth="1"/>
    <col min="5905" max="5905" width="13.109375" style="164" customWidth="1"/>
    <col min="5906" max="5906" width="13.44140625" style="164" customWidth="1"/>
    <col min="5907" max="5907" width="14.33203125" style="164" customWidth="1"/>
    <col min="5908" max="5908" width="13.44140625" style="164" customWidth="1"/>
    <col min="5909" max="5909" width="12.88671875" style="164" customWidth="1"/>
    <col min="5910" max="5910" width="14.44140625" style="164" customWidth="1"/>
    <col min="5911" max="6153" width="9.109375" style="164"/>
    <col min="6154" max="6154" width="9.5546875" style="164" customWidth="1"/>
    <col min="6155" max="6155" width="12.44140625" style="164" customWidth="1"/>
    <col min="6156" max="6156" width="12" style="164" customWidth="1"/>
    <col min="6157" max="6157" width="12.88671875" style="164" customWidth="1"/>
    <col min="6158" max="6158" width="11.109375" style="164" customWidth="1"/>
    <col min="6159" max="6159" width="15.109375" style="164" customWidth="1"/>
    <col min="6160" max="6160" width="14.109375" style="164" customWidth="1"/>
    <col min="6161" max="6161" width="13.109375" style="164" customWidth="1"/>
    <col min="6162" max="6162" width="13.44140625" style="164" customWidth="1"/>
    <col min="6163" max="6163" width="14.33203125" style="164" customWidth="1"/>
    <col min="6164" max="6164" width="13.44140625" style="164" customWidth="1"/>
    <col min="6165" max="6165" width="12.88671875" style="164" customWidth="1"/>
    <col min="6166" max="6166" width="14.44140625" style="164" customWidth="1"/>
    <col min="6167" max="6409" width="9.109375" style="164"/>
    <col min="6410" max="6410" width="9.5546875" style="164" customWidth="1"/>
    <col min="6411" max="6411" width="12.44140625" style="164" customWidth="1"/>
    <col min="6412" max="6412" width="12" style="164" customWidth="1"/>
    <col min="6413" max="6413" width="12.88671875" style="164" customWidth="1"/>
    <col min="6414" max="6414" width="11.109375" style="164" customWidth="1"/>
    <col min="6415" max="6415" width="15.109375" style="164" customWidth="1"/>
    <col min="6416" max="6416" width="14.109375" style="164" customWidth="1"/>
    <col min="6417" max="6417" width="13.109375" style="164" customWidth="1"/>
    <col min="6418" max="6418" width="13.44140625" style="164" customWidth="1"/>
    <col min="6419" max="6419" width="14.33203125" style="164" customWidth="1"/>
    <col min="6420" max="6420" width="13.44140625" style="164" customWidth="1"/>
    <col min="6421" max="6421" width="12.88671875" style="164" customWidth="1"/>
    <col min="6422" max="6422" width="14.44140625" style="164" customWidth="1"/>
    <col min="6423" max="6665" width="9.109375" style="164"/>
    <col min="6666" max="6666" width="9.5546875" style="164" customWidth="1"/>
    <col min="6667" max="6667" width="12.44140625" style="164" customWidth="1"/>
    <col min="6668" max="6668" width="12" style="164" customWidth="1"/>
    <col min="6669" max="6669" width="12.88671875" style="164" customWidth="1"/>
    <col min="6670" max="6670" width="11.109375" style="164" customWidth="1"/>
    <col min="6671" max="6671" width="15.109375" style="164" customWidth="1"/>
    <col min="6672" max="6672" width="14.109375" style="164" customWidth="1"/>
    <col min="6673" max="6673" width="13.109375" style="164" customWidth="1"/>
    <col min="6674" max="6674" width="13.44140625" style="164" customWidth="1"/>
    <col min="6675" max="6675" width="14.33203125" style="164" customWidth="1"/>
    <col min="6676" max="6676" width="13.44140625" style="164" customWidth="1"/>
    <col min="6677" max="6677" width="12.88671875" style="164" customWidth="1"/>
    <col min="6678" max="6678" width="14.44140625" style="164" customWidth="1"/>
    <col min="6679" max="6921" width="9.109375" style="164"/>
    <col min="6922" max="6922" width="9.5546875" style="164" customWidth="1"/>
    <col min="6923" max="6923" width="12.44140625" style="164" customWidth="1"/>
    <col min="6924" max="6924" width="12" style="164" customWidth="1"/>
    <col min="6925" max="6925" width="12.88671875" style="164" customWidth="1"/>
    <col min="6926" max="6926" width="11.109375" style="164" customWidth="1"/>
    <col min="6927" max="6927" width="15.109375" style="164" customWidth="1"/>
    <col min="6928" max="6928" width="14.109375" style="164" customWidth="1"/>
    <col min="6929" max="6929" width="13.109375" style="164" customWidth="1"/>
    <col min="6930" max="6930" width="13.44140625" style="164" customWidth="1"/>
    <col min="6931" max="6931" width="14.33203125" style="164" customWidth="1"/>
    <col min="6932" max="6932" width="13.44140625" style="164" customWidth="1"/>
    <col min="6933" max="6933" width="12.88671875" style="164" customWidth="1"/>
    <col min="6934" max="6934" width="14.44140625" style="164" customWidth="1"/>
    <col min="6935" max="7177" width="9.109375" style="164"/>
    <col min="7178" max="7178" width="9.5546875" style="164" customWidth="1"/>
    <col min="7179" max="7179" width="12.44140625" style="164" customWidth="1"/>
    <col min="7180" max="7180" width="12" style="164" customWidth="1"/>
    <col min="7181" max="7181" width="12.88671875" style="164" customWidth="1"/>
    <col min="7182" max="7182" width="11.109375" style="164" customWidth="1"/>
    <col min="7183" max="7183" width="15.109375" style="164" customWidth="1"/>
    <col min="7184" max="7184" width="14.109375" style="164" customWidth="1"/>
    <col min="7185" max="7185" width="13.109375" style="164" customWidth="1"/>
    <col min="7186" max="7186" width="13.44140625" style="164" customWidth="1"/>
    <col min="7187" max="7187" width="14.33203125" style="164" customWidth="1"/>
    <col min="7188" max="7188" width="13.44140625" style="164" customWidth="1"/>
    <col min="7189" max="7189" width="12.88671875" style="164" customWidth="1"/>
    <col min="7190" max="7190" width="14.44140625" style="164" customWidth="1"/>
    <col min="7191" max="7433" width="9.109375" style="164"/>
    <col min="7434" max="7434" width="9.5546875" style="164" customWidth="1"/>
    <col min="7435" max="7435" width="12.44140625" style="164" customWidth="1"/>
    <col min="7436" max="7436" width="12" style="164" customWidth="1"/>
    <col min="7437" max="7437" width="12.88671875" style="164" customWidth="1"/>
    <col min="7438" max="7438" width="11.109375" style="164" customWidth="1"/>
    <col min="7439" max="7439" width="15.109375" style="164" customWidth="1"/>
    <col min="7440" max="7440" width="14.109375" style="164" customWidth="1"/>
    <col min="7441" max="7441" width="13.109375" style="164" customWidth="1"/>
    <col min="7442" max="7442" width="13.44140625" style="164" customWidth="1"/>
    <col min="7443" max="7443" width="14.33203125" style="164" customWidth="1"/>
    <col min="7444" max="7444" width="13.44140625" style="164" customWidth="1"/>
    <col min="7445" max="7445" width="12.88671875" style="164" customWidth="1"/>
    <col min="7446" max="7446" width="14.44140625" style="164" customWidth="1"/>
    <col min="7447" max="7689" width="9.109375" style="164"/>
    <col min="7690" max="7690" width="9.5546875" style="164" customWidth="1"/>
    <col min="7691" max="7691" width="12.44140625" style="164" customWidth="1"/>
    <col min="7692" max="7692" width="12" style="164" customWidth="1"/>
    <col min="7693" max="7693" width="12.88671875" style="164" customWidth="1"/>
    <col min="7694" max="7694" width="11.109375" style="164" customWidth="1"/>
    <col min="7695" max="7695" width="15.109375" style="164" customWidth="1"/>
    <col min="7696" max="7696" width="14.109375" style="164" customWidth="1"/>
    <col min="7697" max="7697" width="13.109375" style="164" customWidth="1"/>
    <col min="7698" max="7698" width="13.44140625" style="164" customWidth="1"/>
    <col min="7699" max="7699" width="14.33203125" style="164" customWidth="1"/>
    <col min="7700" max="7700" width="13.44140625" style="164" customWidth="1"/>
    <col min="7701" max="7701" width="12.88671875" style="164" customWidth="1"/>
    <col min="7702" max="7702" width="14.44140625" style="164" customWidth="1"/>
    <col min="7703" max="7945" width="9.109375" style="164"/>
    <col min="7946" max="7946" width="9.5546875" style="164" customWidth="1"/>
    <col min="7947" max="7947" width="12.44140625" style="164" customWidth="1"/>
    <col min="7948" max="7948" width="12" style="164" customWidth="1"/>
    <col min="7949" max="7949" width="12.88671875" style="164" customWidth="1"/>
    <col min="7950" max="7950" width="11.109375" style="164" customWidth="1"/>
    <col min="7951" max="7951" width="15.109375" style="164" customWidth="1"/>
    <col min="7952" max="7952" width="14.109375" style="164" customWidth="1"/>
    <col min="7953" max="7953" width="13.109375" style="164" customWidth="1"/>
    <col min="7954" max="7954" width="13.44140625" style="164" customWidth="1"/>
    <col min="7955" max="7955" width="14.33203125" style="164" customWidth="1"/>
    <col min="7956" max="7956" width="13.44140625" style="164" customWidth="1"/>
    <col min="7957" max="7957" width="12.88671875" style="164" customWidth="1"/>
    <col min="7958" max="7958" width="14.44140625" style="164" customWidth="1"/>
    <col min="7959" max="8201" width="9.109375" style="164"/>
    <col min="8202" max="8202" width="9.5546875" style="164" customWidth="1"/>
    <col min="8203" max="8203" width="12.44140625" style="164" customWidth="1"/>
    <col min="8204" max="8204" width="12" style="164" customWidth="1"/>
    <col min="8205" max="8205" width="12.88671875" style="164" customWidth="1"/>
    <col min="8206" max="8206" width="11.109375" style="164" customWidth="1"/>
    <col min="8207" max="8207" width="15.109375" style="164" customWidth="1"/>
    <col min="8208" max="8208" width="14.109375" style="164" customWidth="1"/>
    <col min="8209" max="8209" width="13.109375" style="164" customWidth="1"/>
    <col min="8210" max="8210" width="13.44140625" style="164" customWidth="1"/>
    <col min="8211" max="8211" width="14.33203125" style="164" customWidth="1"/>
    <col min="8212" max="8212" width="13.44140625" style="164" customWidth="1"/>
    <col min="8213" max="8213" width="12.88671875" style="164" customWidth="1"/>
    <col min="8214" max="8214" width="14.44140625" style="164" customWidth="1"/>
    <col min="8215" max="8457" width="9.109375" style="164"/>
    <col min="8458" max="8458" width="9.5546875" style="164" customWidth="1"/>
    <col min="8459" max="8459" width="12.44140625" style="164" customWidth="1"/>
    <col min="8460" max="8460" width="12" style="164" customWidth="1"/>
    <col min="8461" max="8461" width="12.88671875" style="164" customWidth="1"/>
    <col min="8462" max="8462" width="11.109375" style="164" customWidth="1"/>
    <col min="8463" max="8463" width="15.109375" style="164" customWidth="1"/>
    <col min="8464" max="8464" width="14.109375" style="164" customWidth="1"/>
    <col min="8465" max="8465" width="13.109375" style="164" customWidth="1"/>
    <col min="8466" max="8466" width="13.44140625" style="164" customWidth="1"/>
    <col min="8467" max="8467" width="14.33203125" style="164" customWidth="1"/>
    <col min="8468" max="8468" width="13.44140625" style="164" customWidth="1"/>
    <col min="8469" max="8469" width="12.88671875" style="164" customWidth="1"/>
    <col min="8470" max="8470" width="14.44140625" style="164" customWidth="1"/>
    <col min="8471" max="8713" width="9.109375" style="164"/>
    <col min="8714" max="8714" width="9.5546875" style="164" customWidth="1"/>
    <col min="8715" max="8715" width="12.44140625" style="164" customWidth="1"/>
    <col min="8716" max="8716" width="12" style="164" customWidth="1"/>
    <col min="8717" max="8717" width="12.88671875" style="164" customWidth="1"/>
    <col min="8718" max="8718" width="11.109375" style="164" customWidth="1"/>
    <col min="8719" max="8719" width="15.109375" style="164" customWidth="1"/>
    <col min="8720" max="8720" width="14.109375" style="164" customWidth="1"/>
    <col min="8721" max="8721" width="13.109375" style="164" customWidth="1"/>
    <col min="8722" max="8722" width="13.44140625" style="164" customWidth="1"/>
    <col min="8723" max="8723" width="14.33203125" style="164" customWidth="1"/>
    <col min="8724" max="8724" width="13.44140625" style="164" customWidth="1"/>
    <col min="8725" max="8725" width="12.88671875" style="164" customWidth="1"/>
    <col min="8726" max="8726" width="14.44140625" style="164" customWidth="1"/>
    <col min="8727" max="8969" width="9.109375" style="164"/>
    <col min="8970" max="8970" width="9.5546875" style="164" customWidth="1"/>
    <col min="8971" max="8971" width="12.44140625" style="164" customWidth="1"/>
    <col min="8972" max="8972" width="12" style="164" customWidth="1"/>
    <col min="8973" max="8973" width="12.88671875" style="164" customWidth="1"/>
    <col min="8974" max="8974" width="11.109375" style="164" customWidth="1"/>
    <col min="8975" max="8975" width="15.109375" style="164" customWidth="1"/>
    <col min="8976" max="8976" width="14.109375" style="164" customWidth="1"/>
    <col min="8977" max="8977" width="13.109375" style="164" customWidth="1"/>
    <col min="8978" max="8978" width="13.44140625" style="164" customWidth="1"/>
    <col min="8979" max="8979" width="14.33203125" style="164" customWidth="1"/>
    <col min="8980" max="8980" width="13.44140625" style="164" customWidth="1"/>
    <col min="8981" max="8981" width="12.88671875" style="164" customWidth="1"/>
    <col min="8982" max="8982" width="14.44140625" style="164" customWidth="1"/>
    <col min="8983" max="9225" width="9.109375" style="164"/>
    <col min="9226" max="9226" width="9.5546875" style="164" customWidth="1"/>
    <col min="9227" max="9227" width="12.44140625" style="164" customWidth="1"/>
    <col min="9228" max="9228" width="12" style="164" customWidth="1"/>
    <col min="9229" max="9229" width="12.88671875" style="164" customWidth="1"/>
    <col min="9230" max="9230" width="11.109375" style="164" customWidth="1"/>
    <col min="9231" max="9231" width="15.109375" style="164" customWidth="1"/>
    <col min="9232" max="9232" width="14.109375" style="164" customWidth="1"/>
    <col min="9233" max="9233" width="13.109375" style="164" customWidth="1"/>
    <col min="9234" max="9234" width="13.44140625" style="164" customWidth="1"/>
    <col min="9235" max="9235" width="14.33203125" style="164" customWidth="1"/>
    <col min="9236" max="9236" width="13.44140625" style="164" customWidth="1"/>
    <col min="9237" max="9237" width="12.88671875" style="164" customWidth="1"/>
    <col min="9238" max="9238" width="14.44140625" style="164" customWidth="1"/>
    <col min="9239" max="9481" width="9.109375" style="164"/>
    <col min="9482" max="9482" width="9.5546875" style="164" customWidth="1"/>
    <col min="9483" max="9483" width="12.44140625" style="164" customWidth="1"/>
    <col min="9484" max="9484" width="12" style="164" customWidth="1"/>
    <col min="9485" max="9485" width="12.88671875" style="164" customWidth="1"/>
    <col min="9486" max="9486" width="11.109375" style="164" customWidth="1"/>
    <col min="9487" max="9487" width="15.109375" style="164" customWidth="1"/>
    <col min="9488" max="9488" width="14.109375" style="164" customWidth="1"/>
    <col min="9489" max="9489" width="13.109375" style="164" customWidth="1"/>
    <col min="9490" max="9490" width="13.44140625" style="164" customWidth="1"/>
    <col min="9491" max="9491" width="14.33203125" style="164" customWidth="1"/>
    <col min="9492" max="9492" width="13.44140625" style="164" customWidth="1"/>
    <col min="9493" max="9493" width="12.88671875" style="164" customWidth="1"/>
    <col min="9494" max="9494" width="14.44140625" style="164" customWidth="1"/>
    <col min="9495" max="9737" width="9.109375" style="164"/>
    <col min="9738" max="9738" width="9.5546875" style="164" customWidth="1"/>
    <col min="9739" max="9739" width="12.44140625" style="164" customWidth="1"/>
    <col min="9740" max="9740" width="12" style="164" customWidth="1"/>
    <col min="9741" max="9741" width="12.88671875" style="164" customWidth="1"/>
    <col min="9742" max="9742" width="11.109375" style="164" customWidth="1"/>
    <col min="9743" max="9743" width="15.109375" style="164" customWidth="1"/>
    <col min="9744" max="9744" width="14.109375" style="164" customWidth="1"/>
    <col min="9745" max="9745" width="13.109375" style="164" customWidth="1"/>
    <col min="9746" max="9746" width="13.44140625" style="164" customWidth="1"/>
    <col min="9747" max="9747" width="14.33203125" style="164" customWidth="1"/>
    <col min="9748" max="9748" width="13.44140625" style="164" customWidth="1"/>
    <col min="9749" max="9749" width="12.88671875" style="164" customWidth="1"/>
    <col min="9750" max="9750" width="14.44140625" style="164" customWidth="1"/>
    <col min="9751" max="9993" width="9.109375" style="164"/>
    <col min="9994" max="9994" width="9.5546875" style="164" customWidth="1"/>
    <col min="9995" max="9995" width="12.44140625" style="164" customWidth="1"/>
    <col min="9996" max="9996" width="12" style="164" customWidth="1"/>
    <col min="9997" max="9997" width="12.88671875" style="164" customWidth="1"/>
    <col min="9998" max="9998" width="11.109375" style="164" customWidth="1"/>
    <col min="9999" max="9999" width="15.109375" style="164" customWidth="1"/>
    <col min="10000" max="10000" width="14.109375" style="164" customWidth="1"/>
    <col min="10001" max="10001" width="13.109375" style="164" customWidth="1"/>
    <col min="10002" max="10002" width="13.44140625" style="164" customWidth="1"/>
    <col min="10003" max="10003" width="14.33203125" style="164" customWidth="1"/>
    <col min="10004" max="10004" width="13.44140625" style="164" customWidth="1"/>
    <col min="10005" max="10005" width="12.88671875" style="164" customWidth="1"/>
    <col min="10006" max="10006" width="14.44140625" style="164" customWidth="1"/>
    <col min="10007" max="10249" width="9.109375" style="164"/>
    <col min="10250" max="10250" width="9.5546875" style="164" customWidth="1"/>
    <col min="10251" max="10251" width="12.44140625" style="164" customWidth="1"/>
    <col min="10252" max="10252" width="12" style="164" customWidth="1"/>
    <col min="10253" max="10253" width="12.88671875" style="164" customWidth="1"/>
    <col min="10254" max="10254" width="11.109375" style="164" customWidth="1"/>
    <col min="10255" max="10255" width="15.109375" style="164" customWidth="1"/>
    <col min="10256" max="10256" width="14.109375" style="164" customWidth="1"/>
    <col min="10257" max="10257" width="13.109375" style="164" customWidth="1"/>
    <col min="10258" max="10258" width="13.44140625" style="164" customWidth="1"/>
    <col min="10259" max="10259" width="14.33203125" style="164" customWidth="1"/>
    <col min="10260" max="10260" width="13.44140625" style="164" customWidth="1"/>
    <col min="10261" max="10261" width="12.88671875" style="164" customWidth="1"/>
    <col min="10262" max="10262" width="14.44140625" style="164" customWidth="1"/>
    <col min="10263" max="10505" width="9.109375" style="164"/>
    <col min="10506" max="10506" width="9.5546875" style="164" customWidth="1"/>
    <col min="10507" max="10507" width="12.44140625" style="164" customWidth="1"/>
    <col min="10508" max="10508" width="12" style="164" customWidth="1"/>
    <col min="10509" max="10509" width="12.88671875" style="164" customWidth="1"/>
    <col min="10510" max="10510" width="11.109375" style="164" customWidth="1"/>
    <col min="10511" max="10511" width="15.109375" style="164" customWidth="1"/>
    <col min="10512" max="10512" width="14.109375" style="164" customWidth="1"/>
    <col min="10513" max="10513" width="13.109375" style="164" customWidth="1"/>
    <col min="10514" max="10514" width="13.44140625" style="164" customWidth="1"/>
    <col min="10515" max="10515" width="14.33203125" style="164" customWidth="1"/>
    <col min="10516" max="10516" width="13.44140625" style="164" customWidth="1"/>
    <col min="10517" max="10517" width="12.88671875" style="164" customWidth="1"/>
    <col min="10518" max="10518" width="14.44140625" style="164" customWidth="1"/>
    <col min="10519" max="10761" width="9.109375" style="164"/>
    <col min="10762" max="10762" width="9.5546875" style="164" customWidth="1"/>
    <col min="10763" max="10763" width="12.44140625" style="164" customWidth="1"/>
    <col min="10764" max="10764" width="12" style="164" customWidth="1"/>
    <col min="10765" max="10765" width="12.88671875" style="164" customWidth="1"/>
    <col min="10766" max="10766" width="11.109375" style="164" customWidth="1"/>
    <col min="10767" max="10767" width="15.109375" style="164" customWidth="1"/>
    <col min="10768" max="10768" width="14.109375" style="164" customWidth="1"/>
    <col min="10769" max="10769" width="13.109375" style="164" customWidth="1"/>
    <col min="10770" max="10770" width="13.44140625" style="164" customWidth="1"/>
    <col min="10771" max="10771" width="14.33203125" style="164" customWidth="1"/>
    <col min="10772" max="10772" width="13.44140625" style="164" customWidth="1"/>
    <col min="10773" max="10773" width="12.88671875" style="164" customWidth="1"/>
    <col min="10774" max="10774" width="14.44140625" style="164" customWidth="1"/>
    <col min="10775" max="11017" width="9.109375" style="164"/>
    <col min="11018" max="11018" width="9.5546875" style="164" customWidth="1"/>
    <col min="11019" max="11019" width="12.44140625" style="164" customWidth="1"/>
    <col min="11020" max="11020" width="12" style="164" customWidth="1"/>
    <col min="11021" max="11021" width="12.88671875" style="164" customWidth="1"/>
    <col min="11022" max="11022" width="11.109375" style="164" customWidth="1"/>
    <col min="11023" max="11023" width="15.109375" style="164" customWidth="1"/>
    <col min="11024" max="11024" width="14.109375" style="164" customWidth="1"/>
    <col min="11025" max="11025" width="13.109375" style="164" customWidth="1"/>
    <col min="11026" max="11026" width="13.44140625" style="164" customWidth="1"/>
    <col min="11027" max="11027" width="14.33203125" style="164" customWidth="1"/>
    <col min="11028" max="11028" width="13.44140625" style="164" customWidth="1"/>
    <col min="11029" max="11029" width="12.88671875" style="164" customWidth="1"/>
    <col min="11030" max="11030" width="14.44140625" style="164" customWidth="1"/>
    <col min="11031" max="11273" width="9.109375" style="164"/>
    <col min="11274" max="11274" width="9.5546875" style="164" customWidth="1"/>
    <col min="11275" max="11275" width="12.44140625" style="164" customWidth="1"/>
    <col min="11276" max="11276" width="12" style="164" customWidth="1"/>
    <col min="11277" max="11277" width="12.88671875" style="164" customWidth="1"/>
    <col min="11278" max="11278" width="11.109375" style="164" customWidth="1"/>
    <col min="11279" max="11279" width="15.109375" style="164" customWidth="1"/>
    <col min="11280" max="11280" width="14.109375" style="164" customWidth="1"/>
    <col min="11281" max="11281" width="13.109375" style="164" customWidth="1"/>
    <col min="11282" max="11282" width="13.44140625" style="164" customWidth="1"/>
    <col min="11283" max="11283" width="14.33203125" style="164" customWidth="1"/>
    <col min="11284" max="11284" width="13.44140625" style="164" customWidth="1"/>
    <col min="11285" max="11285" width="12.88671875" style="164" customWidth="1"/>
    <col min="11286" max="11286" width="14.44140625" style="164" customWidth="1"/>
    <col min="11287" max="11529" width="9.109375" style="164"/>
    <col min="11530" max="11530" width="9.5546875" style="164" customWidth="1"/>
    <col min="11531" max="11531" width="12.44140625" style="164" customWidth="1"/>
    <col min="11532" max="11532" width="12" style="164" customWidth="1"/>
    <col min="11533" max="11533" width="12.88671875" style="164" customWidth="1"/>
    <col min="11534" max="11534" width="11.109375" style="164" customWidth="1"/>
    <col min="11535" max="11535" width="15.109375" style="164" customWidth="1"/>
    <col min="11536" max="11536" width="14.109375" style="164" customWidth="1"/>
    <col min="11537" max="11537" width="13.109375" style="164" customWidth="1"/>
    <col min="11538" max="11538" width="13.44140625" style="164" customWidth="1"/>
    <col min="11539" max="11539" width="14.33203125" style="164" customWidth="1"/>
    <col min="11540" max="11540" width="13.44140625" style="164" customWidth="1"/>
    <col min="11541" max="11541" width="12.88671875" style="164" customWidth="1"/>
    <col min="11542" max="11542" width="14.44140625" style="164" customWidth="1"/>
    <col min="11543" max="11785" width="9.109375" style="164"/>
    <col min="11786" max="11786" width="9.5546875" style="164" customWidth="1"/>
    <col min="11787" max="11787" width="12.44140625" style="164" customWidth="1"/>
    <col min="11788" max="11788" width="12" style="164" customWidth="1"/>
    <col min="11789" max="11789" width="12.88671875" style="164" customWidth="1"/>
    <col min="11790" max="11790" width="11.109375" style="164" customWidth="1"/>
    <col min="11791" max="11791" width="15.109375" style="164" customWidth="1"/>
    <col min="11792" max="11792" width="14.109375" style="164" customWidth="1"/>
    <col min="11793" max="11793" width="13.109375" style="164" customWidth="1"/>
    <col min="11794" max="11794" width="13.44140625" style="164" customWidth="1"/>
    <col min="11795" max="11795" width="14.33203125" style="164" customWidth="1"/>
    <col min="11796" max="11796" width="13.44140625" style="164" customWidth="1"/>
    <col min="11797" max="11797" width="12.88671875" style="164" customWidth="1"/>
    <col min="11798" max="11798" width="14.44140625" style="164" customWidth="1"/>
    <col min="11799" max="12041" width="9.109375" style="164"/>
    <col min="12042" max="12042" width="9.5546875" style="164" customWidth="1"/>
    <col min="12043" max="12043" width="12.44140625" style="164" customWidth="1"/>
    <col min="12044" max="12044" width="12" style="164" customWidth="1"/>
    <col min="12045" max="12045" width="12.88671875" style="164" customWidth="1"/>
    <col min="12046" max="12046" width="11.109375" style="164" customWidth="1"/>
    <col min="12047" max="12047" width="15.109375" style="164" customWidth="1"/>
    <col min="12048" max="12048" width="14.109375" style="164" customWidth="1"/>
    <col min="12049" max="12049" width="13.109375" style="164" customWidth="1"/>
    <col min="12050" max="12050" width="13.44140625" style="164" customWidth="1"/>
    <col min="12051" max="12051" width="14.33203125" style="164" customWidth="1"/>
    <col min="12052" max="12052" width="13.44140625" style="164" customWidth="1"/>
    <col min="12053" max="12053" width="12.88671875" style="164" customWidth="1"/>
    <col min="12054" max="12054" width="14.44140625" style="164" customWidth="1"/>
    <col min="12055" max="12297" width="9.109375" style="164"/>
    <col min="12298" max="12298" width="9.5546875" style="164" customWidth="1"/>
    <col min="12299" max="12299" width="12.44140625" style="164" customWidth="1"/>
    <col min="12300" max="12300" width="12" style="164" customWidth="1"/>
    <col min="12301" max="12301" width="12.88671875" style="164" customWidth="1"/>
    <col min="12302" max="12302" width="11.109375" style="164" customWidth="1"/>
    <col min="12303" max="12303" width="15.109375" style="164" customWidth="1"/>
    <col min="12304" max="12304" width="14.109375" style="164" customWidth="1"/>
    <col min="12305" max="12305" width="13.109375" style="164" customWidth="1"/>
    <col min="12306" max="12306" width="13.44140625" style="164" customWidth="1"/>
    <col min="12307" max="12307" width="14.33203125" style="164" customWidth="1"/>
    <col min="12308" max="12308" width="13.44140625" style="164" customWidth="1"/>
    <col min="12309" max="12309" width="12.88671875" style="164" customWidth="1"/>
    <col min="12310" max="12310" width="14.44140625" style="164" customWidth="1"/>
    <col min="12311" max="12553" width="9.109375" style="164"/>
    <col min="12554" max="12554" width="9.5546875" style="164" customWidth="1"/>
    <col min="12555" max="12555" width="12.44140625" style="164" customWidth="1"/>
    <col min="12556" max="12556" width="12" style="164" customWidth="1"/>
    <col min="12557" max="12557" width="12.88671875" style="164" customWidth="1"/>
    <col min="12558" max="12558" width="11.109375" style="164" customWidth="1"/>
    <col min="12559" max="12559" width="15.109375" style="164" customWidth="1"/>
    <col min="12560" max="12560" width="14.109375" style="164" customWidth="1"/>
    <col min="12561" max="12561" width="13.109375" style="164" customWidth="1"/>
    <col min="12562" max="12562" width="13.44140625" style="164" customWidth="1"/>
    <col min="12563" max="12563" width="14.33203125" style="164" customWidth="1"/>
    <col min="12564" max="12564" width="13.44140625" style="164" customWidth="1"/>
    <col min="12565" max="12565" width="12.88671875" style="164" customWidth="1"/>
    <col min="12566" max="12566" width="14.44140625" style="164" customWidth="1"/>
    <col min="12567" max="12809" width="9.109375" style="164"/>
    <col min="12810" max="12810" width="9.5546875" style="164" customWidth="1"/>
    <col min="12811" max="12811" width="12.44140625" style="164" customWidth="1"/>
    <col min="12812" max="12812" width="12" style="164" customWidth="1"/>
    <col min="12813" max="12813" width="12.88671875" style="164" customWidth="1"/>
    <col min="12814" max="12814" width="11.109375" style="164" customWidth="1"/>
    <col min="12815" max="12815" width="15.109375" style="164" customWidth="1"/>
    <col min="12816" max="12816" width="14.109375" style="164" customWidth="1"/>
    <col min="12817" max="12817" width="13.109375" style="164" customWidth="1"/>
    <col min="12818" max="12818" width="13.44140625" style="164" customWidth="1"/>
    <col min="12819" max="12819" width="14.33203125" style="164" customWidth="1"/>
    <col min="12820" max="12820" width="13.44140625" style="164" customWidth="1"/>
    <col min="12821" max="12821" width="12.88671875" style="164" customWidth="1"/>
    <col min="12822" max="12822" width="14.44140625" style="164" customWidth="1"/>
    <col min="12823" max="13065" width="9.109375" style="164"/>
    <col min="13066" max="13066" width="9.5546875" style="164" customWidth="1"/>
    <col min="13067" max="13067" width="12.44140625" style="164" customWidth="1"/>
    <col min="13068" max="13068" width="12" style="164" customWidth="1"/>
    <col min="13069" max="13069" width="12.88671875" style="164" customWidth="1"/>
    <col min="13070" max="13070" width="11.109375" style="164" customWidth="1"/>
    <col min="13071" max="13071" width="15.109375" style="164" customWidth="1"/>
    <col min="13072" max="13072" width="14.109375" style="164" customWidth="1"/>
    <col min="13073" max="13073" width="13.109375" style="164" customWidth="1"/>
    <col min="13074" max="13074" width="13.44140625" style="164" customWidth="1"/>
    <col min="13075" max="13075" width="14.33203125" style="164" customWidth="1"/>
    <col min="13076" max="13076" width="13.44140625" style="164" customWidth="1"/>
    <col min="13077" max="13077" width="12.88671875" style="164" customWidth="1"/>
    <col min="13078" max="13078" width="14.44140625" style="164" customWidth="1"/>
    <col min="13079" max="13321" width="9.109375" style="164"/>
    <col min="13322" max="13322" width="9.5546875" style="164" customWidth="1"/>
    <col min="13323" max="13323" width="12.44140625" style="164" customWidth="1"/>
    <col min="13324" max="13324" width="12" style="164" customWidth="1"/>
    <col min="13325" max="13325" width="12.88671875" style="164" customWidth="1"/>
    <col min="13326" max="13326" width="11.109375" style="164" customWidth="1"/>
    <col min="13327" max="13327" width="15.109375" style="164" customWidth="1"/>
    <col min="13328" max="13328" width="14.109375" style="164" customWidth="1"/>
    <col min="13329" max="13329" width="13.109375" style="164" customWidth="1"/>
    <col min="13330" max="13330" width="13.44140625" style="164" customWidth="1"/>
    <col min="13331" max="13331" width="14.33203125" style="164" customWidth="1"/>
    <col min="13332" max="13332" width="13.44140625" style="164" customWidth="1"/>
    <col min="13333" max="13333" width="12.88671875" style="164" customWidth="1"/>
    <col min="13334" max="13334" width="14.44140625" style="164" customWidth="1"/>
    <col min="13335" max="13577" width="9.109375" style="164"/>
    <col min="13578" max="13578" width="9.5546875" style="164" customWidth="1"/>
    <col min="13579" max="13579" width="12.44140625" style="164" customWidth="1"/>
    <col min="13580" max="13580" width="12" style="164" customWidth="1"/>
    <col min="13581" max="13581" width="12.88671875" style="164" customWidth="1"/>
    <col min="13582" max="13582" width="11.109375" style="164" customWidth="1"/>
    <col min="13583" max="13583" width="15.109375" style="164" customWidth="1"/>
    <col min="13584" max="13584" width="14.109375" style="164" customWidth="1"/>
    <col min="13585" max="13585" width="13.109375" style="164" customWidth="1"/>
    <col min="13586" max="13586" width="13.44140625" style="164" customWidth="1"/>
    <col min="13587" max="13587" width="14.33203125" style="164" customWidth="1"/>
    <col min="13588" max="13588" width="13.44140625" style="164" customWidth="1"/>
    <col min="13589" max="13589" width="12.88671875" style="164" customWidth="1"/>
    <col min="13590" max="13590" width="14.44140625" style="164" customWidth="1"/>
    <col min="13591" max="13833" width="9.109375" style="164"/>
    <col min="13834" max="13834" width="9.5546875" style="164" customWidth="1"/>
    <col min="13835" max="13835" width="12.44140625" style="164" customWidth="1"/>
    <col min="13836" max="13836" width="12" style="164" customWidth="1"/>
    <col min="13837" max="13837" width="12.88671875" style="164" customWidth="1"/>
    <col min="13838" max="13838" width="11.109375" style="164" customWidth="1"/>
    <col min="13839" max="13839" width="15.109375" style="164" customWidth="1"/>
    <col min="13840" max="13840" width="14.109375" style="164" customWidth="1"/>
    <col min="13841" max="13841" width="13.109375" style="164" customWidth="1"/>
    <col min="13842" max="13842" width="13.44140625" style="164" customWidth="1"/>
    <col min="13843" max="13843" width="14.33203125" style="164" customWidth="1"/>
    <col min="13844" max="13844" width="13.44140625" style="164" customWidth="1"/>
    <col min="13845" max="13845" width="12.88671875" style="164" customWidth="1"/>
    <col min="13846" max="13846" width="14.44140625" style="164" customWidth="1"/>
    <col min="13847" max="14089" width="9.109375" style="164"/>
    <col min="14090" max="14090" width="9.5546875" style="164" customWidth="1"/>
    <col min="14091" max="14091" width="12.44140625" style="164" customWidth="1"/>
    <col min="14092" max="14092" width="12" style="164" customWidth="1"/>
    <col min="14093" max="14093" width="12.88671875" style="164" customWidth="1"/>
    <col min="14094" max="14094" width="11.109375" style="164" customWidth="1"/>
    <col min="14095" max="14095" width="15.109375" style="164" customWidth="1"/>
    <col min="14096" max="14096" width="14.109375" style="164" customWidth="1"/>
    <col min="14097" max="14097" width="13.109375" style="164" customWidth="1"/>
    <col min="14098" max="14098" width="13.44140625" style="164" customWidth="1"/>
    <col min="14099" max="14099" width="14.33203125" style="164" customWidth="1"/>
    <col min="14100" max="14100" width="13.44140625" style="164" customWidth="1"/>
    <col min="14101" max="14101" width="12.88671875" style="164" customWidth="1"/>
    <col min="14102" max="14102" width="14.44140625" style="164" customWidth="1"/>
    <col min="14103" max="14345" width="9.109375" style="164"/>
    <col min="14346" max="14346" width="9.5546875" style="164" customWidth="1"/>
    <col min="14347" max="14347" width="12.44140625" style="164" customWidth="1"/>
    <col min="14348" max="14348" width="12" style="164" customWidth="1"/>
    <col min="14349" max="14349" width="12.88671875" style="164" customWidth="1"/>
    <col min="14350" max="14350" width="11.109375" style="164" customWidth="1"/>
    <col min="14351" max="14351" width="15.109375" style="164" customWidth="1"/>
    <col min="14352" max="14352" width="14.109375" style="164" customWidth="1"/>
    <col min="14353" max="14353" width="13.109375" style="164" customWidth="1"/>
    <col min="14354" max="14354" width="13.44140625" style="164" customWidth="1"/>
    <col min="14355" max="14355" width="14.33203125" style="164" customWidth="1"/>
    <col min="14356" max="14356" width="13.44140625" style="164" customWidth="1"/>
    <col min="14357" max="14357" width="12.88671875" style="164" customWidth="1"/>
    <col min="14358" max="14358" width="14.44140625" style="164" customWidth="1"/>
    <col min="14359" max="14601" width="9.109375" style="164"/>
    <col min="14602" max="14602" width="9.5546875" style="164" customWidth="1"/>
    <col min="14603" max="14603" width="12.44140625" style="164" customWidth="1"/>
    <col min="14604" max="14604" width="12" style="164" customWidth="1"/>
    <col min="14605" max="14605" width="12.88671875" style="164" customWidth="1"/>
    <col min="14606" max="14606" width="11.109375" style="164" customWidth="1"/>
    <col min="14607" max="14607" width="15.109375" style="164" customWidth="1"/>
    <col min="14608" max="14608" width="14.109375" style="164" customWidth="1"/>
    <col min="14609" max="14609" width="13.109375" style="164" customWidth="1"/>
    <col min="14610" max="14610" width="13.44140625" style="164" customWidth="1"/>
    <col min="14611" max="14611" width="14.33203125" style="164" customWidth="1"/>
    <col min="14612" max="14612" width="13.44140625" style="164" customWidth="1"/>
    <col min="14613" max="14613" width="12.88671875" style="164" customWidth="1"/>
    <col min="14614" max="14614" width="14.44140625" style="164" customWidth="1"/>
    <col min="14615" max="14857" width="9.109375" style="164"/>
    <col min="14858" max="14858" width="9.5546875" style="164" customWidth="1"/>
    <col min="14859" max="14859" width="12.44140625" style="164" customWidth="1"/>
    <col min="14860" max="14860" width="12" style="164" customWidth="1"/>
    <col min="14861" max="14861" width="12.88671875" style="164" customWidth="1"/>
    <col min="14862" max="14862" width="11.109375" style="164" customWidth="1"/>
    <col min="14863" max="14863" width="15.109375" style="164" customWidth="1"/>
    <col min="14864" max="14864" width="14.109375" style="164" customWidth="1"/>
    <col min="14865" max="14865" width="13.109375" style="164" customWidth="1"/>
    <col min="14866" max="14866" width="13.44140625" style="164" customWidth="1"/>
    <col min="14867" max="14867" width="14.33203125" style="164" customWidth="1"/>
    <col min="14868" max="14868" width="13.44140625" style="164" customWidth="1"/>
    <col min="14869" max="14869" width="12.88671875" style="164" customWidth="1"/>
    <col min="14870" max="14870" width="14.44140625" style="164" customWidth="1"/>
    <col min="14871" max="15113" width="9.109375" style="164"/>
    <col min="15114" max="15114" width="9.5546875" style="164" customWidth="1"/>
    <col min="15115" max="15115" width="12.44140625" style="164" customWidth="1"/>
    <col min="15116" max="15116" width="12" style="164" customWidth="1"/>
    <col min="15117" max="15117" width="12.88671875" style="164" customWidth="1"/>
    <col min="15118" max="15118" width="11.109375" style="164" customWidth="1"/>
    <col min="15119" max="15119" width="15.109375" style="164" customWidth="1"/>
    <col min="15120" max="15120" width="14.109375" style="164" customWidth="1"/>
    <col min="15121" max="15121" width="13.109375" style="164" customWidth="1"/>
    <col min="15122" max="15122" width="13.44140625" style="164" customWidth="1"/>
    <col min="15123" max="15123" width="14.33203125" style="164" customWidth="1"/>
    <col min="15124" max="15124" width="13.44140625" style="164" customWidth="1"/>
    <col min="15125" max="15125" width="12.88671875" style="164" customWidth="1"/>
    <col min="15126" max="15126" width="14.44140625" style="164" customWidth="1"/>
    <col min="15127" max="15369" width="9.109375" style="164"/>
    <col min="15370" max="15370" width="9.5546875" style="164" customWidth="1"/>
    <col min="15371" max="15371" width="12.44140625" style="164" customWidth="1"/>
    <col min="15372" max="15372" width="12" style="164" customWidth="1"/>
    <col min="15373" max="15373" width="12.88671875" style="164" customWidth="1"/>
    <col min="15374" max="15374" width="11.109375" style="164" customWidth="1"/>
    <col min="15375" max="15375" width="15.109375" style="164" customWidth="1"/>
    <col min="15376" max="15376" width="14.109375" style="164" customWidth="1"/>
    <col min="15377" max="15377" width="13.109375" style="164" customWidth="1"/>
    <col min="15378" max="15378" width="13.44140625" style="164" customWidth="1"/>
    <col min="15379" max="15379" width="14.33203125" style="164" customWidth="1"/>
    <col min="15380" max="15380" width="13.44140625" style="164" customWidth="1"/>
    <col min="15381" max="15381" width="12.88671875" style="164" customWidth="1"/>
    <col min="15382" max="15382" width="14.44140625" style="164" customWidth="1"/>
    <col min="15383" max="15625" width="9.109375" style="164"/>
    <col min="15626" max="15626" width="9.5546875" style="164" customWidth="1"/>
    <col min="15627" max="15627" width="12.44140625" style="164" customWidth="1"/>
    <col min="15628" max="15628" width="12" style="164" customWidth="1"/>
    <col min="15629" max="15629" width="12.88671875" style="164" customWidth="1"/>
    <col min="15630" max="15630" width="11.109375" style="164" customWidth="1"/>
    <col min="15631" max="15631" width="15.109375" style="164" customWidth="1"/>
    <col min="15632" max="15632" width="14.109375" style="164" customWidth="1"/>
    <col min="15633" max="15633" width="13.109375" style="164" customWidth="1"/>
    <col min="15634" max="15634" width="13.44140625" style="164" customWidth="1"/>
    <col min="15635" max="15635" width="14.33203125" style="164" customWidth="1"/>
    <col min="15636" max="15636" width="13.44140625" style="164" customWidth="1"/>
    <col min="15637" max="15637" width="12.88671875" style="164" customWidth="1"/>
    <col min="15638" max="15638" width="14.44140625" style="164" customWidth="1"/>
    <col min="15639" max="15881" width="9.109375" style="164"/>
    <col min="15882" max="15882" width="9.5546875" style="164" customWidth="1"/>
    <col min="15883" max="15883" width="12.44140625" style="164" customWidth="1"/>
    <col min="15884" max="15884" width="12" style="164" customWidth="1"/>
    <col min="15885" max="15885" width="12.88671875" style="164" customWidth="1"/>
    <col min="15886" max="15886" width="11.109375" style="164" customWidth="1"/>
    <col min="15887" max="15887" width="15.109375" style="164" customWidth="1"/>
    <col min="15888" max="15888" width="14.109375" style="164" customWidth="1"/>
    <col min="15889" max="15889" width="13.109375" style="164" customWidth="1"/>
    <col min="15890" max="15890" width="13.44140625" style="164" customWidth="1"/>
    <col min="15891" max="15891" width="14.33203125" style="164" customWidth="1"/>
    <col min="15892" max="15892" width="13.44140625" style="164" customWidth="1"/>
    <col min="15893" max="15893" width="12.88671875" style="164" customWidth="1"/>
    <col min="15894" max="15894" width="14.44140625" style="164" customWidth="1"/>
    <col min="15895" max="16137" width="9.109375" style="164"/>
    <col min="16138" max="16138" width="9.5546875" style="164" customWidth="1"/>
    <col min="16139" max="16139" width="12.44140625" style="164" customWidth="1"/>
    <col min="16140" max="16140" width="12" style="164" customWidth="1"/>
    <col min="16141" max="16141" width="12.88671875" style="164" customWidth="1"/>
    <col min="16142" max="16142" width="11.109375" style="164" customWidth="1"/>
    <col min="16143" max="16143" width="15.109375" style="164" customWidth="1"/>
    <col min="16144" max="16144" width="14.109375" style="164" customWidth="1"/>
    <col min="16145" max="16145" width="13.109375" style="164" customWidth="1"/>
    <col min="16146" max="16146" width="13.44140625" style="164" customWidth="1"/>
    <col min="16147" max="16147" width="14.33203125" style="164" customWidth="1"/>
    <col min="16148" max="16148" width="13.44140625" style="164" customWidth="1"/>
    <col min="16149" max="16149" width="12.88671875" style="164" customWidth="1"/>
    <col min="16150" max="16150" width="14.44140625" style="164" customWidth="1"/>
    <col min="16151" max="16384" width="9.109375" style="164"/>
  </cols>
  <sheetData>
    <row r="1" spans="1:25" ht="25.2" x14ac:dyDescent="0.3">
      <c r="A1" s="685" t="s">
        <v>728</v>
      </c>
      <c r="B1" s="685"/>
      <c r="C1" s="685"/>
      <c r="D1" s="685"/>
      <c r="E1" s="685"/>
      <c r="F1" s="685"/>
      <c r="G1" s="685"/>
      <c r="H1" s="685"/>
      <c r="I1" s="685"/>
      <c r="J1" s="685"/>
      <c r="K1" s="685"/>
      <c r="L1" s="685"/>
      <c r="M1" s="685"/>
      <c r="N1" s="685"/>
      <c r="O1" s="685"/>
      <c r="P1" s="685"/>
      <c r="Q1" s="685"/>
      <c r="R1" s="685"/>
      <c r="S1" s="685"/>
      <c r="T1" s="685"/>
      <c r="U1" s="685"/>
      <c r="V1" s="685"/>
    </row>
    <row r="2" spans="1:25" ht="25.2" x14ac:dyDescent="0.3">
      <c r="A2" s="668" t="s">
        <v>0</v>
      </c>
      <c r="B2" s="668"/>
      <c r="C2" s="668"/>
      <c r="D2" s="668"/>
      <c r="E2" s="668"/>
      <c r="F2" s="668"/>
      <c r="G2" s="668"/>
      <c r="H2" s="668"/>
      <c r="I2" s="668"/>
      <c r="J2" s="668"/>
      <c r="K2" s="668"/>
      <c r="L2" s="668"/>
      <c r="M2" s="668"/>
      <c r="N2" s="668"/>
      <c r="O2" s="668"/>
      <c r="P2" s="668"/>
      <c r="Q2" s="668"/>
      <c r="R2" s="668"/>
      <c r="S2" s="668"/>
      <c r="T2" s="668"/>
      <c r="U2" s="668"/>
      <c r="V2" s="668"/>
    </row>
    <row r="3" spans="1:25" s="165" customFormat="1" ht="20.399999999999999" x14ac:dyDescent="0.3">
      <c r="A3" s="396">
        <v>1</v>
      </c>
      <c r="B3" s="623" t="s">
        <v>356</v>
      </c>
      <c r="C3" s="623"/>
      <c r="D3" s="623"/>
      <c r="E3" s="674">
        <f>'General Information'!C3</f>
        <v>0</v>
      </c>
      <c r="F3" s="674"/>
      <c r="G3" s="674"/>
      <c r="H3" s="674"/>
      <c r="I3" s="674"/>
      <c r="J3" s="674"/>
      <c r="K3" s="674"/>
      <c r="L3" s="674"/>
      <c r="M3" s="674"/>
      <c r="N3" s="674"/>
      <c r="O3" s="674"/>
      <c r="P3" s="674"/>
      <c r="Q3" s="674"/>
      <c r="R3" s="674"/>
      <c r="S3" s="674"/>
      <c r="T3" s="674"/>
      <c r="U3" s="675"/>
      <c r="V3" s="676"/>
    </row>
    <row r="4" spans="1:25" s="165" customFormat="1" ht="20.399999999999999" x14ac:dyDescent="0.3">
      <c r="A4" s="396">
        <v>2</v>
      </c>
      <c r="B4" s="623" t="s">
        <v>1</v>
      </c>
      <c r="C4" s="623"/>
      <c r="D4" s="623"/>
      <c r="E4" s="674">
        <f>'General Information'!C4</f>
        <v>0</v>
      </c>
      <c r="F4" s="674"/>
      <c r="G4" s="674"/>
      <c r="H4" s="674"/>
      <c r="I4" s="674"/>
      <c r="J4" s="674"/>
      <c r="K4" s="674"/>
      <c r="L4" s="674"/>
      <c r="M4" s="674"/>
      <c r="N4" s="674"/>
      <c r="O4" s="674"/>
      <c r="P4" s="674"/>
      <c r="Q4" s="674"/>
      <c r="R4" s="674"/>
      <c r="S4" s="674"/>
      <c r="T4" s="674"/>
      <c r="U4" s="675"/>
      <c r="V4" s="676"/>
    </row>
    <row r="5" spans="1:25" s="165" customFormat="1" ht="20.399999999999999" x14ac:dyDescent="0.3">
      <c r="A5" s="396">
        <v>3</v>
      </c>
      <c r="B5" s="623" t="s">
        <v>2</v>
      </c>
      <c r="C5" s="623"/>
      <c r="D5" s="623"/>
      <c r="E5" s="674" t="str">
        <f>'General Information'!D6</f>
        <v>Coal/Lignite/Oil/Gas Fired</v>
      </c>
      <c r="F5" s="674"/>
      <c r="G5" s="674"/>
      <c r="H5" s="674"/>
      <c r="I5" s="674"/>
      <c r="J5" s="674"/>
      <c r="K5" s="674"/>
      <c r="L5" s="674"/>
      <c r="M5" s="674"/>
      <c r="N5" s="674"/>
      <c r="O5" s="674"/>
      <c r="P5" s="674"/>
      <c r="Q5" s="674"/>
      <c r="R5" s="674"/>
      <c r="S5" s="674"/>
      <c r="T5" s="674"/>
      <c r="U5" s="675"/>
      <c r="V5" s="676"/>
    </row>
    <row r="6" spans="1:25" x14ac:dyDescent="0.3">
      <c r="A6" s="414">
        <v>4</v>
      </c>
      <c r="B6" s="642" t="s">
        <v>144</v>
      </c>
      <c r="C6" s="642"/>
      <c r="D6" s="642"/>
      <c r="E6" s="642"/>
      <c r="F6" s="642"/>
      <c r="G6" s="642"/>
      <c r="H6" s="642"/>
      <c r="I6" s="642"/>
      <c r="J6" s="642"/>
      <c r="K6" s="642"/>
      <c r="L6" s="642"/>
      <c r="M6" s="642"/>
      <c r="N6" s="642"/>
      <c r="O6" s="642"/>
      <c r="P6" s="642"/>
      <c r="Q6" s="642"/>
      <c r="R6" s="642"/>
      <c r="S6" s="642"/>
      <c r="T6" s="642"/>
      <c r="U6" s="642"/>
      <c r="V6" s="642"/>
    </row>
    <row r="7" spans="1:25" ht="13.95" customHeight="1" x14ac:dyDescent="0.3">
      <c r="A7" s="414" t="s">
        <v>146</v>
      </c>
      <c r="B7" s="669" t="s">
        <v>132</v>
      </c>
      <c r="C7" s="669"/>
      <c r="D7" s="669"/>
      <c r="E7" s="670" t="s">
        <v>723</v>
      </c>
      <c r="F7" s="671"/>
      <c r="G7" s="671"/>
      <c r="H7" s="671"/>
      <c r="I7" s="671"/>
      <c r="J7" s="671"/>
      <c r="K7" s="671"/>
      <c r="L7" s="672"/>
      <c r="M7" s="669" t="s">
        <v>722</v>
      </c>
      <c r="N7" s="669"/>
      <c r="O7" s="669"/>
      <c r="P7" s="669"/>
      <c r="Q7" s="669"/>
      <c r="R7" s="669"/>
      <c r="S7" s="669"/>
      <c r="T7" s="669"/>
      <c r="U7" s="669" t="s">
        <v>280</v>
      </c>
      <c r="V7" s="669"/>
    </row>
    <row r="8" spans="1:25" x14ac:dyDescent="0.3">
      <c r="A8" s="396" t="s">
        <v>30</v>
      </c>
      <c r="B8" s="618" t="s">
        <v>26</v>
      </c>
      <c r="C8" s="618"/>
      <c r="D8" s="618"/>
      <c r="E8" s="640"/>
      <c r="F8" s="640"/>
      <c r="G8" s="640"/>
      <c r="H8" s="640"/>
      <c r="I8" s="640"/>
      <c r="J8" s="640"/>
      <c r="K8" s="640"/>
      <c r="L8" s="640"/>
      <c r="M8" s="640"/>
      <c r="N8" s="640"/>
      <c r="O8" s="640"/>
      <c r="P8" s="640"/>
      <c r="Q8" s="640"/>
      <c r="R8" s="640"/>
      <c r="S8" s="640"/>
      <c r="T8" s="640"/>
      <c r="U8" s="640"/>
      <c r="V8" s="640"/>
    </row>
    <row r="9" spans="1:25" x14ac:dyDescent="0.3">
      <c r="A9" s="396" t="s">
        <v>32</v>
      </c>
      <c r="B9" s="618" t="s">
        <v>355</v>
      </c>
      <c r="C9" s="618"/>
      <c r="D9" s="618"/>
      <c r="E9" s="640"/>
      <c r="F9" s="640"/>
      <c r="G9" s="640"/>
      <c r="H9" s="640"/>
      <c r="I9" s="640"/>
      <c r="J9" s="640"/>
      <c r="K9" s="640"/>
      <c r="L9" s="640"/>
      <c r="M9" s="640"/>
      <c r="N9" s="640"/>
      <c r="O9" s="640"/>
      <c r="P9" s="640"/>
      <c r="Q9" s="640"/>
      <c r="R9" s="640"/>
      <c r="S9" s="640"/>
      <c r="T9" s="640"/>
      <c r="U9" s="640"/>
      <c r="V9" s="640"/>
    </row>
    <row r="10" spans="1:25" ht="22.5" customHeight="1" x14ac:dyDescent="0.3">
      <c r="A10" s="396" t="s">
        <v>77</v>
      </c>
      <c r="B10" s="631" t="s">
        <v>731</v>
      </c>
      <c r="C10" s="632"/>
      <c r="D10" s="633"/>
      <c r="E10" s="660"/>
      <c r="F10" s="660"/>
      <c r="G10" s="660"/>
      <c r="H10" s="660"/>
      <c r="I10" s="660"/>
      <c r="J10" s="660"/>
      <c r="K10" s="660"/>
      <c r="L10" s="660"/>
      <c r="M10" s="661"/>
      <c r="N10" s="662"/>
      <c r="O10" s="662"/>
      <c r="P10" s="662"/>
      <c r="Q10" s="662"/>
      <c r="R10" s="662"/>
      <c r="S10" s="662"/>
      <c r="T10" s="663"/>
      <c r="U10" s="661"/>
      <c r="V10" s="663"/>
    </row>
    <row r="11" spans="1:25" ht="22.5" customHeight="1" x14ac:dyDescent="0.3">
      <c r="A11" s="396" t="s">
        <v>283</v>
      </c>
      <c r="B11" s="631" t="s">
        <v>732</v>
      </c>
      <c r="C11" s="632"/>
      <c r="D11" s="633"/>
      <c r="E11" s="660"/>
      <c r="F11" s="660"/>
      <c r="G11" s="660"/>
      <c r="H11" s="660"/>
      <c r="I11" s="660"/>
      <c r="J11" s="660"/>
      <c r="K11" s="660"/>
      <c r="L11" s="660"/>
      <c r="M11" s="661"/>
      <c r="N11" s="662"/>
      <c r="O11" s="662"/>
      <c r="P11" s="662"/>
      <c r="Q11" s="662"/>
      <c r="R11" s="662"/>
      <c r="S11" s="662"/>
      <c r="T11" s="663"/>
      <c r="U11" s="661"/>
      <c r="V11" s="663"/>
    </row>
    <row r="12" spans="1:25" ht="15.6" customHeight="1" x14ac:dyDescent="0.3">
      <c r="A12" s="396" t="s">
        <v>38</v>
      </c>
      <c r="B12" s="631" t="s">
        <v>738</v>
      </c>
      <c r="C12" s="632"/>
      <c r="D12" s="633"/>
      <c r="E12" s="660"/>
      <c r="F12" s="660"/>
      <c r="G12" s="660"/>
      <c r="H12" s="660"/>
      <c r="I12" s="660"/>
      <c r="J12" s="660"/>
      <c r="K12" s="660"/>
      <c r="L12" s="660"/>
      <c r="M12" s="661"/>
      <c r="N12" s="662"/>
      <c r="O12" s="662"/>
      <c r="P12" s="662"/>
      <c r="Q12" s="662"/>
      <c r="R12" s="662"/>
      <c r="S12" s="662"/>
      <c r="T12" s="663"/>
      <c r="U12" s="661"/>
      <c r="V12" s="663"/>
    </row>
    <row r="13" spans="1:25" ht="33" customHeight="1" x14ac:dyDescent="0.3">
      <c r="A13" s="396" t="s">
        <v>40</v>
      </c>
      <c r="B13" s="631" t="s">
        <v>979</v>
      </c>
      <c r="C13" s="632"/>
      <c r="D13" s="633"/>
      <c r="E13" s="664"/>
      <c r="F13" s="665"/>
      <c r="G13" s="665"/>
      <c r="H13" s="665"/>
      <c r="I13" s="665"/>
      <c r="J13" s="665"/>
      <c r="K13" s="665"/>
      <c r="L13" s="666"/>
      <c r="M13" s="661"/>
      <c r="N13" s="662"/>
      <c r="O13" s="662"/>
      <c r="P13" s="662"/>
      <c r="Q13" s="662"/>
      <c r="R13" s="662"/>
      <c r="S13" s="662"/>
      <c r="T13" s="663"/>
      <c r="U13" s="661"/>
      <c r="V13" s="663"/>
    </row>
    <row r="14" spans="1:25" ht="40.5" customHeight="1" x14ac:dyDescent="0.3">
      <c r="A14" s="414">
        <v>5</v>
      </c>
      <c r="B14" s="642" t="s">
        <v>451</v>
      </c>
      <c r="C14" s="642"/>
      <c r="D14" s="642"/>
      <c r="E14" s="642"/>
      <c r="F14" s="642"/>
      <c r="G14" s="642"/>
      <c r="H14" s="642"/>
      <c r="I14" s="642"/>
      <c r="J14" s="642"/>
      <c r="K14" s="642"/>
      <c r="L14" s="642"/>
      <c r="M14" s="642"/>
      <c r="N14" s="642"/>
      <c r="O14" s="642"/>
      <c r="P14" s="642"/>
      <c r="Q14" s="642"/>
      <c r="R14" s="642"/>
      <c r="S14" s="642"/>
      <c r="T14" s="642"/>
      <c r="U14" s="642"/>
      <c r="V14" s="642"/>
      <c r="X14" s="166"/>
      <c r="Y14" s="167"/>
    </row>
    <row r="15" spans="1:25" ht="27.6" x14ac:dyDescent="0.3">
      <c r="A15" s="621" t="s">
        <v>146</v>
      </c>
      <c r="B15" s="621" t="str">
        <f>IF(OR($E$5="Gas Turbine (Open Cycle)",$E$5="Combined Cycle Gas Turbine (CCGT)"),"Modules@@","Units@@")</f>
        <v>Units@@</v>
      </c>
      <c r="C15" s="621" t="s">
        <v>881</v>
      </c>
      <c r="D15" s="621" t="s">
        <v>135</v>
      </c>
      <c r="E15" s="621" t="s">
        <v>169</v>
      </c>
      <c r="F15" s="621" t="s">
        <v>701</v>
      </c>
      <c r="G15" s="621"/>
      <c r="H15" s="621"/>
      <c r="I15" s="636" t="s">
        <v>29</v>
      </c>
      <c r="J15" s="655"/>
      <c r="K15" s="637"/>
      <c r="L15" s="621" t="s">
        <v>166</v>
      </c>
      <c r="M15" s="621"/>
      <c r="N15" s="621"/>
      <c r="O15" s="621"/>
      <c r="P15" s="621"/>
      <c r="Q15" s="396" t="s">
        <v>357</v>
      </c>
      <c r="R15" s="636" t="s">
        <v>459</v>
      </c>
      <c r="S15" s="655"/>
      <c r="T15" s="637"/>
      <c r="U15" s="621" t="s">
        <v>589</v>
      </c>
      <c r="V15" s="677" t="s">
        <v>280</v>
      </c>
    </row>
    <row r="16" spans="1:25" ht="55.2" x14ac:dyDescent="0.3">
      <c r="A16" s="621"/>
      <c r="B16" s="621"/>
      <c r="C16" s="621"/>
      <c r="D16" s="621"/>
      <c r="E16" s="621"/>
      <c r="F16" s="396" t="str">
        <f>IF(OR(E5="Gas Turbine (Open Cycle)",E5="Combined Cycle Gas Turbine (CCGT)"),"Module Efficiency","Boiler Efficiency")</f>
        <v>Boiler Efficiency</v>
      </c>
      <c r="G16" s="396" t="s">
        <v>374</v>
      </c>
      <c r="H16" s="396" t="str">
        <f>IF(OR(E5="Gas Turbine (Open Cycle)",E5="Combined Cycle Gas Turbine (CCGT)"),"Module Heat Rate@","Unit Heat Rate*")</f>
        <v>Unit Heat Rate*</v>
      </c>
      <c r="I16" s="396" t="str">
        <f>IF(OR(E5="Gas Turbine (Open Cycle)",E5="Combined Cycle Gas Turbine (CCGT)"),"Module Efficiency","Boiler Efficiency")</f>
        <v>Boiler Efficiency</v>
      </c>
      <c r="J16" s="396" t="s">
        <v>374</v>
      </c>
      <c r="K16" s="396" t="str">
        <f>IF(OR(E5="Gas Turbine (Open Cycle)",E5="Combined Cycle Gas Turbine (CCGT)"),"Module Heat Rate","Unit Heat Rate")</f>
        <v>Unit Heat Rate</v>
      </c>
      <c r="L16" s="621" t="s">
        <v>354</v>
      </c>
      <c r="M16" s="621"/>
      <c r="N16" s="396" t="s">
        <v>201</v>
      </c>
      <c r="O16" s="396" t="s">
        <v>202</v>
      </c>
      <c r="P16" s="396" t="s">
        <v>210</v>
      </c>
      <c r="Q16" s="396" t="str">
        <f>IF(OR(E5="Gas Turbine (Open Cycle)",E5="Combined Cycle Gas Turbine (CCGT)"),"Module Heat Rate","Turbine Heat Rate")</f>
        <v>Turbine Heat Rate</v>
      </c>
      <c r="R16" s="396" t="s">
        <v>702</v>
      </c>
      <c r="S16" s="396" t="s">
        <v>441</v>
      </c>
      <c r="T16" s="396" t="s">
        <v>450</v>
      </c>
      <c r="U16" s="621"/>
      <c r="V16" s="678"/>
    </row>
    <row r="17" spans="1:25" x14ac:dyDescent="0.3">
      <c r="A17" s="621"/>
      <c r="B17" s="621"/>
      <c r="C17" s="621"/>
      <c r="D17" s="396" t="s">
        <v>136</v>
      </c>
      <c r="E17" s="396" t="s">
        <v>28</v>
      </c>
      <c r="F17" s="396" t="s">
        <v>62</v>
      </c>
      <c r="G17" s="396" t="s">
        <v>110</v>
      </c>
      <c r="H17" s="396" t="s">
        <v>110</v>
      </c>
      <c r="I17" s="396" t="s">
        <v>62</v>
      </c>
      <c r="J17" s="396" t="s">
        <v>110</v>
      </c>
      <c r="K17" s="396" t="s">
        <v>110</v>
      </c>
      <c r="L17" s="396" t="s">
        <v>200</v>
      </c>
      <c r="M17" s="404" t="s">
        <v>211</v>
      </c>
      <c r="N17" s="407" t="s">
        <v>4</v>
      </c>
      <c r="O17" s="168" t="s">
        <v>12</v>
      </c>
      <c r="P17" s="168" t="s">
        <v>50</v>
      </c>
      <c r="Q17" s="396" t="s">
        <v>110</v>
      </c>
      <c r="R17" s="396" t="s">
        <v>110</v>
      </c>
      <c r="S17" s="396" t="s">
        <v>110</v>
      </c>
      <c r="T17" s="396" t="s">
        <v>110</v>
      </c>
      <c r="U17" s="621"/>
      <c r="V17" s="679"/>
    </row>
    <row r="18" spans="1:25" x14ac:dyDescent="0.3">
      <c r="A18" s="396" t="s">
        <v>30</v>
      </c>
      <c r="B18" s="404" t="str">
        <f>IF(OR($E$5="Gas Turbine (Open Cycle)",$E$5="Combined Cycle Gas Turbine (CCGT)"),"Module1","Unit1")</f>
        <v>Unit1</v>
      </c>
      <c r="C18" s="389"/>
      <c r="D18" s="170"/>
      <c r="E18" s="400"/>
      <c r="F18" s="400"/>
      <c r="G18" s="400"/>
      <c r="H18" s="413">
        <f>IFERROR(IF(OR($E$5="Gas Turbine (Open Cycle)",$E$5="Combined Cycle Gas Turbine (CCGT)"), 860*100/F18,G18*100/F18),0)</f>
        <v>0</v>
      </c>
      <c r="I18" s="411"/>
      <c r="J18" s="171"/>
      <c r="K18" s="413">
        <f>IFERROR(IF(OR($E$5="Gas Turbine (Open Cycle)",$E$5="Combined Cycle Gas Turbine (CCGT)"), 860*100/I18,J18*100/I18),0)</f>
        <v>0</v>
      </c>
      <c r="L18" s="172"/>
      <c r="M18" s="402"/>
      <c r="N18" s="173"/>
      <c r="O18" s="173"/>
      <c r="P18" s="173"/>
      <c r="Q18" s="400"/>
      <c r="R18" s="409"/>
      <c r="S18" s="409"/>
      <c r="T18" s="409"/>
      <c r="U18" s="402" t="s">
        <v>402</v>
      </c>
      <c r="V18" s="409"/>
    </row>
    <row r="19" spans="1:25" x14ac:dyDescent="0.3">
      <c r="A19" s="396" t="s">
        <v>32</v>
      </c>
      <c r="B19" s="404" t="str">
        <f>IF(OR($E$5="Gas Turbine (Open Cycle)",$E$5="Combined Cycle Gas Turbine (CCGT)"),"Module2","Unit2")</f>
        <v>Unit2</v>
      </c>
      <c r="C19" s="389"/>
      <c r="D19" s="170"/>
      <c r="E19" s="400"/>
      <c r="F19" s="400"/>
      <c r="G19" s="400"/>
      <c r="H19" s="413">
        <f t="shared" ref="H19:H27" si="0">IFERROR(IF(OR($E$5="Gas Turbine (Open Cycle)",$E$5="Combined Cycle Gas Turbine (CCGT)"), 860*100/F19,G19*100/F19),0)</f>
        <v>0</v>
      </c>
      <c r="I19" s="411"/>
      <c r="J19" s="171"/>
      <c r="K19" s="413">
        <f t="shared" ref="K19:K27" si="1">IFERROR(IF(OR($E$5="Gas Turbine (Open Cycle)",$E$5="Combined Cycle Gas Turbine (CCGT)"), 860*100/I19,J19*100/I19),0)</f>
        <v>0</v>
      </c>
      <c r="L19" s="172"/>
      <c r="M19" s="402"/>
      <c r="N19" s="173"/>
      <c r="O19" s="173"/>
      <c r="P19" s="173"/>
      <c r="Q19" s="400"/>
      <c r="R19" s="409"/>
      <c r="S19" s="402"/>
      <c r="T19" s="409"/>
      <c r="U19" s="402" t="s">
        <v>424</v>
      </c>
      <c r="V19" s="409"/>
    </row>
    <row r="20" spans="1:25" x14ac:dyDescent="0.3">
      <c r="A20" s="396" t="s">
        <v>34</v>
      </c>
      <c r="B20" s="404" t="str">
        <f>IF(OR($E$5="Gas Turbine (Open Cycle)",$E$5="Combined Cycle Gas Turbine (CCGT)"),"Module3","Unit3")</f>
        <v>Unit3</v>
      </c>
      <c r="C20" s="389"/>
      <c r="D20" s="170"/>
      <c r="E20" s="400"/>
      <c r="F20" s="400"/>
      <c r="G20" s="400"/>
      <c r="H20" s="413">
        <f t="shared" si="0"/>
        <v>0</v>
      </c>
      <c r="I20" s="411"/>
      <c r="J20" s="171"/>
      <c r="K20" s="413">
        <f t="shared" si="1"/>
        <v>0</v>
      </c>
      <c r="L20" s="172"/>
      <c r="M20" s="402"/>
      <c r="N20" s="173"/>
      <c r="O20" s="173"/>
      <c r="P20" s="173"/>
      <c r="Q20" s="400"/>
      <c r="R20" s="409"/>
      <c r="S20" s="174"/>
      <c r="T20" s="409"/>
      <c r="U20" s="402" t="s">
        <v>424</v>
      </c>
      <c r="V20" s="409"/>
    </row>
    <row r="21" spans="1:25" x14ac:dyDescent="0.3">
      <c r="A21" s="396" t="s">
        <v>36</v>
      </c>
      <c r="B21" s="404" t="str">
        <f>IF(OR($E$5="Gas Turbine (Open Cycle)",$E$5="Combined Cycle Gas Turbine (CCGT)"),"Module4","Unit4")</f>
        <v>Unit4</v>
      </c>
      <c r="C21" s="389"/>
      <c r="D21" s="170"/>
      <c r="E21" s="400"/>
      <c r="F21" s="400"/>
      <c r="G21" s="400"/>
      <c r="H21" s="413">
        <f t="shared" si="0"/>
        <v>0</v>
      </c>
      <c r="I21" s="402"/>
      <c r="J21" s="402"/>
      <c r="K21" s="413">
        <f t="shared" si="1"/>
        <v>0</v>
      </c>
      <c r="L21" s="172"/>
      <c r="M21" s="402"/>
      <c r="N21" s="173"/>
      <c r="O21" s="402"/>
      <c r="P21" s="402"/>
      <c r="Q21" s="402"/>
      <c r="R21" s="175"/>
      <c r="S21" s="175"/>
      <c r="T21" s="175"/>
      <c r="U21" s="402" t="s">
        <v>424</v>
      </c>
      <c r="V21" s="409"/>
    </row>
    <row r="22" spans="1:25" x14ac:dyDescent="0.3">
      <c r="A22" s="396" t="s">
        <v>38</v>
      </c>
      <c r="B22" s="404" t="str">
        <f>IF(OR($E$5="Gas Turbine (Open Cycle)",$E$5="Combined Cycle Gas Turbine (CCGT)"),"Module5","Unit5")</f>
        <v>Unit5</v>
      </c>
      <c r="C22" s="389"/>
      <c r="D22" s="170"/>
      <c r="E22" s="400"/>
      <c r="F22" s="400"/>
      <c r="G22" s="400"/>
      <c r="H22" s="413">
        <f t="shared" si="0"/>
        <v>0</v>
      </c>
      <c r="I22" s="402"/>
      <c r="J22" s="402"/>
      <c r="K22" s="413">
        <f t="shared" si="1"/>
        <v>0</v>
      </c>
      <c r="L22" s="172"/>
      <c r="M22" s="402"/>
      <c r="N22" s="172"/>
      <c r="O22" s="402"/>
      <c r="P22" s="402"/>
      <c r="Q22" s="402"/>
      <c r="R22" s="175"/>
      <c r="S22" s="175"/>
      <c r="T22" s="175"/>
      <c r="U22" s="402" t="s">
        <v>424</v>
      </c>
      <c r="V22" s="409"/>
    </row>
    <row r="23" spans="1:25" x14ac:dyDescent="0.3">
      <c r="A23" s="396" t="s">
        <v>40</v>
      </c>
      <c r="B23" s="404" t="str">
        <f>IF(OR($E$5="Gas Turbine (Open Cycle)",$E$5="Combined Cycle Gas Turbine (CCGT)"),"Module6","Unit6")</f>
        <v>Unit6</v>
      </c>
      <c r="C23" s="389"/>
      <c r="D23" s="170"/>
      <c r="E23" s="400"/>
      <c r="F23" s="400"/>
      <c r="G23" s="400"/>
      <c r="H23" s="413">
        <f t="shared" si="0"/>
        <v>0</v>
      </c>
      <c r="I23" s="402"/>
      <c r="J23" s="402"/>
      <c r="K23" s="413">
        <f t="shared" si="1"/>
        <v>0</v>
      </c>
      <c r="L23" s="402"/>
      <c r="M23" s="402"/>
      <c r="N23" s="402"/>
      <c r="O23" s="402"/>
      <c r="P23" s="175"/>
      <c r="Q23" s="402"/>
      <c r="R23" s="175"/>
      <c r="S23" s="175"/>
      <c r="T23" s="175"/>
      <c r="U23" s="402" t="s">
        <v>424</v>
      </c>
      <c r="V23" s="409"/>
    </row>
    <row r="24" spans="1:25" x14ac:dyDescent="0.3">
      <c r="A24" s="396" t="s">
        <v>42</v>
      </c>
      <c r="B24" s="404" t="str">
        <f>IF(OR($E$5="Gas Turbine (Open Cycle)",$E$5="Combined Cycle Gas Turbine (CCGT)"),"Module7","Unit7")</f>
        <v>Unit7</v>
      </c>
      <c r="C24" s="389"/>
      <c r="D24" s="170"/>
      <c r="E24" s="400"/>
      <c r="F24" s="400"/>
      <c r="G24" s="400"/>
      <c r="H24" s="413">
        <f t="shared" si="0"/>
        <v>0</v>
      </c>
      <c r="I24" s="402"/>
      <c r="J24" s="402"/>
      <c r="K24" s="413">
        <f t="shared" si="1"/>
        <v>0</v>
      </c>
      <c r="L24" s="402"/>
      <c r="M24" s="402"/>
      <c r="N24" s="402"/>
      <c r="O24" s="402"/>
      <c r="P24" s="175"/>
      <c r="Q24" s="402"/>
      <c r="R24" s="175"/>
      <c r="S24" s="175"/>
      <c r="T24" s="175"/>
      <c r="U24" s="402" t="s">
        <v>424</v>
      </c>
      <c r="V24" s="409"/>
    </row>
    <row r="25" spans="1:25" x14ac:dyDescent="0.3">
      <c r="A25" s="396" t="s">
        <v>44</v>
      </c>
      <c r="B25" s="404" t="str">
        <f>IF(OR($E$5="Gas Turbine (Open Cycle)",$E$5="Combined Cycle Gas Turbine (CCGT)"),"Module8","Unit8")</f>
        <v>Unit8</v>
      </c>
      <c r="C25" s="389"/>
      <c r="D25" s="170"/>
      <c r="E25" s="400"/>
      <c r="F25" s="400"/>
      <c r="G25" s="400"/>
      <c r="H25" s="413">
        <f t="shared" si="0"/>
        <v>0</v>
      </c>
      <c r="I25" s="402"/>
      <c r="J25" s="402"/>
      <c r="K25" s="413">
        <f t="shared" si="1"/>
        <v>0</v>
      </c>
      <c r="L25" s="402"/>
      <c r="M25" s="402"/>
      <c r="N25" s="402"/>
      <c r="O25" s="402"/>
      <c r="P25" s="175"/>
      <c r="Q25" s="402"/>
      <c r="R25" s="175"/>
      <c r="S25" s="175"/>
      <c r="T25" s="175"/>
      <c r="U25" s="402" t="s">
        <v>424</v>
      </c>
      <c r="V25" s="409"/>
    </row>
    <row r="26" spans="1:25" x14ac:dyDescent="0.3">
      <c r="A26" s="396" t="s">
        <v>46</v>
      </c>
      <c r="B26" s="404" t="str">
        <f>IF(OR($E$5="Gas Turbine (Open Cycle)",$E$5="Combined Cycle Gas Turbine (CCGT)"),"Module9","Unit9")</f>
        <v>Unit9</v>
      </c>
      <c r="C26" s="389"/>
      <c r="D26" s="170"/>
      <c r="E26" s="400"/>
      <c r="F26" s="400"/>
      <c r="G26" s="400"/>
      <c r="H26" s="413">
        <f t="shared" si="0"/>
        <v>0</v>
      </c>
      <c r="I26" s="402"/>
      <c r="J26" s="402"/>
      <c r="K26" s="413">
        <f t="shared" si="1"/>
        <v>0</v>
      </c>
      <c r="L26" s="402"/>
      <c r="M26" s="402"/>
      <c r="N26" s="402"/>
      <c r="O26" s="402"/>
      <c r="P26" s="175"/>
      <c r="Q26" s="402"/>
      <c r="R26" s="175"/>
      <c r="S26" s="175"/>
      <c r="T26" s="175"/>
      <c r="U26" s="402" t="s">
        <v>424</v>
      </c>
      <c r="V26" s="409"/>
    </row>
    <row r="27" spans="1:25" x14ac:dyDescent="0.3">
      <c r="A27" s="396" t="s">
        <v>48</v>
      </c>
      <c r="B27" s="404" t="str">
        <f>IF(OR($E$5="Gas Turbine (Open Cycle)",$E$5="Combined Cycle Gas Turbine (CCGT)"),"Module10","Unit10")</f>
        <v>Unit10</v>
      </c>
      <c r="C27" s="389"/>
      <c r="D27" s="170"/>
      <c r="E27" s="400"/>
      <c r="F27" s="400"/>
      <c r="G27" s="400"/>
      <c r="H27" s="413">
        <f t="shared" si="0"/>
        <v>0</v>
      </c>
      <c r="I27" s="402"/>
      <c r="J27" s="402"/>
      <c r="K27" s="413">
        <f t="shared" si="1"/>
        <v>0</v>
      </c>
      <c r="L27" s="402"/>
      <c r="M27" s="402"/>
      <c r="N27" s="402"/>
      <c r="O27" s="402"/>
      <c r="P27" s="175"/>
      <c r="Q27" s="402"/>
      <c r="R27" s="175"/>
      <c r="S27" s="175"/>
      <c r="T27" s="175"/>
      <c r="U27" s="402" t="s">
        <v>424</v>
      </c>
      <c r="V27" s="409"/>
    </row>
    <row r="28" spans="1:25" x14ac:dyDescent="0.3">
      <c r="A28" s="399">
        <v>5.0999999999999996</v>
      </c>
      <c r="B28" s="617" t="s">
        <v>159</v>
      </c>
      <c r="C28" s="617"/>
      <c r="D28" s="617"/>
      <c r="E28" s="401">
        <f>SUM(E18:E27)</f>
        <v>0</v>
      </c>
      <c r="F28" s="413">
        <f t="shared" ref="F28:K28" si="2">IFERROR((F18*$E$18+F19*$E$19+F20*$E$20+F21*$E$21+F22*$E$22+F23*$E$23+F24*$E$24+F25*$E$25+F26*$E$26+F27*$E$27)/SUM($E$18:$E$27),0)</f>
        <v>0</v>
      </c>
      <c r="G28" s="413">
        <f t="shared" si="2"/>
        <v>0</v>
      </c>
      <c r="H28" s="413">
        <f t="shared" si="2"/>
        <v>0</v>
      </c>
      <c r="I28" s="413">
        <f t="shared" si="2"/>
        <v>0</v>
      </c>
      <c r="J28" s="413">
        <f t="shared" si="2"/>
        <v>0</v>
      </c>
      <c r="K28" s="413">
        <f t="shared" si="2"/>
        <v>0</v>
      </c>
      <c r="L28" s="176"/>
      <c r="M28" s="176"/>
      <c r="N28" s="176"/>
      <c r="O28" s="176"/>
      <c r="P28" s="176"/>
      <c r="Q28" s="176"/>
      <c r="R28" s="413">
        <f>IFERROR((R18*$E$18+R19*$E$19+R20*$E$20+R21*$E$21+R22*$E$22+R23*$E$23+R24*$E$24+R25*$E$25+R26*$E$26+R27*$E$27)/SUM($E$18:$E$27),0)</f>
        <v>0</v>
      </c>
      <c r="S28" s="413">
        <f>IFERROR((S18*$E$18+S19*$E$19+S20*$E$20+S21*$E$21+S22*$E$22+S23*$E$23+S24*$E$24+S25*$E$25+S26*$E$26+S27*$E$27)/SUM($E$18:$E$27),0)</f>
        <v>0</v>
      </c>
      <c r="T28" s="413">
        <f>IFERROR((T18*$E$18+T19*$E$19+T20*$E$20+T21*$E$21+T22*$E$22+T23*$E$23+T24*$E$24+T25*$E$25+T26*$E$26+T27*$E$27)/SUM($E$18:$E$27),0)</f>
        <v>0</v>
      </c>
      <c r="U28" s="399"/>
      <c r="V28" s="399"/>
    </row>
    <row r="29" spans="1:25" ht="30" customHeight="1" x14ac:dyDescent="0.3">
      <c r="A29" s="414">
        <v>5.2</v>
      </c>
      <c r="B29" s="642" t="s">
        <v>968</v>
      </c>
      <c r="C29" s="642"/>
      <c r="D29" s="642"/>
      <c r="E29" s="642"/>
      <c r="F29" s="642"/>
      <c r="G29" s="642"/>
      <c r="H29" s="642"/>
      <c r="I29" s="642"/>
      <c r="J29" s="642"/>
      <c r="K29" s="642"/>
      <c r="L29" s="642"/>
      <c r="M29" s="642"/>
      <c r="N29" s="642"/>
      <c r="O29" s="642"/>
      <c r="P29" s="642"/>
      <c r="Q29" s="642"/>
      <c r="R29" s="642"/>
      <c r="S29" s="642"/>
      <c r="T29" s="642"/>
      <c r="U29" s="642"/>
      <c r="V29" s="642"/>
      <c r="X29" s="166"/>
      <c r="Y29" s="167"/>
    </row>
    <row r="30" spans="1:25" s="182" customFormat="1" x14ac:dyDescent="0.3">
      <c r="A30" s="396" t="s">
        <v>30</v>
      </c>
      <c r="B30" s="404" t="str">
        <f>IF(OR($E$5="Gas Turbine (Open Cycle)",$E$5="Combined Cycle Gas Turbine (CCGT)"),"Module1","Unit1")</f>
        <v>Unit1</v>
      </c>
      <c r="C30" s="409"/>
      <c r="D30" s="409"/>
      <c r="E30" s="400"/>
      <c r="F30" s="416"/>
      <c r="G30" s="416"/>
      <c r="H30" s="446">
        <f t="shared" ref="H30:H34" si="3">IFERROR(IF(OR($E$5="Gas Turbine (Open Cycle)",$E$5="Combined Cycle Gas Turbine (CCGT)"), 860*100/F30,G30*100/F30),0)</f>
        <v>0</v>
      </c>
      <c r="I30" s="416"/>
      <c r="J30" s="416"/>
      <c r="K30" s="413">
        <f>IFERROR(IF(OR($E$5="Gas Turbine (Open Cycle)",$E$5="Combined Cycle Gas Turbine (CCGT)"), 860*100/I30,J30*100/I30),0)</f>
        <v>0</v>
      </c>
      <c r="L30" s="447"/>
      <c r="M30" s="447"/>
      <c r="N30" s="447"/>
      <c r="O30" s="447"/>
      <c r="P30" s="447"/>
      <c r="Q30" s="447"/>
      <c r="R30" s="416"/>
      <c r="S30" s="416"/>
      <c r="T30" s="416"/>
      <c r="U30" s="444" t="s">
        <v>402</v>
      </c>
      <c r="V30" s="445"/>
    </row>
    <row r="31" spans="1:25" s="182" customFormat="1" x14ac:dyDescent="0.3">
      <c r="A31" s="396" t="s">
        <v>32</v>
      </c>
      <c r="B31" s="404" t="str">
        <f>IF(OR($E$5="Gas Turbine (Open Cycle)",$E$5="Combined Cycle Gas Turbine (CCGT)"),"Module2","Unit2")</f>
        <v>Unit2</v>
      </c>
      <c r="C31" s="409"/>
      <c r="D31" s="409"/>
      <c r="E31" s="400"/>
      <c r="F31" s="416"/>
      <c r="G31" s="416"/>
      <c r="H31" s="446">
        <f t="shared" si="3"/>
        <v>0</v>
      </c>
      <c r="I31" s="416"/>
      <c r="J31" s="416"/>
      <c r="K31" s="413">
        <f t="shared" ref="K31:K34" si="4">IFERROR(IF(OR($E$5="Gas Turbine (Open Cycle)",$E$5="Combined Cycle Gas Turbine (CCGT)"), 860*100/I31,J31*100/I31),0)</f>
        <v>0</v>
      </c>
      <c r="L31" s="447"/>
      <c r="M31" s="447"/>
      <c r="N31" s="447"/>
      <c r="O31" s="447"/>
      <c r="P31" s="447"/>
      <c r="Q31" s="447"/>
      <c r="R31" s="416"/>
      <c r="S31" s="416"/>
      <c r="T31" s="416"/>
      <c r="U31" s="444" t="s">
        <v>402</v>
      </c>
      <c r="V31" s="445"/>
    </row>
    <row r="32" spans="1:25" s="182" customFormat="1" x14ac:dyDescent="0.3">
      <c r="A32" s="396" t="s">
        <v>34</v>
      </c>
      <c r="B32" s="404" t="str">
        <f>IF(OR($E$5="Gas Turbine (Open Cycle)",$E$5="Combined Cycle Gas Turbine (CCGT)"),"Module3","Unit3")</f>
        <v>Unit3</v>
      </c>
      <c r="C32" s="409"/>
      <c r="D32" s="409"/>
      <c r="E32" s="400"/>
      <c r="F32" s="416"/>
      <c r="G32" s="416"/>
      <c r="H32" s="413">
        <f t="shared" si="3"/>
        <v>0</v>
      </c>
      <c r="I32" s="416"/>
      <c r="J32" s="416"/>
      <c r="K32" s="413">
        <f t="shared" si="4"/>
        <v>0</v>
      </c>
      <c r="L32" s="447"/>
      <c r="M32" s="447"/>
      <c r="N32" s="447"/>
      <c r="O32" s="447"/>
      <c r="P32" s="447"/>
      <c r="Q32" s="447"/>
      <c r="R32" s="416"/>
      <c r="S32" s="416"/>
      <c r="T32" s="416"/>
      <c r="U32" s="444" t="s">
        <v>591</v>
      </c>
      <c r="V32" s="445"/>
    </row>
    <row r="33" spans="1:22" s="182" customFormat="1" x14ac:dyDescent="0.3">
      <c r="A33" s="396" t="s">
        <v>36</v>
      </c>
      <c r="B33" s="404" t="str">
        <f>IF(OR($E$5="Gas Turbine (Open Cycle)",$E$5="Combined Cycle Gas Turbine (CCGT)"),"Module4","Unit4")</f>
        <v>Unit4</v>
      </c>
      <c r="C33" s="409"/>
      <c r="D33" s="409"/>
      <c r="E33" s="400"/>
      <c r="F33" s="416"/>
      <c r="G33" s="416"/>
      <c r="H33" s="413">
        <f t="shared" si="3"/>
        <v>0</v>
      </c>
      <c r="I33" s="416"/>
      <c r="J33" s="416"/>
      <c r="K33" s="413">
        <f t="shared" si="4"/>
        <v>0</v>
      </c>
      <c r="L33" s="447"/>
      <c r="M33" s="447"/>
      <c r="N33" s="447"/>
      <c r="O33" s="447"/>
      <c r="P33" s="447"/>
      <c r="Q33" s="447"/>
      <c r="R33" s="416"/>
      <c r="S33" s="416"/>
      <c r="T33" s="416"/>
      <c r="U33" s="444" t="s">
        <v>591</v>
      </c>
      <c r="V33" s="445"/>
    </row>
    <row r="34" spans="1:22" s="182" customFormat="1" x14ac:dyDescent="0.3">
      <c r="A34" s="396" t="s">
        <v>38</v>
      </c>
      <c r="B34" s="404" t="str">
        <f>IF(OR($E$5="Gas Turbine (Open Cycle)",$E$5="Combined Cycle Gas Turbine (CCGT)"),"Module5","Unit5")</f>
        <v>Unit5</v>
      </c>
      <c r="C34" s="409"/>
      <c r="D34" s="409"/>
      <c r="E34" s="400"/>
      <c r="F34" s="416"/>
      <c r="G34" s="416"/>
      <c r="H34" s="413">
        <f t="shared" si="3"/>
        <v>0</v>
      </c>
      <c r="I34" s="416"/>
      <c r="J34" s="416"/>
      <c r="K34" s="413">
        <f t="shared" si="4"/>
        <v>0</v>
      </c>
      <c r="L34" s="447"/>
      <c r="M34" s="447"/>
      <c r="N34" s="447"/>
      <c r="O34" s="447"/>
      <c r="P34" s="447"/>
      <c r="Q34" s="447"/>
      <c r="R34" s="416"/>
      <c r="S34" s="416"/>
      <c r="T34" s="416"/>
      <c r="U34" s="444" t="s">
        <v>591</v>
      </c>
      <c r="V34" s="445"/>
    </row>
    <row r="35" spans="1:22" s="182" customFormat="1" x14ac:dyDescent="0.3">
      <c r="A35" s="412"/>
      <c r="B35" s="412"/>
      <c r="C35" s="409"/>
      <c r="D35" s="409"/>
      <c r="E35" s="400"/>
      <c r="F35" s="416"/>
      <c r="G35" s="416"/>
      <c r="H35" s="264"/>
      <c r="I35" s="264"/>
      <c r="J35" s="264"/>
      <c r="K35" s="264"/>
      <c r="L35" s="181"/>
      <c r="M35" s="181"/>
      <c r="N35" s="181"/>
      <c r="O35" s="181"/>
      <c r="P35" s="181"/>
      <c r="Q35" s="181"/>
      <c r="R35" s="264"/>
      <c r="S35" s="264"/>
      <c r="T35" s="264"/>
      <c r="U35" s="412"/>
      <c r="V35" s="412"/>
    </row>
    <row r="36" spans="1:22" x14ac:dyDescent="0.3">
      <c r="A36" s="177">
        <v>5.3</v>
      </c>
      <c r="B36" s="673" t="s">
        <v>289</v>
      </c>
      <c r="C36" s="673"/>
      <c r="D36" s="673"/>
      <c r="E36" s="673"/>
      <c r="F36" s="673"/>
      <c r="G36" s="673"/>
      <c r="H36" s="673"/>
      <c r="I36" s="673"/>
      <c r="J36" s="673"/>
      <c r="K36" s="673"/>
      <c r="L36" s="673"/>
      <c r="M36" s="673"/>
      <c r="N36" s="673"/>
      <c r="O36" s="673"/>
      <c r="P36" s="673"/>
      <c r="Q36" s="673"/>
      <c r="R36" s="673"/>
      <c r="S36" s="673"/>
      <c r="T36" s="673"/>
      <c r="U36" s="673"/>
      <c r="V36" s="673"/>
    </row>
    <row r="37" spans="1:22" ht="27.75" customHeight="1" x14ac:dyDescent="0.3">
      <c r="A37" s="398" t="s">
        <v>30</v>
      </c>
      <c r="B37" s="641" t="s">
        <v>1078</v>
      </c>
      <c r="C37" s="641"/>
      <c r="D37" s="641"/>
      <c r="E37" s="641"/>
      <c r="F37" s="641"/>
      <c r="G37" s="641"/>
      <c r="H37" s="641"/>
      <c r="I37" s="641"/>
      <c r="J37" s="641"/>
      <c r="K37" s="641"/>
      <c r="L37" s="641"/>
      <c r="M37" s="641"/>
      <c r="N37" s="641"/>
      <c r="O37" s="641"/>
      <c r="P37" s="641"/>
      <c r="Q37" s="641"/>
      <c r="R37" s="641"/>
      <c r="S37" s="641"/>
      <c r="T37" s="641"/>
      <c r="U37" s="641"/>
      <c r="V37" s="641"/>
    </row>
    <row r="38" spans="1:22" x14ac:dyDescent="0.3">
      <c r="A38" s="398" t="s">
        <v>32</v>
      </c>
      <c r="B38" s="641" t="s">
        <v>1076</v>
      </c>
      <c r="C38" s="641"/>
      <c r="D38" s="641"/>
      <c r="E38" s="641"/>
      <c r="F38" s="641"/>
      <c r="G38" s="641"/>
      <c r="H38" s="641"/>
      <c r="I38" s="641"/>
      <c r="J38" s="641"/>
      <c r="K38" s="641"/>
      <c r="L38" s="641"/>
      <c r="M38" s="641"/>
      <c r="N38" s="641"/>
      <c r="O38" s="641"/>
      <c r="P38" s="641"/>
      <c r="Q38" s="641"/>
      <c r="R38" s="641"/>
      <c r="S38" s="641"/>
      <c r="T38" s="641"/>
      <c r="U38" s="641"/>
      <c r="V38" s="641"/>
    </row>
    <row r="39" spans="1:22" x14ac:dyDescent="0.3">
      <c r="A39" s="398" t="s">
        <v>77</v>
      </c>
      <c r="B39" s="641" t="s">
        <v>358</v>
      </c>
      <c r="C39" s="641"/>
      <c r="D39" s="641"/>
      <c r="E39" s="641"/>
      <c r="F39" s="641"/>
      <c r="G39" s="641"/>
      <c r="H39" s="641"/>
      <c r="I39" s="641"/>
      <c r="J39" s="641"/>
      <c r="K39" s="641"/>
      <c r="L39" s="641"/>
      <c r="M39" s="641"/>
      <c r="N39" s="641"/>
      <c r="O39" s="641"/>
      <c r="P39" s="641"/>
      <c r="Q39" s="641"/>
      <c r="R39" s="641"/>
      <c r="S39" s="641"/>
      <c r="T39" s="641"/>
      <c r="U39" s="641"/>
      <c r="V39" s="641"/>
    </row>
    <row r="40" spans="1:22" x14ac:dyDescent="0.3">
      <c r="A40" s="398" t="s">
        <v>283</v>
      </c>
      <c r="B40" s="667" t="s">
        <v>713</v>
      </c>
      <c r="C40" s="667"/>
      <c r="D40" s="641"/>
      <c r="E40" s="641"/>
      <c r="F40" s="641"/>
      <c r="G40" s="641"/>
      <c r="H40" s="641"/>
      <c r="I40" s="641"/>
      <c r="J40" s="641"/>
      <c r="K40" s="641"/>
      <c r="L40" s="641"/>
      <c r="M40" s="641"/>
      <c r="N40" s="641"/>
      <c r="O40" s="641"/>
      <c r="P40" s="641"/>
      <c r="Q40" s="641"/>
      <c r="R40" s="641"/>
      <c r="S40" s="641"/>
      <c r="T40" s="641"/>
      <c r="U40" s="641"/>
      <c r="V40" s="641"/>
    </row>
    <row r="41" spans="1:22" x14ac:dyDescent="0.3">
      <c r="A41" s="398" t="s">
        <v>38</v>
      </c>
      <c r="B41" s="667" t="s">
        <v>359</v>
      </c>
      <c r="C41" s="667"/>
      <c r="D41" s="641"/>
      <c r="E41" s="641"/>
      <c r="F41" s="641"/>
      <c r="G41" s="641"/>
      <c r="H41" s="641"/>
      <c r="I41" s="641"/>
      <c r="J41" s="641"/>
      <c r="K41" s="641"/>
      <c r="L41" s="641"/>
      <c r="M41" s="641"/>
      <c r="N41" s="641"/>
      <c r="O41" s="641"/>
      <c r="P41" s="641"/>
      <c r="Q41" s="641"/>
      <c r="R41" s="641"/>
      <c r="S41" s="641"/>
      <c r="T41" s="641"/>
      <c r="U41" s="641"/>
      <c r="V41" s="641"/>
    </row>
    <row r="42" spans="1:22" x14ac:dyDescent="0.3">
      <c r="A42" s="398" t="s">
        <v>40</v>
      </c>
      <c r="B42" s="667" t="s">
        <v>970</v>
      </c>
      <c r="C42" s="667"/>
      <c r="D42" s="641"/>
      <c r="E42" s="641"/>
      <c r="F42" s="641"/>
      <c r="G42" s="641"/>
      <c r="H42" s="641"/>
      <c r="I42" s="641"/>
      <c r="J42" s="641"/>
      <c r="K42" s="641"/>
      <c r="L42" s="641"/>
      <c r="M42" s="641"/>
      <c r="N42" s="641"/>
      <c r="O42" s="641"/>
      <c r="P42" s="641"/>
      <c r="Q42" s="641"/>
      <c r="R42" s="641"/>
      <c r="S42" s="641"/>
      <c r="T42" s="641"/>
      <c r="U42" s="641"/>
      <c r="V42" s="641"/>
    </row>
    <row r="43" spans="1:22" x14ac:dyDescent="0.3">
      <c r="A43" s="414">
        <v>6</v>
      </c>
      <c r="B43" s="642" t="s">
        <v>360</v>
      </c>
      <c r="C43" s="642"/>
      <c r="D43" s="642"/>
      <c r="E43" s="642"/>
      <c r="F43" s="642"/>
      <c r="G43" s="642"/>
      <c r="H43" s="642"/>
      <c r="I43" s="642"/>
      <c r="J43" s="642"/>
      <c r="K43" s="642"/>
      <c r="L43" s="642"/>
      <c r="M43" s="642"/>
      <c r="N43" s="642"/>
      <c r="O43" s="642"/>
      <c r="P43" s="642"/>
      <c r="Q43" s="642"/>
      <c r="R43" s="642"/>
      <c r="S43" s="642"/>
      <c r="T43" s="642"/>
      <c r="U43" s="642"/>
      <c r="V43" s="642"/>
    </row>
    <row r="44" spans="1:22" x14ac:dyDescent="0.3">
      <c r="A44" s="621" t="s">
        <v>146</v>
      </c>
      <c r="B44" s="621" t="str">
        <f>IF(OR($E$5="Gas Turbine (Open Cycle)",$E$5="Combined Cycle Gas Turbine (CCGT)"),"Modules","Units")</f>
        <v>Units</v>
      </c>
      <c r="C44" s="621"/>
      <c r="D44" s="621"/>
      <c r="E44" s="621" t="s">
        <v>723</v>
      </c>
      <c r="F44" s="621"/>
      <c r="G44" s="621"/>
      <c r="H44" s="621"/>
      <c r="I44" s="621"/>
      <c r="J44" s="621"/>
      <c r="K44" s="621"/>
      <c r="L44" s="621"/>
      <c r="M44" s="621" t="s">
        <v>722</v>
      </c>
      <c r="N44" s="621"/>
      <c r="O44" s="621"/>
      <c r="P44" s="621"/>
      <c r="Q44" s="621"/>
      <c r="R44" s="621"/>
      <c r="S44" s="621"/>
      <c r="T44" s="621"/>
      <c r="U44" s="621" t="s">
        <v>280</v>
      </c>
      <c r="V44" s="621"/>
    </row>
    <row r="45" spans="1:22" ht="37.5" customHeight="1" x14ac:dyDescent="0.3">
      <c r="A45" s="621"/>
      <c r="B45" s="621"/>
      <c r="C45" s="621"/>
      <c r="D45" s="621"/>
      <c r="E45" s="621" t="s">
        <v>351</v>
      </c>
      <c r="F45" s="621"/>
      <c r="G45" s="621" t="s">
        <v>432</v>
      </c>
      <c r="H45" s="621"/>
      <c r="I45" s="621" t="s">
        <v>130</v>
      </c>
      <c r="J45" s="621"/>
      <c r="K45" s="621" t="str">
        <f>IF(OR(E5="Gas Turbine (Open Cycle)",E5="Combined Cycle Gas Turbine (CCGT)"),"Module Heat Rate ##","Unit Gross Heat Rate##")</f>
        <v>Unit Gross Heat Rate##</v>
      </c>
      <c r="L45" s="621"/>
      <c r="M45" s="621" t="s">
        <v>129</v>
      </c>
      <c r="N45" s="621"/>
      <c r="O45" s="621" t="s">
        <v>432</v>
      </c>
      <c r="P45" s="621"/>
      <c r="Q45" s="621" t="s">
        <v>137</v>
      </c>
      <c r="R45" s="621"/>
      <c r="S45" s="621" t="str">
        <f>IF(OR(E5="Gas Turbine (Open Cycle)",E5="Combined Cycle Gas Turbine (CCGT)"),"Module Heat Rate ##","Unit Gross Heat Rate ##")</f>
        <v>Unit Gross Heat Rate ##</v>
      </c>
      <c r="T45" s="621"/>
      <c r="U45" s="621"/>
      <c r="V45" s="621"/>
    </row>
    <row r="46" spans="1:22" ht="25.5" customHeight="1" x14ac:dyDescent="0.3">
      <c r="A46" s="621"/>
      <c r="B46" s="621"/>
      <c r="C46" s="621"/>
      <c r="D46" s="621"/>
      <c r="E46" s="621" t="s">
        <v>28</v>
      </c>
      <c r="F46" s="621"/>
      <c r="G46" s="621" t="s">
        <v>62</v>
      </c>
      <c r="H46" s="621"/>
      <c r="I46" s="621" t="s">
        <v>92</v>
      </c>
      <c r="J46" s="621"/>
      <c r="K46" s="621" t="s">
        <v>110</v>
      </c>
      <c r="L46" s="621"/>
      <c r="M46" s="621" t="s">
        <v>28</v>
      </c>
      <c r="N46" s="621"/>
      <c r="O46" s="621" t="s">
        <v>62</v>
      </c>
      <c r="P46" s="621"/>
      <c r="Q46" s="621" t="s">
        <v>92</v>
      </c>
      <c r="R46" s="621"/>
      <c r="S46" s="621" t="s">
        <v>110</v>
      </c>
      <c r="T46" s="621"/>
      <c r="U46" s="621"/>
      <c r="V46" s="621"/>
    </row>
    <row r="47" spans="1:22" x14ac:dyDescent="0.25">
      <c r="A47" s="396" t="s">
        <v>30</v>
      </c>
      <c r="B47" s="624" t="str">
        <f>IF(OR($E$5="Gas Turbine (Open Cycle)",$E$5="Combined Cycle Gas Turbine (CCGT)"),"Module1","Unit1")</f>
        <v>Unit1</v>
      </c>
      <c r="C47" s="624"/>
      <c r="D47" s="624"/>
      <c r="E47" s="640"/>
      <c r="F47" s="640"/>
      <c r="G47" s="658"/>
      <c r="H47" s="658"/>
      <c r="I47" s="658"/>
      <c r="J47" s="658"/>
      <c r="K47" s="658"/>
      <c r="L47" s="658"/>
      <c r="M47" s="658"/>
      <c r="N47" s="658"/>
      <c r="O47" s="658"/>
      <c r="P47" s="658"/>
      <c r="Q47" s="658"/>
      <c r="R47" s="658"/>
      <c r="S47" s="658"/>
      <c r="T47" s="658"/>
      <c r="U47" s="658"/>
      <c r="V47" s="658"/>
    </row>
    <row r="48" spans="1:22" x14ac:dyDescent="0.25">
      <c r="A48" s="396" t="s">
        <v>32</v>
      </c>
      <c r="B48" s="624" t="str">
        <f>IF(OR($E$5="Gas Turbine (Open Cycle)",$E$5="Combined Cycle Gas Turbine (CCGT)"),"Module2","Unit2")</f>
        <v>Unit2</v>
      </c>
      <c r="C48" s="624"/>
      <c r="D48" s="624"/>
      <c r="E48" s="640"/>
      <c r="F48" s="640"/>
      <c r="G48" s="658"/>
      <c r="H48" s="658"/>
      <c r="I48" s="658"/>
      <c r="J48" s="658"/>
      <c r="K48" s="658"/>
      <c r="L48" s="658"/>
      <c r="M48" s="658"/>
      <c r="N48" s="658"/>
      <c r="O48" s="658"/>
      <c r="P48" s="658"/>
      <c r="Q48" s="658"/>
      <c r="R48" s="658"/>
      <c r="S48" s="658"/>
      <c r="T48" s="658"/>
      <c r="U48" s="658"/>
      <c r="V48" s="658"/>
    </row>
    <row r="49" spans="1:22" x14ac:dyDescent="0.25">
      <c r="A49" s="396" t="s">
        <v>34</v>
      </c>
      <c r="B49" s="624" t="str">
        <f>IF(OR($E$5="Gas Turbine (Open Cycle)",$E$5="Combined Cycle Gas Turbine (CCGT)"),"Module3","Unit3")</f>
        <v>Unit3</v>
      </c>
      <c r="C49" s="624"/>
      <c r="D49" s="624"/>
      <c r="E49" s="640"/>
      <c r="F49" s="640"/>
      <c r="G49" s="658"/>
      <c r="H49" s="658"/>
      <c r="I49" s="658"/>
      <c r="J49" s="658"/>
      <c r="K49" s="658"/>
      <c r="L49" s="658"/>
      <c r="M49" s="658"/>
      <c r="N49" s="658"/>
      <c r="O49" s="658"/>
      <c r="P49" s="658"/>
      <c r="Q49" s="625"/>
      <c r="R49" s="625"/>
      <c r="S49" s="658"/>
      <c r="T49" s="658"/>
      <c r="U49" s="658"/>
      <c r="V49" s="658"/>
    </row>
    <row r="50" spans="1:22" x14ac:dyDescent="0.25">
      <c r="A50" s="396" t="s">
        <v>36</v>
      </c>
      <c r="B50" s="624" t="str">
        <f>IF(OR($E$5="Gas Turbine (Open Cycle)",$E$5="Combined Cycle Gas Turbine (CCGT)"),"Module4","Unit4")</f>
        <v>Unit4</v>
      </c>
      <c r="C50" s="624"/>
      <c r="D50" s="624"/>
      <c r="E50" s="640"/>
      <c r="F50" s="640"/>
      <c r="G50" s="658"/>
      <c r="H50" s="658"/>
      <c r="I50" s="658"/>
      <c r="J50" s="658"/>
      <c r="K50" s="658"/>
      <c r="L50" s="658"/>
      <c r="M50" s="658"/>
      <c r="N50" s="658"/>
      <c r="O50" s="658"/>
      <c r="P50" s="658"/>
      <c r="Q50" s="625"/>
      <c r="R50" s="625"/>
      <c r="S50" s="658"/>
      <c r="T50" s="658"/>
      <c r="U50" s="658"/>
      <c r="V50" s="658"/>
    </row>
    <row r="51" spans="1:22" x14ac:dyDescent="0.25">
      <c r="A51" s="396" t="s">
        <v>38</v>
      </c>
      <c r="B51" s="624" t="str">
        <f>IF(OR($E$5="Gas Turbine (Open Cycle)",$E$5="Combined Cycle Gas Turbine (CCGT)"),"Module5","Unit5")</f>
        <v>Unit5</v>
      </c>
      <c r="C51" s="624"/>
      <c r="D51" s="624"/>
      <c r="E51" s="640"/>
      <c r="F51" s="640"/>
      <c r="G51" s="658"/>
      <c r="H51" s="658"/>
      <c r="I51" s="658"/>
      <c r="J51" s="658"/>
      <c r="K51" s="658"/>
      <c r="L51" s="658"/>
      <c r="M51" s="658"/>
      <c r="N51" s="658"/>
      <c r="O51" s="658"/>
      <c r="P51" s="658"/>
      <c r="Q51" s="625"/>
      <c r="R51" s="625"/>
      <c r="S51" s="658"/>
      <c r="T51" s="658"/>
      <c r="U51" s="658"/>
      <c r="V51" s="658"/>
    </row>
    <row r="52" spans="1:22" x14ac:dyDescent="0.25">
      <c r="A52" s="396" t="s">
        <v>40</v>
      </c>
      <c r="B52" s="624" t="str">
        <f>IF(OR($E$5="Gas Turbine (Open Cycle)",$E$5="Combined Cycle Gas Turbine (CCGT)"),"Module6","Unit6")</f>
        <v>Unit6</v>
      </c>
      <c r="C52" s="624"/>
      <c r="D52" s="624"/>
      <c r="E52" s="640"/>
      <c r="F52" s="640"/>
      <c r="G52" s="658"/>
      <c r="H52" s="658"/>
      <c r="I52" s="658"/>
      <c r="J52" s="658"/>
      <c r="K52" s="658"/>
      <c r="L52" s="658"/>
      <c r="M52" s="658"/>
      <c r="N52" s="658"/>
      <c r="O52" s="658"/>
      <c r="P52" s="658"/>
      <c r="Q52" s="625"/>
      <c r="R52" s="625"/>
      <c r="S52" s="658"/>
      <c r="T52" s="658"/>
      <c r="U52" s="658"/>
      <c r="V52" s="658"/>
    </row>
    <row r="53" spans="1:22" x14ac:dyDescent="0.25">
      <c r="A53" s="396" t="s">
        <v>42</v>
      </c>
      <c r="B53" s="624" t="str">
        <f>IF(OR($E$5="Gas Turbine (Open Cycle)",$E$5="Combined Cycle Gas Turbine (CCGT)"),"Module7","Unit7")</f>
        <v>Unit7</v>
      </c>
      <c r="C53" s="624"/>
      <c r="D53" s="624"/>
      <c r="E53" s="640"/>
      <c r="F53" s="640"/>
      <c r="G53" s="658"/>
      <c r="H53" s="658"/>
      <c r="I53" s="658"/>
      <c r="J53" s="658"/>
      <c r="K53" s="658"/>
      <c r="L53" s="658"/>
      <c r="M53" s="658"/>
      <c r="N53" s="658"/>
      <c r="O53" s="658"/>
      <c r="P53" s="658"/>
      <c r="Q53" s="625"/>
      <c r="R53" s="625"/>
      <c r="S53" s="658"/>
      <c r="T53" s="658"/>
      <c r="U53" s="658"/>
      <c r="V53" s="658"/>
    </row>
    <row r="54" spans="1:22" x14ac:dyDescent="0.25">
      <c r="A54" s="396" t="s">
        <v>44</v>
      </c>
      <c r="B54" s="624" t="str">
        <f>IF(OR($E$5="Gas Turbine (Open Cycle)",$E$5="Combined Cycle Gas Turbine (CCGT)"),"Module8","Unit8")</f>
        <v>Unit8</v>
      </c>
      <c r="C54" s="624"/>
      <c r="D54" s="624"/>
      <c r="E54" s="640"/>
      <c r="F54" s="640"/>
      <c r="G54" s="658"/>
      <c r="H54" s="658"/>
      <c r="I54" s="658"/>
      <c r="J54" s="658"/>
      <c r="K54" s="658"/>
      <c r="L54" s="658"/>
      <c r="M54" s="658"/>
      <c r="N54" s="658"/>
      <c r="O54" s="658"/>
      <c r="P54" s="658"/>
      <c r="Q54" s="625"/>
      <c r="R54" s="625"/>
      <c r="S54" s="658"/>
      <c r="T54" s="658"/>
      <c r="U54" s="658"/>
      <c r="V54" s="658"/>
    </row>
    <row r="55" spans="1:22" x14ac:dyDescent="0.25">
      <c r="A55" s="396" t="s">
        <v>46</v>
      </c>
      <c r="B55" s="624" t="str">
        <f>IF(OR($E$5="Gas Turbine (Open Cycle)",$E$5="Combined Cycle Gas Turbine (CCGT)"),"Module9","Unit9")</f>
        <v>Unit9</v>
      </c>
      <c r="C55" s="624"/>
      <c r="D55" s="624"/>
      <c r="E55" s="640"/>
      <c r="F55" s="640"/>
      <c r="G55" s="658"/>
      <c r="H55" s="658"/>
      <c r="I55" s="658"/>
      <c r="J55" s="658"/>
      <c r="K55" s="658"/>
      <c r="L55" s="658"/>
      <c r="M55" s="658"/>
      <c r="N55" s="658"/>
      <c r="O55" s="658"/>
      <c r="P55" s="658"/>
      <c r="Q55" s="625"/>
      <c r="R55" s="625"/>
      <c r="S55" s="658"/>
      <c r="T55" s="658"/>
      <c r="U55" s="658"/>
      <c r="V55" s="658"/>
    </row>
    <row r="56" spans="1:22" x14ac:dyDescent="0.25">
      <c r="A56" s="396" t="s">
        <v>48</v>
      </c>
      <c r="B56" s="624" t="str">
        <f>IF(OR($E$5="Gas Turbine (Open Cycle)",$E$5="Combined Cycle Gas Turbine (CCGT)"),"Module10","Unit10")</f>
        <v>Unit10</v>
      </c>
      <c r="C56" s="624"/>
      <c r="D56" s="624"/>
      <c r="E56" s="640"/>
      <c r="F56" s="640"/>
      <c r="G56" s="658"/>
      <c r="H56" s="658"/>
      <c r="I56" s="658"/>
      <c r="J56" s="658"/>
      <c r="K56" s="658"/>
      <c r="L56" s="658"/>
      <c r="M56" s="658"/>
      <c r="N56" s="658"/>
      <c r="O56" s="658"/>
      <c r="P56" s="658"/>
      <c r="Q56" s="625"/>
      <c r="R56" s="625"/>
      <c r="S56" s="658"/>
      <c r="T56" s="658"/>
      <c r="U56" s="658"/>
      <c r="V56" s="658"/>
    </row>
    <row r="57" spans="1:22" s="178" customFormat="1" x14ac:dyDescent="0.3">
      <c r="A57" s="399">
        <v>6.1</v>
      </c>
      <c r="B57" s="617" t="s">
        <v>155</v>
      </c>
      <c r="C57" s="617"/>
      <c r="D57" s="617"/>
      <c r="E57" s="617">
        <f>SUM(E47:F56)</f>
        <v>0</v>
      </c>
      <c r="F57" s="617"/>
      <c r="G57" s="617">
        <f>IFERROR((G47*I47+G48*I48+G49*I49+G50*I50+G51*I51+G52*I52+G53*I53+G54*I54+G55*I55+G56*I56)/I57,0)</f>
        <v>0</v>
      </c>
      <c r="H57" s="617"/>
      <c r="I57" s="617">
        <f>SUM(I47:J56)</f>
        <v>0</v>
      </c>
      <c r="J57" s="617"/>
      <c r="K57" s="691">
        <f>IFERROR((I47*K47+I48*K48+I49*K49+I50*K50+I51*K51+I52*K52+I53*K53+I54*K54+I55*K55+I56*K56)/I57,0)</f>
        <v>0</v>
      </c>
      <c r="L57" s="691"/>
      <c r="M57" s="617">
        <f>SUM(M47:N56)</f>
        <v>0</v>
      </c>
      <c r="N57" s="617"/>
      <c r="O57" s="617">
        <f>IFERROR((O47*Q47+O48*Q48+O49*Q49+O50*Q50+O51*Q51+O52*Q52+O53*Q53+O54*Q54+O55*Q55+O56*Q56)/Q57,0)</f>
        <v>0</v>
      </c>
      <c r="P57" s="617"/>
      <c r="Q57" s="617">
        <f>SUM(Q47:R56)</f>
        <v>0</v>
      </c>
      <c r="R57" s="617"/>
      <c r="S57" s="657">
        <f>IFERROR((Q47*S47+Q48*S48+Q49*S49+Q50*S50+Q51*S51+Q52*S52+Q53*S53+Q54*S54+Q55*S55+Q56*S56)/Q57,0)</f>
        <v>0</v>
      </c>
      <c r="T57" s="657"/>
      <c r="U57" s="657"/>
      <c r="V57" s="657"/>
    </row>
    <row r="58" spans="1:22" s="179" customFormat="1" x14ac:dyDescent="0.3">
      <c r="A58" s="177">
        <v>6.2</v>
      </c>
      <c r="B58" s="673" t="s">
        <v>289</v>
      </c>
      <c r="C58" s="673"/>
      <c r="D58" s="673"/>
      <c r="E58" s="673"/>
      <c r="F58" s="673"/>
      <c r="G58" s="673"/>
      <c r="H58" s="673"/>
      <c r="I58" s="673"/>
      <c r="J58" s="673"/>
      <c r="K58" s="673"/>
      <c r="L58" s="673"/>
      <c r="M58" s="673"/>
      <c r="N58" s="673"/>
      <c r="O58" s="673"/>
      <c r="P58" s="673"/>
      <c r="Q58" s="673"/>
      <c r="R58" s="673"/>
      <c r="S58" s="673"/>
      <c r="T58" s="673"/>
      <c r="U58" s="673"/>
      <c r="V58" s="673"/>
    </row>
    <row r="59" spans="1:22" s="179" customFormat="1" x14ac:dyDescent="0.3">
      <c r="A59" s="180" t="s">
        <v>30</v>
      </c>
      <c r="B59" s="693" t="s">
        <v>714</v>
      </c>
      <c r="C59" s="693"/>
      <c r="D59" s="693"/>
      <c r="E59" s="693"/>
      <c r="F59" s="693"/>
      <c r="G59" s="693"/>
      <c r="H59" s="693"/>
      <c r="I59" s="693"/>
      <c r="J59" s="693"/>
      <c r="K59" s="693"/>
      <c r="L59" s="693"/>
      <c r="M59" s="693"/>
      <c r="N59" s="693"/>
      <c r="O59" s="693"/>
      <c r="P59" s="693"/>
      <c r="Q59" s="693"/>
      <c r="R59" s="693"/>
      <c r="S59" s="693"/>
      <c r="T59" s="693"/>
      <c r="U59" s="693"/>
      <c r="V59" s="693"/>
    </row>
    <row r="60" spans="1:22" x14ac:dyDescent="0.3">
      <c r="A60" s="398" t="s">
        <v>32</v>
      </c>
      <c r="B60" s="641" t="s">
        <v>717</v>
      </c>
      <c r="C60" s="641"/>
      <c r="D60" s="641"/>
      <c r="E60" s="641"/>
      <c r="F60" s="641"/>
      <c r="G60" s="641"/>
      <c r="H60" s="641"/>
      <c r="I60" s="641"/>
      <c r="J60" s="641"/>
      <c r="K60" s="641"/>
      <c r="L60" s="641"/>
      <c r="M60" s="641"/>
      <c r="N60" s="641"/>
      <c r="O60" s="641"/>
      <c r="P60" s="641"/>
      <c r="Q60" s="641"/>
      <c r="R60" s="641"/>
      <c r="S60" s="641"/>
      <c r="T60" s="641"/>
      <c r="U60" s="641"/>
      <c r="V60" s="641"/>
    </row>
    <row r="61" spans="1:22" x14ac:dyDescent="0.3">
      <c r="A61" s="398" t="s">
        <v>77</v>
      </c>
      <c r="B61" s="641" t="s">
        <v>436</v>
      </c>
      <c r="C61" s="641"/>
      <c r="D61" s="641"/>
      <c r="E61" s="641"/>
      <c r="F61" s="641"/>
      <c r="G61" s="641"/>
      <c r="H61" s="641"/>
      <c r="I61" s="641"/>
      <c r="J61" s="641"/>
      <c r="K61" s="641"/>
      <c r="L61" s="641"/>
      <c r="M61" s="641"/>
      <c r="N61" s="641"/>
      <c r="O61" s="641"/>
      <c r="P61" s="641"/>
      <c r="Q61" s="641"/>
      <c r="R61" s="641"/>
      <c r="S61" s="641"/>
      <c r="T61" s="641"/>
      <c r="U61" s="641"/>
      <c r="V61" s="641"/>
    </row>
    <row r="62" spans="1:22" x14ac:dyDescent="0.3">
      <c r="A62" s="398"/>
      <c r="B62" s="703"/>
      <c r="C62" s="703"/>
      <c r="D62" s="703"/>
      <c r="E62" s="703"/>
      <c r="F62" s="703"/>
      <c r="G62" s="703"/>
      <c r="H62" s="703"/>
      <c r="I62" s="703"/>
      <c r="J62" s="703"/>
      <c r="K62" s="703"/>
      <c r="L62" s="703"/>
      <c r="M62" s="703"/>
      <c r="N62" s="703"/>
      <c r="O62" s="703"/>
      <c r="P62" s="703"/>
      <c r="Q62" s="703"/>
      <c r="R62" s="703"/>
      <c r="S62" s="703"/>
      <c r="T62" s="703"/>
      <c r="U62" s="703"/>
      <c r="V62" s="703"/>
    </row>
    <row r="63" spans="1:22" x14ac:dyDescent="0.3">
      <c r="A63" s="414">
        <v>7</v>
      </c>
      <c r="B63" s="642" t="s">
        <v>401</v>
      </c>
      <c r="C63" s="642"/>
      <c r="D63" s="642"/>
      <c r="E63" s="642"/>
      <c r="F63" s="642"/>
      <c r="G63" s="642"/>
      <c r="H63" s="642"/>
      <c r="I63" s="642"/>
      <c r="J63" s="642"/>
      <c r="K63" s="642"/>
      <c r="L63" s="642"/>
      <c r="M63" s="642"/>
      <c r="N63" s="642"/>
      <c r="O63" s="642"/>
      <c r="P63" s="642"/>
      <c r="Q63" s="642"/>
      <c r="R63" s="642"/>
      <c r="S63" s="642"/>
      <c r="T63" s="642"/>
      <c r="U63" s="642"/>
      <c r="V63" s="642"/>
    </row>
    <row r="64" spans="1:22" ht="24" customHeight="1" x14ac:dyDescent="0.3">
      <c r="A64" s="396" t="s">
        <v>146</v>
      </c>
      <c r="B64" s="623" t="s">
        <v>132</v>
      </c>
      <c r="C64" s="623"/>
      <c r="D64" s="623"/>
      <c r="E64" s="396" t="s">
        <v>27</v>
      </c>
      <c r="F64" s="621" t="s">
        <v>723</v>
      </c>
      <c r="G64" s="621"/>
      <c r="H64" s="621"/>
      <c r="I64" s="621"/>
      <c r="J64" s="621"/>
      <c r="K64" s="621"/>
      <c r="L64" s="621"/>
      <c r="M64" s="621" t="s">
        <v>722</v>
      </c>
      <c r="N64" s="621"/>
      <c r="O64" s="621"/>
      <c r="P64" s="621"/>
      <c r="Q64" s="621"/>
      <c r="R64" s="621"/>
      <c r="S64" s="621"/>
      <c r="T64" s="621"/>
      <c r="U64" s="621" t="s">
        <v>280</v>
      </c>
      <c r="V64" s="621"/>
    </row>
    <row r="65" spans="1:22" x14ac:dyDescent="0.3">
      <c r="A65" s="396" t="s">
        <v>30</v>
      </c>
      <c r="B65" s="618" t="s">
        <v>112</v>
      </c>
      <c r="C65" s="618"/>
      <c r="D65" s="618"/>
      <c r="E65" s="404" t="s">
        <v>28</v>
      </c>
      <c r="F65" s="617">
        <f>E8</f>
        <v>0</v>
      </c>
      <c r="G65" s="617"/>
      <c r="H65" s="617"/>
      <c r="I65" s="617"/>
      <c r="J65" s="617"/>
      <c r="K65" s="617"/>
      <c r="L65" s="617"/>
      <c r="M65" s="617">
        <f>M8</f>
        <v>0</v>
      </c>
      <c r="N65" s="617"/>
      <c r="O65" s="617"/>
      <c r="P65" s="617"/>
      <c r="Q65" s="617"/>
      <c r="R65" s="617"/>
      <c r="S65" s="617"/>
      <c r="T65" s="617"/>
      <c r="U65" s="684"/>
      <c r="V65" s="684"/>
    </row>
    <row r="66" spans="1:22" ht="29.4" customHeight="1" x14ac:dyDescent="0.3">
      <c r="A66" s="396" t="s">
        <v>32</v>
      </c>
      <c r="B66" s="618" t="s">
        <v>111</v>
      </c>
      <c r="C66" s="618"/>
      <c r="D66" s="618"/>
      <c r="E66" s="404" t="s">
        <v>28</v>
      </c>
      <c r="F66" s="692"/>
      <c r="G66" s="692"/>
      <c r="H66" s="692"/>
      <c r="I66" s="692"/>
      <c r="J66" s="692"/>
      <c r="K66" s="692"/>
      <c r="L66" s="692"/>
      <c r="M66" s="613">
        <v>630</v>
      </c>
      <c r="N66" s="613"/>
      <c r="O66" s="613"/>
      <c r="P66" s="613"/>
      <c r="Q66" s="613"/>
      <c r="R66" s="613"/>
      <c r="S66" s="613"/>
      <c r="T66" s="613"/>
      <c r="U66" s="688"/>
      <c r="V66" s="688"/>
    </row>
    <row r="67" spans="1:22" x14ac:dyDescent="0.3">
      <c r="A67" s="396" t="s">
        <v>77</v>
      </c>
      <c r="B67" s="618" t="s">
        <v>122</v>
      </c>
      <c r="C67" s="618"/>
      <c r="D67" s="618"/>
      <c r="E67" s="404" t="s">
        <v>92</v>
      </c>
      <c r="F67" s="617">
        <f>I57</f>
        <v>0</v>
      </c>
      <c r="G67" s="617"/>
      <c r="H67" s="617"/>
      <c r="I67" s="617"/>
      <c r="J67" s="617"/>
      <c r="K67" s="617"/>
      <c r="L67" s="617"/>
      <c r="M67" s="617">
        <f>Q57</f>
        <v>0</v>
      </c>
      <c r="N67" s="617"/>
      <c r="O67" s="617"/>
      <c r="P67" s="617"/>
      <c r="Q67" s="617"/>
      <c r="R67" s="617"/>
      <c r="S67" s="617"/>
      <c r="T67" s="617"/>
      <c r="U67" s="688"/>
      <c r="V67" s="688"/>
    </row>
    <row r="68" spans="1:22" x14ac:dyDescent="0.3">
      <c r="A68" s="396" t="s">
        <v>36</v>
      </c>
      <c r="B68" s="618" t="s">
        <v>123</v>
      </c>
      <c r="C68" s="618"/>
      <c r="D68" s="618"/>
      <c r="E68" s="404" t="s">
        <v>62</v>
      </c>
      <c r="F68" s="689">
        <f>H414</f>
        <v>1</v>
      </c>
      <c r="G68" s="617"/>
      <c r="H68" s="617"/>
      <c r="I68" s="617"/>
      <c r="J68" s="617"/>
      <c r="K68" s="617"/>
      <c r="L68" s="617"/>
      <c r="M68" s="689">
        <f>P414</f>
        <v>1</v>
      </c>
      <c r="N68" s="689"/>
      <c r="O68" s="689"/>
      <c r="P68" s="689"/>
      <c r="Q68" s="689"/>
      <c r="R68" s="689"/>
      <c r="S68" s="689"/>
      <c r="T68" s="689"/>
      <c r="U68" s="688"/>
      <c r="V68" s="688"/>
    </row>
    <row r="69" spans="1:22" x14ac:dyDescent="0.3">
      <c r="A69" s="396" t="s">
        <v>38</v>
      </c>
      <c r="B69" s="618" t="s">
        <v>703</v>
      </c>
      <c r="C69" s="618"/>
      <c r="D69" s="618"/>
      <c r="E69" s="404" t="s">
        <v>62</v>
      </c>
      <c r="F69" s="639"/>
      <c r="G69" s="639"/>
      <c r="H69" s="639"/>
      <c r="I69" s="639"/>
      <c r="J69" s="639"/>
      <c r="K69" s="639"/>
      <c r="L69" s="639"/>
      <c r="M69" s="639"/>
      <c r="N69" s="639"/>
      <c r="O69" s="639"/>
      <c r="P69" s="639"/>
      <c r="Q69" s="639"/>
      <c r="R69" s="639"/>
      <c r="S69" s="639"/>
      <c r="T69" s="639"/>
      <c r="U69" s="688"/>
      <c r="V69" s="688"/>
    </row>
    <row r="70" spans="1:22" x14ac:dyDescent="0.3">
      <c r="A70" s="396" t="s">
        <v>40</v>
      </c>
      <c r="B70" s="618" t="s">
        <v>380</v>
      </c>
      <c r="C70" s="618"/>
      <c r="D70" s="618"/>
      <c r="E70" s="404" t="s">
        <v>92</v>
      </c>
      <c r="F70" s="617">
        <f>F118</f>
        <v>0</v>
      </c>
      <c r="G70" s="617"/>
      <c r="H70" s="617"/>
      <c r="I70" s="617"/>
      <c r="J70" s="617"/>
      <c r="K70" s="617"/>
      <c r="L70" s="617"/>
      <c r="M70" s="617">
        <f>M118</f>
        <v>0</v>
      </c>
      <c r="N70" s="617"/>
      <c r="O70" s="617"/>
      <c r="P70" s="617"/>
      <c r="Q70" s="617"/>
      <c r="R70" s="617"/>
      <c r="S70" s="617"/>
      <c r="T70" s="617"/>
      <c r="U70" s="688"/>
      <c r="V70" s="688"/>
    </row>
    <row r="71" spans="1:22" x14ac:dyDescent="0.3">
      <c r="A71" s="396" t="s">
        <v>42</v>
      </c>
      <c r="B71" s="618" t="s">
        <v>381</v>
      </c>
      <c r="C71" s="618"/>
      <c r="D71" s="618"/>
      <c r="E71" s="404" t="s">
        <v>62</v>
      </c>
      <c r="F71" s="689">
        <f>IFERROR(F70*100/F67,0)</f>
        <v>0</v>
      </c>
      <c r="G71" s="689"/>
      <c r="H71" s="689"/>
      <c r="I71" s="689"/>
      <c r="J71" s="689"/>
      <c r="K71" s="689"/>
      <c r="L71" s="689"/>
      <c r="M71" s="689">
        <f>IFERROR(M70*100/M67,0)</f>
        <v>0</v>
      </c>
      <c r="N71" s="689"/>
      <c r="O71" s="689"/>
      <c r="P71" s="689"/>
      <c r="Q71" s="689"/>
      <c r="R71" s="689"/>
      <c r="S71" s="689"/>
      <c r="T71" s="689"/>
      <c r="U71" s="688"/>
      <c r="V71" s="688"/>
    </row>
    <row r="72" spans="1:22" x14ac:dyDescent="0.3">
      <c r="A72" s="396" t="s">
        <v>44</v>
      </c>
      <c r="B72" s="618" t="s">
        <v>113</v>
      </c>
      <c r="C72" s="618"/>
      <c r="D72" s="618"/>
      <c r="E72" s="404" t="s">
        <v>110</v>
      </c>
      <c r="F72" s="657">
        <f>K57</f>
        <v>0</v>
      </c>
      <c r="G72" s="657"/>
      <c r="H72" s="657"/>
      <c r="I72" s="657"/>
      <c r="J72" s="657"/>
      <c r="K72" s="657"/>
      <c r="L72" s="657"/>
      <c r="M72" s="657">
        <f>S57</f>
        <v>0</v>
      </c>
      <c r="N72" s="657"/>
      <c r="O72" s="657"/>
      <c r="P72" s="657"/>
      <c r="Q72" s="657"/>
      <c r="R72" s="657"/>
      <c r="S72" s="657"/>
      <c r="T72" s="657"/>
      <c r="U72" s="688"/>
      <c r="V72" s="688"/>
    </row>
    <row r="73" spans="1:22" x14ac:dyDescent="0.3">
      <c r="A73" s="396" t="s">
        <v>46</v>
      </c>
      <c r="B73" s="618" t="s">
        <v>229</v>
      </c>
      <c r="C73" s="618"/>
      <c r="D73" s="618"/>
      <c r="E73" s="404" t="s">
        <v>110</v>
      </c>
      <c r="F73" s="657">
        <f>F72/(1-F71/100)</f>
        <v>0</v>
      </c>
      <c r="G73" s="657"/>
      <c r="H73" s="657"/>
      <c r="I73" s="657"/>
      <c r="J73" s="657"/>
      <c r="K73" s="657"/>
      <c r="L73" s="657"/>
      <c r="M73" s="657">
        <f>M72/(1-M71/100)</f>
        <v>0</v>
      </c>
      <c r="N73" s="657"/>
      <c r="O73" s="657"/>
      <c r="P73" s="657"/>
      <c r="Q73" s="657"/>
      <c r="R73" s="657"/>
      <c r="S73" s="657"/>
      <c r="T73" s="657"/>
      <c r="U73" s="688"/>
      <c r="V73" s="688"/>
    </row>
    <row r="74" spans="1:22" x14ac:dyDescent="0.3">
      <c r="A74" s="396" t="s">
        <v>48</v>
      </c>
      <c r="B74" s="618" t="s">
        <v>116</v>
      </c>
      <c r="C74" s="618"/>
      <c r="D74" s="618"/>
      <c r="E74" s="396" t="s">
        <v>62</v>
      </c>
      <c r="F74" s="683"/>
      <c r="G74" s="683"/>
      <c r="H74" s="683"/>
      <c r="I74" s="683"/>
      <c r="J74" s="683"/>
      <c r="K74" s="683"/>
      <c r="L74" s="683"/>
      <c r="M74" s="639"/>
      <c r="N74" s="639"/>
      <c r="O74" s="639"/>
      <c r="P74" s="639"/>
      <c r="Q74" s="639"/>
      <c r="R74" s="639"/>
      <c r="S74" s="639"/>
      <c r="T74" s="639"/>
      <c r="U74" s="684"/>
      <c r="V74" s="684"/>
    </row>
    <row r="75" spans="1:22" x14ac:dyDescent="0.3">
      <c r="A75" s="396" t="s">
        <v>302</v>
      </c>
      <c r="B75" s="618" t="s">
        <v>274</v>
      </c>
      <c r="C75" s="618"/>
      <c r="D75" s="618"/>
      <c r="E75" s="396" t="s">
        <v>62</v>
      </c>
      <c r="F75" s="639"/>
      <c r="G75" s="639"/>
      <c r="H75" s="639"/>
      <c r="I75" s="639"/>
      <c r="J75" s="639"/>
      <c r="K75" s="639"/>
      <c r="L75" s="639"/>
      <c r="M75" s="639"/>
      <c r="N75" s="639"/>
      <c r="O75" s="639"/>
      <c r="P75" s="639"/>
      <c r="Q75" s="639"/>
      <c r="R75" s="639"/>
      <c r="S75" s="639"/>
      <c r="T75" s="639"/>
      <c r="U75" s="684"/>
      <c r="V75" s="684"/>
    </row>
    <row r="76" spans="1:22" x14ac:dyDescent="0.3">
      <c r="A76" s="396" t="s">
        <v>303</v>
      </c>
      <c r="B76" s="618" t="s">
        <v>342</v>
      </c>
      <c r="C76" s="618"/>
      <c r="D76" s="618"/>
      <c r="E76" s="404" t="s">
        <v>110</v>
      </c>
      <c r="F76" s="625"/>
      <c r="G76" s="625"/>
      <c r="H76" s="625"/>
      <c r="I76" s="625"/>
      <c r="J76" s="625"/>
      <c r="K76" s="625"/>
      <c r="L76" s="625"/>
      <c r="M76" s="625"/>
      <c r="N76" s="625"/>
      <c r="O76" s="625"/>
      <c r="P76" s="625"/>
      <c r="Q76" s="625"/>
      <c r="R76" s="625"/>
      <c r="S76" s="625"/>
      <c r="T76" s="625"/>
      <c r="U76" s="684"/>
      <c r="V76" s="684"/>
    </row>
    <row r="77" spans="1:22" x14ac:dyDescent="0.3">
      <c r="A77" s="396" t="s">
        <v>579</v>
      </c>
      <c r="B77" s="618" t="s">
        <v>581</v>
      </c>
      <c r="C77" s="618"/>
      <c r="D77" s="618"/>
      <c r="E77" s="404" t="s">
        <v>110</v>
      </c>
      <c r="F77" s="683"/>
      <c r="G77" s="683"/>
      <c r="H77" s="683"/>
      <c r="I77" s="683"/>
      <c r="J77" s="683"/>
      <c r="K77" s="683"/>
      <c r="L77" s="683"/>
      <c r="M77" s="682">
        <f>M10</f>
        <v>0</v>
      </c>
      <c r="N77" s="682"/>
      <c r="O77" s="682"/>
      <c r="P77" s="682"/>
      <c r="Q77" s="682"/>
      <c r="R77" s="682"/>
      <c r="S77" s="682"/>
      <c r="T77" s="682"/>
      <c r="U77" s="684"/>
      <c r="V77" s="684"/>
    </row>
    <row r="78" spans="1:22" x14ac:dyDescent="0.3">
      <c r="A78" s="396" t="s">
        <v>580</v>
      </c>
      <c r="B78" s="618" t="s">
        <v>582</v>
      </c>
      <c r="C78" s="618"/>
      <c r="D78" s="618"/>
      <c r="E78" s="404"/>
      <c r="F78" s="683"/>
      <c r="G78" s="683"/>
      <c r="H78" s="683"/>
      <c r="I78" s="683"/>
      <c r="J78" s="683"/>
      <c r="K78" s="683"/>
      <c r="L78" s="683"/>
      <c r="M78" s="682">
        <f>M11</f>
        <v>0</v>
      </c>
      <c r="N78" s="682"/>
      <c r="O78" s="682"/>
      <c r="P78" s="682"/>
      <c r="Q78" s="682"/>
      <c r="R78" s="682"/>
      <c r="S78" s="682"/>
      <c r="T78" s="682"/>
      <c r="U78" s="684"/>
      <c r="V78" s="684"/>
    </row>
    <row r="79" spans="1:22" x14ac:dyDescent="0.3">
      <c r="A79" s="414">
        <v>7.1</v>
      </c>
      <c r="B79" s="642" t="s">
        <v>967</v>
      </c>
      <c r="C79" s="642"/>
      <c r="D79" s="642"/>
      <c r="E79" s="642"/>
      <c r="F79" s="642"/>
      <c r="G79" s="642"/>
      <c r="H79" s="642"/>
      <c r="I79" s="642"/>
      <c r="J79" s="642"/>
      <c r="K79" s="642"/>
      <c r="L79" s="642"/>
      <c r="M79" s="642"/>
      <c r="N79" s="642"/>
      <c r="O79" s="642"/>
      <c r="P79" s="642"/>
      <c r="Q79" s="642"/>
      <c r="R79" s="642"/>
      <c r="S79" s="642"/>
      <c r="T79" s="642"/>
      <c r="U79" s="642"/>
      <c r="V79" s="642"/>
    </row>
    <row r="80" spans="1:22" s="182" customFormat="1" x14ac:dyDescent="0.3">
      <c r="A80" s="621" t="s">
        <v>146</v>
      </c>
      <c r="B80" s="621" t="s">
        <v>132</v>
      </c>
      <c r="C80" s="621" t="s">
        <v>154</v>
      </c>
      <c r="D80" s="680" t="s">
        <v>723</v>
      </c>
      <c r="E80" s="680"/>
      <c r="F80" s="680"/>
      <c r="G80" s="680"/>
      <c r="H80" s="680"/>
      <c r="I80" s="680"/>
      <c r="J80" s="680"/>
      <c r="K80" s="680"/>
      <c r="L80" s="680"/>
      <c r="M80" s="680" t="s">
        <v>722</v>
      </c>
      <c r="N80" s="680"/>
      <c r="O80" s="680"/>
      <c r="P80" s="680"/>
      <c r="Q80" s="680"/>
      <c r="R80" s="680"/>
      <c r="S80" s="680"/>
      <c r="T80" s="680"/>
      <c r="U80" s="680"/>
      <c r="V80" s="181"/>
    </row>
    <row r="81" spans="1:24" s="182" customFormat="1" ht="33.6" customHeight="1" x14ac:dyDescent="0.3">
      <c r="A81" s="621"/>
      <c r="B81" s="621"/>
      <c r="C81" s="621"/>
      <c r="D81" s="680" t="s">
        <v>438</v>
      </c>
      <c r="E81" s="680"/>
      <c r="F81" s="680"/>
      <c r="G81" s="680" t="s">
        <v>439</v>
      </c>
      <c r="H81" s="680"/>
      <c r="I81" s="680"/>
      <c r="J81" s="680" t="s">
        <v>440</v>
      </c>
      <c r="K81" s="680"/>
      <c r="L81" s="680"/>
      <c r="M81" s="680" t="s">
        <v>438</v>
      </c>
      <c r="N81" s="680"/>
      <c r="O81" s="680"/>
      <c r="P81" s="680" t="s">
        <v>439</v>
      </c>
      <c r="Q81" s="680"/>
      <c r="R81" s="680"/>
      <c r="S81" s="680" t="s">
        <v>440</v>
      </c>
      <c r="T81" s="680"/>
      <c r="U81" s="680"/>
      <c r="V81" s="183" t="s">
        <v>280</v>
      </c>
      <c r="W81" s="166"/>
    </row>
    <row r="82" spans="1:24" s="184" customFormat="1" x14ac:dyDescent="0.3">
      <c r="A82" s="621"/>
      <c r="B82" s="621"/>
      <c r="C82" s="621"/>
      <c r="D82" s="412" t="s">
        <v>402</v>
      </c>
      <c r="E82" s="412" t="s">
        <v>403</v>
      </c>
      <c r="F82" s="412" t="s">
        <v>437</v>
      </c>
      <c r="G82" s="412" t="s">
        <v>402</v>
      </c>
      <c r="H82" s="412" t="s">
        <v>403</v>
      </c>
      <c r="I82" s="412" t="s">
        <v>437</v>
      </c>
      <c r="J82" s="412" t="s">
        <v>402</v>
      </c>
      <c r="K82" s="412" t="s">
        <v>403</v>
      </c>
      <c r="L82" s="412" t="s">
        <v>437</v>
      </c>
      <c r="M82" s="412" t="s">
        <v>402</v>
      </c>
      <c r="N82" s="412" t="s">
        <v>403</v>
      </c>
      <c r="O82" s="412" t="s">
        <v>437</v>
      </c>
      <c r="P82" s="412" t="s">
        <v>402</v>
      </c>
      <c r="Q82" s="412" t="s">
        <v>403</v>
      </c>
      <c r="R82" s="412" t="s">
        <v>437</v>
      </c>
      <c r="S82" s="412" t="s">
        <v>402</v>
      </c>
      <c r="T82" s="412" t="s">
        <v>403</v>
      </c>
      <c r="U82" s="412" t="s">
        <v>437</v>
      </c>
      <c r="V82" s="183"/>
    </row>
    <row r="83" spans="1:24" s="182" customFormat="1" x14ac:dyDescent="0.3">
      <c r="A83" s="396" t="s">
        <v>30</v>
      </c>
      <c r="B83" s="404" t="str">
        <f>IF(OR($E$5="Gas Turbine (Open Cycle)",$E$5="Combined Cycle Gas Turbine (CCGT)"),"Module1","Unit1")</f>
        <v>Unit1</v>
      </c>
      <c r="C83" s="404" t="s">
        <v>92</v>
      </c>
      <c r="D83" s="400"/>
      <c r="E83" s="400"/>
      <c r="F83" s="400"/>
      <c r="G83" s="400"/>
      <c r="H83" s="400"/>
      <c r="I83" s="400"/>
      <c r="J83" s="400"/>
      <c r="K83" s="400"/>
      <c r="L83" s="400"/>
      <c r="M83" s="400"/>
      <c r="N83" s="400"/>
      <c r="O83" s="400"/>
      <c r="P83" s="400"/>
      <c r="Q83" s="400"/>
      <c r="R83" s="400"/>
      <c r="S83" s="400"/>
      <c r="T83" s="400"/>
      <c r="U83" s="400"/>
      <c r="V83" s="400"/>
      <c r="X83" s="390"/>
    </row>
    <row r="84" spans="1:24" s="182" customFormat="1" x14ac:dyDescent="0.3">
      <c r="A84" s="396" t="s">
        <v>32</v>
      </c>
      <c r="B84" s="404" t="str">
        <f>IF(OR($E$5="Gas Turbine (Open Cycle)",$E$5="Combined Cycle Gas Turbine (CCGT)"),"Module2","Unit2")</f>
        <v>Unit2</v>
      </c>
      <c r="C84" s="404" t="s">
        <v>92</v>
      </c>
      <c r="D84" s="400"/>
      <c r="E84" s="400"/>
      <c r="F84" s="400"/>
      <c r="G84" s="400"/>
      <c r="H84" s="400"/>
      <c r="I84" s="400"/>
      <c r="J84" s="400"/>
      <c r="K84" s="400"/>
      <c r="L84" s="400"/>
      <c r="M84" s="400"/>
      <c r="N84" s="400"/>
      <c r="O84" s="400"/>
      <c r="P84" s="400"/>
      <c r="Q84" s="400"/>
      <c r="R84" s="400"/>
      <c r="S84" s="400"/>
      <c r="T84" s="400"/>
      <c r="U84" s="400"/>
      <c r="V84" s="400"/>
    </row>
    <row r="85" spans="1:24" s="182" customFormat="1" x14ac:dyDescent="0.3">
      <c r="A85" s="396" t="s">
        <v>34</v>
      </c>
      <c r="B85" s="404" t="str">
        <f>IF(OR($E$5="Gas Turbine (Open Cycle)",$E$5="Combined Cycle Gas Turbine (CCGT)"),"Module3","Unit3")</f>
        <v>Unit3</v>
      </c>
      <c r="C85" s="404" t="s">
        <v>92</v>
      </c>
      <c r="D85" s="400"/>
      <c r="E85" s="400"/>
      <c r="F85" s="400"/>
      <c r="G85" s="400"/>
      <c r="H85" s="400"/>
      <c r="I85" s="400"/>
      <c r="J85" s="400"/>
      <c r="K85" s="400"/>
      <c r="L85" s="400"/>
      <c r="M85" s="400"/>
      <c r="N85" s="400"/>
      <c r="O85" s="400"/>
      <c r="P85" s="400"/>
      <c r="Q85" s="400"/>
      <c r="R85" s="400"/>
      <c r="S85" s="400"/>
      <c r="T85" s="400"/>
      <c r="U85" s="400"/>
      <c r="V85" s="400"/>
    </row>
    <row r="86" spans="1:24" s="182" customFormat="1" x14ac:dyDescent="0.3">
      <c r="A86" s="396" t="s">
        <v>36</v>
      </c>
      <c r="B86" s="404" t="str">
        <f>IF(OR($E$5="Gas Turbine (Open Cycle)",$E$5="Combined Cycle Gas Turbine (CCGT)"),"Module4","Unit4")</f>
        <v>Unit4</v>
      </c>
      <c r="C86" s="404" t="s">
        <v>92</v>
      </c>
      <c r="D86" s="400"/>
      <c r="E86" s="400"/>
      <c r="F86" s="400"/>
      <c r="G86" s="400"/>
      <c r="H86" s="400"/>
      <c r="I86" s="400"/>
      <c r="J86" s="400"/>
      <c r="K86" s="400"/>
      <c r="L86" s="400"/>
      <c r="M86" s="400"/>
      <c r="N86" s="400"/>
      <c r="O86" s="400"/>
      <c r="P86" s="400"/>
      <c r="Q86" s="400"/>
      <c r="R86" s="400"/>
      <c r="S86" s="400"/>
      <c r="T86" s="400"/>
      <c r="U86" s="400"/>
      <c r="V86" s="400"/>
    </row>
    <row r="87" spans="1:24" s="182" customFormat="1" x14ac:dyDescent="0.3">
      <c r="A87" s="396" t="s">
        <v>38</v>
      </c>
      <c r="B87" s="404" t="str">
        <f>IF(OR($E$5="Gas Turbine (Open Cycle)",$E$5="Combined Cycle Gas Turbine (CCGT)"),"Module5","Unit5")</f>
        <v>Unit5</v>
      </c>
      <c r="C87" s="404" t="s">
        <v>92</v>
      </c>
      <c r="D87" s="400"/>
      <c r="E87" s="400"/>
      <c r="F87" s="400"/>
      <c r="G87" s="400"/>
      <c r="H87" s="400"/>
      <c r="I87" s="400"/>
      <c r="J87" s="400"/>
      <c r="K87" s="400"/>
      <c r="L87" s="400"/>
      <c r="M87" s="400"/>
      <c r="N87" s="400"/>
      <c r="O87" s="400"/>
      <c r="P87" s="400"/>
      <c r="Q87" s="400"/>
      <c r="R87" s="400"/>
      <c r="S87" s="400"/>
      <c r="T87" s="400"/>
      <c r="U87" s="400"/>
      <c r="V87" s="400"/>
    </row>
    <row r="88" spans="1:24" s="182" customFormat="1" x14ac:dyDescent="0.3">
      <c r="A88" s="396" t="s">
        <v>40</v>
      </c>
      <c r="B88" s="404" t="str">
        <f>IF(OR($E$5="Gas Turbine (Open Cycle)",$E$5="Combined Cycle Gas Turbine (CCGT)"),"Module6","Unit6")</f>
        <v>Unit6</v>
      </c>
      <c r="C88" s="404" t="s">
        <v>92</v>
      </c>
      <c r="D88" s="400"/>
      <c r="E88" s="400"/>
      <c r="F88" s="400"/>
      <c r="G88" s="400"/>
      <c r="H88" s="400"/>
      <c r="I88" s="400"/>
      <c r="J88" s="400"/>
      <c r="K88" s="400"/>
      <c r="L88" s="400"/>
      <c r="M88" s="400"/>
      <c r="N88" s="400"/>
      <c r="O88" s="400"/>
      <c r="P88" s="400"/>
      <c r="Q88" s="400"/>
      <c r="R88" s="400"/>
      <c r="S88" s="400"/>
      <c r="T88" s="400"/>
      <c r="U88" s="400"/>
      <c r="V88" s="400"/>
    </row>
    <row r="89" spans="1:24" s="182" customFormat="1" x14ac:dyDescent="0.3">
      <c r="A89" s="396" t="s">
        <v>42</v>
      </c>
      <c r="B89" s="404" t="str">
        <f>IF(OR($E$5="Gas Turbine (Open Cycle)",$E$5="Combined Cycle Gas Turbine (CCGT)"),"Module7","Unit7")</f>
        <v>Unit7</v>
      </c>
      <c r="C89" s="404" t="s">
        <v>92</v>
      </c>
      <c r="D89" s="400"/>
      <c r="E89" s="400"/>
      <c r="F89" s="400"/>
      <c r="G89" s="400"/>
      <c r="H89" s="400"/>
      <c r="I89" s="400"/>
      <c r="J89" s="400"/>
      <c r="K89" s="400"/>
      <c r="L89" s="400"/>
      <c r="M89" s="400"/>
      <c r="N89" s="400"/>
      <c r="O89" s="400"/>
      <c r="P89" s="400"/>
      <c r="Q89" s="400"/>
      <c r="R89" s="400"/>
      <c r="S89" s="400"/>
      <c r="T89" s="400"/>
      <c r="U89" s="400"/>
      <c r="V89" s="400"/>
    </row>
    <row r="90" spans="1:24" s="182" customFormat="1" x14ac:dyDescent="0.3">
      <c r="A90" s="396" t="s">
        <v>44</v>
      </c>
      <c r="B90" s="404" t="str">
        <f>IF(OR($E$5="Gas Turbine (Open Cycle)",$E$5="Combined Cycle Gas Turbine (CCGT)"),"Module8","Unit8")</f>
        <v>Unit8</v>
      </c>
      <c r="C90" s="404" t="s">
        <v>92</v>
      </c>
      <c r="D90" s="400"/>
      <c r="E90" s="400"/>
      <c r="F90" s="400"/>
      <c r="G90" s="400"/>
      <c r="H90" s="400"/>
      <c r="I90" s="400"/>
      <c r="J90" s="400"/>
      <c r="K90" s="400"/>
      <c r="L90" s="400"/>
      <c r="M90" s="400"/>
      <c r="N90" s="400"/>
      <c r="O90" s="400"/>
      <c r="P90" s="400"/>
      <c r="Q90" s="400"/>
      <c r="R90" s="400"/>
      <c r="S90" s="400"/>
      <c r="T90" s="400"/>
      <c r="U90" s="400"/>
      <c r="V90" s="400"/>
    </row>
    <row r="91" spans="1:24" s="182" customFormat="1" x14ac:dyDescent="0.3">
      <c r="A91" s="396" t="s">
        <v>46</v>
      </c>
      <c r="B91" s="404" t="str">
        <f>IF(OR($E$5="Gas Turbine (Open Cycle)",$E$5="Combined Cycle Gas Turbine (CCGT)"),"Module9","Unit9")</f>
        <v>Unit9</v>
      </c>
      <c r="C91" s="404" t="s">
        <v>92</v>
      </c>
      <c r="D91" s="400"/>
      <c r="E91" s="400"/>
      <c r="F91" s="400"/>
      <c r="G91" s="400"/>
      <c r="H91" s="400"/>
      <c r="I91" s="400"/>
      <c r="J91" s="400"/>
      <c r="K91" s="400"/>
      <c r="L91" s="400"/>
      <c r="M91" s="400"/>
      <c r="N91" s="400"/>
      <c r="O91" s="400"/>
      <c r="P91" s="400"/>
      <c r="Q91" s="400"/>
      <c r="R91" s="400"/>
      <c r="S91" s="400"/>
      <c r="T91" s="400"/>
      <c r="U91" s="400"/>
      <c r="V91" s="400"/>
    </row>
    <row r="92" spans="1:24" s="182" customFormat="1" x14ac:dyDescent="0.3">
      <c r="A92" s="396" t="s">
        <v>48</v>
      </c>
      <c r="B92" s="404" t="str">
        <f>IF(OR($E$5="Gas Turbine (Open Cycle)",$E$5="Combined Cycle Gas Turbine (CCGT)"),"Module10","Unit10")</f>
        <v>Unit10</v>
      </c>
      <c r="C92" s="404" t="s">
        <v>92</v>
      </c>
      <c r="D92" s="400"/>
      <c r="E92" s="400"/>
      <c r="F92" s="400"/>
      <c r="G92" s="400"/>
      <c r="H92" s="400"/>
      <c r="I92" s="400"/>
      <c r="J92" s="400"/>
      <c r="K92" s="400"/>
      <c r="L92" s="400"/>
      <c r="M92" s="400"/>
      <c r="N92" s="400"/>
      <c r="O92" s="400"/>
      <c r="P92" s="400"/>
      <c r="Q92" s="400"/>
      <c r="R92" s="400"/>
      <c r="S92" s="400"/>
      <c r="T92" s="400"/>
      <c r="U92" s="400"/>
      <c r="V92" s="400"/>
    </row>
    <row r="93" spans="1:24" s="184" customFormat="1" x14ac:dyDescent="0.3">
      <c r="A93" s="399"/>
      <c r="B93" s="399" t="s">
        <v>121</v>
      </c>
      <c r="C93" s="399" t="s">
        <v>92</v>
      </c>
      <c r="D93" s="399">
        <f>SUM(D83:D92)</f>
        <v>0</v>
      </c>
      <c r="E93" s="399">
        <f t="shared" ref="E93:U93" si="5">SUM(E83:E92)</f>
        <v>0</v>
      </c>
      <c r="F93" s="399">
        <f>SUM(F83:F92)</f>
        <v>0</v>
      </c>
      <c r="G93" s="399">
        <f t="shared" si="5"/>
        <v>0</v>
      </c>
      <c r="H93" s="399">
        <f t="shared" si="5"/>
        <v>0</v>
      </c>
      <c r="I93" s="399">
        <f t="shared" si="5"/>
        <v>0</v>
      </c>
      <c r="J93" s="399">
        <f t="shared" si="5"/>
        <v>0</v>
      </c>
      <c r="K93" s="399">
        <f t="shared" si="5"/>
        <v>0</v>
      </c>
      <c r="L93" s="399">
        <f t="shared" si="5"/>
        <v>0</v>
      </c>
      <c r="M93" s="399">
        <f t="shared" si="5"/>
        <v>0</v>
      </c>
      <c r="N93" s="399">
        <f t="shared" si="5"/>
        <v>0</v>
      </c>
      <c r="O93" s="399">
        <f t="shared" si="5"/>
        <v>0</v>
      </c>
      <c r="P93" s="399">
        <f t="shared" si="5"/>
        <v>0</v>
      </c>
      <c r="Q93" s="399">
        <f t="shared" si="5"/>
        <v>0</v>
      </c>
      <c r="R93" s="399">
        <f t="shared" si="5"/>
        <v>0</v>
      </c>
      <c r="S93" s="399">
        <f t="shared" si="5"/>
        <v>0</v>
      </c>
      <c r="T93" s="399">
        <f t="shared" si="5"/>
        <v>0</v>
      </c>
      <c r="U93" s="399">
        <f t="shared" si="5"/>
        <v>0</v>
      </c>
      <c r="V93" s="420"/>
    </row>
    <row r="94" spans="1:24" s="182" customFormat="1" x14ac:dyDescent="0.3">
      <c r="A94" s="414">
        <v>7.2</v>
      </c>
      <c r="B94" s="642" t="s">
        <v>404</v>
      </c>
      <c r="C94" s="642"/>
      <c r="D94" s="642"/>
      <c r="E94" s="642"/>
      <c r="F94" s="642"/>
      <c r="G94" s="642"/>
      <c r="H94" s="642"/>
      <c r="I94" s="642"/>
      <c r="J94" s="642"/>
      <c r="K94" s="642"/>
      <c r="L94" s="642"/>
      <c r="M94" s="642"/>
      <c r="N94" s="642"/>
      <c r="O94" s="642"/>
      <c r="P94" s="642"/>
      <c r="Q94" s="642"/>
      <c r="R94" s="642"/>
      <c r="S94" s="642"/>
      <c r="T94" s="642"/>
      <c r="U94" s="642"/>
      <c r="V94" s="642"/>
    </row>
    <row r="95" spans="1:24" s="182" customFormat="1" x14ac:dyDescent="0.3">
      <c r="A95" s="621" t="s">
        <v>146</v>
      </c>
      <c r="B95" s="621" t="s">
        <v>132</v>
      </c>
      <c r="C95" s="621" t="s">
        <v>27</v>
      </c>
      <c r="D95" s="621" t="s">
        <v>723</v>
      </c>
      <c r="E95" s="621"/>
      <c r="F95" s="621"/>
      <c r="G95" s="621"/>
      <c r="H95" s="621"/>
      <c r="I95" s="621"/>
      <c r="J95" s="621"/>
      <c r="K95" s="621"/>
      <c r="L95" s="621"/>
      <c r="M95" s="621" t="s">
        <v>722</v>
      </c>
      <c r="N95" s="621"/>
      <c r="O95" s="621"/>
      <c r="P95" s="621"/>
      <c r="Q95" s="621"/>
      <c r="R95" s="621"/>
      <c r="S95" s="621"/>
      <c r="T95" s="621"/>
      <c r="U95" s="621"/>
      <c r="V95" s="621" t="s">
        <v>280</v>
      </c>
    </row>
    <row r="96" spans="1:24" s="184" customFormat="1" x14ac:dyDescent="0.3">
      <c r="A96" s="621"/>
      <c r="B96" s="621"/>
      <c r="C96" s="621"/>
      <c r="D96" s="621" t="s">
        <v>402</v>
      </c>
      <c r="E96" s="621"/>
      <c r="F96" s="621"/>
      <c r="G96" s="621" t="s">
        <v>403</v>
      </c>
      <c r="H96" s="621"/>
      <c r="I96" s="621"/>
      <c r="J96" s="621" t="s">
        <v>437</v>
      </c>
      <c r="K96" s="621"/>
      <c r="L96" s="621"/>
      <c r="M96" s="621" t="s">
        <v>402</v>
      </c>
      <c r="N96" s="621"/>
      <c r="O96" s="621"/>
      <c r="P96" s="621" t="s">
        <v>403</v>
      </c>
      <c r="Q96" s="621"/>
      <c r="R96" s="621"/>
      <c r="S96" s="621" t="s">
        <v>437</v>
      </c>
      <c r="T96" s="621"/>
      <c r="U96" s="621"/>
      <c r="V96" s="621"/>
    </row>
    <row r="97" spans="1:22" s="184" customFormat="1" x14ac:dyDescent="0.3">
      <c r="A97" s="396" t="s">
        <v>30</v>
      </c>
      <c r="B97" s="185" t="s">
        <v>704</v>
      </c>
      <c r="C97" s="404" t="s">
        <v>92</v>
      </c>
      <c r="D97" s="613"/>
      <c r="E97" s="613"/>
      <c r="F97" s="613"/>
      <c r="G97" s="613"/>
      <c r="H97" s="613"/>
      <c r="I97" s="613"/>
      <c r="J97" s="613"/>
      <c r="K97" s="613"/>
      <c r="L97" s="613"/>
      <c r="M97" s="613"/>
      <c r="N97" s="613"/>
      <c r="O97" s="613"/>
      <c r="P97" s="613"/>
      <c r="Q97" s="613"/>
      <c r="R97" s="613"/>
      <c r="S97" s="613"/>
      <c r="T97" s="613"/>
      <c r="U97" s="613"/>
      <c r="V97" s="391"/>
    </row>
    <row r="98" spans="1:22" x14ac:dyDescent="0.3">
      <c r="A98" s="396" t="s">
        <v>32</v>
      </c>
      <c r="B98" s="185" t="s">
        <v>435</v>
      </c>
      <c r="C98" s="404" t="s">
        <v>92</v>
      </c>
      <c r="D98" s="617">
        <f>D93</f>
        <v>0</v>
      </c>
      <c r="E98" s="617"/>
      <c r="F98" s="617"/>
      <c r="G98" s="617">
        <f>E93</f>
        <v>0</v>
      </c>
      <c r="H98" s="617"/>
      <c r="I98" s="617"/>
      <c r="J98" s="617">
        <f>F93</f>
        <v>0</v>
      </c>
      <c r="K98" s="617"/>
      <c r="L98" s="617"/>
      <c r="M98" s="617">
        <f>M93</f>
        <v>0</v>
      </c>
      <c r="N98" s="617"/>
      <c r="O98" s="617"/>
      <c r="P98" s="617">
        <f>N93</f>
        <v>0</v>
      </c>
      <c r="Q98" s="617"/>
      <c r="R98" s="617"/>
      <c r="S98" s="617">
        <f>O93</f>
        <v>0</v>
      </c>
      <c r="T98" s="617"/>
      <c r="U98" s="617"/>
      <c r="V98" s="392"/>
    </row>
    <row r="99" spans="1:22" ht="27.6" x14ac:dyDescent="0.3">
      <c r="A99" s="396" t="s">
        <v>77</v>
      </c>
      <c r="B99" s="185" t="s">
        <v>433</v>
      </c>
      <c r="C99" s="404" t="s">
        <v>92</v>
      </c>
      <c r="D99" s="617">
        <f>G93</f>
        <v>0</v>
      </c>
      <c r="E99" s="617"/>
      <c r="F99" s="617"/>
      <c r="G99" s="617">
        <f>H93</f>
        <v>0</v>
      </c>
      <c r="H99" s="617"/>
      <c r="I99" s="617"/>
      <c r="J99" s="617">
        <f>I93</f>
        <v>0</v>
      </c>
      <c r="K99" s="617"/>
      <c r="L99" s="617"/>
      <c r="M99" s="617">
        <f>P93</f>
        <v>0</v>
      </c>
      <c r="N99" s="617"/>
      <c r="O99" s="617"/>
      <c r="P99" s="617">
        <f>Q93</f>
        <v>0</v>
      </c>
      <c r="Q99" s="617"/>
      <c r="R99" s="617"/>
      <c r="S99" s="617">
        <f>R93</f>
        <v>0</v>
      </c>
      <c r="T99" s="617"/>
      <c r="U99" s="617"/>
      <c r="V99" s="392"/>
    </row>
    <row r="100" spans="1:22" ht="27.6" x14ac:dyDescent="0.3">
      <c r="A100" s="396" t="s">
        <v>283</v>
      </c>
      <c r="B100" s="185" t="s">
        <v>434</v>
      </c>
      <c r="C100" s="404" t="s">
        <v>92</v>
      </c>
      <c r="D100" s="617">
        <f>J93</f>
        <v>0</v>
      </c>
      <c r="E100" s="617"/>
      <c r="F100" s="617"/>
      <c r="G100" s="617">
        <f>K93</f>
        <v>0</v>
      </c>
      <c r="H100" s="617"/>
      <c r="I100" s="617"/>
      <c r="J100" s="617">
        <f>L93</f>
        <v>0</v>
      </c>
      <c r="K100" s="617"/>
      <c r="L100" s="617"/>
      <c r="M100" s="617">
        <f>S93</f>
        <v>0</v>
      </c>
      <c r="N100" s="617"/>
      <c r="O100" s="617"/>
      <c r="P100" s="617">
        <f>T93</f>
        <v>0</v>
      </c>
      <c r="Q100" s="617"/>
      <c r="R100" s="617"/>
      <c r="S100" s="617">
        <f>U93</f>
        <v>0</v>
      </c>
      <c r="T100" s="617"/>
      <c r="U100" s="617"/>
      <c r="V100" s="392"/>
    </row>
    <row r="101" spans="1:22" x14ac:dyDescent="0.3">
      <c r="A101" s="396" t="s">
        <v>38</v>
      </c>
      <c r="B101" s="185" t="s">
        <v>122</v>
      </c>
      <c r="C101" s="404"/>
      <c r="D101" s="617">
        <f>SUM(D98:F100)</f>
        <v>0</v>
      </c>
      <c r="E101" s="617"/>
      <c r="F101" s="617"/>
      <c r="G101" s="617">
        <f t="shared" ref="G101" si="6">SUM(G98:I100)</f>
        <v>0</v>
      </c>
      <c r="H101" s="617"/>
      <c r="I101" s="617"/>
      <c r="J101" s="617">
        <f t="shared" ref="J101" si="7">SUM(J98:L100)</f>
        <v>0</v>
      </c>
      <c r="K101" s="617"/>
      <c r="L101" s="617"/>
      <c r="M101" s="617">
        <f t="shared" ref="M101" si="8">SUM(M98:O100)</f>
        <v>0</v>
      </c>
      <c r="N101" s="617"/>
      <c r="O101" s="617"/>
      <c r="P101" s="617">
        <f t="shared" ref="P101" si="9">SUM(P98:R100)</f>
        <v>0</v>
      </c>
      <c r="Q101" s="617"/>
      <c r="R101" s="617"/>
      <c r="S101" s="617">
        <f>SUM(S98:U100)</f>
        <v>0</v>
      </c>
      <c r="T101" s="617"/>
      <c r="U101" s="617"/>
      <c r="V101" s="392"/>
    </row>
    <row r="102" spans="1:22" x14ac:dyDescent="0.3">
      <c r="A102" s="396" t="s">
        <v>40</v>
      </c>
      <c r="B102" s="185" t="s">
        <v>704</v>
      </c>
      <c r="C102" s="404" t="s">
        <v>62</v>
      </c>
      <c r="D102" s="617">
        <f>IFERROR(D97*100/D101,0)</f>
        <v>0</v>
      </c>
      <c r="E102" s="617"/>
      <c r="F102" s="617"/>
      <c r="G102" s="617">
        <f t="shared" ref="G102" si="10">IFERROR(G97*100/G101,0)</f>
        <v>0</v>
      </c>
      <c r="H102" s="617"/>
      <c r="I102" s="617"/>
      <c r="J102" s="617">
        <f t="shared" ref="J102" si="11">IFERROR(J97*100/J101,0)</f>
        <v>0</v>
      </c>
      <c r="K102" s="617"/>
      <c r="L102" s="617"/>
      <c r="M102" s="617">
        <f t="shared" ref="M102" si="12">IFERROR(M97*100/M101,0)</f>
        <v>0</v>
      </c>
      <c r="N102" s="617"/>
      <c r="O102" s="617"/>
      <c r="P102" s="617">
        <f t="shared" ref="P102" si="13">IFERROR(P97*100/P101,0)</f>
        <v>0</v>
      </c>
      <c r="Q102" s="617"/>
      <c r="R102" s="617"/>
      <c r="S102" s="617">
        <f t="shared" ref="S102" si="14">IFERROR(S97*100/S101,0)</f>
        <v>0</v>
      </c>
      <c r="T102" s="617"/>
      <c r="U102" s="617"/>
      <c r="V102" s="392"/>
    </row>
    <row r="103" spans="1:22" x14ac:dyDescent="0.3">
      <c r="A103" s="398">
        <v>7.3</v>
      </c>
      <c r="B103" s="638" t="s">
        <v>52</v>
      </c>
      <c r="C103" s="638"/>
      <c r="D103" s="638"/>
      <c r="E103" s="638"/>
      <c r="F103" s="638"/>
      <c r="G103" s="638"/>
      <c r="H103" s="638"/>
      <c r="I103" s="638"/>
      <c r="J103" s="638"/>
      <c r="K103" s="638"/>
      <c r="L103" s="638"/>
      <c r="M103" s="638"/>
      <c r="N103" s="638"/>
      <c r="O103" s="638"/>
      <c r="P103" s="638"/>
      <c r="Q103" s="638"/>
      <c r="R103" s="638"/>
      <c r="S103" s="638"/>
      <c r="T103" s="638"/>
      <c r="U103" s="638"/>
      <c r="V103" s="638"/>
    </row>
    <row r="104" spans="1:22" x14ac:dyDescent="0.3">
      <c r="A104" s="398" t="s">
        <v>30</v>
      </c>
      <c r="B104" s="643" t="s">
        <v>382</v>
      </c>
      <c r="C104" s="643"/>
      <c r="D104" s="643"/>
      <c r="E104" s="643"/>
      <c r="F104" s="643"/>
      <c r="G104" s="643"/>
      <c r="H104" s="643"/>
      <c r="I104" s="643"/>
      <c r="J104" s="643"/>
      <c r="K104" s="643"/>
      <c r="L104" s="643"/>
      <c r="M104" s="643"/>
      <c r="N104" s="643"/>
      <c r="O104" s="643"/>
      <c r="P104" s="643"/>
      <c r="Q104" s="643"/>
      <c r="R104" s="643"/>
      <c r="S104" s="643"/>
      <c r="T104" s="643"/>
      <c r="U104" s="643"/>
      <c r="V104" s="643"/>
    </row>
    <row r="105" spans="1:22" x14ac:dyDescent="0.3">
      <c r="A105" s="398" t="s">
        <v>32</v>
      </c>
      <c r="B105" s="643" t="s">
        <v>705</v>
      </c>
      <c r="C105" s="643"/>
      <c r="D105" s="643"/>
      <c r="E105" s="643"/>
      <c r="F105" s="643"/>
      <c r="G105" s="643"/>
      <c r="H105" s="643"/>
      <c r="I105" s="643"/>
      <c r="J105" s="643"/>
      <c r="K105" s="643"/>
      <c r="L105" s="643"/>
      <c r="M105" s="643"/>
      <c r="N105" s="643"/>
      <c r="O105" s="643"/>
      <c r="P105" s="643"/>
      <c r="Q105" s="643"/>
      <c r="R105" s="643"/>
      <c r="S105" s="643"/>
      <c r="T105" s="643"/>
      <c r="U105" s="643"/>
      <c r="V105" s="643"/>
    </row>
    <row r="106" spans="1:22" x14ac:dyDescent="0.3">
      <c r="A106" s="398" t="s">
        <v>77</v>
      </c>
      <c r="B106" s="643" t="s">
        <v>90</v>
      </c>
      <c r="C106" s="643"/>
      <c r="D106" s="643"/>
      <c r="E106" s="643"/>
      <c r="F106" s="643"/>
      <c r="G106" s="643"/>
      <c r="H106" s="643"/>
      <c r="I106" s="643"/>
      <c r="J106" s="643"/>
      <c r="K106" s="643"/>
      <c r="L106" s="643"/>
      <c r="M106" s="643"/>
      <c r="N106" s="643"/>
      <c r="O106" s="643"/>
      <c r="P106" s="643"/>
      <c r="Q106" s="643"/>
      <c r="R106" s="643"/>
      <c r="S106" s="643"/>
      <c r="T106" s="643"/>
      <c r="U106" s="643"/>
      <c r="V106" s="643"/>
    </row>
    <row r="107" spans="1:22" x14ac:dyDescent="0.3">
      <c r="A107" s="398" t="s">
        <v>36</v>
      </c>
      <c r="B107" s="643" t="s">
        <v>89</v>
      </c>
      <c r="C107" s="643"/>
      <c r="D107" s="643"/>
      <c r="E107" s="643"/>
      <c r="F107" s="643"/>
      <c r="G107" s="643"/>
      <c r="H107" s="643"/>
      <c r="I107" s="643"/>
      <c r="J107" s="643"/>
      <c r="K107" s="643"/>
      <c r="L107" s="643"/>
      <c r="M107" s="643"/>
      <c r="N107" s="643"/>
      <c r="O107" s="643"/>
      <c r="P107" s="643"/>
      <c r="Q107" s="643"/>
      <c r="R107" s="643"/>
      <c r="S107" s="643"/>
      <c r="T107" s="643"/>
      <c r="U107" s="643"/>
      <c r="V107" s="643"/>
    </row>
    <row r="108" spans="1:22" x14ac:dyDescent="0.3">
      <c r="A108" s="398" t="s">
        <v>38</v>
      </c>
      <c r="B108" s="638" t="s">
        <v>706</v>
      </c>
      <c r="C108" s="638"/>
      <c r="D108" s="638"/>
      <c r="E108" s="638"/>
      <c r="F108" s="638"/>
      <c r="G108" s="638"/>
      <c r="H108" s="638"/>
      <c r="I108" s="638"/>
      <c r="J108" s="638"/>
      <c r="K108" s="638"/>
      <c r="L108" s="638"/>
      <c r="M108" s="638"/>
      <c r="N108" s="638"/>
      <c r="O108" s="638"/>
      <c r="P108" s="638"/>
      <c r="Q108" s="638"/>
      <c r="R108" s="638"/>
      <c r="S108" s="638"/>
      <c r="T108" s="638"/>
      <c r="U108" s="638"/>
      <c r="V108" s="638"/>
    </row>
    <row r="109" spans="1:22" x14ac:dyDescent="0.3">
      <c r="A109" s="414">
        <v>8</v>
      </c>
      <c r="B109" s="642" t="s">
        <v>53</v>
      </c>
      <c r="C109" s="642"/>
      <c r="D109" s="642"/>
      <c r="E109" s="642"/>
      <c r="F109" s="642"/>
      <c r="G109" s="642"/>
      <c r="H109" s="642"/>
      <c r="I109" s="642"/>
      <c r="J109" s="642"/>
      <c r="K109" s="642"/>
      <c r="L109" s="642"/>
      <c r="M109" s="642"/>
      <c r="N109" s="642"/>
      <c r="O109" s="642"/>
      <c r="P109" s="642"/>
      <c r="Q109" s="642"/>
      <c r="R109" s="642"/>
      <c r="S109" s="642"/>
      <c r="T109" s="642"/>
      <c r="U109" s="642"/>
      <c r="V109" s="642"/>
    </row>
    <row r="110" spans="1:22" x14ac:dyDescent="0.3">
      <c r="A110" s="396" t="s">
        <v>146</v>
      </c>
      <c r="B110" s="623" t="s">
        <v>132</v>
      </c>
      <c r="C110" s="623"/>
      <c r="D110" s="623"/>
      <c r="E110" s="396" t="s">
        <v>27</v>
      </c>
      <c r="F110" s="621" t="s">
        <v>723</v>
      </c>
      <c r="G110" s="621"/>
      <c r="H110" s="621"/>
      <c r="I110" s="621"/>
      <c r="J110" s="621"/>
      <c r="K110" s="621"/>
      <c r="L110" s="621"/>
      <c r="M110" s="621" t="s">
        <v>722</v>
      </c>
      <c r="N110" s="621"/>
      <c r="O110" s="621"/>
      <c r="P110" s="621"/>
      <c r="Q110" s="621"/>
      <c r="R110" s="621"/>
      <c r="S110" s="621"/>
      <c r="T110" s="621"/>
      <c r="U110" s="621" t="s">
        <v>280</v>
      </c>
      <c r="V110" s="621"/>
    </row>
    <row r="111" spans="1:22" x14ac:dyDescent="0.3">
      <c r="A111" s="396" t="s">
        <v>30</v>
      </c>
      <c r="B111" s="618" t="s">
        <v>91</v>
      </c>
      <c r="C111" s="618"/>
      <c r="D111" s="618"/>
      <c r="E111" s="404" t="s">
        <v>54</v>
      </c>
      <c r="F111" s="625" t="s">
        <v>1195</v>
      </c>
      <c r="G111" s="625"/>
      <c r="H111" s="625"/>
      <c r="I111" s="625"/>
      <c r="J111" s="625"/>
      <c r="K111" s="625"/>
      <c r="L111" s="625"/>
      <c r="M111" s="625" t="s">
        <v>1196</v>
      </c>
      <c r="N111" s="625"/>
      <c r="O111" s="625"/>
      <c r="P111" s="625"/>
      <c r="Q111" s="625"/>
      <c r="R111" s="625"/>
      <c r="S111" s="625"/>
      <c r="T111" s="625"/>
      <c r="U111" s="625"/>
      <c r="V111" s="625"/>
    </row>
    <row r="112" spans="1:22" x14ac:dyDescent="0.3">
      <c r="A112" s="396" t="s">
        <v>32</v>
      </c>
      <c r="B112" s="618" t="s">
        <v>55</v>
      </c>
      <c r="C112" s="618"/>
      <c r="D112" s="618"/>
      <c r="E112" s="185"/>
      <c r="F112" s="625"/>
      <c r="G112" s="625"/>
      <c r="H112" s="625"/>
      <c r="I112" s="625"/>
      <c r="J112" s="625"/>
      <c r="K112" s="625"/>
      <c r="L112" s="625"/>
      <c r="M112" s="625"/>
      <c r="N112" s="625"/>
      <c r="O112" s="625"/>
      <c r="P112" s="625"/>
      <c r="Q112" s="625"/>
      <c r="R112" s="625"/>
      <c r="S112" s="625"/>
      <c r="T112" s="625"/>
      <c r="U112" s="625"/>
      <c r="V112" s="625"/>
    </row>
    <row r="113" spans="1:22" x14ac:dyDescent="0.3">
      <c r="A113" s="414">
        <v>9</v>
      </c>
      <c r="B113" s="642" t="s">
        <v>391</v>
      </c>
      <c r="C113" s="642"/>
      <c r="D113" s="642"/>
      <c r="E113" s="642"/>
      <c r="F113" s="642"/>
      <c r="G113" s="642"/>
      <c r="H113" s="642"/>
      <c r="I113" s="642"/>
      <c r="J113" s="642"/>
      <c r="K113" s="642"/>
      <c r="L113" s="642"/>
      <c r="M113" s="642"/>
      <c r="N113" s="642"/>
      <c r="O113" s="642"/>
      <c r="P113" s="642"/>
      <c r="Q113" s="642"/>
      <c r="R113" s="642"/>
      <c r="S113" s="642"/>
      <c r="T113" s="642"/>
      <c r="U113" s="642"/>
      <c r="V113" s="642"/>
    </row>
    <row r="114" spans="1:22" x14ac:dyDescent="0.3">
      <c r="A114" s="396" t="s">
        <v>146</v>
      </c>
      <c r="B114" s="623" t="s">
        <v>132</v>
      </c>
      <c r="C114" s="623"/>
      <c r="D114" s="623"/>
      <c r="E114" s="396" t="s">
        <v>27</v>
      </c>
      <c r="F114" s="621" t="s">
        <v>723</v>
      </c>
      <c r="G114" s="621"/>
      <c r="H114" s="621"/>
      <c r="I114" s="621"/>
      <c r="J114" s="621"/>
      <c r="K114" s="621"/>
      <c r="L114" s="621"/>
      <c r="M114" s="621" t="s">
        <v>722</v>
      </c>
      <c r="N114" s="621"/>
      <c r="O114" s="621"/>
      <c r="P114" s="621"/>
      <c r="Q114" s="621"/>
      <c r="R114" s="621"/>
      <c r="S114" s="621"/>
      <c r="T114" s="621"/>
      <c r="U114" s="621" t="s">
        <v>280</v>
      </c>
      <c r="V114" s="621"/>
    </row>
    <row r="115" spans="1:22" x14ac:dyDescent="0.3">
      <c r="A115" s="396" t="s">
        <v>30</v>
      </c>
      <c r="B115" s="618" t="s">
        <v>93</v>
      </c>
      <c r="C115" s="618"/>
      <c r="D115" s="618"/>
      <c r="E115" s="404" t="s">
        <v>92</v>
      </c>
      <c r="F115" s="659">
        <f>I57</f>
        <v>0</v>
      </c>
      <c r="G115" s="659"/>
      <c r="H115" s="659"/>
      <c r="I115" s="659"/>
      <c r="J115" s="659"/>
      <c r="K115" s="659"/>
      <c r="L115" s="659"/>
      <c r="M115" s="659">
        <f>Q57</f>
        <v>0</v>
      </c>
      <c r="N115" s="659"/>
      <c r="O115" s="659"/>
      <c r="P115" s="659"/>
      <c r="Q115" s="659"/>
      <c r="R115" s="659"/>
      <c r="S115" s="659"/>
      <c r="T115" s="659"/>
      <c r="U115" s="688"/>
      <c r="V115" s="688"/>
    </row>
    <row r="116" spans="1:22" x14ac:dyDescent="0.3">
      <c r="A116" s="396" t="s">
        <v>32</v>
      </c>
      <c r="B116" s="618" t="s">
        <v>94</v>
      </c>
      <c r="C116" s="618"/>
      <c r="D116" s="618"/>
      <c r="E116" s="404" t="s">
        <v>92</v>
      </c>
      <c r="F116" s="687">
        <f>F115-F118</f>
        <v>0</v>
      </c>
      <c r="G116" s="687"/>
      <c r="H116" s="687"/>
      <c r="I116" s="687"/>
      <c r="J116" s="687"/>
      <c r="K116" s="687"/>
      <c r="L116" s="687"/>
      <c r="M116" s="659">
        <f>M115-M118</f>
        <v>0</v>
      </c>
      <c r="N116" s="659"/>
      <c r="O116" s="659"/>
      <c r="P116" s="659"/>
      <c r="Q116" s="659"/>
      <c r="R116" s="659"/>
      <c r="S116" s="659"/>
      <c r="T116" s="659"/>
      <c r="U116" s="688"/>
      <c r="V116" s="688"/>
    </row>
    <row r="117" spans="1:22" x14ac:dyDescent="0.3">
      <c r="A117" s="396" t="s">
        <v>77</v>
      </c>
      <c r="B117" s="618" t="s">
        <v>87</v>
      </c>
      <c r="C117" s="618"/>
      <c r="D117" s="618"/>
      <c r="E117" s="404" t="s">
        <v>92</v>
      </c>
      <c r="F117" s="625"/>
      <c r="G117" s="625"/>
      <c r="H117" s="625"/>
      <c r="I117" s="625"/>
      <c r="J117" s="625"/>
      <c r="K117" s="625"/>
      <c r="L117" s="625"/>
      <c r="M117" s="625"/>
      <c r="N117" s="625"/>
      <c r="O117" s="625"/>
      <c r="P117" s="625"/>
      <c r="Q117" s="625"/>
      <c r="R117" s="625"/>
      <c r="S117" s="625"/>
      <c r="T117" s="625"/>
      <c r="U117" s="688"/>
      <c r="V117" s="688"/>
    </row>
    <row r="118" spans="1:22" ht="30" customHeight="1" x14ac:dyDescent="0.3">
      <c r="A118" s="396" t="s">
        <v>36</v>
      </c>
      <c r="B118" s="618" t="s">
        <v>95</v>
      </c>
      <c r="C118" s="618"/>
      <c r="D118" s="618"/>
      <c r="E118" s="404" t="s">
        <v>92</v>
      </c>
      <c r="F118" s="690"/>
      <c r="G118" s="690"/>
      <c r="H118" s="690"/>
      <c r="I118" s="690"/>
      <c r="J118" s="690"/>
      <c r="K118" s="690"/>
      <c r="L118" s="690"/>
      <c r="M118" s="625"/>
      <c r="N118" s="625"/>
      <c r="O118" s="625"/>
      <c r="P118" s="625"/>
      <c r="Q118" s="625"/>
      <c r="R118" s="625"/>
      <c r="S118" s="625"/>
      <c r="T118" s="625"/>
      <c r="U118" s="688"/>
      <c r="V118" s="688"/>
    </row>
    <row r="119" spans="1:22" x14ac:dyDescent="0.3">
      <c r="A119" s="396" t="s">
        <v>38</v>
      </c>
      <c r="B119" s="618" t="s">
        <v>96</v>
      </c>
      <c r="C119" s="618"/>
      <c r="D119" s="618"/>
      <c r="E119" s="404" t="s">
        <v>92</v>
      </c>
      <c r="F119" s="625"/>
      <c r="G119" s="625"/>
      <c r="H119" s="625"/>
      <c r="I119" s="625"/>
      <c r="J119" s="625"/>
      <c r="K119" s="625"/>
      <c r="L119" s="625"/>
      <c r="M119" s="625"/>
      <c r="N119" s="625"/>
      <c r="O119" s="625"/>
      <c r="P119" s="625"/>
      <c r="Q119" s="625"/>
      <c r="R119" s="625"/>
      <c r="S119" s="625"/>
      <c r="T119" s="625"/>
      <c r="U119" s="688"/>
      <c r="V119" s="688"/>
    </row>
    <row r="120" spans="1:22" s="165" customFormat="1" ht="20.399999999999999" x14ac:dyDescent="0.3">
      <c r="A120" s="186">
        <v>10</v>
      </c>
      <c r="B120" s="686" t="s">
        <v>379</v>
      </c>
      <c r="C120" s="686"/>
      <c r="D120" s="686"/>
      <c r="E120" s="686"/>
      <c r="F120" s="686"/>
      <c r="G120" s="686"/>
      <c r="H120" s="686"/>
      <c r="I120" s="686"/>
      <c r="J120" s="686"/>
      <c r="K120" s="686"/>
      <c r="L120" s="686"/>
      <c r="M120" s="686"/>
      <c r="N120" s="686"/>
      <c r="O120" s="686"/>
      <c r="P120" s="686"/>
      <c r="Q120" s="686"/>
      <c r="R120" s="686"/>
      <c r="S120" s="686"/>
      <c r="T120" s="686"/>
      <c r="U120" s="686"/>
      <c r="V120" s="686"/>
    </row>
    <row r="121" spans="1:22" x14ac:dyDescent="0.3">
      <c r="A121" s="396" t="s">
        <v>149</v>
      </c>
      <c r="B121" s="623" t="s">
        <v>198</v>
      </c>
      <c r="C121" s="623"/>
      <c r="D121" s="623"/>
      <c r="E121" s="623"/>
      <c r="F121" s="623"/>
      <c r="G121" s="623"/>
      <c r="H121" s="623"/>
      <c r="I121" s="623"/>
      <c r="J121" s="623"/>
      <c r="K121" s="623"/>
      <c r="L121" s="623"/>
      <c r="M121" s="623"/>
      <c r="N121" s="623"/>
      <c r="O121" s="623"/>
      <c r="P121" s="623"/>
      <c r="Q121" s="623"/>
      <c r="R121" s="623"/>
      <c r="S121" s="623"/>
      <c r="T121" s="623"/>
      <c r="U121" s="623"/>
      <c r="V121" s="623"/>
    </row>
    <row r="122" spans="1:22" s="188" customFormat="1" ht="23.4" x14ac:dyDescent="0.3">
      <c r="A122" s="187" t="s">
        <v>188</v>
      </c>
      <c r="B122" s="622" t="s">
        <v>31</v>
      </c>
      <c r="C122" s="622"/>
      <c r="D122" s="622"/>
      <c r="E122" s="622"/>
      <c r="F122" s="622"/>
      <c r="G122" s="622"/>
      <c r="H122" s="622"/>
      <c r="I122" s="622"/>
      <c r="J122" s="622"/>
      <c r="K122" s="622"/>
      <c r="L122" s="622"/>
      <c r="M122" s="622"/>
      <c r="N122" s="622"/>
      <c r="O122" s="622"/>
      <c r="P122" s="622"/>
      <c r="Q122" s="622"/>
      <c r="R122" s="622"/>
      <c r="S122" s="622"/>
      <c r="T122" s="622"/>
      <c r="U122" s="622"/>
      <c r="V122" s="622"/>
    </row>
    <row r="123" spans="1:22" x14ac:dyDescent="0.3">
      <c r="A123" s="396" t="s">
        <v>4</v>
      </c>
      <c r="B123" s="623" t="s">
        <v>59</v>
      </c>
      <c r="C123" s="623"/>
      <c r="D123" s="623"/>
      <c r="E123" s="623"/>
      <c r="F123" s="623"/>
      <c r="G123" s="623"/>
      <c r="H123" s="623"/>
      <c r="I123" s="623"/>
      <c r="J123" s="623"/>
      <c r="K123" s="623"/>
      <c r="L123" s="623"/>
      <c r="M123" s="623"/>
      <c r="N123" s="623"/>
      <c r="O123" s="623"/>
      <c r="P123" s="623"/>
      <c r="Q123" s="623"/>
      <c r="R123" s="623"/>
      <c r="S123" s="623"/>
      <c r="T123" s="623"/>
      <c r="U123" s="623"/>
      <c r="V123" s="623"/>
    </row>
    <row r="124" spans="1:22" ht="27" customHeight="1" x14ac:dyDescent="0.3">
      <c r="A124" s="621" t="s">
        <v>223</v>
      </c>
      <c r="B124" s="623" t="s">
        <v>232</v>
      </c>
      <c r="C124" s="623"/>
      <c r="D124" s="623"/>
      <c r="E124" s="621" t="s">
        <v>27</v>
      </c>
      <c r="F124" s="621" t="s">
        <v>57</v>
      </c>
      <c r="G124" s="621" t="s">
        <v>58</v>
      </c>
      <c r="H124" s="621" t="s">
        <v>720</v>
      </c>
      <c r="I124" s="621"/>
      <c r="J124" s="621"/>
      <c r="K124" s="621"/>
      <c r="L124" s="621"/>
      <c r="M124" s="621" t="s">
        <v>721</v>
      </c>
      <c r="N124" s="621"/>
      <c r="O124" s="621"/>
      <c r="P124" s="621"/>
      <c r="Q124" s="621"/>
      <c r="R124" s="621"/>
      <c r="S124" s="621"/>
      <c r="T124" s="621"/>
      <c r="U124" s="621" t="s">
        <v>280</v>
      </c>
      <c r="V124" s="621"/>
    </row>
    <row r="125" spans="1:22" ht="36.75" customHeight="1" x14ac:dyDescent="0.3">
      <c r="A125" s="621"/>
      <c r="B125" s="623"/>
      <c r="C125" s="623"/>
      <c r="D125" s="623"/>
      <c r="E125" s="621"/>
      <c r="F125" s="621"/>
      <c r="G125" s="621"/>
      <c r="H125" s="621" t="s">
        <v>345</v>
      </c>
      <c r="I125" s="621"/>
      <c r="J125" s="621"/>
      <c r="K125" s="621"/>
      <c r="L125" s="621"/>
      <c r="M125" s="635" t="s">
        <v>718</v>
      </c>
      <c r="N125" s="621"/>
      <c r="O125" s="635" t="s">
        <v>719</v>
      </c>
      <c r="P125" s="621"/>
      <c r="Q125" s="635" t="s">
        <v>726</v>
      </c>
      <c r="R125" s="621"/>
      <c r="S125" s="621" t="s">
        <v>725</v>
      </c>
      <c r="T125" s="621"/>
      <c r="U125" s="621"/>
      <c r="V125" s="621"/>
    </row>
    <row r="126" spans="1:22" x14ac:dyDescent="0.3">
      <c r="A126" s="396" t="s">
        <v>60</v>
      </c>
      <c r="B126" s="618" t="s">
        <v>61</v>
      </c>
      <c r="C126" s="618"/>
      <c r="D126" s="618"/>
      <c r="E126" s="396" t="s">
        <v>62</v>
      </c>
      <c r="F126" s="409"/>
      <c r="G126" s="409"/>
      <c r="H126" s="613"/>
      <c r="I126" s="613"/>
      <c r="J126" s="613"/>
      <c r="K126" s="613"/>
      <c r="L126" s="613"/>
      <c r="M126" s="616"/>
      <c r="N126" s="616"/>
      <c r="O126" s="616"/>
      <c r="P126" s="616"/>
      <c r="Q126" s="616"/>
      <c r="R126" s="616"/>
      <c r="S126" s="617">
        <f>IFERROR(AVERAGEIF(M126:R126,"&gt;0",M126:R126),0)</f>
        <v>0</v>
      </c>
      <c r="T126" s="617"/>
      <c r="U126" s="613"/>
      <c r="V126" s="613"/>
    </row>
    <row r="127" spans="1:22" x14ac:dyDescent="0.3">
      <c r="A127" s="396" t="s">
        <v>63</v>
      </c>
      <c r="B127" s="618" t="s">
        <v>64</v>
      </c>
      <c r="C127" s="618"/>
      <c r="D127" s="618"/>
      <c r="E127" s="396" t="s">
        <v>62</v>
      </c>
      <c r="F127" s="409"/>
      <c r="G127" s="409"/>
      <c r="H127" s="613"/>
      <c r="I127" s="613"/>
      <c r="J127" s="613"/>
      <c r="K127" s="613"/>
      <c r="L127" s="613"/>
      <c r="M127" s="616"/>
      <c r="N127" s="616"/>
      <c r="O127" s="616"/>
      <c r="P127" s="616"/>
      <c r="Q127" s="616"/>
      <c r="R127" s="616"/>
      <c r="S127" s="617">
        <f t="shared" ref="S127:S130" si="15">IFERROR(AVERAGEIF(M127:R127,"&gt;0",M127:R127),0)</f>
        <v>0</v>
      </c>
      <c r="T127" s="617"/>
      <c r="U127" s="613"/>
      <c r="V127" s="613"/>
    </row>
    <row r="128" spans="1:22" x14ac:dyDescent="0.3">
      <c r="A128" s="396" t="s">
        <v>34</v>
      </c>
      <c r="B128" s="618" t="s">
        <v>65</v>
      </c>
      <c r="C128" s="618"/>
      <c r="D128" s="618"/>
      <c r="E128" s="396" t="s">
        <v>62</v>
      </c>
      <c r="F128" s="409"/>
      <c r="G128" s="409"/>
      <c r="H128" s="613"/>
      <c r="I128" s="613"/>
      <c r="J128" s="613"/>
      <c r="K128" s="613"/>
      <c r="L128" s="613"/>
      <c r="M128" s="616"/>
      <c r="N128" s="616"/>
      <c r="O128" s="616"/>
      <c r="P128" s="616"/>
      <c r="Q128" s="616"/>
      <c r="R128" s="616"/>
      <c r="S128" s="617">
        <f t="shared" si="15"/>
        <v>0</v>
      </c>
      <c r="T128" s="617"/>
      <c r="U128" s="613"/>
      <c r="V128" s="613"/>
    </row>
    <row r="129" spans="1:22" x14ac:dyDescent="0.3">
      <c r="A129" s="396" t="s">
        <v>36</v>
      </c>
      <c r="B129" s="618" t="s">
        <v>66</v>
      </c>
      <c r="C129" s="618"/>
      <c r="D129" s="618"/>
      <c r="E129" s="396" t="s">
        <v>62</v>
      </c>
      <c r="F129" s="409"/>
      <c r="G129" s="409"/>
      <c r="H129" s="613"/>
      <c r="I129" s="613"/>
      <c r="J129" s="613"/>
      <c r="K129" s="613"/>
      <c r="L129" s="613"/>
      <c r="M129" s="616"/>
      <c r="N129" s="616"/>
      <c r="O129" s="616"/>
      <c r="P129" s="616"/>
      <c r="Q129" s="616"/>
      <c r="R129" s="616"/>
      <c r="S129" s="617">
        <f t="shared" si="15"/>
        <v>0</v>
      </c>
      <c r="T129" s="617"/>
      <c r="U129" s="613"/>
      <c r="V129" s="613"/>
    </row>
    <row r="130" spans="1:22" x14ac:dyDescent="0.3">
      <c r="A130" s="396" t="s">
        <v>67</v>
      </c>
      <c r="B130" s="618" t="s">
        <v>68</v>
      </c>
      <c r="C130" s="618"/>
      <c r="D130" s="618"/>
      <c r="E130" s="396" t="s">
        <v>69</v>
      </c>
      <c r="F130" s="409"/>
      <c r="G130" s="409"/>
      <c r="H130" s="613"/>
      <c r="I130" s="613"/>
      <c r="J130" s="613"/>
      <c r="K130" s="613"/>
      <c r="L130" s="613"/>
      <c r="M130" s="616"/>
      <c r="N130" s="616"/>
      <c r="O130" s="616"/>
      <c r="P130" s="616"/>
      <c r="Q130" s="616"/>
      <c r="R130" s="616"/>
      <c r="S130" s="617">
        <f t="shared" si="15"/>
        <v>0</v>
      </c>
      <c r="T130" s="617"/>
      <c r="U130" s="613"/>
      <c r="V130" s="613"/>
    </row>
    <row r="131" spans="1:22" x14ac:dyDescent="0.3">
      <c r="A131" s="396" t="s">
        <v>12</v>
      </c>
      <c r="B131" s="623" t="s">
        <v>70</v>
      </c>
      <c r="C131" s="623"/>
      <c r="D131" s="623"/>
      <c r="E131" s="623"/>
      <c r="F131" s="623"/>
      <c r="G131" s="623"/>
      <c r="H131" s="623"/>
      <c r="I131" s="623"/>
      <c r="J131" s="623"/>
      <c r="K131" s="623"/>
      <c r="L131" s="623"/>
      <c r="M131" s="623"/>
      <c r="N131" s="623"/>
      <c r="O131" s="623"/>
      <c r="P131" s="623"/>
      <c r="Q131" s="623"/>
      <c r="R131" s="623"/>
      <c r="S131" s="623"/>
      <c r="T131" s="623"/>
      <c r="U131" s="623"/>
      <c r="V131" s="623"/>
    </row>
    <row r="132" spans="1:22" x14ac:dyDescent="0.3">
      <c r="A132" s="396" t="s">
        <v>30</v>
      </c>
      <c r="B132" s="618" t="s">
        <v>71</v>
      </c>
      <c r="C132" s="618"/>
      <c r="D132" s="618"/>
      <c r="E132" s="396" t="s">
        <v>62</v>
      </c>
      <c r="F132" s="409"/>
      <c r="G132" s="409"/>
      <c r="H132" s="613"/>
      <c r="I132" s="613"/>
      <c r="J132" s="613"/>
      <c r="K132" s="613"/>
      <c r="L132" s="613"/>
      <c r="M132" s="616"/>
      <c r="N132" s="616"/>
      <c r="O132" s="616"/>
      <c r="P132" s="616"/>
      <c r="Q132" s="616"/>
      <c r="R132" s="616"/>
      <c r="S132" s="617">
        <f>IFERROR(AVERAGEIF(M132:R132,"&gt;0",M132:R132),0)</f>
        <v>0</v>
      </c>
      <c r="T132" s="617"/>
      <c r="U132" s="613"/>
      <c r="V132" s="613"/>
    </row>
    <row r="133" spans="1:22" x14ac:dyDescent="0.3">
      <c r="A133" s="396" t="s">
        <v>63</v>
      </c>
      <c r="B133" s="618" t="s">
        <v>72</v>
      </c>
      <c r="C133" s="618"/>
      <c r="D133" s="618"/>
      <c r="E133" s="396" t="s">
        <v>62</v>
      </c>
      <c r="F133" s="409"/>
      <c r="G133" s="409"/>
      <c r="H133" s="613"/>
      <c r="I133" s="613"/>
      <c r="J133" s="613"/>
      <c r="K133" s="613"/>
      <c r="L133" s="613"/>
      <c r="M133" s="616"/>
      <c r="N133" s="616"/>
      <c r="O133" s="616"/>
      <c r="P133" s="616"/>
      <c r="Q133" s="616"/>
      <c r="R133" s="616"/>
      <c r="S133" s="617">
        <f t="shared" ref="S133:S136" si="16">IFERROR(AVERAGEIF(M133:R133,"&gt;0",M133:R133),0)</f>
        <v>0</v>
      </c>
      <c r="T133" s="617"/>
      <c r="U133" s="613"/>
      <c r="V133" s="613"/>
    </row>
    <row r="134" spans="1:22" x14ac:dyDescent="0.3">
      <c r="A134" s="396" t="s">
        <v>34</v>
      </c>
      <c r="B134" s="618" t="s">
        <v>73</v>
      </c>
      <c r="C134" s="618"/>
      <c r="D134" s="618"/>
      <c r="E134" s="396" t="s">
        <v>62</v>
      </c>
      <c r="F134" s="409"/>
      <c r="G134" s="409"/>
      <c r="H134" s="613"/>
      <c r="I134" s="613"/>
      <c r="J134" s="613"/>
      <c r="K134" s="613"/>
      <c r="L134" s="613"/>
      <c r="M134" s="616"/>
      <c r="N134" s="616"/>
      <c r="O134" s="616"/>
      <c r="P134" s="616"/>
      <c r="Q134" s="616"/>
      <c r="R134" s="616"/>
      <c r="S134" s="617">
        <f t="shared" si="16"/>
        <v>0</v>
      </c>
      <c r="T134" s="617"/>
      <c r="U134" s="613"/>
      <c r="V134" s="613"/>
    </row>
    <row r="135" spans="1:22" x14ac:dyDescent="0.3">
      <c r="A135" s="396" t="s">
        <v>36</v>
      </c>
      <c r="B135" s="618" t="s">
        <v>74</v>
      </c>
      <c r="C135" s="618"/>
      <c r="D135" s="618"/>
      <c r="E135" s="396" t="s">
        <v>62</v>
      </c>
      <c r="F135" s="409"/>
      <c r="G135" s="409"/>
      <c r="H135" s="613"/>
      <c r="I135" s="613"/>
      <c r="J135" s="613"/>
      <c r="K135" s="613"/>
      <c r="L135" s="613"/>
      <c r="M135" s="616"/>
      <c r="N135" s="616"/>
      <c r="O135" s="616"/>
      <c r="P135" s="616"/>
      <c r="Q135" s="616"/>
      <c r="R135" s="616"/>
      <c r="S135" s="617">
        <f t="shared" si="16"/>
        <v>0</v>
      </c>
      <c r="T135" s="617"/>
      <c r="U135" s="613"/>
      <c r="V135" s="613"/>
    </row>
    <row r="136" spans="1:22" x14ac:dyDescent="0.3">
      <c r="A136" s="396" t="s">
        <v>67</v>
      </c>
      <c r="B136" s="618" t="s">
        <v>75</v>
      </c>
      <c r="C136" s="618"/>
      <c r="D136" s="618"/>
      <c r="E136" s="396" t="s">
        <v>62</v>
      </c>
      <c r="F136" s="409"/>
      <c r="G136" s="409"/>
      <c r="H136" s="613"/>
      <c r="I136" s="613"/>
      <c r="J136" s="613"/>
      <c r="K136" s="613"/>
      <c r="L136" s="613"/>
      <c r="M136" s="616"/>
      <c r="N136" s="616"/>
      <c r="O136" s="616"/>
      <c r="P136" s="616"/>
      <c r="Q136" s="616"/>
      <c r="R136" s="616"/>
      <c r="S136" s="617">
        <f t="shared" si="16"/>
        <v>0</v>
      </c>
      <c r="T136" s="617"/>
      <c r="U136" s="613"/>
      <c r="V136" s="613"/>
    </row>
    <row r="137" spans="1:22" x14ac:dyDescent="0.3">
      <c r="A137" s="396" t="s">
        <v>50</v>
      </c>
      <c r="B137" s="618" t="s">
        <v>156</v>
      </c>
      <c r="C137" s="618"/>
      <c r="D137" s="618"/>
      <c r="E137" s="396"/>
      <c r="F137" s="409"/>
      <c r="G137" s="409"/>
      <c r="H137" s="613"/>
      <c r="I137" s="613"/>
      <c r="J137" s="613"/>
      <c r="K137" s="613"/>
      <c r="L137" s="613"/>
      <c r="M137" s="616"/>
      <c r="N137" s="616"/>
      <c r="O137" s="616"/>
      <c r="P137" s="616"/>
      <c r="Q137" s="616"/>
      <c r="R137" s="616"/>
      <c r="S137" s="617">
        <f>IFERROR(AVERAGEIF(M137:R137,"&gt;0",M137:R137),0)</f>
        <v>0</v>
      </c>
      <c r="T137" s="617"/>
      <c r="U137" s="613"/>
      <c r="V137" s="613"/>
    </row>
    <row r="138" spans="1:22" ht="37.5" customHeight="1" x14ac:dyDescent="0.3">
      <c r="A138" s="396" t="s">
        <v>51</v>
      </c>
      <c r="B138" s="618" t="s">
        <v>964</v>
      </c>
      <c r="C138" s="618"/>
      <c r="D138" s="618"/>
      <c r="E138" s="396" t="s">
        <v>645</v>
      </c>
      <c r="F138" s="409"/>
      <c r="G138" s="409"/>
      <c r="H138" s="619"/>
      <c r="I138" s="634"/>
      <c r="J138" s="634"/>
      <c r="K138" s="634"/>
      <c r="L138" s="620"/>
      <c r="M138" s="614"/>
      <c r="N138" s="615"/>
      <c r="O138" s="614"/>
      <c r="P138" s="615"/>
      <c r="Q138" s="614"/>
      <c r="R138" s="615"/>
      <c r="S138" s="617">
        <f>IFERROR(AVERAGEIF(M138:R138,"&gt;0",M138:R138),0)</f>
        <v>0</v>
      </c>
      <c r="T138" s="617"/>
      <c r="U138" s="619"/>
      <c r="V138" s="620"/>
    </row>
    <row r="139" spans="1:22" s="189" customFormat="1" ht="23.4" x14ac:dyDescent="0.3">
      <c r="A139" s="187" t="s">
        <v>189</v>
      </c>
      <c r="B139" s="622" t="s">
        <v>33</v>
      </c>
      <c r="C139" s="622"/>
      <c r="D139" s="622"/>
      <c r="E139" s="622"/>
      <c r="F139" s="622"/>
      <c r="G139" s="622"/>
      <c r="H139" s="622"/>
      <c r="I139" s="622"/>
      <c r="J139" s="622"/>
      <c r="K139" s="622"/>
      <c r="L139" s="622"/>
      <c r="M139" s="622"/>
      <c r="N139" s="622"/>
      <c r="O139" s="622"/>
      <c r="P139" s="622"/>
      <c r="Q139" s="622"/>
      <c r="R139" s="622"/>
      <c r="S139" s="622"/>
      <c r="T139" s="622"/>
      <c r="U139" s="622"/>
      <c r="V139" s="622"/>
    </row>
    <row r="140" spans="1:22" x14ac:dyDescent="0.3">
      <c r="A140" s="396" t="s">
        <v>4</v>
      </c>
      <c r="B140" s="623" t="s">
        <v>59</v>
      </c>
      <c r="C140" s="623"/>
      <c r="D140" s="623"/>
      <c r="E140" s="623"/>
      <c r="F140" s="623"/>
      <c r="G140" s="623"/>
      <c r="H140" s="623"/>
      <c r="I140" s="623"/>
      <c r="J140" s="623"/>
      <c r="K140" s="623"/>
      <c r="L140" s="623"/>
      <c r="M140" s="623"/>
      <c r="N140" s="623"/>
      <c r="O140" s="623"/>
      <c r="P140" s="623"/>
      <c r="Q140" s="623"/>
      <c r="R140" s="623"/>
      <c r="S140" s="623"/>
      <c r="T140" s="623"/>
      <c r="U140" s="623"/>
      <c r="V140" s="623"/>
    </row>
    <row r="141" spans="1:22" x14ac:dyDescent="0.3">
      <c r="A141" s="621" t="s">
        <v>223</v>
      </c>
      <c r="B141" s="623" t="s">
        <v>232</v>
      </c>
      <c r="C141" s="623"/>
      <c r="D141" s="623"/>
      <c r="E141" s="621" t="s">
        <v>27</v>
      </c>
      <c r="F141" s="621" t="s">
        <v>57</v>
      </c>
      <c r="G141" s="621" t="s">
        <v>58</v>
      </c>
      <c r="H141" s="621" t="s">
        <v>720</v>
      </c>
      <c r="I141" s="621"/>
      <c r="J141" s="621"/>
      <c r="K141" s="621"/>
      <c r="L141" s="621"/>
      <c r="M141" s="621" t="s">
        <v>721</v>
      </c>
      <c r="N141" s="621"/>
      <c r="O141" s="621"/>
      <c r="P141" s="621"/>
      <c r="Q141" s="621"/>
      <c r="R141" s="621"/>
      <c r="S141" s="621"/>
      <c r="T141" s="621"/>
      <c r="U141" s="621" t="s">
        <v>280</v>
      </c>
      <c r="V141" s="621"/>
    </row>
    <row r="142" spans="1:22" ht="16.5" customHeight="1" x14ac:dyDescent="0.3">
      <c r="A142" s="621"/>
      <c r="B142" s="623"/>
      <c r="C142" s="623"/>
      <c r="D142" s="623"/>
      <c r="E142" s="621"/>
      <c r="F142" s="621"/>
      <c r="G142" s="621"/>
      <c r="H142" s="621" t="s">
        <v>345</v>
      </c>
      <c r="I142" s="621"/>
      <c r="J142" s="621"/>
      <c r="K142" s="621"/>
      <c r="L142" s="621"/>
      <c r="M142" s="635" t="s">
        <v>718</v>
      </c>
      <c r="N142" s="621"/>
      <c r="O142" s="635" t="s">
        <v>719</v>
      </c>
      <c r="P142" s="621"/>
      <c r="Q142" s="635" t="s">
        <v>724</v>
      </c>
      <c r="R142" s="621"/>
      <c r="S142" s="636" t="s">
        <v>725</v>
      </c>
      <c r="T142" s="637"/>
      <c r="U142" s="621"/>
      <c r="V142" s="621"/>
    </row>
    <row r="143" spans="1:22" x14ac:dyDescent="0.3">
      <c r="A143" s="396" t="s">
        <v>60</v>
      </c>
      <c r="B143" s="618" t="s">
        <v>61</v>
      </c>
      <c r="C143" s="618"/>
      <c r="D143" s="618"/>
      <c r="E143" s="396" t="s">
        <v>62</v>
      </c>
      <c r="F143" s="409"/>
      <c r="G143" s="409"/>
      <c r="H143" s="613"/>
      <c r="I143" s="613"/>
      <c r="J143" s="613"/>
      <c r="K143" s="613"/>
      <c r="L143" s="613"/>
      <c r="M143" s="616"/>
      <c r="N143" s="616"/>
      <c r="O143" s="616"/>
      <c r="P143" s="616"/>
      <c r="Q143" s="616"/>
      <c r="R143" s="616"/>
      <c r="S143" s="617">
        <f>IFERROR(AVERAGEIF(M143:R143,"&gt;0",M143:R143),0)</f>
        <v>0</v>
      </c>
      <c r="T143" s="617"/>
      <c r="U143" s="613"/>
      <c r="V143" s="613"/>
    </row>
    <row r="144" spans="1:22" x14ac:dyDescent="0.3">
      <c r="A144" s="396" t="s">
        <v>63</v>
      </c>
      <c r="B144" s="618" t="s">
        <v>64</v>
      </c>
      <c r="C144" s="618"/>
      <c r="D144" s="618"/>
      <c r="E144" s="396" t="s">
        <v>62</v>
      </c>
      <c r="F144" s="409"/>
      <c r="G144" s="409"/>
      <c r="H144" s="613"/>
      <c r="I144" s="613"/>
      <c r="J144" s="613"/>
      <c r="K144" s="613"/>
      <c r="L144" s="613"/>
      <c r="M144" s="616"/>
      <c r="N144" s="616"/>
      <c r="O144" s="616"/>
      <c r="P144" s="616"/>
      <c r="Q144" s="616"/>
      <c r="R144" s="616"/>
      <c r="S144" s="617">
        <f t="shared" ref="S144:S147" si="17">IFERROR(AVERAGEIF(M144:R144,"&gt;0",M144:R144),0)</f>
        <v>0</v>
      </c>
      <c r="T144" s="617"/>
      <c r="U144" s="613"/>
      <c r="V144" s="613"/>
    </row>
    <row r="145" spans="1:22" x14ac:dyDescent="0.3">
      <c r="A145" s="396" t="s">
        <v>34</v>
      </c>
      <c r="B145" s="618" t="s">
        <v>65</v>
      </c>
      <c r="C145" s="618"/>
      <c r="D145" s="618"/>
      <c r="E145" s="396" t="s">
        <v>62</v>
      </c>
      <c r="F145" s="409"/>
      <c r="G145" s="409"/>
      <c r="H145" s="613"/>
      <c r="I145" s="613"/>
      <c r="J145" s="613"/>
      <c r="K145" s="613"/>
      <c r="L145" s="613"/>
      <c r="M145" s="616"/>
      <c r="N145" s="616"/>
      <c r="O145" s="616"/>
      <c r="P145" s="616"/>
      <c r="Q145" s="616"/>
      <c r="R145" s="616"/>
      <c r="S145" s="617">
        <f t="shared" si="17"/>
        <v>0</v>
      </c>
      <c r="T145" s="617"/>
      <c r="U145" s="613"/>
      <c r="V145" s="613"/>
    </row>
    <row r="146" spans="1:22" x14ac:dyDescent="0.3">
      <c r="A146" s="396" t="s">
        <v>36</v>
      </c>
      <c r="B146" s="618" t="s">
        <v>66</v>
      </c>
      <c r="C146" s="618"/>
      <c r="D146" s="618"/>
      <c r="E146" s="396" t="s">
        <v>62</v>
      </c>
      <c r="F146" s="409"/>
      <c r="G146" s="409"/>
      <c r="H146" s="613"/>
      <c r="I146" s="613"/>
      <c r="J146" s="613"/>
      <c r="K146" s="613"/>
      <c r="L146" s="613"/>
      <c r="M146" s="616"/>
      <c r="N146" s="616"/>
      <c r="O146" s="616"/>
      <c r="P146" s="616"/>
      <c r="Q146" s="616"/>
      <c r="R146" s="616"/>
      <c r="S146" s="617">
        <f t="shared" si="17"/>
        <v>0</v>
      </c>
      <c r="T146" s="617"/>
      <c r="U146" s="613"/>
      <c r="V146" s="613"/>
    </row>
    <row r="147" spans="1:22" x14ac:dyDescent="0.3">
      <c r="A147" s="396" t="s">
        <v>67</v>
      </c>
      <c r="B147" s="618" t="s">
        <v>68</v>
      </c>
      <c r="C147" s="618"/>
      <c r="D147" s="618"/>
      <c r="E147" s="396" t="s">
        <v>69</v>
      </c>
      <c r="F147" s="409"/>
      <c r="G147" s="409"/>
      <c r="H147" s="613"/>
      <c r="I147" s="613"/>
      <c r="J147" s="613"/>
      <c r="K147" s="613"/>
      <c r="L147" s="613"/>
      <c r="M147" s="616"/>
      <c r="N147" s="616"/>
      <c r="O147" s="616"/>
      <c r="P147" s="616"/>
      <c r="Q147" s="616"/>
      <c r="R147" s="616"/>
      <c r="S147" s="617">
        <f t="shared" si="17"/>
        <v>0</v>
      </c>
      <c r="T147" s="617"/>
      <c r="U147" s="613"/>
      <c r="V147" s="613"/>
    </row>
    <row r="148" spans="1:22" x14ac:dyDescent="0.3">
      <c r="A148" s="396" t="s">
        <v>12</v>
      </c>
      <c r="B148" s="623" t="s">
        <v>70</v>
      </c>
      <c r="C148" s="623"/>
      <c r="D148" s="623"/>
      <c r="E148" s="623"/>
      <c r="F148" s="623"/>
      <c r="G148" s="623"/>
      <c r="H148" s="623"/>
      <c r="I148" s="623"/>
      <c r="J148" s="623"/>
      <c r="K148" s="623"/>
      <c r="L148" s="623"/>
      <c r="M148" s="623"/>
      <c r="N148" s="623"/>
      <c r="O148" s="623"/>
      <c r="P148" s="623"/>
      <c r="Q148" s="623"/>
      <c r="R148" s="623"/>
      <c r="S148" s="623"/>
      <c r="T148" s="623"/>
      <c r="U148" s="623"/>
      <c r="V148" s="623"/>
    </row>
    <row r="149" spans="1:22" x14ac:dyDescent="0.3">
      <c r="A149" s="396" t="s">
        <v>30</v>
      </c>
      <c r="B149" s="618" t="s">
        <v>71</v>
      </c>
      <c r="C149" s="618"/>
      <c r="D149" s="618"/>
      <c r="E149" s="396" t="s">
        <v>62</v>
      </c>
      <c r="F149" s="409"/>
      <c r="G149" s="409"/>
      <c r="H149" s="613"/>
      <c r="I149" s="613"/>
      <c r="J149" s="613"/>
      <c r="K149" s="613"/>
      <c r="L149" s="613"/>
      <c r="M149" s="616"/>
      <c r="N149" s="616"/>
      <c r="O149" s="616"/>
      <c r="P149" s="616"/>
      <c r="Q149" s="616"/>
      <c r="R149" s="616"/>
      <c r="S149" s="617">
        <f>IFERROR(AVERAGEIF(M149:R149,"&gt;0",M149:R149),0)</f>
        <v>0</v>
      </c>
      <c r="T149" s="617"/>
      <c r="U149" s="613"/>
      <c r="V149" s="613"/>
    </row>
    <row r="150" spans="1:22" x14ac:dyDescent="0.3">
      <c r="A150" s="396" t="s">
        <v>63</v>
      </c>
      <c r="B150" s="618" t="s">
        <v>72</v>
      </c>
      <c r="C150" s="618"/>
      <c r="D150" s="618"/>
      <c r="E150" s="396" t="s">
        <v>62</v>
      </c>
      <c r="F150" s="409"/>
      <c r="G150" s="409"/>
      <c r="H150" s="613"/>
      <c r="I150" s="613"/>
      <c r="J150" s="613"/>
      <c r="K150" s="613"/>
      <c r="L150" s="613"/>
      <c r="M150" s="616"/>
      <c r="N150" s="616"/>
      <c r="O150" s="616"/>
      <c r="P150" s="616"/>
      <c r="Q150" s="616"/>
      <c r="R150" s="616"/>
      <c r="S150" s="617">
        <f t="shared" ref="S150:S153" si="18">IFERROR(AVERAGEIF(M150:R150,"&gt;0",M150:R150),0)</f>
        <v>0</v>
      </c>
      <c r="T150" s="617"/>
      <c r="U150" s="613"/>
      <c r="V150" s="613"/>
    </row>
    <row r="151" spans="1:22" x14ac:dyDescent="0.3">
      <c r="A151" s="396" t="s">
        <v>34</v>
      </c>
      <c r="B151" s="618" t="s">
        <v>73</v>
      </c>
      <c r="C151" s="618"/>
      <c r="D151" s="618"/>
      <c r="E151" s="396" t="s">
        <v>62</v>
      </c>
      <c r="F151" s="409"/>
      <c r="G151" s="409"/>
      <c r="H151" s="613"/>
      <c r="I151" s="613"/>
      <c r="J151" s="613"/>
      <c r="K151" s="613"/>
      <c r="L151" s="613"/>
      <c r="M151" s="616"/>
      <c r="N151" s="616"/>
      <c r="O151" s="616"/>
      <c r="P151" s="616"/>
      <c r="Q151" s="616"/>
      <c r="R151" s="616"/>
      <c r="S151" s="617">
        <f t="shared" si="18"/>
        <v>0</v>
      </c>
      <c r="T151" s="617"/>
      <c r="U151" s="613"/>
      <c r="V151" s="613"/>
    </row>
    <row r="152" spans="1:22" x14ac:dyDescent="0.3">
      <c r="A152" s="396" t="s">
        <v>36</v>
      </c>
      <c r="B152" s="618" t="s">
        <v>74</v>
      </c>
      <c r="C152" s="618"/>
      <c r="D152" s="618"/>
      <c r="E152" s="396" t="s">
        <v>62</v>
      </c>
      <c r="F152" s="409"/>
      <c r="G152" s="409"/>
      <c r="H152" s="613"/>
      <c r="I152" s="613"/>
      <c r="J152" s="613"/>
      <c r="K152" s="613"/>
      <c r="L152" s="613"/>
      <c r="M152" s="616"/>
      <c r="N152" s="616"/>
      <c r="O152" s="616"/>
      <c r="P152" s="616"/>
      <c r="Q152" s="616"/>
      <c r="R152" s="616"/>
      <c r="S152" s="617">
        <f t="shared" si="18"/>
        <v>0</v>
      </c>
      <c r="T152" s="617"/>
      <c r="U152" s="613"/>
      <c r="V152" s="613"/>
    </row>
    <row r="153" spans="1:22" x14ac:dyDescent="0.3">
      <c r="A153" s="396" t="s">
        <v>67</v>
      </c>
      <c r="B153" s="618" t="s">
        <v>75</v>
      </c>
      <c r="C153" s="618"/>
      <c r="D153" s="618"/>
      <c r="E153" s="396" t="s">
        <v>62</v>
      </c>
      <c r="F153" s="409"/>
      <c r="G153" s="409"/>
      <c r="H153" s="613"/>
      <c r="I153" s="613"/>
      <c r="J153" s="613"/>
      <c r="K153" s="613"/>
      <c r="L153" s="613"/>
      <c r="M153" s="616"/>
      <c r="N153" s="616"/>
      <c r="O153" s="616"/>
      <c r="P153" s="616"/>
      <c r="Q153" s="616"/>
      <c r="R153" s="616"/>
      <c r="S153" s="617">
        <f t="shared" si="18"/>
        <v>0</v>
      </c>
      <c r="T153" s="617"/>
      <c r="U153" s="613"/>
      <c r="V153" s="613"/>
    </row>
    <row r="154" spans="1:22" x14ac:dyDescent="0.3">
      <c r="A154" s="396" t="s">
        <v>50</v>
      </c>
      <c r="B154" s="618" t="s">
        <v>156</v>
      </c>
      <c r="C154" s="618"/>
      <c r="D154" s="618"/>
      <c r="E154" s="396"/>
      <c r="F154" s="409"/>
      <c r="G154" s="409"/>
      <c r="H154" s="613"/>
      <c r="I154" s="613"/>
      <c r="J154" s="613"/>
      <c r="K154" s="613"/>
      <c r="L154" s="613"/>
      <c r="M154" s="616"/>
      <c r="N154" s="616"/>
      <c r="O154" s="616"/>
      <c r="P154" s="616"/>
      <c r="Q154" s="616"/>
      <c r="R154" s="616"/>
      <c r="S154" s="617">
        <f>IFERROR(AVERAGEIF(M154:R154,"&gt;0",M154:R154),0)</f>
        <v>0</v>
      </c>
      <c r="T154" s="617"/>
      <c r="U154" s="613"/>
      <c r="V154" s="613"/>
    </row>
    <row r="155" spans="1:22" ht="36.75" customHeight="1" x14ac:dyDescent="0.3">
      <c r="A155" s="396" t="s">
        <v>51</v>
      </c>
      <c r="B155" s="631" t="s">
        <v>964</v>
      </c>
      <c r="C155" s="632"/>
      <c r="D155" s="633"/>
      <c r="E155" s="396" t="s">
        <v>645</v>
      </c>
      <c r="F155" s="409"/>
      <c r="G155" s="409"/>
      <c r="H155" s="619"/>
      <c r="I155" s="634"/>
      <c r="J155" s="634"/>
      <c r="K155" s="634"/>
      <c r="L155" s="620"/>
      <c r="M155" s="614"/>
      <c r="N155" s="615"/>
      <c r="O155" s="614"/>
      <c r="P155" s="615"/>
      <c r="Q155" s="614"/>
      <c r="R155" s="615"/>
      <c r="S155" s="617">
        <f>IFERROR(AVERAGEIF(M155:R155,"&gt;0",M155:R155),0)</f>
        <v>0</v>
      </c>
      <c r="T155" s="617"/>
      <c r="U155" s="619"/>
      <c r="V155" s="620"/>
    </row>
    <row r="156" spans="1:22" s="189" customFormat="1" ht="23.4" x14ac:dyDescent="0.3">
      <c r="A156" s="187" t="s">
        <v>190</v>
      </c>
      <c r="B156" s="622" t="s">
        <v>35</v>
      </c>
      <c r="C156" s="622"/>
      <c r="D156" s="622"/>
      <c r="E156" s="622"/>
      <c r="F156" s="622"/>
      <c r="G156" s="622"/>
      <c r="H156" s="622"/>
      <c r="I156" s="622"/>
      <c r="J156" s="622"/>
      <c r="K156" s="622"/>
      <c r="L156" s="622"/>
      <c r="M156" s="622"/>
      <c r="N156" s="622"/>
      <c r="O156" s="622"/>
      <c r="P156" s="622"/>
      <c r="Q156" s="622"/>
      <c r="R156" s="622"/>
      <c r="S156" s="622"/>
      <c r="T156" s="622"/>
      <c r="U156" s="622"/>
      <c r="V156" s="622"/>
    </row>
    <row r="157" spans="1:22" x14ac:dyDescent="0.3">
      <c r="A157" s="396" t="s">
        <v>4</v>
      </c>
      <c r="B157" s="623" t="s">
        <v>59</v>
      </c>
      <c r="C157" s="623"/>
      <c r="D157" s="623"/>
      <c r="E157" s="623"/>
      <c r="F157" s="623"/>
      <c r="G157" s="623"/>
      <c r="H157" s="623"/>
      <c r="I157" s="623"/>
      <c r="J157" s="623"/>
      <c r="K157" s="623"/>
      <c r="L157" s="623"/>
      <c r="M157" s="623"/>
      <c r="N157" s="623"/>
      <c r="O157" s="623"/>
      <c r="P157" s="623"/>
      <c r="Q157" s="623"/>
      <c r="R157" s="623"/>
      <c r="S157" s="623"/>
      <c r="T157" s="623"/>
      <c r="U157" s="623"/>
      <c r="V157" s="623"/>
    </row>
    <row r="158" spans="1:22" x14ac:dyDescent="0.3">
      <c r="A158" s="621" t="s">
        <v>223</v>
      </c>
      <c r="B158" s="623" t="s">
        <v>232</v>
      </c>
      <c r="C158" s="623"/>
      <c r="D158" s="623"/>
      <c r="E158" s="621" t="s">
        <v>27</v>
      </c>
      <c r="F158" s="621" t="s">
        <v>57</v>
      </c>
      <c r="G158" s="621" t="s">
        <v>58</v>
      </c>
      <c r="H158" s="621" t="s">
        <v>720</v>
      </c>
      <c r="I158" s="621"/>
      <c r="J158" s="621"/>
      <c r="K158" s="621"/>
      <c r="L158" s="621"/>
      <c r="M158" s="621" t="s">
        <v>721</v>
      </c>
      <c r="N158" s="621"/>
      <c r="O158" s="621"/>
      <c r="P158" s="621"/>
      <c r="Q158" s="621"/>
      <c r="R158" s="621"/>
      <c r="S158" s="621"/>
      <c r="T158" s="621"/>
      <c r="U158" s="621" t="s">
        <v>280</v>
      </c>
      <c r="V158" s="621"/>
    </row>
    <row r="159" spans="1:22" ht="16.5" customHeight="1" x14ac:dyDescent="0.3">
      <c r="A159" s="621"/>
      <c r="B159" s="623"/>
      <c r="C159" s="623"/>
      <c r="D159" s="623"/>
      <c r="E159" s="621"/>
      <c r="F159" s="621"/>
      <c r="G159" s="621"/>
      <c r="H159" s="621" t="s">
        <v>345</v>
      </c>
      <c r="I159" s="621"/>
      <c r="J159" s="621"/>
      <c r="K159" s="621"/>
      <c r="L159" s="621"/>
      <c r="M159" s="635" t="s">
        <v>718</v>
      </c>
      <c r="N159" s="621"/>
      <c r="O159" s="635" t="s">
        <v>719</v>
      </c>
      <c r="P159" s="621"/>
      <c r="Q159" s="635" t="s">
        <v>724</v>
      </c>
      <c r="R159" s="621"/>
      <c r="S159" s="636" t="s">
        <v>725</v>
      </c>
      <c r="T159" s="637"/>
      <c r="U159" s="621"/>
      <c r="V159" s="621"/>
    </row>
    <row r="160" spans="1:22" x14ac:dyDescent="0.3">
      <c r="A160" s="396" t="s">
        <v>60</v>
      </c>
      <c r="B160" s="618" t="s">
        <v>61</v>
      </c>
      <c r="C160" s="618"/>
      <c r="D160" s="618"/>
      <c r="E160" s="396" t="s">
        <v>62</v>
      </c>
      <c r="F160" s="409"/>
      <c r="G160" s="409"/>
      <c r="H160" s="613"/>
      <c r="I160" s="613"/>
      <c r="J160" s="613"/>
      <c r="K160" s="613"/>
      <c r="L160" s="613"/>
      <c r="M160" s="616"/>
      <c r="N160" s="616"/>
      <c r="O160" s="616"/>
      <c r="P160" s="616"/>
      <c r="Q160" s="616"/>
      <c r="R160" s="616"/>
      <c r="S160" s="617">
        <f>IFERROR(AVERAGEIF(M160:R160,"&gt;0",M160:R160),0)</f>
        <v>0</v>
      </c>
      <c r="T160" s="617"/>
      <c r="U160" s="613"/>
      <c r="V160" s="613"/>
    </row>
    <row r="161" spans="1:22" x14ac:dyDescent="0.3">
      <c r="A161" s="396" t="s">
        <v>63</v>
      </c>
      <c r="B161" s="618" t="s">
        <v>64</v>
      </c>
      <c r="C161" s="618"/>
      <c r="D161" s="618"/>
      <c r="E161" s="396" t="s">
        <v>62</v>
      </c>
      <c r="F161" s="409"/>
      <c r="G161" s="409"/>
      <c r="H161" s="613"/>
      <c r="I161" s="613"/>
      <c r="J161" s="613"/>
      <c r="K161" s="613"/>
      <c r="L161" s="613"/>
      <c r="M161" s="616"/>
      <c r="N161" s="616"/>
      <c r="O161" s="616"/>
      <c r="P161" s="616"/>
      <c r="Q161" s="616"/>
      <c r="R161" s="616"/>
      <c r="S161" s="617">
        <f t="shared" ref="S161:S164" si="19">IFERROR(AVERAGEIF(M161:R161,"&gt;0",M161:R161),0)</f>
        <v>0</v>
      </c>
      <c r="T161" s="617"/>
      <c r="U161" s="613"/>
      <c r="V161" s="613"/>
    </row>
    <row r="162" spans="1:22" x14ac:dyDescent="0.3">
      <c r="A162" s="396" t="s">
        <v>34</v>
      </c>
      <c r="B162" s="618" t="s">
        <v>65</v>
      </c>
      <c r="C162" s="618"/>
      <c r="D162" s="618"/>
      <c r="E162" s="396" t="s">
        <v>62</v>
      </c>
      <c r="F162" s="409"/>
      <c r="G162" s="409"/>
      <c r="H162" s="613"/>
      <c r="I162" s="613"/>
      <c r="J162" s="613"/>
      <c r="K162" s="613"/>
      <c r="L162" s="613"/>
      <c r="M162" s="616"/>
      <c r="N162" s="616"/>
      <c r="O162" s="616"/>
      <c r="P162" s="616"/>
      <c r="Q162" s="616"/>
      <c r="R162" s="616"/>
      <c r="S162" s="617">
        <f t="shared" si="19"/>
        <v>0</v>
      </c>
      <c r="T162" s="617"/>
      <c r="U162" s="613"/>
      <c r="V162" s="613"/>
    </row>
    <row r="163" spans="1:22" x14ac:dyDescent="0.3">
      <c r="A163" s="396" t="s">
        <v>36</v>
      </c>
      <c r="B163" s="618" t="s">
        <v>66</v>
      </c>
      <c r="C163" s="618"/>
      <c r="D163" s="618"/>
      <c r="E163" s="396" t="s">
        <v>62</v>
      </c>
      <c r="F163" s="409"/>
      <c r="G163" s="409"/>
      <c r="H163" s="613"/>
      <c r="I163" s="613"/>
      <c r="J163" s="613"/>
      <c r="K163" s="613"/>
      <c r="L163" s="613"/>
      <c r="M163" s="616"/>
      <c r="N163" s="616"/>
      <c r="O163" s="616"/>
      <c r="P163" s="616"/>
      <c r="Q163" s="616"/>
      <c r="R163" s="616"/>
      <c r="S163" s="617">
        <f t="shared" si="19"/>
        <v>0</v>
      </c>
      <c r="T163" s="617"/>
      <c r="U163" s="613"/>
      <c r="V163" s="613"/>
    </row>
    <row r="164" spans="1:22" x14ac:dyDescent="0.3">
      <c r="A164" s="396" t="s">
        <v>67</v>
      </c>
      <c r="B164" s="618" t="s">
        <v>68</v>
      </c>
      <c r="C164" s="618"/>
      <c r="D164" s="618"/>
      <c r="E164" s="396" t="s">
        <v>69</v>
      </c>
      <c r="F164" s="409"/>
      <c r="G164" s="409"/>
      <c r="H164" s="613"/>
      <c r="I164" s="613"/>
      <c r="J164" s="613"/>
      <c r="K164" s="613"/>
      <c r="L164" s="613"/>
      <c r="M164" s="616"/>
      <c r="N164" s="616"/>
      <c r="O164" s="616"/>
      <c r="P164" s="616"/>
      <c r="Q164" s="616"/>
      <c r="R164" s="616"/>
      <c r="S164" s="617">
        <f t="shared" si="19"/>
        <v>0</v>
      </c>
      <c r="T164" s="617"/>
      <c r="U164" s="613"/>
      <c r="V164" s="613"/>
    </row>
    <row r="165" spans="1:22" x14ac:dyDescent="0.3">
      <c r="A165" s="396" t="s">
        <v>12</v>
      </c>
      <c r="B165" s="623" t="s">
        <v>70</v>
      </c>
      <c r="C165" s="623"/>
      <c r="D165" s="623"/>
      <c r="E165" s="623"/>
      <c r="F165" s="623"/>
      <c r="G165" s="623"/>
      <c r="H165" s="623"/>
      <c r="I165" s="623"/>
      <c r="J165" s="623"/>
      <c r="K165" s="623"/>
      <c r="L165" s="623"/>
      <c r="M165" s="623"/>
      <c r="N165" s="623"/>
      <c r="O165" s="623"/>
      <c r="P165" s="623"/>
      <c r="Q165" s="623"/>
      <c r="R165" s="623"/>
      <c r="S165" s="623"/>
      <c r="T165" s="623"/>
      <c r="U165" s="623"/>
      <c r="V165" s="623"/>
    </row>
    <row r="166" spans="1:22" x14ac:dyDescent="0.3">
      <c r="A166" s="396" t="s">
        <v>30</v>
      </c>
      <c r="B166" s="618" t="s">
        <v>71</v>
      </c>
      <c r="C166" s="618"/>
      <c r="D166" s="618"/>
      <c r="E166" s="396" t="s">
        <v>62</v>
      </c>
      <c r="F166" s="409"/>
      <c r="G166" s="409"/>
      <c r="H166" s="613"/>
      <c r="I166" s="613"/>
      <c r="J166" s="613"/>
      <c r="K166" s="613"/>
      <c r="L166" s="613"/>
      <c r="M166" s="616"/>
      <c r="N166" s="616"/>
      <c r="O166" s="616"/>
      <c r="P166" s="616"/>
      <c r="Q166" s="616"/>
      <c r="R166" s="616"/>
      <c r="S166" s="617">
        <f>IFERROR(AVERAGEIF(M166:R166,"&gt;0",M166:R166),0)</f>
        <v>0</v>
      </c>
      <c r="T166" s="617"/>
      <c r="U166" s="613"/>
      <c r="V166" s="613"/>
    </row>
    <row r="167" spans="1:22" x14ac:dyDescent="0.3">
      <c r="A167" s="396" t="s">
        <v>63</v>
      </c>
      <c r="B167" s="618" t="s">
        <v>72</v>
      </c>
      <c r="C167" s="618"/>
      <c r="D167" s="618"/>
      <c r="E167" s="396" t="s">
        <v>62</v>
      </c>
      <c r="F167" s="409"/>
      <c r="G167" s="409"/>
      <c r="H167" s="613"/>
      <c r="I167" s="613"/>
      <c r="J167" s="613"/>
      <c r="K167" s="613"/>
      <c r="L167" s="613"/>
      <c r="M167" s="616"/>
      <c r="N167" s="616"/>
      <c r="O167" s="616"/>
      <c r="P167" s="616"/>
      <c r="Q167" s="616"/>
      <c r="R167" s="616"/>
      <c r="S167" s="617">
        <f t="shared" ref="S167:S170" si="20">IFERROR(AVERAGEIF(M167:R167,"&gt;0",M167:R167),0)</f>
        <v>0</v>
      </c>
      <c r="T167" s="617"/>
      <c r="U167" s="613"/>
      <c r="V167" s="613"/>
    </row>
    <row r="168" spans="1:22" x14ac:dyDescent="0.3">
      <c r="A168" s="396" t="s">
        <v>34</v>
      </c>
      <c r="B168" s="618" t="s">
        <v>73</v>
      </c>
      <c r="C168" s="618"/>
      <c r="D168" s="618"/>
      <c r="E168" s="396" t="s">
        <v>62</v>
      </c>
      <c r="F168" s="409"/>
      <c r="G168" s="409"/>
      <c r="H168" s="613"/>
      <c r="I168" s="613"/>
      <c r="J168" s="613"/>
      <c r="K168" s="613"/>
      <c r="L168" s="613"/>
      <c r="M168" s="616"/>
      <c r="N168" s="616"/>
      <c r="O168" s="616"/>
      <c r="P168" s="616"/>
      <c r="Q168" s="616"/>
      <c r="R168" s="616"/>
      <c r="S168" s="617">
        <f t="shared" si="20"/>
        <v>0</v>
      </c>
      <c r="T168" s="617"/>
      <c r="U168" s="613"/>
      <c r="V168" s="613"/>
    </row>
    <row r="169" spans="1:22" x14ac:dyDescent="0.3">
      <c r="A169" s="396" t="s">
        <v>36</v>
      </c>
      <c r="B169" s="618" t="s">
        <v>74</v>
      </c>
      <c r="C169" s="618"/>
      <c r="D169" s="618"/>
      <c r="E169" s="396" t="s">
        <v>62</v>
      </c>
      <c r="F169" s="409"/>
      <c r="G169" s="409"/>
      <c r="H169" s="613"/>
      <c r="I169" s="613"/>
      <c r="J169" s="613"/>
      <c r="K169" s="613"/>
      <c r="L169" s="613"/>
      <c r="M169" s="616"/>
      <c r="N169" s="616"/>
      <c r="O169" s="616"/>
      <c r="P169" s="616"/>
      <c r="Q169" s="616"/>
      <c r="R169" s="616"/>
      <c r="S169" s="617">
        <f t="shared" si="20"/>
        <v>0</v>
      </c>
      <c r="T169" s="617"/>
      <c r="U169" s="613"/>
      <c r="V169" s="613"/>
    </row>
    <row r="170" spans="1:22" x14ac:dyDescent="0.3">
      <c r="A170" s="396" t="s">
        <v>67</v>
      </c>
      <c r="B170" s="618" t="s">
        <v>75</v>
      </c>
      <c r="C170" s="618"/>
      <c r="D170" s="618"/>
      <c r="E170" s="396" t="s">
        <v>62</v>
      </c>
      <c r="F170" s="409"/>
      <c r="G170" s="409"/>
      <c r="H170" s="613"/>
      <c r="I170" s="613"/>
      <c r="J170" s="613"/>
      <c r="K170" s="613"/>
      <c r="L170" s="613"/>
      <c r="M170" s="616"/>
      <c r="N170" s="616"/>
      <c r="O170" s="616"/>
      <c r="P170" s="616"/>
      <c r="Q170" s="616"/>
      <c r="R170" s="616"/>
      <c r="S170" s="617">
        <f t="shared" si="20"/>
        <v>0</v>
      </c>
      <c r="T170" s="617"/>
      <c r="U170" s="613"/>
      <c r="V170" s="613"/>
    </row>
    <row r="171" spans="1:22" x14ac:dyDescent="0.3">
      <c r="A171" s="396" t="s">
        <v>50</v>
      </c>
      <c r="B171" s="618" t="s">
        <v>156</v>
      </c>
      <c r="C171" s="618"/>
      <c r="D171" s="618"/>
      <c r="E171" s="396"/>
      <c r="F171" s="409"/>
      <c r="G171" s="409"/>
      <c r="H171" s="613"/>
      <c r="I171" s="613"/>
      <c r="J171" s="613"/>
      <c r="K171" s="613"/>
      <c r="L171" s="613"/>
      <c r="M171" s="616"/>
      <c r="N171" s="616"/>
      <c r="O171" s="616"/>
      <c r="P171" s="616"/>
      <c r="Q171" s="616"/>
      <c r="R171" s="616"/>
      <c r="S171" s="617">
        <f>IFERROR(AVERAGEIF(M171:R171,"&gt;0",M171:R171),0)</f>
        <v>0</v>
      </c>
      <c r="T171" s="617"/>
      <c r="U171" s="613"/>
      <c r="V171" s="613"/>
    </row>
    <row r="172" spans="1:22" ht="31.5" customHeight="1" x14ac:dyDescent="0.3">
      <c r="A172" s="396" t="s">
        <v>51</v>
      </c>
      <c r="B172" s="631" t="s">
        <v>964</v>
      </c>
      <c r="C172" s="632"/>
      <c r="D172" s="633"/>
      <c r="E172" s="396" t="s">
        <v>645</v>
      </c>
      <c r="F172" s="409"/>
      <c r="G172" s="409"/>
      <c r="H172" s="619"/>
      <c r="I172" s="634"/>
      <c r="J172" s="634"/>
      <c r="K172" s="634"/>
      <c r="L172" s="620"/>
      <c r="M172" s="614"/>
      <c r="N172" s="615"/>
      <c r="O172" s="614"/>
      <c r="P172" s="615"/>
      <c r="Q172" s="614"/>
      <c r="R172" s="615"/>
      <c r="S172" s="617">
        <f>IFERROR(AVERAGEIF(M172:R172,"&gt;0",M172:R172),0)</f>
        <v>0</v>
      </c>
      <c r="T172" s="617"/>
      <c r="U172" s="619"/>
      <c r="V172" s="620"/>
    </row>
    <row r="173" spans="1:22" s="189" customFormat="1" ht="23.4" x14ac:dyDescent="0.3">
      <c r="A173" s="187" t="s">
        <v>191</v>
      </c>
      <c r="B173" s="622" t="s">
        <v>37</v>
      </c>
      <c r="C173" s="622"/>
      <c r="D173" s="622"/>
      <c r="E173" s="622"/>
      <c r="F173" s="622"/>
      <c r="G173" s="622"/>
      <c r="H173" s="622"/>
      <c r="I173" s="622"/>
      <c r="J173" s="622"/>
      <c r="K173" s="622"/>
      <c r="L173" s="622"/>
      <c r="M173" s="622"/>
      <c r="N173" s="622"/>
      <c r="O173" s="622"/>
      <c r="P173" s="622"/>
      <c r="Q173" s="622"/>
      <c r="R173" s="622"/>
      <c r="S173" s="622"/>
      <c r="T173" s="622"/>
      <c r="U173" s="622"/>
      <c r="V173" s="622"/>
    </row>
    <row r="174" spans="1:22" x14ac:dyDescent="0.3">
      <c r="A174" s="396" t="s">
        <v>4</v>
      </c>
      <c r="B174" s="623" t="s">
        <v>59</v>
      </c>
      <c r="C174" s="623"/>
      <c r="D174" s="623"/>
      <c r="E174" s="623"/>
      <c r="F174" s="623"/>
      <c r="G174" s="623"/>
      <c r="H174" s="623"/>
      <c r="I174" s="623"/>
      <c r="J174" s="623"/>
      <c r="K174" s="623"/>
      <c r="L174" s="623"/>
      <c r="M174" s="623"/>
      <c r="N174" s="623"/>
      <c r="O174" s="623"/>
      <c r="P174" s="623"/>
      <c r="Q174" s="623"/>
      <c r="R174" s="623"/>
      <c r="S174" s="623"/>
      <c r="T174" s="623"/>
      <c r="U174" s="623"/>
      <c r="V174" s="623"/>
    </row>
    <row r="175" spans="1:22" x14ac:dyDescent="0.3">
      <c r="A175" s="621" t="s">
        <v>223</v>
      </c>
      <c r="B175" s="623" t="s">
        <v>232</v>
      </c>
      <c r="C175" s="623"/>
      <c r="D175" s="623"/>
      <c r="E175" s="621" t="s">
        <v>27</v>
      </c>
      <c r="F175" s="621" t="s">
        <v>57</v>
      </c>
      <c r="G175" s="621" t="s">
        <v>58</v>
      </c>
      <c r="H175" s="621" t="s">
        <v>720</v>
      </c>
      <c r="I175" s="621"/>
      <c r="J175" s="621"/>
      <c r="K175" s="621"/>
      <c r="L175" s="621"/>
      <c r="M175" s="621" t="s">
        <v>721</v>
      </c>
      <c r="N175" s="621"/>
      <c r="O175" s="621"/>
      <c r="P175" s="621"/>
      <c r="Q175" s="621"/>
      <c r="R175" s="621"/>
      <c r="S175" s="621"/>
      <c r="T175" s="621"/>
      <c r="U175" s="621" t="s">
        <v>280</v>
      </c>
      <c r="V175" s="621"/>
    </row>
    <row r="176" spans="1:22" ht="16.5" customHeight="1" x14ac:dyDescent="0.3">
      <c r="A176" s="621"/>
      <c r="B176" s="623"/>
      <c r="C176" s="623"/>
      <c r="D176" s="623"/>
      <c r="E176" s="621"/>
      <c r="F176" s="621"/>
      <c r="G176" s="621"/>
      <c r="H176" s="621" t="s">
        <v>345</v>
      </c>
      <c r="I176" s="621"/>
      <c r="J176" s="621"/>
      <c r="K176" s="621"/>
      <c r="L176" s="621"/>
      <c r="M176" s="635" t="s">
        <v>718</v>
      </c>
      <c r="N176" s="621"/>
      <c r="O176" s="635" t="s">
        <v>719</v>
      </c>
      <c r="P176" s="621"/>
      <c r="Q176" s="635" t="s">
        <v>724</v>
      </c>
      <c r="R176" s="621"/>
      <c r="S176" s="636" t="s">
        <v>725</v>
      </c>
      <c r="T176" s="637"/>
      <c r="U176" s="621"/>
      <c r="V176" s="621"/>
    </row>
    <row r="177" spans="1:22" x14ac:dyDescent="0.3">
      <c r="A177" s="396" t="s">
        <v>60</v>
      </c>
      <c r="B177" s="618" t="s">
        <v>61</v>
      </c>
      <c r="C177" s="618"/>
      <c r="D177" s="618"/>
      <c r="E177" s="396" t="s">
        <v>62</v>
      </c>
      <c r="F177" s="409"/>
      <c r="G177" s="409"/>
      <c r="H177" s="613"/>
      <c r="I177" s="613"/>
      <c r="J177" s="613"/>
      <c r="K177" s="613"/>
      <c r="L177" s="613"/>
      <c r="M177" s="616"/>
      <c r="N177" s="616"/>
      <c r="O177" s="616"/>
      <c r="P177" s="616"/>
      <c r="Q177" s="616"/>
      <c r="R177" s="616"/>
      <c r="S177" s="617">
        <f>IFERROR(AVERAGEIF(M177:R177,"&gt;0",M177:R177),0)</f>
        <v>0</v>
      </c>
      <c r="T177" s="617"/>
      <c r="U177" s="613"/>
      <c r="V177" s="613"/>
    </row>
    <row r="178" spans="1:22" x14ac:dyDescent="0.3">
      <c r="A178" s="396" t="s">
        <v>63</v>
      </c>
      <c r="B178" s="618" t="s">
        <v>64</v>
      </c>
      <c r="C178" s="618"/>
      <c r="D178" s="618"/>
      <c r="E178" s="396" t="s">
        <v>62</v>
      </c>
      <c r="F178" s="409"/>
      <c r="G178" s="409"/>
      <c r="H178" s="613"/>
      <c r="I178" s="613"/>
      <c r="J178" s="613"/>
      <c r="K178" s="613"/>
      <c r="L178" s="613"/>
      <c r="M178" s="616"/>
      <c r="N178" s="616"/>
      <c r="O178" s="616"/>
      <c r="P178" s="616"/>
      <c r="Q178" s="616"/>
      <c r="R178" s="616"/>
      <c r="S178" s="617">
        <f t="shared" ref="S178:S181" si="21">IFERROR(AVERAGEIF(M178:R178,"&gt;0",M178:R178),0)</f>
        <v>0</v>
      </c>
      <c r="T178" s="617"/>
      <c r="U178" s="613"/>
      <c r="V178" s="613"/>
    </row>
    <row r="179" spans="1:22" x14ac:dyDescent="0.3">
      <c r="A179" s="396" t="s">
        <v>34</v>
      </c>
      <c r="B179" s="618" t="s">
        <v>65</v>
      </c>
      <c r="C179" s="618"/>
      <c r="D179" s="618"/>
      <c r="E179" s="396" t="s">
        <v>62</v>
      </c>
      <c r="F179" s="409"/>
      <c r="G179" s="409"/>
      <c r="H179" s="613"/>
      <c r="I179" s="613"/>
      <c r="J179" s="613"/>
      <c r="K179" s="613"/>
      <c r="L179" s="613"/>
      <c r="M179" s="616"/>
      <c r="N179" s="616"/>
      <c r="O179" s="616"/>
      <c r="P179" s="616"/>
      <c r="Q179" s="616"/>
      <c r="R179" s="616"/>
      <c r="S179" s="617">
        <f t="shared" si="21"/>
        <v>0</v>
      </c>
      <c r="T179" s="617"/>
      <c r="U179" s="613"/>
      <c r="V179" s="613"/>
    </row>
    <row r="180" spans="1:22" x14ac:dyDescent="0.3">
      <c r="A180" s="396" t="s">
        <v>36</v>
      </c>
      <c r="B180" s="618" t="s">
        <v>66</v>
      </c>
      <c r="C180" s="618"/>
      <c r="D180" s="618"/>
      <c r="E180" s="396" t="s">
        <v>62</v>
      </c>
      <c r="F180" s="409"/>
      <c r="G180" s="409"/>
      <c r="H180" s="613"/>
      <c r="I180" s="613"/>
      <c r="J180" s="613"/>
      <c r="K180" s="613"/>
      <c r="L180" s="613"/>
      <c r="M180" s="616"/>
      <c r="N180" s="616"/>
      <c r="O180" s="616"/>
      <c r="P180" s="616"/>
      <c r="Q180" s="616"/>
      <c r="R180" s="616"/>
      <c r="S180" s="617">
        <f t="shared" si="21"/>
        <v>0</v>
      </c>
      <c r="T180" s="617"/>
      <c r="U180" s="613"/>
      <c r="V180" s="613"/>
    </row>
    <row r="181" spans="1:22" x14ac:dyDescent="0.3">
      <c r="A181" s="396" t="s">
        <v>67</v>
      </c>
      <c r="B181" s="618" t="s">
        <v>68</v>
      </c>
      <c r="C181" s="618"/>
      <c r="D181" s="618"/>
      <c r="E181" s="396" t="s">
        <v>69</v>
      </c>
      <c r="F181" s="409"/>
      <c r="G181" s="409"/>
      <c r="H181" s="613"/>
      <c r="I181" s="613"/>
      <c r="J181" s="613"/>
      <c r="K181" s="613"/>
      <c r="L181" s="613"/>
      <c r="M181" s="616"/>
      <c r="N181" s="616"/>
      <c r="O181" s="616"/>
      <c r="P181" s="616"/>
      <c r="Q181" s="616"/>
      <c r="R181" s="616"/>
      <c r="S181" s="617">
        <f t="shared" si="21"/>
        <v>0</v>
      </c>
      <c r="T181" s="617"/>
      <c r="U181" s="613"/>
      <c r="V181" s="613"/>
    </row>
    <row r="182" spans="1:22" x14ac:dyDescent="0.3">
      <c r="A182" s="396" t="s">
        <v>12</v>
      </c>
      <c r="B182" s="623" t="s">
        <v>70</v>
      </c>
      <c r="C182" s="623"/>
      <c r="D182" s="623"/>
      <c r="E182" s="623"/>
      <c r="F182" s="623"/>
      <c r="G182" s="623"/>
      <c r="H182" s="623"/>
      <c r="I182" s="623"/>
      <c r="J182" s="623"/>
      <c r="K182" s="623"/>
      <c r="L182" s="623"/>
      <c r="M182" s="623"/>
      <c r="N182" s="623"/>
      <c r="O182" s="623"/>
      <c r="P182" s="623"/>
      <c r="Q182" s="623"/>
      <c r="R182" s="623"/>
      <c r="S182" s="623"/>
      <c r="T182" s="623"/>
      <c r="U182" s="623"/>
      <c r="V182" s="623"/>
    </row>
    <row r="183" spans="1:22" x14ac:dyDescent="0.3">
      <c r="A183" s="396" t="s">
        <v>30</v>
      </c>
      <c r="B183" s="618" t="s">
        <v>71</v>
      </c>
      <c r="C183" s="618"/>
      <c r="D183" s="618"/>
      <c r="E183" s="396" t="s">
        <v>62</v>
      </c>
      <c r="F183" s="409"/>
      <c r="G183" s="409"/>
      <c r="H183" s="613"/>
      <c r="I183" s="613"/>
      <c r="J183" s="613"/>
      <c r="K183" s="613"/>
      <c r="L183" s="613"/>
      <c r="M183" s="616"/>
      <c r="N183" s="616"/>
      <c r="O183" s="616"/>
      <c r="P183" s="616"/>
      <c r="Q183" s="616"/>
      <c r="R183" s="616"/>
      <c r="S183" s="617">
        <f>IFERROR(AVERAGEIF(M183:R183,"&gt;0",M183:R183),0)</f>
        <v>0</v>
      </c>
      <c r="T183" s="617"/>
      <c r="U183" s="613"/>
      <c r="V183" s="613"/>
    </row>
    <row r="184" spans="1:22" x14ac:dyDescent="0.3">
      <c r="A184" s="396" t="s">
        <v>63</v>
      </c>
      <c r="B184" s="618" t="s">
        <v>72</v>
      </c>
      <c r="C184" s="618"/>
      <c r="D184" s="618"/>
      <c r="E184" s="396" t="s">
        <v>62</v>
      </c>
      <c r="F184" s="409"/>
      <c r="G184" s="409"/>
      <c r="H184" s="613"/>
      <c r="I184" s="613"/>
      <c r="J184" s="613"/>
      <c r="K184" s="613"/>
      <c r="L184" s="613"/>
      <c r="M184" s="616"/>
      <c r="N184" s="616"/>
      <c r="O184" s="616"/>
      <c r="P184" s="616"/>
      <c r="Q184" s="616"/>
      <c r="R184" s="616"/>
      <c r="S184" s="617">
        <f t="shared" ref="S184:S187" si="22">IFERROR(AVERAGEIF(M184:R184,"&gt;0",M184:R184),0)</f>
        <v>0</v>
      </c>
      <c r="T184" s="617"/>
      <c r="U184" s="613"/>
      <c r="V184" s="613"/>
    </row>
    <row r="185" spans="1:22" x14ac:dyDescent="0.3">
      <c r="A185" s="396" t="s">
        <v>34</v>
      </c>
      <c r="B185" s="618" t="s">
        <v>73</v>
      </c>
      <c r="C185" s="618"/>
      <c r="D185" s="618"/>
      <c r="E185" s="396" t="s">
        <v>62</v>
      </c>
      <c r="F185" s="409"/>
      <c r="G185" s="409"/>
      <c r="H185" s="613"/>
      <c r="I185" s="613"/>
      <c r="J185" s="613"/>
      <c r="K185" s="613"/>
      <c r="L185" s="613"/>
      <c r="M185" s="616"/>
      <c r="N185" s="616"/>
      <c r="O185" s="616"/>
      <c r="P185" s="616"/>
      <c r="Q185" s="616"/>
      <c r="R185" s="616"/>
      <c r="S185" s="617">
        <f t="shared" si="22"/>
        <v>0</v>
      </c>
      <c r="T185" s="617"/>
      <c r="U185" s="613"/>
      <c r="V185" s="613"/>
    </row>
    <row r="186" spans="1:22" x14ac:dyDescent="0.3">
      <c r="A186" s="396" t="s">
        <v>36</v>
      </c>
      <c r="B186" s="618" t="s">
        <v>74</v>
      </c>
      <c r="C186" s="618"/>
      <c r="D186" s="618"/>
      <c r="E186" s="396" t="s">
        <v>62</v>
      </c>
      <c r="F186" s="409"/>
      <c r="G186" s="409"/>
      <c r="H186" s="613"/>
      <c r="I186" s="613"/>
      <c r="J186" s="613"/>
      <c r="K186" s="613"/>
      <c r="L186" s="613"/>
      <c r="M186" s="616"/>
      <c r="N186" s="616"/>
      <c r="O186" s="616"/>
      <c r="P186" s="616"/>
      <c r="Q186" s="616"/>
      <c r="R186" s="616"/>
      <c r="S186" s="617">
        <f t="shared" si="22"/>
        <v>0</v>
      </c>
      <c r="T186" s="617"/>
      <c r="U186" s="613"/>
      <c r="V186" s="613"/>
    </row>
    <row r="187" spans="1:22" x14ac:dyDescent="0.3">
      <c r="A187" s="396" t="s">
        <v>67</v>
      </c>
      <c r="B187" s="618" t="s">
        <v>75</v>
      </c>
      <c r="C187" s="618"/>
      <c r="D187" s="618"/>
      <c r="E187" s="396" t="s">
        <v>62</v>
      </c>
      <c r="F187" s="409"/>
      <c r="G187" s="409"/>
      <c r="H187" s="613"/>
      <c r="I187" s="613"/>
      <c r="J187" s="613"/>
      <c r="K187" s="613"/>
      <c r="L187" s="613"/>
      <c r="M187" s="616"/>
      <c r="N187" s="616"/>
      <c r="O187" s="616"/>
      <c r="P187" s="616"/>
      <c r="Q187" s="616"/>
      <c r="R187" s="616"/>
      <c r="S187" s="617">
        <f t="shared" si="22"/>
        <v>0</v>
      </c>
      <c r="T187" s="617"/>
      <c r="U187" s="613"/>
      <c r="V187" s="613"/>
    </row>
    <row r="188" spans="1:22" x14ac:dyDescent="0.3">
      <c r="A188" s="396" t="s">
        <v>50</v>
      </c>
      <c r="B188" s="618" t="s">
        <v>156</v>
      </c>
      <c r="C188" s="618"/>
      <c r="D188" s="618"/>
      <c r="E188" s="396"/>
      <c r="F188" s="409"/>
      <c r="G188" s="409"/>
      <c r="H188" s="613"/>
      <c r="I188" s="613"/>
      <c r="J188" s="613"/>
      <c r="K188" s="613"/>
      <c r="L188" s="613"/>
      <c r="M188" s="616"/>
      <c r="N188" s="616"/>
      <c r="O188" s="616"/>
      <c r="P188" s="616"/>
      <c r="Q188" s="616"/>
      <c r="R188" s="616"/>
      <c r="S188" s="617">
        <f>IFERROR(AVERAGEIF(M188:R188,"&gt;0",M188:R188),0)</f>
        <v>0</v>
      </c>
      <c r="T188" s="617"/>
      <c r="U188" s="613"/>
      <c r="V188" s="613"/>
    </row>
    <row r="189" spans="1:22" ht="35.25" customHeight="1" x14ac:dyDescent="0.3">
      <c r="A189" s="396" t="s">
        <v>51</v>
      </c>
      <c r="B189" s="631" t="s">
        <v>964</v>
      </c>
      <c r="C189" s="632"/>
      <c r="D189" s="633"/>
      <c r="E189" s="396" t="s">
        <v>645</v>
      </c>
      <c r="F189" s="409"/>
      <c r="G189" s="409"/>
      <c r="H189" s="619"/>
      <c r="I189" s="634"/>
      <c r="J189" s="634"/>
      <c r="K189" s="634"/>
      <c r="L189" s="620"/>
      <c r="M189" s="614"/>
      <c r="N189" s="615"/>
      <c r="O189" s="614"/>
      <c r="P189" s="615"/>
      <c r="Q189" s="614"/>
      <c r="R189" s="615"/>
      <c r="S189" s="617">
        <f>IFERROR(AVERAGEIF(M189:R189,"&gt;0",M189:R189),0)</f>
        <v>0</v>
      </c>
      <c r="T189" s="617"/>
      <c r="U189" s="619"/>
      <c r="V189" s="620"/>
    </row>
    <row r="190" spans="1:22" s="191" customFormat="1" ht="25.2" x14ac:dyDescent="0.3">
      <c r="A190" s="190" t="s">
        <v>192</v>
      </c>
      <c r="B190" s="681" t="s">
        <v>39</v>
      </c>
      <c r="C190" s="681"/>
      <c r="D190" s="681"/>
      <c r="E190" s="681"/>
      <c r="F190" s="681"/>
      <c r="G190" s="681"/>
      <c r="H190" s="681"/>
      <c r="I190" s="681"/>
      <c r="J190" s="681"/>
      <c r="K190" s="681"/>
      <c r="L190" s="681"/>
      <c r="M190" s="681"/>
      <c r="N190" s="681"/>
      <c r="O190" s="681"/>
      <c r="P190" s="681"/>
      <c r="Q190" s="681"/>
      <c r="R190" s="681"/>
      <c r="S190" s="681"/>
      <c r="T190" s="681"/>
      <c r="U190" s="681"/>
      <c r="V190" s="681"/>
    </row>
    <row r="191" spans="1:22" x14ac:dyDescent="0.3">
      <c r="A191" s="396" t="s">
        <v>4</v>
      </c>
      <c r="B191" s="623" t="s">
        <v>59</v>
      </c>
      <c r="C191" s="623"/>
      <c r="D191" s="623"/>
      <c r="E191" s="623"/>
      <c r="F191" s="623"/>
      <c r="G191" s="623"/>
      <c r="H191" s="623"/>
      <c r="I191" s="623"/>
      <c r="J191" s="623"/>
      <c r="K191" s="623"/>
      <c r="L191" s="623"/>
      <c r="M191" s="623"/>
      <c r="N191" s="623"/>
      <c r="O191" s="623"/>
      <c r="P191" s="623"/>
      <c r="Q191" s="623"/>
      <c r="R191" s="623"/>
      <c r="S191" s="623"/>
      <c r="T191" s="623"/>
      <c r="U191" s="623"/>
      <c r="V191" s="623"/>
    </row>
    <row r="192" spans="1:22" x14ac:dyDescent="0.3">
      <c r="A192" s="621" t="s">
        <v>223</v>
      </c>
      <c r="B192" s="623" t="s">
        <v>232</v>
      </c>
      <c r="C192" s="623"/>
      <c r="D192" s="623"/>
      <c r="E192" s="621" t="s">
        <v>27</v>
      </c>
      <c r="F192" s="621" t="s">
        <v>57</v>
      </c>
      <c r="G192" s="621" t="s">
        <v>58</v>
      </c>
      <c r="H192" s="621" t="s">
        <v>720</v>
      </c>
      <c r="I192" s="621"/>
      <c r="J192" s="621"/>
      <c r="K192" s="621"/>
      <c r="L192" s="621"/>
      <c r="M192" s="621" t="s">
        <v>721</v>
      </c>
      <c r="N192" s="621"/>
      <c r="O192" s="621"/>
      <c r="P192" s="621"/>
      <c r="Q192" s="621"/>
      <c r="R192" s="621"/>
      <c r="S192" s="621"/>
      <c r="T192" s="621"/>
      <c r="U192" s="621" t="s">
        <v>280</v>
      </c>
      <c r="V192" s="621"/>
    </row>
    <row r="193" spans="1:22" ht="16.5" customHeight="1" x14ac:dyDescent="0.3">
      <c r="A193" s="621"/>
      <c r="B193" s="623"/>
      <c r="C193" s="623"/>
      <c r="D193" s="623"/>
      <c r="E193" s="621"/>
      <c r="F193" s="621"/>
      <c r="G193" s="621"/>
      <c r="H193" s="621" t="s">
        <v>345</v>
      </c>
      <c r="I193" s="621"/>
      <c r="J193" s="621"/>
      <c r="K193" s="621"/>
      <c r="L193" s="621"/>
      <c r="M193" s="635" t="s">
        <v>718</v>
      </c>
      <c r="N193" s="621"/>
      <c r="O193" s="635" t="s">
        <v>719</v>
      </c>
      <c r="P193" s="621"/>
      <c r="Q193" s="635" t="s">
        <v>724</v>
      </c>
      <c r="R193" s="621"/>
      <c r="S193" s="636" t="s">
        <v>725</v>
      </c>
      <c r="T193" s="637"/>
      <c r="U193" s="621"/>
      <c r="V193" s="621"/>
    </row>
    <row r="194" spans="1:22" x14ac:dyDescent="0.3">
      <c r="A194" s="396" t="s">
        <v>60</v>
      </c>
      <c r="B194" s="618" t="s">
        <v>61</v>
      </c>
      <c r="C194" s="618"/>
      <c r="D194" s="618"/>
      <c r="E194" s="396" t="s">
        <v>62</v>
      </c>
      <c r="F194" s="409"/>
      <c r="G194" s="409"/>
      <c r="H194" s="613"/>
      <c r="I194" s="613"/>
      <c r="J194" s="613"/>
      <c r="K194" s="613"/>
      <c r="L194" s="613"/>
      <c r="M194" s="616"/>
      <c r="N194" s="616"/>
      <c r="O194" s="616"/>
      <c r="P194" s="616"/>
      <c r="Q194" s="616"/>
      <c r="R194" s="616"/>
      <c r="S194" s="617">
        <f>IFERROR(AVERAGEIF(M194:R194,"&gt;0",M194:R194),0)</f>
        <v>0</v>
      </c>
      <c r="T194" s="617"/>
      <c r="U194" s="613"/>
      <c r="V194" s="613"/>
    </row>
    <row r="195" spans="1:22" x14ac:dyDescent="0.3">
      <c r="A195" s="396" t="s">
        <v>63</v>
      </c>
      <c r="B195" s="618" t="s">
        <v>64</v>
      </c>
      <c r="C195" s="618"/>
      <c r="D195" s="618"/>
      <c r="E195" s="396" t="s">
        <v>62</v>
      </c>
      <c r="F195" s="409"/>
      <c r="G195" s="409"/>
      <c r="H195" s="613"/>
      <c r="I195" s="613"/>
      <c r="J195" s="613"/>
      <c r="K195" s="613"/>
      <c r="L195" s="613"/>
      <c r="M195" s="616"/>
      <c r="N195" s="616"/>
      <c r="O195" s="616"/>
      <c r="P195" s="616"/>
      <c r="Q195" s="616"/>
      <c r="R195" s="616"/>
      <c r="S195" s="617">
        <f t="shared" ref="S195:S198" si="23">IFERROR(AVERAGEIF(M195:R195,"&gt;0",M195:R195),0)</f>
        <v>0</v>
      </c>
      <c r="T195" s="617"/>
      <c r="U195" s="613"/>
      <c r="V195" s="613"/>
    </row>
    <row r="196" spans="1:22" x14ac:dyDescent="0.3">
      <c r="A196" s="396" t="s">
        <v>34</v>
      </c>
      <c r="B196" s="618" t="s">
        <v>65</v>
      </c>
      <c r="C196" s="618"/>
      <c r="D196" s="618"/>
      <c r="E196" s="396" t="s">
        <v>62</v>
      </c>
      <c r="F196" s="409"/>
      <c r="G196" s="409"/>
      <c r="H196" s="613"/>
      <c r="I196" s="613"/>
      <c r="J196" s="613"/>
      <c r="K196" s="613"/>
      <c r="L196" s="613"/>
      <c r="M196" s="616"/>
      <c r="N196" s="616"/>
      <c r="O196" s="616"/>
      <c r="P196" s="616"/>
      <c r="Q196" s="616"/>
      <c r="R196" s="616"/>
      <c r="S196" s="617">
        <f t="shared" si="23"/>
        <v>0</v>
      </c>
      <c r="T196" s="617"/>
      <c r="U196" s="613"/>
      <c r="V196" s="613"/>
    </row>
    <row r="197" spans="1:22" x14ac:dyDescent="0.3">
      <c r="A197" s="396" t="s">
        <v>36</v>
      </c>
      <c r="B197" s="618" t="s">
        <v>66</v>
      </c>
      <c r="C197" s="618"/>
      <c r="D197" s="618"/>
      <c r="E197" s="396" t="s">
        <v>62</v>
      </c>
      <c r="F197" s="409"/>
      <c r="G197" s="409"/>
      <c r="H197" s="613"/>
      <c r="I197" s="613"/>
      <c r="J197" s="613"/>
      <c r="K197" s="613"/>
      <c r="L197" s="613"/>
      <c r="M197" s="616"/>
      <c r="N197" s="616"/>
      <c r="O197" s="616"/>
      <c r="P197" s="616"/>
      <c r="Q197" s="616"/>
      <c r="R197" s="616"/>
      <c r="S197" s="617">
        <f t="shared" si="23"/>
        <v>0</v>
      </c>
      <c r="T197" s="617"/>
      <c r="U197" s="613"/>
      <c r="V197" s="613"/>
    </row>
    <row r="198" spans="1:22" x14ac:dyDescent="0.3">
      <c r="A198" s="396" t="s">
        <v>67</v>
      </c>
      <c r="B198" s="618" t="s">
        <v>68</v>
      </c>
      <c r="C198" s="618"/>
      <c r="D198" s="618"/>
      <c r="E198" s="396" t="s">
        <v>69</v>
      </c>
      <c r="F198" s="409"/>
      <c r="G198" s="409"/>
      <c r="H198" s="613"/>
      <c r="I198" s="613"/>
      <c r="J198" s="613"/>
      <c r="K198" s="613"/>
      <c r="L198" s="613"/>
      <c r="M198" s="616"/>
      <c r="N198" s="616"/>
      <c r="O198" s="616"/>
      <c r="P198" s="616"/>
      <c r="Q198" s="616"/>
      <c r="R198" s="616"/>
      <c r="S198" s="617">
        <f t="shared" si="23"/>
        <v>0</v>
      </c>
      <c r="T198" s="617"/>
      <c r="U198" s="613"/>
      <c r="V198" s="613"/>
    </row>
    <row r="199" spans="1:22" x14ac:dyDescent="0.3">
      <c r="A199" s="396" t="s">
        <v>12</v>
      </c>
      <c r="B199" s="623" t="s">
        <v>70</v>
      </c>
      <c r="C199" s="623"/>
      <c r="D199" s="623"/>
      <c r="E199" s="623"/>
      <c r="F199" s="623"/>
      <c r="G199" s="623"/>
      <c r="H199" s="623"/>
      <c r="I199" s="623"/>
      <c r="J199" s="623"/>
      <c r="K199" s="623"/>
      <c r="L199" s="623"/>
      <c r="M199" s="623"/>
      <c r="N199" s="623"/>
      <c r="O199" s="623"/>
      <c r="P199" s="623"/>
      <c r="Q199" s="623"/>
      <c r="R199" s="623"/>
      <c r="S199" s="623"/>
      <c r="T199" s="623"/>
      <c r="U199" s="623"/>
      <c r="V199" s="623"/>
    </row>
    <row r="200" spans="1:22" x14ac:dyDescent="0.3">
      <c r="A200" s="396" t="s">
        <v>30</v>
      </c>
      <c r="B200" s="618" t="s">
        <v>71</v>
      </c>
      <c r="C200" s="618"/>
      <c r="D200" s="618"/>
      <c r="E200" s="396" t="s">
        <v>62</v>
      </c>
      <c r="F200" s="409"/>
      <c r="G200" s="409"/>
      <c r="H200" s="613"/>
      <c r="I200" s="613"/>
      <c r="J200" s="613"/>
      <c r="K200" s="613"/>
      <c r="L200" s="613"/>
      <c r="M200" s="616"/>
      <c r="N200" s="616"/>
      <c r="O200" s="616"/>
      <c r="P200" s="616"/>
      <c r="Q200" s="616"/>
      <c r="R200" s="616"/>
      <c r="S200" s="617">
        <f>IFERROR(AVERAGEIF(M200:R200,"&gt;0",M200:R200),0)</f>
        <v>0</v>
      </c>
      <c r="T200" s="617"/>
      <c r="U200" s="613"/>
      <c r="V200" s="613"/>
    </row>
    <row r="201" spans="1:22" x14ac:dyDescent="0.3">
      <c r="A201" s="396" t="s">
        <v>63</v>
      </c>
      <c r="B201" s="618" t="s">
        <v>72</v>
      </c>
      <c r="C201" s="618"/>
      <c r="D201" s="618"/>
      <c r="E201" s="396" t="s">
        <v>62</v>
      </c>
      <c r="F201" s="409"/>
      <c r="G201" s="409"/>
      <c r="H201" s="613"/>
      <c r="I201" s="613"/>
      <c r="J201" s="613"/>
      <c r="K201" s="613"/>
      <c r="L201" s="613"/>
      <c r="M201" s="616"/>
      <c r="N201" s="616"/>
      <c r="O201" s="616"/>
      <c r="P201" s="616"/>
      <c r="Q201" s="616"/>
      <c r="R201" s="616"/>
      <c r="S201" s="617">
        <f t="shared" ref="S201:S204" si="24">IFERROR(AVERAGEIF(M201:R201,"&gt;0",M201:R201),0)</f>
        <v>0</v>
      </c>
      <c r="T201" s="617"/>
      <c r="U201" s="613"/>
      <c r="V201" s="613"/>
    </row>
    <row r="202" spans="1:22" x14ac:dyDescent="0.3">
      <c r="A202" s="396" t="s">
        <v>34</v>
      </c>
      <c r="B202" s="618" t="s">
        <v>73</v>
      </c>
      <c r="C202" s="618"/>
      <c r="D202" s="618"/>
      <c r="E202" s="396" t="s">
        <v>62</v>
      </c>
      <c r="F202" s="409"/>
      <c r="G202" s="409"/>
      <c r="H202" s="613"/>
      <c r="I202" s="613"/>
      <c r="J202" s="613"/>
      <c r="K202" s="613"/>
      <c r="L202" s="613"/>
      <c r="M202" s="616"/>
      <c r="N202" s="616"/>
      <c r="O202" s="616"/>
      <c r="P202" s="616"/>
      <c r="Q202" s="616"/>
      <c r="R202" s="616"/>
      <c r="S202" s="617">
        <f t="shared" si="24"/>
        <v>0</v>
      </c>
      <c r="T202" s="617"/>
      <c r="U202" s="613"/>
      <c r="V202" s="613"/>
    </row>
    <row r="203" spans="1:22" x14ac:dyDescent="0.3">
      <c r="A203" s="396" t="s">
        <v>36</v>
      </c>
      <c r="B203" s="618" t="s">
        <v>74</v>
      </c>
      <c r="C203" s="618"/>
      <c r="D203" s="618"/>
      <c r="E203" s="396" t="s">
        <v>62</v>
      </c>
      <c r="F203" s="409"/>
      <c r="G203" s="409"/>
      <c r="H203" s="613"/>
      <c r="I203" s="613"/>
      <c r="J203" s="613"/>
      <c r="K203" s="613"/>
      <c r="L203" s="613"/>
      <c r="M203" s="616"/>
      <c r="N203" s="616"/>
      <c r="O203" s="616"/>
      <c r="P203" s="616"/>
      <c r="Q203" s="616"/>
      <c r="R203" s="616"/>
      <c r="S203" s="617">
        <f t="shared" si="24"/>
        <v>0</v>
      </c>
      <c r="T203" s="617"/>
      <c r="U203" s="613"/>
      <c r="V203" s="613"/>
    </row>
    <row r="204" spans="1:22" x14ac:dyDescent="0.3">
      <c r="A204" s="396" t="s">
        <v>67</v>
      </c>
      <c r="B204" s="618" t="s">
        <v>75</v>
      </c>
      <c r="C204" s="618"/>
      <c r="D204" s="618"/>
      <c r="E204" s="396" t="s">
        <v>62</v>
      </c>
      <c r="F204" s="409"/>
      <c r="G204" s="409"/>
      <c r="H204" s="613"/>
      <c r="I204" s="613"/>
      <c r="J204" s="613"/>
      <c r="K204" s="613"/>
      <c r="L204" s="613"/>
      <c r="M204" s="616"/>
      <c r="N204" s="616"/>
      <c r="O204" s="616"/>
      <c r="P204" s="616"/>
      <c r="Q204" s="616"/>
      <c r="R204" s="616"/>
      <c r="S204" s="617">
        <f t="shared" si="24"/>
        <v>0</v>
      </c>
      <c r="T204" s="617"/>
      <c r="U204" s="613"/>
      <c r="V204" s="613"/>
    </row>
    <row r="205" spans="1:22" x14ac:dyDescent="0.3">
      <c r="A205" s="396" t="s">
        <v>50</v>
      </c>
      <c r="B205" s="618" t="s">
        <v>156</v>
      </c>
      <c r="C205" s="618"/>
      <c r="D205" s="618"/>
      <c r="E205" s="396"/>
      <c r="F205" s="409"/>
      <c r="G205" s="409"/>
      <c r="H205" s="613"/>
      <c r="I205" s="613"/>
      <c r="J205" s="613"/>
      <c r="K205" s="613"/>
      <c r="L205" s="613"/>
      <c r="M205" s="616"/>
      <c r="N205" s="616"/>
      <c r="O205" s="616"/>
      <c r="P205" s="616"/>
      <c r="Q205" s="616"/>
      <c r="R205" s="616"/>
      <c r="S205" s="617">
        <f>IFERROR(AVERAGEIF(M205:R205,"&gt;0",M205:R205),0)</f>
        <v>0</v>
      </c>
      <c r="T205" s="617"/>
      <c r="U205" s="613"/>
      <c r="V205" s="613"/>
    </row>
    <row r="206" spans="1:22" ht="35.25" customHeight="1" x14ac:dyDescent="0.3">
      <c r="A206" s="396" t="s">
        <v>51</v>
      </c>
      <c r="B206" s="631" t="s">
        <v>964</v>
      </c>
      <c r="C206" s="632"/>
      <c r="D206" s="633"/>
      <c r="E206" s="396" t="s">
        <v>645</v>
      </c>
      <c r="F206" s="409"/>
      <c r="G206" s="409"/>
      <c r="H206" s="619"/>
      <c r="I206" s="634"/>
      <c r="J206" s="634"/>
      <c r="K206" s="634"/>
      <c r="L206" s="620"/>
      <c r="M206" s="614"/>
      <c r="N206" s="615"/>
      <c r="O206" s="614"/>
      <c r="P206" s="615"/>
      <c r="Q206" s="614"/>
      <c r="R206" s="615"/>
      <c r="S206" s="617">
        <f>IFERROR(AVERAGEIF(M206:R206,"&gt;0",M206:R206),0)</f>
        <v>0</v>
      </c>
      <c r="T206" s="617"/>
      <c r="U206" s="619"/>
      <c r="V206" s="620"/>
    </row>
    <row r="207" spans="1:22" s="191" customFormat="1" ht="25.2" x14ac:dyDescent="0.3">
      <c r="A207" s="190" t="s">
        <v>193</v>
      </c>
      <c r="B207" s="681" t="s">
        <v>41</v>
      </c>
      <c r="C207" s="681"/>
      <c r="D207" s="681"/>
      <c r="E207" s="681"/>
      <c r="F207" s="681"/>
      <c r="G207" s="681"/>
      <c r="H207" s="681"/>
      <c r="I207" s="681"/>
      <c r="J207" s="681"/>
      <c r="K207" s="681"/>
      <c r="L207" s="681"/>
      <c r="M207" s="681"/>
      <c r="N207" s="681"/>
      <c r="O207" s="681"/>
      <c r="P207" s="681"/>
      <c r="Q207" s="681"/>
      <c r="R207" s="681"/>
      <c r="S207" s="681"/>
      <c r="T207" s="681"/>
      <c r="U207" s="681"/>
      <c r="V207" s="681"/>
    </row>
    <row r="208" spans="1:22" x14ac:dyDescent="0.3">
      <c r="A208" s="396" t="s">
        <v>4</v>
      </c>
      <c r="B208" s="623" t="s">
        <v>59</v>
      </c>
      <c r="C208" s="623"/>
      <c r="D208" s="623"/>
      <c r="E208" s="623"/>
      <c r="F208" s="623"/>
      <c r="G208" s="623"/>
      <c r="H208" s="623"/>
      <c r="I208" s="623"/>
      <c r="J208" s="623"/>
      <c r="K208" s="623"/>
      <c r="L208" s="623"/>
      <c r="M208" s="623"/>
      <c r="N208" s="623"/>
      <c r="O208" s="623"/>
      <c r="P208" s="623"/>
      <c r="Q208" s="623"/>
      <c r="R208" s="623"/>
      <c r="S208" s="623"/>
      <c r="T208" s="623"/>
      <c r="U208" s="623"/>
      <c r="V208" s="623"/>
    </row>
    <row r="209" spans="1:22" x14ac:dyDescent="0.3">
      <c r="A209" s="621" t="s">
        <v>223</v>
      </c>
      <c r="B209" s="623" t="s">
        <v>232</v>
      </c>
      <c r="C209" s="623"/>
      <c r="D209" s="623"/>
      <c r="E209" s="621" t="s">
        <v>27</v>
      </c>
      <c r="F209" s="621" t="s">
        <v>57</v>
      </c>
      <c r="G209" s="621" t="s">
        <v>58</v>
      </c>
      <c r="H209" s="621" t="s">
        <v>720</v>
      </c>
      <c r="I209" s="621"/>
      <c r="J209" s="621"/>
      <c r="K209" s="621"/>
      <c r="L209" s="621"/>
      <c r="M209" s="621" t="s">
        <v>721</v>
      </c>
      <c r="N209" s="621"/>
      <c r="O209" s="621"/>
      <c r="P209" s="621"/>
      <c r="Q209" s="621"/>
      <c r="R209" s="621"/>
      <c r="S209" s="621"/>
      <c r="T209" s="621"/>
      <c r="U209" s="621" t="s">
        <v>280</v>
      </c>
      <c r="V209" s="621"/>
    </row>
    <row r="210" spans="1:22" ht="16.5" customHeight="1" x14ac:dyDescent="0.3">
      <c r="A210" s="621"/>
      <c r="B210" s="623"/>
      <c r="C210" s="623"/>
      <c r="D210" s="623"/>
      <c r="E210" s="621"/>
      <c r="F210" s="621"/>
      <c r="G210" s="621"/>
      <c r="H210" s="621" t="s">
        <v>345</v>
      </c>
      <c r="I210" s="621"/>
      <c r="J210" s="621"/>
      <c r="K210" s="621"/>
      <c r="L210" s="621"/>
      <c r="M210" s="635" t="s">
        <v>718</v>
      </c>
      <c r="N210" s="621"/>
      <c r="O210" s="635" t="s">
        <v>719</v>
      </c>
      <c r="P210" s="621"/>
      <c r="Q210" s="635" t="s">
        <v>724</v>
      </c>
      <c r="R210" s="621"/>
      <c r="S210" s="636" t="s">
        <v>725</v>
      </c>
      <c r="T210" s="637"/>
      <c r="U210" s="621"/>
      <c r="V210" s="621"/>
    </row>
    <row r="211" spans="1:22" x14ac:dyDescent="0.3">
      <c r="A211" s="396" t="s">
        <v>60</v>
      </c>
      <c r="B211" s="618" t="s">
        <v>61</v>
      </c>
      <c r="C211" s="618"/>
      <c r="D211" s="618"/>
      <c r="E211" s="396" t="s">
        <v>62</v>
      </c>
      <c r="F211" s="409"/>
      <c r="G211" s="409"/>
      <c r="H211" s="613"/>
      <c r="I211" s="613"/>
      <c r="J211" s="613"/>
      <c r="K211" s="613"/>
      <c r="L211" s="613"/>
      <c r="M211" s="616"/>
      <c r="N211" s="616"/>
      <c r="O211" s="616"/>
      <c r="P211" s="616"/>
      <c r="Q211" s="616"/>
      <c r="R211" s="616"/>
      <c r="S211" s="617">
        <f>IFERROR(AVERAGEIF(M211:R211,"&gt;0",M211:R211),0)</f>
        <v>0</v>
      </c>
      <c r="T211" s="617"/>
      <c r="U211" s="613"/>
      <c r="V211" s="613"/>
    </row>
    <row r="212" spans="1:22" x14ac:dyDescent="0.3">
      <c r="A212" s="396" t="s">
        <v>63</v>
      </c>
      <c r="B212" s="618" t="s">
        <v>64</v>
      </c>
      <c r="C212" s="618"/>
      <c r="D212" s="618"/>
      <c r="E212" s="396" t="s">
        <v>62</v>
      </c>
      <c r="F212" s="409"/>
      <c r="G212" s="409"/>
      <c r="H212" s="613"/>
      <c r="I212" s="613"/>
      <c r="J212" s="613"/>
      <c r="K212" s="613"/>
      <c r="L212" s="613"/>
      <c r="M212" s="616"/>
      <c r="N212" s="616"/>
      <c r="O212" s="616"/>
      <c r="P212" s="616"/>
      <c r="Q212" s="616"/>
      <c r="R212" s="616"/>
      <c r="S212" s="617">
        <f t="shared" ref="S212:S215" si="25">IFERROR(AVERAGEIF(M212:R212,"&gt;0",M212:R212),0)</f>
        <v>0</v>
      </c>
      <c r="T212" s="617"/>
      <c r="U212" s="613"/>
      <c r="V212" s="613"/>
    </row>
    <row r="213" spans="1:22" x14ac:dyDescent="0.3">
      <c r="A213" s="396" t="s">
        <v>34</v>
      </c>
      <c r="B213" s="618" t="s">
        <v>65</v>
      </c>
      <c r="C213" s="618"/>
      <c r="D213" s="618"/>
      <c r="E213" s="396" t="s">
        <v>62</v>
      </c>
      <c r="F213" s="409"/>
      <c r="G213" s="409"/>
      <c r="H213" s="613"/>
      <c r="I213" s="613"/>
      <c r="J213" s="613"/>
      <c r="K213" s="613"/>
      <c r="L213" s="613"/>
      <c r="M213" s="616"/>
      <c r="N213" s="616"/>
      <c r="O213" s="616"/>
      <c r="P213" s="616"/>
      <c r="Q213" s="616"/>
      <c r="R213" s="616"/>
      <c r="S213" s="617">
        <f t="shared" si="25"/>
        <v>0</v>
      </c>
      <c r="T213" s="617"/>
      <c r="U213" s="613"/>
      <c r="V213" s="613"/>
    </row>
    <row r="214" spans="1:22" x14ac:dyDescent="0.3">
      <c r="A214" s="396" t="s">
        <v>36</v>
      </c>
      <c r="B214" s="618" t="s">
        <v>66</v>
      </c>
      <c r="C214" s="618"/>
      <c r="D214" s="618"/>
      <c r="E214" s="396" t="s">
        <v>62</v>
      </c>
      <c r="F214" s="409"/>
      <c r="G214" s="409"/>
      <c r="H214" s="613"/>
      <c r="I214" s="613"/>
      <c r="J214" s="613"/>
      <c r="K214" s="613"/>
      <c r="L214" s="613"/>
      <c r="M214" s="616"/>
      <c r="N214" s="616"/>
      <c r="O214" s="616"/>
      <c r="P214" s="616"/>
      <c r="Q214" s="616"/>
      <c r="R214" s="616"/>
      <c r="S214" s="617">
        <f t="shared" si="25"/>
        <v>0</v>
      </c>
      <c r="T214" s="617"/>
      <c r="U214" s="613"/>
      <c r="V214" s="613"/>
    </row>
    <row r="215" spans="1:22" x14ac:dyDescent="0.3">
      <c r="A215" s="396" t="s">
        <v>67</v>
      </c>
      <c r="B215" s="618" t="s">
        <v>68</v>
      </c>
      <c r="C215" s="618"/>
      <c r="D215" s="618"/>
      <c r="E215" s="396" t="s">
        <v>69</v>
      </c>
      <c r="F215" s="409"/>
      <c r="G215" s="409"/>
      <c r="H215" s="613"/>
      <c r="I215" s="613"/>
      <c r="J215" s="613"/>
      <c r="K215" s="613"/>
      <c r="L215" s="613"/>
      <c r="M215" s="616"/>
      <c r="N215" s="616"/>
      <c r="O215" s="616"/>
      <c r="P215" s="616"/>
      <c r="Q215" s="616"/>
      <c r="R215" s="616"/>
      <c r="S215" s="617">
        <f t="shared" si="25"/>
        <v>0</v>
      </c>
      <c r="T215" s="617"/>
      <c r="U215" s="613"/>
      <c r="V215" s="613"/>
    </row>
    <row r="216" spans="1:22" x14ac:dyDescent="0.3">
      <c r="A216" s="396" t="s">
        <v>12</v>
      </c>
      <c r="B216" s="623" t="s">
        <v>70</v>
      </c>
      <c r="C216" s="623"/>
      <c r="D216" s="623"/>
      <c r="E216" s="623"/>
      <c r="F216" s="623"/>
      <c r="G216" s="623"/>
      <c r="H216" s="623"/>
      <c r="I216" s="623"/>
      <c r="J216" s="623"/>
      <c r="K216" s="623"/>
      <c r="L216" s="623"/>
      <c r="M216" s="623"/>
      <c r="N216" s="623"/>
      <c r="O216" s="623"/>
      <c r="P216" s="623"/>
      <c r="Q216" s="623"/>
      <c r="R216" s="623"/>
      <c r="S216" s="623"/>
      <c r="T216" s="623"/>
      <c r="U216" s="623"/>
      <c r="V216" s="623"/>
    </row>
    <row r="217" spans="1:22" x14ac:dyDescent="0.3">
      <c r="A217" s="396" t="s">
        <v>30</v>
      </c>
      <c r="B217" s="618" t="s">
        <v>71</v>
      </c>
      <c r="C217" s="618"/>
      <c r="D217" s="618"/>
      <c r="E217" s="396" t="s">
        <v>62</v>
      </c>
      <c r="F217" s="409"/>
      <c r="G217" s="409"/>
      <c r="H217" s="613"/>
      <c r="I217" s="613"/>
      <c r="J217" s="613"/>
      <c r="K217" s="613"/>
      <c r="L217" s="613"/>
      <c r="M217" s="616"/>
      <c r="N217" s="616"/>
      <c r="O217" s="616"/>
      <c r="P217" s="616"/>
      <c r="Q217" s="616"/>
      <c r="R217" s="616"/>
      <c r="S217" s="617">
        <f>IFERROR(AVERAGEIF(M217:R217,"&gt;0",M217:R217),0)</f>
        <v>0</v>
      </c>
      <c r="T217" s="617"/>
      <c r="U217" s="613"/>
      <c r="V217" s="613"/>
    </row>
    <row r="218" spans="1:22" x14ac:dyDescent="0.3">
      <c r="A218" s="396" t="s">
        <v>63</v>
      </c>
      <c r="B218" s="618" t="s">
        <v>72</v>
      </c>
      <c r="C218" s="618"/>
      <c r="D218" s="618"/>
      <c r="E218" s="396" t="s">
        <v>62</v>
      </c>
      <c r="F218" s="409"/>
      <c r="G218" s="409"/>
      <c r="H218" s="613"/>
      <c r="I218" s="613"/>
      <c r="J218" s="613"/>
      <c r="K218" s="613"/>
      <c r="L218" s="613"/>
      <c r="M218" s="616"/>
      <c r="N218" s="616"/>
      <c r="O218" s="616"/>
      <c r="P218" s="616"/>
      <c r="Q218" s="616"/>
      <c r="R218" s="616"/>
      <c r="S218" s="617">
        <f t="shared" ref="S218:S221" si="26">IFERROR(AVERAGEIF(M218:R218,"&gt;0",M218:R218),0)</f>
        <v>0</v>
      </c>
      <c r="T218" s="617"/>
      <c r="U218" s="613"/>
      <c r="V218" s="613"/>
    </row>
    <row r="219" spans="1:22" x14ac:dyDescent="0.3">
      <c r="A219" s="396" t="s">
        <v>34</v>
      </c>
      <c r="B219" s="618" t="s">
        <v>73</v>
      </c>
      <c r="C219" s="618"/>
      <c r="D219" s="618"/>
      <c r="E219" s="396" t="s">
        <v>62</v>
      </c>
      <c r="F219" s="409"/>
      <c r="G219" s="409"/>
      <c r="H219" s="613"/>
      <c r="I219" s="613"/>
      <c r="J219" s="613"/>
      <c r="K219" s="613"/>
      <c r="L219" s="613"/>
      <c r="M219" s="616"/>
      <c r="N219" s="616"/>
      <c r="O219" s="616"/>
      <c r="P219" s="616"/>
      <c r="Q219" s="616"/>
      <c r="R219" s="616"/>
      <c r="S219" s="617">
        <f t="shared" si="26"/>
        <v>0</v>
      </c>
      <c r="T219" s="617"/>
      <c r="U219" s="613"/>
      <c r="V219" s="613"/>
    </row>
    <row r="220" spans="1:22" x14ac:dyDescent="0.3">
      <c r="A220" s="396" t="s">
        <v>36</v>
      </c>
      <c r="B220" s="618" t="s">
        <v>74</v>
      </c>
      <c r="C220" s="618"/>
      <c r="D220" s="618"/>
      <c r="E220" s="396" t="s">
        <v>62</v>
      </c>
      <c r="F220" s="409"/>
      <c r="G220" s="409"/>
      <c r="H220" s="613"/>
      <c r="I220" s="613"/>
      <c r="J220" s="613"/>
      <c r="K220" s="613"/>
      <c r="L220" s="613"/>
      <c r="M220" s="616"/>
      <c r="N220" s="616"/>
      <c r="O220" s="616"/>
      <c r="P220" s="616"/>
      <c r="Q220" s="616"/>
      <c r="R220" s="616"/>
      <c r="S220" s="617">
        <f t="shared" si="26"/>
        <v>0</v>
      </c>
      <c r="T220" s="617"/>
      <c r="U220" s="613"/>
      <c r="V220" s="613"/>
    </row>
    <row r="221" spans="1:22" x14ac:dyDescent="0.3">
      <c r="A221" s="396" t="s">
        <v>67</v>
      </c>
      <c r="B221" s="618" t="s">
        <v>75</v>
      </c>
      <c r="C221" s="618"/>
      <c r="D221" s="618"/>
      <c r="E221" s="396" t="s">
        <v>62</v>
      </c>
      <c r="F221" s="409"/>
      <c r="G221" s="409"/>
      <c r="H221" s="613"/>
      <c r="I221" s="613"/>
      <c r="J221" s="613"/>
      <c r="K221" s="613"/>
      <c r="L221" s="613"/>
      <c r="M221" s="616"/>
      <c r="N221" s="616"/>
      <c r="O221" s="616"/>
      <c r="P221" s="616"/>
      <c r="Q221" s="616"/>
      <c r="R221" s="616"/>
      <c r="S221" s="617">
        <f t="shared" si="26"/>
        <v>0</v>
      </c>
      <c r="T221" s="617"/>
      <c r="U221" s="613"/>
      <c r="V221" s="613"/>
    </row>
    <row r="222" spans="1:22" x14ac:dyDescent="0.3">
      <c r="A222" s="396" t="s">
        <v>50</v>
      </c>
      <c r="B222" s="618" t="s">
        <v>156</v>
      </c>
      <c r="C222" s="618"/>
      <c r="D222" s="618"/>
      <c r="E222" s="396"/>
      <c r="F222" s="409"/>
      <c r="G222" s="409"/>
      <c r="H222" s="613"/>
      <c r="I222" s="613"/>
      <c r="J222" s="613"/>
      <c r="K222" s="613"/>
      <c r="L222" s="613"/>
      <c r="M222" s="616"/>
      <c r="N222" s="616"/>
      <c r="O222" s="616"/>
      <c r="P222" s="616"/>
      <c r="Q222" s="616"/>
      <c r="R222" s="616"/>
      <c r="S222" s="617">
        <f>IFERROR(AVERAGEIF(M222:R222,"&gt;0",M222:R222),0)</f>
        <v>0</v>
      </c>
      <c r="T222" s="617"/>
      <c r="U222" s="613"/>
      <c r="V222" s="613"/>
    </row>
    <row r="223" spans="1:22" ht="35.25" customHeight="1" x14ac:dyDescent="0.3">
      <c r="A223" s="396" t="s">
        <v>51</v>
      </c>
      <c r="B223" s="631" t="s">
        <v>964</v>
      </c>
      <c r="C223" s="632"/>
      <c r="D223" s="633"/>
      <c r="E223" s="396" t="s">
        <v>645</v>
      </c>
      <c r="F223" s="409"/>
      <c r="G223" s="409"/>
      <c r="H223" s="619"/>
      <c r="I223" s="634"/>
      <c r="J223" s="634"/>
      <c r="K223" s="634"/>
      <c r="L223" s="620"/>
      <c r="M223" s="614"/>
      <c r="N223" s="615"/>
      <c r="O223" s="614"/>
      <c r="P223" s="615"/>
      <c r="Q223" s="614"/>
      <c r="R223" s="615"/>
      <c r="S223" s="617">
        <f>IFERROR(AVERAGEIF(M223:R223,"&gt;0",M223:R223),0)</f>
        <v>0</v>
      </c>
      <c r="T223" s="617"/>
      <c r="U223" s="619"/>
      <c r="V223" s="620"/>
    </row>
    <row r="224" spans="1:22" s="189" customFormat="1" ht="23.4" x14ac:dyDescent="0.3">
      <c r="A224" s="187" t="s">
        <v>194</v>
      </c>
      <c r="B224" s="622" t="s">
        <v>43</v>
      </c>
      <c r="C224" s="622"/>
      <c r="D224" s="622"/>
      <c r="E224" s="622"/>
      <c r="F224" s="622"/>
      <c r="G224" s="622"/>
      <c r="H224" s="622"/>
      <c r="I224" s="622"/>
      <c r="J224" s="622"/>
      <c r="K224" s="622"/>
      <c r="L224" s="622"/>
      <c r="M224" s="622"/>
      <c r="N224" s="622"/>
      <c r="O224" s="622"/>
      <c r="P224" s="622"/>
      <c r="Q224" s="622"/>
      <c r="R224" s="622"/>
      <c r="S224" s="622"/>
      <c r="T224" s="622"/>
      <c r="U224" s="622"/>
      <c r="V224" s="622"/>
    </row>
    <row r="225" spans="1:22" x14ac:dyDescent="0.3">
      <c r="A225" s="396" t="s">
        <v>4</v>
      </c>
      <c r="B225" s="623" t="s">
        <v>59</v>
      </c>
      <c r="C225" s="623"/>
      <c r="D225" s="623"/>
      <c r="E225" s="623"/>
      <c r="F225" s="623"/>
      <c r="G225" s="623"/>
      <c r="H225" s="623"/>
      <c r="I225" s="623"/>
      <c r="J225" s="623"/>
      <c r="K225" s="623"/>
      <c r="L225" s="623"/>
      <c r="M225" s="623"/>
      <c r="N225" s="623"/>
      <c r="O225" s="623"/>
      <c r="P225" s="623"/>
      <c r="Q225" s="623"/>
      <c r="R225" s="623"/>
      <c r="S225" s="623"/>
      <c r="T225" s="623"/>
      <c r="U225" s="623"/>
      <c r="V225" s="623"/>
    </row>
    <row r="226" spans="1:22" x14ac:dyDescent="0.3">
      <c r="A226" s="621" t="s">
        <v>223</v>
      </c>
      <c r="B226" s="623" t="s">
        <v>232</v>
      </c>
      <c r="C226" s="623"/>
      <c r="D226" s="623"/>
      <c r="E226" s="621" t="s">
        <v>27</v>
      </c>
      <c r="F226" s="621" t="s">
        <v>57</v>
      </c>
      <c r="G226" s="621" t="s">
        <v>58</v>
      </c>
      <c r="H226" s="621" t="s">
        <v>720</v>
      </c>
      <c r="I226" s="621"/>
      <c r="J226" s="621"/>
      <c r="K226" s="621"/>
      <c r="L226" s="621"/>
      <c r="M226" s="621" t="s">
        <v>721</v>
      </c>
      <c r="N226" s="621"/>
      <c r="O226" s="621"/>
      <c r="P226" s="621"/>
      <c r="Q226" s="621"/>
      <c r="R226" s="621"/>
      <c r="S226" s="621"/>
      <c r="T226" s="621"/>
      <c r="U226" s="621" t="s">
        <v>280</v>
      </c>
      <c r="V226" s="621"/>
    </row>
    <row r="227" spans="1:22" ht="16.5" customHeight="1" x14ac:dyDescent="0.3">
      <c r="A227" s="621"/>
      <c r="B227" s="623"/>
      <c r="C227" s="623"/>
      <c r="D227" s="623"/>
      <c r="E227" s="621"/>
      <c r="F227" s="621"/>
      <c r="G227" s="621"/>
      <c r="H227" s="621" t="s">
        <v>345</v>
      </c>
      <c r="I227" s="621"/>
      <c r="J227" s="621"/>
      <c r="K227" s="621"/>
      <c r="L227" s="621"/>
      <c r="M227" s="635" t="s">
        <v>718</v>
      </c>
      <c r="N227" s="621"/>
      <c r="O227" s="635" t="s">
        <v>719</v>
      </c>
      <c r="P227" s="621"/>
      <c r="Q227" s="635" t="s">
        <v>724</v>
      </c>
      <c r="R227" s="621"/>
      <c r="S227" s="636" t="s">
        <v>725</v>
      </c>
      <c r="T227" s="637"/>
      <c r="U227" s="621"/>
      <c r="V227" s="621"/>
    </row>
    <row r="228" spans="1:22" x14ac:dyDescent="0.3">
      <c r="A228" s="396" t="s">
        <v>60</v>
      </c>
      <c r="B228" s="618" t="s">
        <v>61</v>
      </c>
      <c r="C228" s="618"/>
      <c r="D228" s="618"/>
      <c r="E228" s="396" t="s">
        <v>62</v>
      </c>
      <c r="F228" s="409"/>
      <c r="G228" s="409"/>
      <c r="H228" s="613"/>
      <c r="I228" s="613"/>
      <c r="J228" s="613"/>
      <c r="K228" s="613"/>
      <c r="L228" s="613"/>
      <c r="M228" s="616"/>
      <c r="N228" s="616"/>
      <c r="O228" s="616"/>
      <c r="P228" s="616"/>
      <c r="Q228" s="616"/>
      <c r="R228" s="616"/>
      <c r="S228" s="617">
        <f>IFERROR(AVERAGEIF(M228:R228,"&gt;0",M228:R228),0)</f>
        <v>0</v>
      </c>
      <c r="T228" s="617"/>
      <c r="U228" s="613"/>
      <c r="V228" s="613"/>
    </row>
    <row r="229" spans="1:22" x14ac:dyDescent="0.3">
      <c r="A229" s="396" t="s">
        <v>63</v>
      </c>
      <c r="B229" s="618" t="s">
        <v>64</v>
      </c>
      <c r="C229" s="618"/>
      <c r="D229" s="618"/>
      <c r="E229" s="396" t="s">
        <v>62</v>
      </c>
      <c r="F229" s="409"/>
      <c r="G229" s="409"/>
      <c r="H229" s="613"/>
      <c r="I229" s="613"/>
      <c r="J229" s="613"/>
      <c r="K229" s="613"/>
      <c r="L229" s="613"/>
      <c r="M229" s="616"/>
      <c r="N229" s="616"/>
      <c r="O229" s="616"/>
      <c r="P229" s="616"/>
      <c r="Q229" s="616"/>
      <c r="R229" s="616"/>
      <c r="S229" s="617">
        <f t="shared" ref="S229:S232" si="27">IFERROR(AVERAGEIF(M229:R229,"&gt;0",M229:R229),0)</f>
        <v>0</v>
      </c>
      <c r="T229" s="617"/>
      <c r="U229" s="613"/>
      <c r="V229" s="613"/>
    </row>
    <row r="230" spans="1:22" x14ac:dyDescent="0.3">
      <c r="A230" s="396" t="s">
        <v>34</v>
      </c>
      <c r="B230" s="618" t="s">
        <v>65</v>
      </c>
      <c r="C230" s="618"/>
      <c r="D230" s="618"/>
      <c r="E230" s="396" t="s">
        <v>62</v>
      </c>
      <c r="F230" s="409"/>
      <c r="G230" s="409"/>
      <c r="H230" s="613"/>
      <c r="I230" s="613"/>
      <c r="J230" s="613"/>
      <c r="K230" s="613"/>
      <c r="L230" s="613"/>
      <c r="M230" s="616"/>
      <c r="N230" s="616"/>
      <c r="O230" s="616"/>
      <c r="P230" s="616"/>
      <c r="Q230" s="616"/>
      <c r="R230" s="616"/>
      <c r="S230" s="617">
        <f t="shared" si="27"/>
        <v>0</v>
      </c>
      <c r="T230" s="617"/>
      <c r="U230" s="613"/>
      <c r="V230" s="613"/>
    </row>
    <row r="231" spans="1:22" x14ac:dyDescent="0.3">
      <c r="A231" s="396" t="s">
        <v>36</v>
      </c>
      <c r="B231" s="618" t="s">
        <v>66</v>
      </c>
      <c r="C231" s="618"/>
      <c r="D231" s="618"/>
      <c r="E231" s="396" t="s">
        <v>62</v>
      </c>
      <c r="F231" s="409"/>
      <c r="G231" s="409"/>
      <c r="H231" s="613"/>
      <c r="I231" s="613"/>
      <c r="J231" s="613"/>
      <c r="K231" s="613"/>
      <c r="L231" s="613"/>
      <c r="M231" s="616"/>
      <c r="N231" s="616"/>
      <c r="O231" s="616"/>
      <c r="P231" s="616"/>
      <c r="Q231" s="616"/>
      <c r="R231" s="616"/>
      <c r="S231" s="617">
        <f t="shared" si="27"/>
        <v>0</v>
      </c>
      <c r="T231" s="617"/>
      <c r="U231" s="613"/>
      <c r="V231" s="613"/>
    </row>
    <row r="232" spans="1:22" x14ac:dyDescent="0.3">
      <c r="A232" s="396" t="s">
        <v>67</v>
      </c>
      <c r="B232" s="618" t="s">
        <v>68</v>
      </c>
      <c r="C232" s="618"/>
      <c r="D232" s="618"/>
      <c r="E232" s="396" t="s">
        <v>69</v>
      </c>
      <c r="F232" s="409"/>
      <c r="G232" s="409"/>
      <c r="H232" s="613"/>
      <c r="I232" s="613"/>
      <c r="J232" s="613"/>
      <c r="K232" s="613"/>
      <c r="L232" s="613"/>
      <c r="M232" s="616"/>
      <c r="N232" s="616"/>
      <c r="O232" s="616"/>
      <c r="P232" s="616"/>
      <c r="Q232" s="616"/>
      <c r="R232" s="616"/>
      <c r="S232" s="617">
        <f t="shared" si="27"/>
        <v>0</v>
      </c>
      <c r="T232" s="617"/>
      <c r="U232" s="613"/>
      <c r="V232" s="613"/>
    </row>
    <row r="233" spans="1:22" x14ac:dyDescent="0.3">
      <c r="A233" s="396" t="s">
        <v>12</v>
      </c>
      <c r="B233" s="623" t="s">
        <v>70</v>
      </c>
      <c r="C233" s="623"/>
      <c r="D233" s="623"/>
      <c r="E233" s="623"/>
      <c r="F233" s="623"/>
      <c r="G233" s="623"/>
      <c r="H233" s="623"/>
      <c r="I233" s="623"/>
      <c r="J233" s="623"/>
      <c r="K233" s="623"/>
      <c r="L233" s="623"/>
      <c r="M233" s="623"/>
      <c r="N233" s="623"/>
      <c r="O233" s="623"/>
      <c r="P233" s="623"/>
      <c r="Q233" s="623"/>
      <c r="R233" s="623"/>
      <c r="S233" s="623"/>
      <c r="T233" s="623"/>
      <c r="U233" s="623"/>
      <c r="V233" s="623"/>
    </row>
    <row r="234" spans="1:22" x14ac:dyDescent="0.3">
      <c r="A234" s="396" t="s">
        <v>30</v>
      </c>
      <c r="B234" s="618" t="s">
        <v>71</v>
      </c>
      <c r="C234" s="618"/>
      <c r="D234" s="618"/>
      <c r="E234" s="396" t="s">
        <v>62</v>
      </c>
      <c r="F234" s="409"/>
      <c r="G234" s="409"/>
      <c r="H234" s="613"/>
      <c r="I234" s="613"/>
      <c r="J234" s="613"/>
      <c r="K234" s="613"/>
      <c r="L234" s="613"/>
      <c r="M234" s="616"/>
      <c r="N234" s="616"/>
      <c r="O234" s="616"/>
      <c r="P234" s="616"/>
      <c r="Q234" s="616"/>
      <c r="R234" s="616"/>
      <c r="S234" s="617">
        <f>IFERROR(AVERAGEIF(M234:R234,"&gt;0",M234:R234),0)</f>
        <v>0</v>
      </c>
      <c r="T234" s="617"/>
      <c r="U234" s="613"/>
      <c r="V234" s="613"/>
    </row>
    <row r="235" spans="1:22" x14ac:dyDescent="0.3">
      <c r="A235" s="396" t="s">
        <v>63</v>
      </c>
      <c r="B235" s="618" t="s">
        <v>72</v>
      </c>
      <c r="C235" s="618"/>
      <c r="D235" s="618"/>
      <c r="E235" s="396" t="s">
        <v>62</v>
      </c>
      <c r="F235" s="409"/>
      <c r="G235" s="409"/>
      <c r="H235" s="613"/>
      <c r="I235" s="613"/>
      <c r="J235" s="613"/>
      <c r="K235" s="613"/>
      <c r="L235" s="613"/>
      <c r="M235" s="616"/>
      <c r="N235" s="616"/>
      <c r="O235" s="616"/>
      <c r="P235" s="616"/>
      <c r="Q235" s="616"/>
      <c r="R235" s="616"/>
      <c r="S235" s="617">
        <f t="shared" ref="S235:S238" si="28">IFERROR(AVERAGEIF(M235:R235,"&gt;0",M235:R235),0)</f>
        <v>0</v>
      </c>
      <c r="T235" s="617"/>
      <c r="U235" s="613"/>
      <c r="V235" s="613"/>
    </row>
    <row r="236" spans="1:22" x14ac:dyDescent="0.3">
      <c r="A236" s="396" t="s">
        <v>34</v>
      </c>
      <c r="B236" s="618" t="s">
        <v>73</v>
      </c>
      <c r="C236" s="618"/>
      <c r="D236" s="618"/>
      <c r="E236" s="396" t="s">
        <v>62</v>
      </c>
      <c r="F236" s="409"/>
      <c r="G236" s="409"/>
      <c r="H236" s="613"/>
      <c r="I236" s="613"/>
      <c r="J236" s="613"/>
      <c r="K236" s="613"/>
      <c r="L236" s="613"/>
      <c r="M236" s="616"/>
      <c r="N236" s="616"/>
      <c r="O236" s="616"/>
      <c r="P236" s="616"/>
      <c r="Q236" s="616"/>
      <c r="R236" s="616"/>
      <c r="S236" s="617">
        <f t="shared" si="28"/>
        <v>0</v>
      </c>
      <c r="T236" s="617"/>
      <c r="U236" s="613"/>
      <c r="V236" s="613"/>
    </row>
    <row r="237" spans="1:22" x14ac:dyDescent="0.3">
      <c r="A237" s="396" t="s">
        <v>36</v>
      </c>
      <c r="B237" s="618" t="s">
        <v>74</v>
      </c>
      <c r="C237" s="618"/>
      <c r="D237" s="618"/>
      <c r="E237" s="396" t="s">
        <v>62</v>
      </c>
      <c r="F237" s="409"/>
      <c r="G237" s="409"/>
      <c r="H237" s="613"/>
      <c r="I237" s="613"/>
      <c r="J237" s="613"/>
      <c r="K237" s="613"/>
      <c r="L237" s="613"/>
      <c r="M237" s="616"/>
      <c r="N237" s="616"/>
      <c r="O237" s="616"/>
      <c r="P237" s="616"/>
      <c r="Q237" s="616"/>
      <c r="R237" s="616"/>
      <c r="S237" s="617">
        <f t="shared" si="28"/>
        <v>0</v>
      </c>
      <c r="T237" s="617"/>
      <c r="U237" s="613"/>
      <c r="V237" s="613"/>
    </row>
    <row r="238" spans="1:22" x14ac:dyDescent="0.3">
      <c r="A238" s="396" t="s">
        <v>67</v>
      </c>
      <c r="B238" s="618" t="s">
        <v>75</v>
      </c>
      <c r="C238" s="618"/>
      <c r="D238" s="618"/>
      <c r="E238" s="396" t="s">
        <v>62</v>
      </c>
      <c r="F238" s="409"/>
      <c r="G238" s="409"/>
      <c r="H238" s="613"/>
      <c r="I238" s="613"/>
      <c r="J238" s="613"/>
      <c r="K238" s="613"/>
      <c r="L238" s="613"/>
      <c r="M238" s="616"/>
      <c r="N238" s="616"/>
      <c r="O238" s="616"/>
      <c r="P238" s="616"/>
      <c r="Q238" s="616"/>
      <c r="R238" s="616"/>
      <c r="S238" s="617">
        <f t="shared" si="28"/>
        <v>0</v>
      </c>
      <c r="T238" s="617"/>
      <c r="U238" s="613"/>
      <c r="V238" s="613"/>
    </row>
    <row r="239" spans="1:22" x14ac:dyDescent="0.3">
      <c r="A239" s="396" t="s">
        <v>50</v>
      </c>
      <c r="B239" s="618" t="s">
        <v>156</v>
      </c>
      <c r="C239" s="618"/>
      <c r="D239" s="618"/>
      <c r="E239" s="396"/>
      <c r="F239" s="409"/>
      <c r="G239" s="409"/>
      <c r="H239" s="613"/>
      <c r="I239" s="613"/>
      <c r="J239" s="613"/>
      <c r="K239" s="613"/>
      <c r="L239" s="613"/>
      <c r="M239" s="616"/>
      <c r="N239" s="616"/>
      <c r="O239" s="616"/>
      <c r="P239" s="616"/>
      <c r="Q239" s="616"/>
      <c r="R239" s="616"/>
      <c r="S239" s="617">
        <f>IFERROR(AVERAGEIF(M239:R239,"&gt;0",M239:R239),0)</f>
        <v>0</v>
      </c>
      <c r="T239" s="617"/>
      <c r="U239" s="613"/>
      <c r="V239" s="613"/>
    </row>
    <row r="240" spans="1:22" ht="33.75" customHeight="1" x14ac:dyDescent="0.3">
      <c r="A240" s="396" t="s">
        <v>51</v>
      </c>
      <c r="B240" s="631" t="s">
        <v>964</v>
      </c>
      <c r="C240" s="632"/>
      <c r="D240" s="633"/>
      <c r="E240" s="396" t="s">
        <v>645</v>
      </c>
      <c r="F240" s="409"/>
      <c r="G240" s="409"/>
      <c r="H240" s="619"/>
      <c r="I240" s="634"/>
      <c r="J240" s="634"/>
      <c r="K240" s="634"/>
      <c r="L240" s="620"/>
      <c r="M240" s="614"/>
      <c r="N240" s="615"/>
      <c r="O240" s="614"/>
      <c r="P240" s="615"/>
      <c r="Q240" s="614"/>
      <c r="R240" s="615"/>
      <c r="S240" s="617">
        <f>IFERROR(AVERAGEIF(M240:R240,"&gt;0",M240:R240),0)</f>
        <v>0</v>
      </c>
      <c r="T240" s="617"/>
      <c r="U240" s="619"/>
      <c r="V240" s="620"/>
    </row>
    <row r="241" spans="1:22" s="189" customFormat="1" ht="23.4" x14ac:dyDescent="0.3">
      <c r="A241" s="187" t="s">
        <v>195</v>
      </c>
      <c r="B241" s="622" t="s">
        <v>45</v>
      </c>
      <c r="C241" s="622"/>
      <c r="D241" s="622"/>
      <c r="E241" s="622"/>
      <c r="F241" s="622"/>
      <c r="G241" s="622"/>
      <c r="H241" s="622"/>
      <c r="I241" s="622"/>
      <c r="J241" s="622"/>
      <c r="K241" s="622"/>
      <c r="L241" s="622"/>
      <c r="M241" s="622"/>
      <c r="N241" s="622"/>
      <c r="O241" s="622"/>
      <c r="P241" s="622"/>
      <c r="Q241" s="622"/>
      <c r="R241" s="622"/>
      <c r="S241" s="622"/>
      <c r="T241" s="622"/>
      <c r="U241" s="622"/>
      <c r="V241" s="622"/>
    </row>
    <row r="242" spans="1:22" x14ac:dyDescent="0.3">
      <c r="A242" s="396" t="s">
        <v>4</v>
      </c>
      <c r="B242" s="623" t="s">
        <v>59</v>
      </c>
      <c r="C242" s="623"/>
      <c r="D242" s="623"/>
      <c r="E242" s="623"/>
      <c r="F242" s="623"/>
      <c r="G242" s="623"/>
      <c r="H242" s="623"/>
      <c r="I242" s="623"/>
      <c r="J242" s="623"/>
      <c r="K242" s="623"/>
      <c r="L242" s="623"/>
      <c r="M242" s="623"/>
      <c r="N242" s="623"/>
      <c r="O242" s="623"/>
      <c r="P242" s="623"/>
      <c r="Q242" s="623"/>
      <c r="R242" s="623"/>
      <c r="S242" s="623"/>
      <c r="T242" s="623"/>
      <c r="U242" s="623"/>
      <c r="V242" s="623"/>
    </row>
    <row r="243" spans="1:22" x14ac:dyDescent="0.3">
      <c r="A243" s="621" t="s">
        <v>223</v>
      </c>
      <c r="B243" s="623" t="s">
        <v>232</v>
      </c>
      <c r="C243" s="623"/>
      <c r="D243" s="623"/>
      <c r="E243" s="621" t="s">
        <v>27</v>
      </c>
      <c r="F243" s="621" t="s">
        <v>57</v>
      </c>
      <c r="G243" s="621" t="s">
        <v>58</v>
      </c>
      <c r="H243" s="621" t="s">
        <v>720</v>
      </c>
      <c r="I243" s="621"/>
      <c r="J243" s="621"/>
      <c r="K243" s="621"/>
      <c r="L243" s="621"/>
      <c r="M243" s="621" t="s">
        <v>721</v>
      </c>
      <c r="N243" s="621"/>
      <c r="O243" s="621"/>
      <c r="P243" s="621"/>
      <c r="Q243" s="621"/>
      <c r="R243" s="621"/>
      <c r="S243" s="621"/>
      <c r="T243" s="621"/>
      <c r="U243" s="621" t="s">
        <v>280</v>
      </c>
      <c r="V243" s="621"/>
    </row>
    <row r="244" spans="1:22" ht="36.6" customHeight="1" x14ac:dyDescent="0.3">
      <c r="A244" s="621"/>
      <c r="B244" s="623"/>
      <c r="C244" s="623"/>
      <c r="D244" s="623"/>
      <c r="E244" s="621"/>
      <c r="F244" s="621"/>
      <c r="G244" s="621"/>
      <c r="H244" s="621" t="s">
        <v>345</v>
      </c>
      <c r="I244" s="621"/>
      <c r="J244" s="621"/>
      <c r="K244" s="621"/>
      <c r="L244" s="621"/>
      <c r="M244" s="635" t="s">
        <v>718</v>
      </c>
      <c r="N244" s="621"/>
      <c r="O244" s="635" t="s">
        <v>719</v>
      </c>
      <c r="P244" s="621"/>
      <c r="Q244" s="635" t="s">
        <v>724</v>
      </c>
      <c r="R244" s="621"/>
      <c r="S244" s="636" t="s">
        <v>725</v>
      </c>
      <c r="T244" s="637"/>
      <c r="U244" s="621"/>
      <c r="V244" s="621"/>
    </row>
    <row r="245" spans="1:22" x14ac:dyDescent="0.3">
      <c r="A245" s="396" t="s">
        <v>60</v>
      </c>
      <c r="B245" s="618" t="s">
        <v>61</v>
      </c>
      <c r="C245" s="618"/>
      <c r="D245" s="618"/>
      <c r="E245" s="396" t="s">
        <v>62</v>
      </c>
      <c r="F245" s="409"/>
      <c r="G245" s="409"/>
      <c r="H245" s="613"/>
      <c r="I245" s="613"/>
      <c r="J245" s="613"/>
      <c r="K245" s="613"/>
      <c r="L245" s="613"/>
      <c r="M245" s="616"/>
      <c r="N245" s="616"/>
      <c r="O245" s="616"/>
      <c r="P245" s="616"/>
      <c r="Q245" s="616"/>
      <c r="R245" s="616"/>
      <c r="S245" s="617">
        <f>IFERROR(AVERAGEIF(M245:R245,"&gt;0",M245:R245),0)</f>
        <v>0</v>
      </c>
      <c r="T245" s="617"/>
      <c r="U245" s="613"/>
      <c r="V245" s="613"/>
    </row>
    <row r="246" spans="1:22" x14ac:dyDescent="0.3">
      <c r="A246" s="396" t="s">
        <v>63</v>
      </c>
      <c r="B246" s="618" t="s">
        <v>64</v>
      </c>
      <c r="C246" s="618"/>
      <c r="D246" s="618"/>
      <c r="E246" s="396" t="s">
        <v>62</v>
      </c>
      <c r="F246" s="409"/>
      <c r="G246" s="409"/>
      <c r="H246" s="613"/>
      <c r="I246" s="613"/>
      <c r="J246" s="613"/>
      <c r="K246" s="613"/>
      <c r="L246" s="613"/>
      <c r="M246" s="616"/>
      <c r="N246" s="616"/>
      <c r="O246" s="616"/>
      <c r="P246" s="616"/>
      <c r="Q246" s="616"/>
      <c r="R246" s="616"/>
      <c r="S246" s="617">
        <f t="shared" ref="S246:S249" si="29">IFERROR(AVERAGEIF(M246:R246,"&gt;0",M246:R246),0)</f>
        <v>0</v>
      </c>
      <c r="T246" s="617"/>
      <c r="U246" s="613"/>
      <c r="V246" s="613"/>
    </row>
    <row r="247" spans="1:22" x14ac:dyDescent="0.3">
      <c r="A247" s="396" t="s">
        <v>34</v>
      </c>
      <c r="B247" s="618" t="s">
        <v>65</v>
      </c>
      <c r="C247" s="618"/>
      <c r="D247" s="618"/>
      <c r="E247" s="396" t="s">
        <v>62</v>
      </c>
      <c r="F247" s="409"/>
      <c r="G247" s="409"/>
      <c r="H247" s="613"/>
      <c r="I247" s="613"/>
      <c r="J247" s="613"/>
      <c r="K247" s="613"/>
      <c r="L247" s="613"/>
      <c r="M247" s="616"/>
      <c r="N247" s="616"/>
      <c r="O247" s="616"/>
      <c r="P247" s="616"/>
      <c r="Q247" s="616"/>
      <c r="R247" s="616"/>
      <c r="S247" s="617">
        <f t="shared" si="29"/>
        <v>0</v>
      </c>
      <c r="T247" s="617"/>
      <c r="U247" s="613"/>
      <c r="V247" s="613"/>
    </row>
    <row r="248" spans="1:22" x14ac:dyDescent="0.3">
      <c r="A248" s="396" t="s">
        <v>36</v>
      </c>
      <c r="B248" s="618" t="s">
        <v>66</v>
      </c>
      <c r="C248" s="618"/>
      <c r="D248" s="618"/>
      <c r="E248" s="396" t="s">
        <v>62</v>
      </c>
      <c r="F248" s="409"/>
      <c r="G248" s="409"/>
      <c r="H248" s="613"/>
      <c r="I248" s="613"/>
      <c r="J248" s="613"/>
      <c r="K248" s="613"/>
      <c r="L248" s="613"/>
      <c r="M248" s="616"/>
      <c r="N248" s="616"/>
      <c r="O248" s="616"/>
      <c r="P248" s="616"/>
      <c r="Q248" s="616"/>
      <c r="R248" s="616"/>
      <c r="S248" s="617">
        <f t="shared" si="29"/>
        <v>0</v>
      </c>
      <c r="T248" s="617"/>
      <c r="U248" s="613"/>
      <c r="V248" s="613"/>
    </row>
    <row r="249" spans="1:22" x14ac:dyDescent="0.3">
      <c r="A249" s="396" t="s">
        <v>67</v>
      </c>
      <c r="B249" s="618" t="s">
        <v>68</v>
      </c>
      <c r="C249" s="618"/>
      <c r="D249" s="618"/>
      <c r="E249" s="396" t="s">
        <v>69</v>
      </c>
      <c r="F249" s="409"/>
      <c r="G249" s="409"/>
      <c r="H249" s="613"/>
      <c r="I249" s="613"/>
      <c r="J249" s="613"/>
      <c r="K249" s="613"/>
      <c r="L249" s="613"/>
      <c r="M249" s="616"/>
      <c r="N249" s="616"/>
      <c r="O249" s="616"/>
      <c r="P249" s="616"/>
      <c r="Q249" s="616"/>
      <c r="R249" s="616"/>
      <c r="S249" s="617">
        <f t="shared" si="29"/>
        <v>0</v>
      </c>
      <c r="T249" s="617"/>
      <c r="U249" s="613"/>
      <c r="V249" s="613"/>
    </row>
    <row r="250" spans="1:22" x14ac:dyDescent="0.3">
      <c r="A250" s="396" t="s">
        <v>12</v>
      </c>
      <c r="B250" s="623" t="s">
        <v>70</v>
      </c>
      <c r="C250" s="623"/>
      <c r="D250" s="623"/>
      <c r="E250" s="623"/>
      <c r="F250" s="623"/>
      <c r="G250" s="623"/>
      <c r="H250" s="623"/>
      <c r="I250" s="623"/>
      <c r="J250" s="623"/>
      <c r="K250" s="623"/>
      <c r="L250" s="623"/>
      <c r="M250" s="623"/>
      <c r="N250" s="623"/>
      <c r="O250" s="623"/>
      <c r="P250" s="623"/>
      <c r="Q250" s="623"/>
      <c r="R250" s="623"/>
      <c r="S250" s="623"/>
      <c r="T250" s="623"/>
      <c r="U250" s="623"/>
      <c r="V250" s="623"/>
    </row>
    <row r="251" spans="1:22" x14ac:dyDescent="0.3">
      <c r="A251" s="396" t="s">
        <v>30</v>
      </c>
      <c r="B251" s="618" t="s">
        <v>71</v>
      </c>
      <c r="C251" s="618"/>
      <c r="D251" s="618"/>
      <c r="E251" s="396" t="s">
        <v>62</v>
      </c>
      <c r="F251" s="409"/>
      <c r="G251" s="409"/>
      <c r="H251" s="619"/>
      <c r="I251" s="634"/>
      <c r="J251" s="634"/>
      <c r="K251" s="634"/>
      <c r="L251" s="620"/>
      <c r="M251" s="614"/>
      <c r="N251" s="615"/>
      <c r="O251" s="614"/>
      <c r="P251" s="615"/>
      <c r="Q251" s="614"/>
      <c r="R251" s="615"/>
      <c r="S251" s="617">
        <f>IFERROR(AVERAGEIF(M251:R251,"&gt;0",M251:R251),0)</f>
        <v>0</v>
      </c>
      <c r="T251" s="617"/>
      <c r="U251" s="619"/>
      <c r="V251" s="620"/>
    </row>
    <row r="252" spans="1:22" x14ac:dyDescent="0.3">
      <c r="A252" s="396" t="s">
        <v>63</v>
      </c>
      <c r="B252" s="618" t="s">
        <v>72</v>
      </c>
      <c r="C252" s="618"/>
      <c r="D252" s="618"/>
      <c r="E252" s="396" t="s">
        <v>62</v>
      </c>
      <c r="F252" s="409"/>
      <c r="G252" s="409"/>
      <c r="H252" s="619"/>
      <c r="I252" s="634"/>
      <c r="J252" s="634"/>
      <c r="K252" s="634"/>
      <c r="L252" s="620"/>
      <c r="M252" s="614"/>
      <c r="N252" s="615"/>
      <c r="O252" s="614"/>
      <c r="P252" s="615"/>
      <c r="Q252" s="614"/>
      <c r="R252" s="615"/>
      <c r="S252" s="617">
        <f t="shared" ref="S252:S255" si="30">IFERROR(AVERAGEIF(M252:R252,"&gt;0",M252:R252),0)</f>
        <v>0</v>
      </c>
      <c r="T252" s="617"/>
      <c r="U252" s="619"/>
      <c r="V252" s="620"/>
    </row>
    <row r="253" spans="1:22" x14ac:dyDescent="0.3">
      <c r="A253" s="396" t="s">
        <v>34</v>
      </c>
      <c r="B253" s="618" t="s">
        <v>73</v>
      </c>
      <c r="C253" s="618"/>
      <c r="D253" s="618"/>
      <c r="E253" s="396" t="s">
        <v>62</v>
      </c>
      <c r="F253" s="409"/>
      <c r="G253" s="409"/>
      <c r="H253" s="619"/>
      <c r="I253" s="634"/>
      <c r="J253" s="634"/>
      <c r="K253" s="634"/>
      <c r="L253" s="620"/>
      <c r="M253" s="614"/>
      <c r="N253" s="615"/>
      <c r="O253" s="614"/>
      <c r="P253" s="615"/>
      <c r="Q253" s="614"/>
      <c r="R253" s="615"/>
      <c r="S253" s="617">
        <f t="shared" si="30"/>
        <v>0</v>
      </c>
      <c r="T253" s="617"/>
      <c r="U253" s="619"/>
      <c r="V253" s="620"/>
    </row>
    <row r="254" spans="1:22" x14ac:dyDescent="0.3">
      <c r="A254" s="396" t="s">
        <v>36</v>
      </c>
      <c r="B254" s="618" t="s">
        <v>74</v>
      </c>
      <c r="C254" s="618"/>
      <c r="D254" s="618"/>
      <c r="E254" s="396" t="s">
        <v>62</v>
      </c>
      <c r="F254" s="409"/>
      <c r="G254" s="409"/>
      <c r="H254" s="619"/>
      <c r="I254" s="634"/>
      <c r="J254" s="634"/>
      <c r="K254" s="634"/>
      <c r="L254" s="620"/>
      <c r="M254" s="614"/>
      <c r="N254" s="615"/>
      <c r="O254" s="614"/>
      <c r="P254" s="615"/>
      <c r="Q254" s="614"/>
      <c r="R254" s="615"/>
      <c r="S254" s="617">
        <f t="shared" si="30"/>
        <v>0</v>
      </c>
      <c r="T254" s="617"/>
      <c r="U254" s="619"/>
      <c r="V254" s="620"/>
    </row>
    <row r="255" spans="1:22" x14ac:dyDescent="0.3">
      <c r="A255" s="396" t="s">
        <v>67</v>
      </c>
      <c r="B255" s="618" t="s">
        <v>75</v>
      </c>
      <c r="C255" s="618"/>
      <c r="D255" s="618"/>
      <c r="E255" s="396" t="s">
        <v>62</v>
      </c>
      <c r="F255" s="409"/>
      <c r="G255" s="409"/>
      <c r="H255" s="619"/>
      <c r="I255" s="634"/>
      <c r="J255" s="634"/>
      <c r="K255" s="634"/>
      <c r="L255" s="620"/>
      <c r="M255" s="614"/>
      <c r="N255" s="615"/>
      <c r="O255" s="614"/>
      <c r="P255" s="615"/>
      <c r="Q255" s="614"/>
      <c r="R255" s="615"/>
      <c r="S255" s="617">
        <f t="shared" si="30"/>
        <v>0</v>
      </c>
      <c r="T255" s="617"/>
      <c r="U255" s="619"/>
      <c r="V255" s="620"/>
    </row>
    <row r="256" spans="1:22" x14ac:dyDescent="0.3">
      <c r="A256" s="396" t="s">
        <v>50</v>
      </c>
      <c r="B256" s="618" t="s">
        <v>156</v>
      </c>
      <c r="C256" s="618"/>
      <c r="D256" s="618"/>
      <c r="E256" s="396"/>
      <c r="F256" s="409"/>
      <c r="G256" s="409"/>
      <c r="H256" s="619"/>
      <c r="I256" s="634"/>
      <c r="J256" s="634"/>
      <c r="K256" s="634"/>
      <c r="L256" s="620"/>
      <c r="M256" s="614"/>
      <c r="N256" s="615"/>
      <c r="O256" s="614"/>
      <c r="P256" s="615"/>
      <c r="Q256" s="614"/>
      <c r="R256" s="615"/>
      <c r="S256" s="617">
        <f>IFERROR(AVERAGEIF(M256:R256,"&gt;0",M256:R256),0)</f>
        <v>0</v>
      </c>
      <c r="T256" s="617"/>
      <c r="U256" s="619"/>
      <c r="V256" s="620"/>
    </row>
    <row r="257" spans="1:22" ht="35.25" customHeight="1" x14ac:dyDescent="0.3">
      <c r="A257" s="396" t="s">
        <v>51</v>
      </c>
      <c r="B257" s="631" t="s">
        <v>964</v>
      </c>
      <c r="C257" s="632"/>
      <c r="D257" s="633"/>
      <c r="E257" s="396" t="s">
        <v>645</v>
      </c>
      <c r="F257" s="409"/>
      <c r="G257" s="409"/>
      <c r="H257" s="619"/>
      <c r="I257" s="634"/>
      <c r="J257" s="634"/>
      <c r="K257" s="634"/>
      <c r="L257" s="620"/>
      <c r="M257" s="614"/>
      <c r="N257" s="615"/>
      <c r="O257" s="614"/>
      <c r="P257" s="615"/>
      <c r="Q257" s="614"/>
      <c r="R257" s="615"/>
      <c r="S257" s="617">
        <f>IFERROR(AVERAGEIF(M257:R257,"&gt;0",M257:R257),0)</f>
        <v>0</v>
      </c>
      <c r="T257" s="617"/>
      <c r="U257" s="619"/>
      <c r="V257" s="620"/>
    </row>
    <row r="258" spans="1:22" s="189" customFormat="1" ht="23.4" x14ac:dyDescent="0.3">
      <c r="A258" s="187" t="s">
        <v>196</v>
      </c>
      <c r="B258" s="622" t="s">
        <v>47</v>
      </c>
      <c r="C258" s="622"/>
      <c r="D258" s="622"/>
      <c r="E258" s="622"/>
      <c r="F258" s="622"/>
      <c r="G258" s="622"/>
      <c r="H258" s="622"/>
      <c r="I258" s="622"/>
      <c r="J258" s="622"/>
      <c r="K258" s="622"/>
      <c r="L258" s="622"/>
      <c r="M258" s="622"/>
      <c r="N258" s="622"/>
      <c r="O258" s="622"/>
      <c r="P258" s="622"/>
      <c r="Q258" s="622"/>
      <c r="R258" s="622"/>
      <c r="S258" s="622"/>
      <c r="T258" s="622"/>
      <c r="U258" s="622"/>
      <c r="V258" s="622"/>
    </row>
    <row r="259" spans="1:22" x14ac:dyDescent="0.3">
      <c r="A259" s="396" t="s">
        <v>4</v>
      </c>
      <c r="B259" s="623" t="s">
        <v>59</v>
      </c>
      <c r="C259" s="623"/>
      <c r="D259" s="623"/>
      <c r="E259" s="623"/>
      <c r="F259" s="623"/>
      <c r="G259" s="623"/>
      <c r="H259" s="623"/>
      <c r="I259" s="623"/>
      <c r="J259" s="623"/>
      <c r="K259" s="623"/>
      <c r="L259" s="623"/>
      <c r="M259" s="623"/>
      <c r="N259" s="623"/>
      <c r="O259" s="623"/>
      <c r="P259" s="623"/>
      <c r="Q259" s="623"/>
      <c r="R259" s="623"/>
      <c r="S259" s="623"/>
      <c r="T259" s="623"/>
      <c r="U259" s="623"/>
      <c r="V259" s="623"/>
    </row>
    <row r="260" spans="1:22" x14ac:dyDescent="0.3">
      <c r="A260" s="621" t="s">
        <v>223</v>
      </c>
      <c r="B260" s="623" t="s">
        <v>232</v>
      </c>
      <c r="C260" s="623"/>
      <c r="D260" s="623"/>
      <c r="E260" s="621" t="s">
        <v>27</v>
      </c>
      <c r="F260" s="621" t="s">
        <v>57</v>
      </c>
      <c r="G260" s="621" t="s">
        <v>58</v>
      </c>
      <c r="H260" s="621" t="s">
        <v>720</v>
      </c>
      <c r="I260" s="621"/>
      <c r="J260" s="621"/>
      <c r="K260" s="621"/>
      <c r="L260" s="621"/>
      <c r="M260" s="621" t="s">
        <v>721</v>
      </c>
      <c r="N260" s="621"/>
      <c r="O260" s="621"/>
      <c r="P260" s="621"/>
      <c r="Q260" s="621"/>
      <c r="R260" s="621"/>
      <c r="S260" s="621"/>
      <c r="T260" s="621"/>
      <c r="U260" s="621" t="s">
        <v>280</v>
      </c>
      <c r="V260" s="621"/>
    </row>
    <row r="261" spans="1:22" ht="16.5" customHeight="1" x14ac:dyDescent="0.3">
      <c r="A261" s="621"/>
      <c r="B261" s="623"/>
      <c r="C261" s="623"/>
      <c r="D261" s="623"/>
      <c r="E261" s="621"/>
      <c r="F261" s="621"/>
      <c r="G261" s="621"/>
      <c r="H261" s="621" t="s">
        <v>345</v>
      </c>
      <c r="I261" s="621"/>
      <c r="J261" s="621"/>
      <c r="K261" s="621"/>
      <c r="L261" s="621"/>
      <c r="M261" s="635" t="s">
        <v>718</v>
      </c>
      <c r="N261" s="621"/>
      <c r="O261" s="635" t="s">
        <v>719</v>
      </c>
      <c r="P261" s="621"/>
      <c r="Q261" s="635" t="s">
        <v>724</v>
      </c>
      <c r="R261" s="621"/>
      <c r="S261" s="636" t="s">
        <v>725</v>
      </c>
      <c r="T261" s="637"/>
      <c r="U261" s="621"/>
      <c r="V261" s="621"/>
    </row>
    <row r="262" spans="1:22" x14ac:dyDescent="0.3">
      <c r="A262" s="396" t="s">
        <v>60</v>
      </c>
      <c r="B262" s="618" t="s">
        <v>61</v>
      </c>
      <c r="C262" s="618"/>
      <c r="D262" s="618"/>
      <c r="E262" s="396" t="s">
        <v>62</v>
      </c>
      <c r="F262" s="409"/>
      <c r="G262" s="409"/>
      <c r="H262" s="619"/>
      <c r="I262" s="634"/>
      <c r="J262" s="634"/>
      <c r="K262" s="634"/>
      <c r="L262" s="620"/>
      <c r="M262" s="614"/>
      <c r="N262" s="615"/>
      <c r="O262" s="616"/>
      <c r="P262" s="616"/>
      <c r="Q262" s="616"/>
      <c r="R262" s="616"/>
      <c r="S262" s="617">
        <f>IFERROR(AVERAGEIF(M262:R262,"&gt;0",M262:R262),0)</f>
        <v>0</v>
      </c>
      <c r="T262" s="617"/>
      <c r="U262" s="613"/>
      <c r="V262" s="613"/>
    </row>
    <row r="263" spans="1:22" x14ac:dyDescent="0.3">
      <c r="A263" s="396" t="s">
        <v>63</v>
      </c>
      <c r="B263" s="618" t="s">
        <v>64</v>
      </c>
      <c r="C263" s="618"/>
      <c r="D263" s="618"/>
      <c r="E263" s="396" t="s">
        <v>62</v>
      </c>
      <c r="F263" s="409"/>
      <c r="G263" s="409"/>
      <c r="H263" s="619"/>
      <c r="I263" s="634"/>
      <c r="J263" s="634"/>
      <c r="K263" s="634"/>
      <c r="L263" s="620"/>
      <c r="M263" s="614"/>
      <c r="N263" s="615"/>
      <c r="O263" s="616"/>
      <c r="P263" s="616"/>
      <c r="Q263" s="616"/>
      <c r="R263" s="616"/>
      <c r="S263" s="617">
        <f t="shared" ref="S263:S266" si="31">IFERROR(AVERAGEIF(M263:R263,"&gt;0",M263:R263),0)</f>
        <v>0</v>
      </c>
      <c r="T263" s="617"/>
      <c r="U263" s="613"/>
      <c r="V263" s="613"/>
    </row>
    <row r="264" spans="1:22" x14ac:dyDescent="0.3">
      <c r="A264" s="396" t="s">
        <v>34</v>
      </c>
      <c r="B264" s="618" t="s">
        <v>65</v>
      </c>
      <c r="C264" s="618"/>
      <c r="D264" s="618"/>
      <c r="E264" s="396" t="s">
        <v>62</v>
      </c>
      <c r="F264" s="409"/>
      <c r="G264" s="409"/>
      <c r="H264" s="619"/>
      <c r="I264" s="634"/>
      <c r="J264" s="634"/>
      <c r="K264" s="634"/>
      <c r="L264" s="620"/>
      <c r="M264" s="614"/>
      <c r="N264" s="615"/>
      <c r="O264" s="616"/>
      <c r="P264" s="616"/>
      <c r="Q264" s="616"/>
      <c r="R264" s="616"/>
      <c r="S264" s="617">
        <f t="shared" si="31"/>
        <v>0</v>
      </c>
      <c r="T264" s="617"/>
      <c r="U264" s="613"/>
      <c r="V264" s="613"/>
    </row>
    <row r="265" spans="1:22" x14ac:dyDescent="0.3">
      <c r="A265" s="396" t="s">
        <v>36</v>
      </c>
      <c r="B265" s="618" t="s">
        <v>66</v>
      </c>
      <c r="C265" s="618"/>
      <c r="D265" s="618"/>
      <c r="E265" s="396" t="s">
        <v>62</v>
      </c>
      <c r="F265" s="409"/>
      <c r="G265" s="409"/>
      <c r="H265" s="619"/>
      <c r="I265" s="634"/>
      <c r="J265" s="634"/>
      <c r="K265" s="634"/>
      <c r="L265" s="620"/>
      <c r="M265" s="614"/>
      <c r="N265" s="615"/>
      <c r="O265" s="616"/>
      <c r="P265" s="616"/>
      <c r="Q265" s="616"/>
      <c r="R265" s="616"/>
      <c r="S265" s="617">
        <f t="shared" si="31"/>
        <v>0</v>
      </c>
      <c r="T265" s="617"/>
      <c r="U265" s="613"/>
      <c r="V265" s="613"/>
    </row>
    <row r="266" spans="1:22" x14ac:dyDescent="0.3">
      <c r="A266" s="396" t="s">
        <v>67</v>
      </c>
      <c r="B266" s="618" t="s">
        <v>68</v>
      </c>
      <c r="C266" s="618"/>
      <c r="D266" s="618"/>
      <c r="E266" s="396" t="s">
        <v>69</v>
      </c>
      <c r="F266" s="409"/>
      <c r="G266" s="409"/>
      <c r="H266" s="619"/>
      <c r="I266" s="634"/>
      <c r="J266" s="634"/>
      <c r="K266" s="634"/>
      <c r="L266" s="620"/>
      <c r="M266" s="614"/>
      <c r="N266" s="615"/>
      <c r="O266" s="616"/>
      <c r="P266" s="616"/>
      <c r="Q266" s="616"/>
      <c r="R266" s="616"/>
      <c r="S266" s="617">
        <f t="shared" si="31"/>
        <v>0</v>
      </c>
      <c r="T266" s="617"/>
      <c r="U266" s="613"/>
      <c r="V266" s="613"/>
    </row>
    <row r="267" spans="1:22" x14ac:dyDescent="0.3">
      <c r="A267" s="396" t="s">
        <v>12</v>
      </c>
      <c r="B267" s="623" t="s">
        <v>70</v>
      </c>
      <c r="C267" s="623"/>
      <c r="D267" s="623"/>
      <c r="E267" s="623"/>
      <c r="F267" s="623"/>
      <c r="G267" s="623"/>
      <c r="H267" s="623"/>
      <c r="I267" s="623"/>
      <c r="J267" s="623"/>
      <c r="K267" s="623"/>
      <c r="L267" s="623"/>
      <c r="M267" s="623"/>
      <c r="N267" s="623"/>
      <c r="O267" s="623"/>
      <c r="P267" s="623"/>
      <c r="Q267" s="623"/>
      <c r="R267" s="623"/>
      <c r="S267" s="623"/>
      <c r="T267" s="623"/>
      <c r="U267" s="623"/>
      <c r="V267" s="623"/>
    </row>
    <row r="268" spans="1:22" x14ac:dyDescent="0.3">
      <c r="A268" s="396" t="s">
        <v>30</v>
      </c>
      <c r="B268" s="618" t="s">
        <v>71</v>
      </c>
      <c r="C268" s="618"/>
      <c r="D268" s="618"/>
      <c r="E268" s="396" t="s">
        <v>62</v>
      </c>
      <c r="F268" s="409"/>
      <c r="G268" s="409"/>
      <c r="H268" s="619"/>
      <c r="I268" s="634"/>
      <c r="J268" s="634"/>
      <c r="K268" s="634"/>
      <c r="L268" s="620"/>
      <c r="M268" s="616"/>
      <c r="N268" s="616"/>
      <c r="O268" s="616"/>
      <c r="P268" s="616"/>
      <c r="Q268" s="616"/>
      <c r="R268" s="616"/>
      <c r="S268" s="617">
        <f>IFERROR(AVERAGEIF(M268:R268,"&gt;0",M268:R268),0)</f>
        <v>0</v>
      </c>
      <c r="T268" s="617"/>
      <c r="U268" s="613"/>
      <c r="V268" s="613"/>
    </row>
    <row r="269" spans="1:22" x14ac:dyDescent="0.3">
      <c r="A269" s="396" t="s">
        <v>63</v>
      </c>
      <c r="B269" s="618" t="s">
        <v>72</v>
      </c>
      <c r="C269" s="618"/>
      <c r="D269" s="618"/>
      <c r="E269" s="396" t="s">
        <v>62</v>
      </c>
      <c r="F269" s="409"/>
      <c r="G269" s="409"/>
      <c r="H269" s="619"/>
      <c r="I269" s="634"/>
      <c r="J269" s="634"/>
      <c r="K269" s="634"/>
      <c r="L269" s="620"/>
      <c r="M269" s="616"/>
      <c r="N269" s="616"/>
      <c r="O269" s="616"/>
      <c r="P269" s="616"/>
      <c r="Q269" s="616"/>
      <c r="R269" s="616"/>
      <c r="S269" s="617">
        <f t="shared" ref="S269:S272" si="32">IFERROR(AVERAGEIF(M269:R269,"&gt;0",M269:R269),0)</f>
        <v>0</v>
      </c>
      <c r="T269" s="617"/>
      <c r="U269" s="613"/>
      <c r="V269" s="613"/>
    </row>
    <row r="270" spans="1:22" x14ac:dyDescent="0.3">
      <c r="A270" s="396" t="s">
        <v>34</v>
      </c>
      <c r="B270" s="618" t="s">
        <v>73</v>
      </c>
      <c r="C270" s="618"/>
      <c r="D270" s="618"/>
      <c r="E270" s="396" t="s">
        <v>62</v>
      </c>
      <c r="F270" s="409"/>
      <c r="G270" s="409"/>
      <c r="H270" s="619" t="s">
        <v>716</v>
      </c>
      <c r="I270" s="634"/>
      <c r="J270" s="634"/>
      <c r="K270" s="634"/>
      <c r="L270" s="620"/>
      <c r="M270" s="616"/>
      <c r="N270" s="616"/>
      <c r="O270" s="616"/>
      <c r="P270" s="616"/>
      <c r="Q270" s="616"/>
      <c r="R270" s="616"/>
      <c r="S270" s="617">
        <f t="shared" si="32"/>
        <v>0</v>
      </c>
      <c r="T270" s="617"/>
      <c r="U270" s="613"/>
      <c r="V270" s="613"/>
    </row>
    <row r="271" spans="1:22" x14ac:dyDescent="0.3">
      <c r="A271" s="396" t="s">
        <v>36</v>
      </c>
      <c r="B271" s="618" t="s">
        <v>74</v>
      </c>
      <c r="C271" s="618"/>
      <c r="D271" s="618"/>
      <c r="E271" s="396" t="s">
        <v>62</v>
      </c>
      <c r="F271" s="409"/>
      <c r="G271" s="409"/>
      <c r="H271" s="619"/>
      <c r="I271" s="634"/>
      <c r="J271" s="634"/>
      <c r="K271" s="634"/>
      <c r="L271" s="620"/>
      <c r="M271" s="616"/>
      <c r="N271" s="616"/>
      <c r="O271" s="616"/>
      <c r="P271" s="616"/>
      <c r="Q271" s="616"/>
      <c r="R271" s="616"/>
      <c r="S271" s="617">
        <f t="shared" si="32"/>
        <v>0</v>
      </c>
      <c r="T271" s="617"/>
      <c r="U271" s="613"/>
      <c r="V271" s="613"/>
    </row>
    <row r="272" spans="1:22" x14ac:dyDescent="0.3">
      <c r="A272" s="396" t="s">
        <v>67</v>
      </c>
      <c r="B272" s="618" t="s">
        <v>75</v>
      </c>
      <c r="C272" s="618"/>
      <c r="D272" s="618"/>
      <c r="E272" s="396" t="s">
        <v>62</v>
      </c>
      <c r="F272" s="409"/>
      <c r="G272" s="409"/>
      <c r="H272" s="619"/>
      <c r="I272" s="634"/>
      <c r="J272" s="634"/>
      <c r="K272" s="634"/>
      <c r="L272" s="620"/>
      <c r="M272" s="616"/>
      <c r="N272" s="616"/>
      <c r="O272" s="616"/>
      <c r="P272" s="616"/>
      <c r="Q272" s="616"/>
      <c r="R272" s="616"/>
      <c r="S272" s="617">
        <f t="shared" si="32"/>
        <v>0</v>
      </c>
      <c r="T272" s="617"/>
      <c r="U272" s="613"/>
      <c r="V272" s="613"/>
    </row>
    <row r="273" spans="1:22" x14ac:dyDescent="0.3">
      <c r="A273" s="396" t="s">
        <v>50</v>
      </c>
      <c r="B273" s="618" t="s">
        <v>156</v>
      </c>
      <c r="C273" s="618"/>
      <c r="D273" s="618"/>
      <c r="E273" s="396"/>
      <c r="F273" s="409"/>
      <c r="G273" s="409"/>
      <c r="H273" s="619"/>
      <c r="I273" s="634"/>
      <c r="J273" s="634"/>
      <c r="K273" s="634"/>
      <c r="L273" s="620"/>
      <c r="M273" s="616"/>
      <c r="N273" s="616"/>
      <c r="O273" s="616"/>
      <c r="P273" s="616"/>
      <c r="Q273" s="616"/>
      <c r="R273" s="616"/>
      <c r="S273" s="617">
        <f>IFERROR(AVERAGEIF(M273:R273,"&gt;0",M273:R273),0)</f>
        <v>0</v>
      </c>
      <c r="T273" s="617"/>
      <c r="U273" s="613"/>
      <c r="V273" s="613"/>
    </row>
    <row r="274" spans="1:22" ht="31.5" customHeight="1" x14ac:dyDescent="0.3">
      <c r="A274" s="396" t="s">
        <v>51</v>
      </c>
      <c r="B274" s="631" t="s">
        <v>964</v>
      </c>
      <c r="C274" s="632"/>
      <c r="D274" s="633"/>
      <c r="E274" s="396" t="s">
        <v>645</v>
      </c>
      <c r="F274" s="409"/>
      <c r="G274" s="409"/>
      <c r="H274" s="619"/>
      <c r="I274" s="634"/>
      <c r="J274" s="634"/>
      <c r="K274" s="634"/>
      <c r="L274" s="620"/>
      <c r="M274" s="614"/>
      <c r="N274" s="615"/>
      <c r="O274" s="614"/>
      <c r="P274" s="615"/>
      <c r="Q274" s="614"/>
      <c r="R274" s="615"/>
      <c r="S274" s="617">
        <f>IFERROR(AVERAGEIF(M274:R274,"&gt;0",M274:R274),0)</f>
        <v>0</v>
      </c>
      <c r="T274" s="617"/>
      <c r="U274" s="619"/>
      <c r="V274" s="620"/>
    </row>
    <row r="275" spans="1:22" s="192" customFormat="1" ht="23.4" x14ac:dyDescent="0.3">
      <c r="A275" s="187" t="s">
        <v>197</v>
      </c>
      <c r="B275" s="622" t="s">
        <v>49</v>
      </c>
      <c r="C275" s="622"/>
      <c r="D275" s="622"/>
      <c r="E275" s="622"/>
      <c r="F275" s="622"/>
      <c r="G275" s="622"/>
      <c r="H275" s="622"/>
      <c r="I275" s="622"/>
      <c r="J275" s="622"/>
      <c r="K275" s="622"/>
      <c r="L275" s="622"/>
      <c r="M275" s="622"/>
      <c r="N275" s="622"/>
      <c r="O275" s="622"/>
      <c r="P275" s="622"/>
      <c r="Q275" s="622"/>
      <c r="R275" s="622"/>
      <c r="S275" s="622"/>
      <c r="T275" s="622"/>
      <c r="U275" s="622"/>
      <c r="V275" s="622"/>
    </row>
    <row r="276" spans="1:22" s="193" customFormat="1" x14ac:dyDescent="0.3">
      <c r="A276" s="396" t="s">
        <v>4</v>
      </c>
      <c r="B276" s="623" t="s">
        <v>59</v>
      </c>
      <c r="C276" s="623"/>
      <c r="D276" s="623"/>
      <c r="E276" s="623"/>
      <c r="F276" s="623"/>
      <c r="G276" s="623"/>
      <c r="H276" s="623"/>
      <c r="I276" s="623"/>
      <c r="J276" s="623"/>
      <c r="K276" s="623"/>
      <c r="L276" s="623"/>
      <c r="M276" s="623"/>
      <c r="N276" s="623"/>
      <c r="O276" s="623"/>
      <c r="P276" s="623"/>
      <c r="Q276" s="623"/>
      <c r="R276" s="623"/>
      <c r="S276" s="623"/>
      <c r="T276" s="623"/>
      <c r="U276" s="623"/>
      <c r="V276" s="623"/>
    </row>
    <row r="277" spans="1:22" x14ac:dyDescent="0.3">
      <c r="A277" s="621" t="s">
        <v>223</v>
      </c>
      <c r="B277" s="623" t="s">
        <v>232</v>
      </c>
      <c r="C277" s="623"/>
      <c r="D277" s="623"/>
      <c r="E277" s="621" t="s">
        <v>27</v>
      </c>
      <c r="F277" s="621" t="s">
        <v>57</v>
      </c>
      <c r="G277" s="621" t="s">
        <v>58</v>
      </c>
      <c r="H277" s="621" t="s">
        <v>720</v>
      </c>
      <c r="I277" s="621"/>
      <c r="J277" s="621"/>
      <c r="K277" s="621"/>
      <c r="L277" s="621"/>
      <c r="M277" s="621" t="s">
        <v>721</v>
      </c>
      <c r="N277" s="621"/>
      <c r="O277" s="621"/>
      <c r="P277" s="621"/>
      <c r="Q277" s="621"/>
      <c r="R277" s="621"/>
      <c r="S277" s="621"/>
      <c r="T277" s="621"/>
      <c r="U277" s="621" t="s">
        <v>280</v>
      </c>
      <c r="V277" s="621"/>
    </row>
    <row r="278" spans="1:22" ht="37.200000000000003" customHeight="1" x14ac:dyDescent="0.3">
      <c r="A278" s="621"/>
      <c r="B278" s="623"/>
      <c r="C278" s="623"/>
      <c r="D278" s="623"/>
      <c r="E278" s="621"/>
      <c r="F278" s="621"/>
      <c r="G278" s="621"/>
      <c r="H278" s="621" t="s">
        <v>345</v>
      </c>
      <c r="I278" s="621"/>
      <c r="J278" s="621"/>
      <c r="K278" s="621"/>
      <c r="L278" s="621"/>
      <c r="M278" s="635" t="s">
        <v>718</v>
      </c>
      <c r="N278" s="621"/>
      <c r="O278" s="635" t="s">
        <v>719</v>
      </c>
      <c r="P278" s="621"/>
      <c r="Q278" s="635" t="s">
        <v>724</v>
      </c>
      <c r="R278" s="621"/>
      <c r="S278" s="636" t="s">
        <v>725</v>
      </c>
      <c r="T278" s="637"/>
      <c r="U278" s="621"/>
      <c r="V278" s="621"/>
    </row>
    <row r="279" spans="1:22" x14ac:dyDescent="0.3">
      <c r="A279" s="396" t="s">
        <v>60</v>
      </c>
      <c r="B279" s="618" t="s">
        <v>61</v>
      </c>
      <c r="C279" s="618"/>
      <c r="D279" s="618"/>
      <c r="E279" s="396" t="s">
        <v>62</v>
      </c>
      <c r="F279" s="409"/>
      <c r="G279" s="409"/>
      <c r="H279" s="613"/>
      <c r="I279" s="613"/>
      <c r="J279" s="613"/>
      <c r="K279" s="613"/>
      <c r="L279" s="613"/>
      <c r="M279" s="616"/>
      <c r="N279" s="616"/>
      <c r="O279" s="616"/>
      <c r="P279" s="616"/>
      <c r="Q279" s="616"/>
      <c r="R279" s="616"/>
      <c r="S279" s="617">
        <f>IFERROR(AVERAGEIF(M279:R279,"&gt;0",M279:R279),0)</f>
        <v>0</v>
      </c>
      <c r="T279" s="617"/>
      <c r="U279" s="613"/>
      <c r="V279" s="613"/>
    </row>
    <row r="280" spans="1:22" x14ac:dyDescent="0.3">
      <c r="A280" s="396" t="s">
        <v>63</v>
      </c>
      <c r="B280" s="618" t="s">
        <v>64</v>
      </c>
      <c r="C280" s="618"/>
      <c r="D280" s="618"/>
      <c r="E280" s="396" t="s">
        <v>62</v>
      </c>
      <c r="F280" s="409"/>
      <c r="G280" s="409"/>
      <c r="H280" s="613"/>
      <c r="I280" s="613"/>
      <c r="J280" s="613"/>
      <c r="K280" s="613"/>
      <c r="L280" s="613"/>
      <c r="M280" s="616"/>
      <c r="N280" s="616"/>
      <c r="O280" s="616"/>
      <c r="P280" s="616"/>
      <c r="Q280" s="616"/>
      <c r="R280" s="616"/>
      <c r="S280" s="617">
        <f t="shared" ref="S280:S283" si="33">IFERROR(AVERAGEIF(M280:R280,"&gt;0",M280:R280),0)</f>
        <v>0</v>
      </c>
      <c r="T280" s="617"/>
      <c r="U280" s="613"/>
      <c r="V280" s="613"/>
    </row>
    <row r="281" spans="1:22" x14ac:dyDescent="0.3">
      <c r="A281" s="396" t="s">
        <v>34</v>
      </c>
      <c r="B281" s="618" t="s">
        <v>65</v>
      </c>
      <c r="C281" s="618"/>
      <c r="D281" s="618"/>
      <c r="E281" s="396" t="s">
        <v>62</v>
      </c>
      <c r="F281" s="409"/>
      <c r="G281" s="409"/>
      <c r="H281" s="613"/>
      <c r="I281" s="613"/>
      <c r="J281" s="613"/>
      <c r="K281" s="613"/>
      <c r="L281" s="613"/>
      <c r="M281" s="616"/>
      <c r="N281" s="616"/>
      <c r="O281" s="616"/>
      <c r="P281" s="616"/>
      <c r="Q281" s="616"/>
      <c r="R281" s="616"/>
      <c r="S281" s="617">
        <f t="shared" si="33"/>
        <v>0</v>
      </c>
      <c r="T281" s="617"/>
      <c r="U281" s="613"/>
      <c r="V281" s="613"/>
    </row>
    <row r="282" spans="1:22" x14ac:dyDescent="0.3">
      <c r="A282" s="396" t="s">
        <v>36</v>
      </c>
      <c r="B282" s="618" t="s">
        <v>66</v>
      </c>
      <c r="C282" s="618"/>
      <c r="D282" s="618"/>
      <c r="E282" s="396" t="s">
        <v>62</v>
      </c>
      <c r="F282" s="409"/>
      <c r="G282" s="409"/>
      <c r="H282" s="613"/>
      <c r="I282" s="613"/>
      <c r="J282" s="613"/>
      <c r="K282" s="613"/>
      <c r="L282" s="613"/>
      <c r="M282" s="616"/>
      <c r="N282" s="616"/>
      <c r="O282" s="616"/>
      <c r="P282" s="616"/>
      <c r="Q282" s="616"/>
      <c r="R282" s="616"/>
      <c r="S282" s="617">
        <f t="shared" si="33"/>
        <v>0</v>
      </c>
      <c r="T282" s="617"/>
      <c r="U282" s="613"/>
      <c r="V282" s="613"/>
    </row>
    <row r="283" spans="1:22" x14ac:dyDescent="0.3">
      <c r="A283" s="396" t="s">
        <v>67</v>
      </c>
      <c r="B283" s="618" t="s">
        <v>68</v>
      </c>
      <c r="C283" s="618"/>
      <c r="D283" s="618"/>
      <c r="E283" s="396" t="s">
        <v>69</v>
      </c>
      <c r="F283" s="409"/>
      <c r="G283" s="409"/>
      <c r="H283" s="613"/>
      <c r="I283" s="613"/>
      <c r="J283" s="613"/>
      <c r="K283" s="613"/>
      <c r="L283" s="613"/>
      <c r="M283" s="616"/>
      <c r="N283" s="616"/>
      <c r="O283" s="616"/>
      <c r="P283" s="616"/>
      <c r="Q283" s="616"/>
      <c r="R283" s="616"/>
      <c r="S283" s="617">
        <f t="shared" si="33"/>
        <v>0</v>
      </c>
      <c r="T283" s="617"/>
      <c r="U283" s="613"/>
      <c r="V283" s="613"/>
    </row>
    <row r="284" spans="1:22" x14ac:dyDescent="0.3">
      <c r="A284" s="396" t="s">
        <v>12</v>
      </c>
      <c r="B284" s="623" t="s">
        <v>70</v>
      </c>
      <c r="C284" s="623"/>
      <c r="D284" s="623"/>
      <c r="E284" s="623"/>
      <c r="F284" s="623"/>
      <c r="G284" s="623"/>
      <c r="H284" s="623"/>
      <c r="I284" s="623"/>
      <c r="J284" s="623"/>
      <c r="K284" s="623"/>
      <c r="L284" s="623"/>
      <c r="M284" s="623"/>
      <c r="N284" s="623"/>
      <c r="O284" s="623"/>
      <c r="P284" s="623"/>
      <c r="Q284" s="623"/>
      <c r="R284" s="623"/>
      <c r="S284" s="623"/>
      <c r="T284" s="623"/>
      <c r="U284" s="623"/>
      <c r="V284" s="623"/>
    </row>
    <row r="285" spans="1:22" x14ac:dyDescent="0.3">
      <c r="A285" s="396" t="s">
        <v>30</v>
      </c>
      <c r="B285" s="618" t="s">
        <v>71</v>
      </c>
      <c r="C285" s="618"/>
      <c r="D285" s="618"/>
      <c r="E285" s="396" t="s">
        <v>62</v>
      </c>
      <c r="F285" s="409"/>
      <c r="G285" s="409"/>
      <c r="H285" s="613"/>
      <c r="I285" s="613"/>
      <c r="J285" s="613"/>
      <c r="K285" s="613"/>
      <c r="L285" s="613"/>
      <c r="M285" s="616"/>
      <c r="N285" s="616"/>
      <c r="O285" s="616"/>
      <c r="P285" s="616"/>
      <c r="Q285" s="616"/>
      <c r="R285" s="616"/>
      <c r="S285" s="617">
        <f>IFERROR(AVERAGEIF(M285:R285,"&gt;0",M285:R285),0)</f>
        <v>0</v>
      </c>
      <c r="T285" s="617"/>
      <c r="U285" s="613"/>
      <c r="V285" s="613"/>
    </row>
    <row r="286" spans="1:22" x14ac:dyDescent="0.3">
      <c r="A286" s="396" t="s">
        <v>63</v>
      </c>
      <c r="B286" s="618" t="s">
        <v>72</v>
      </c>
      <c r="C286" s="618"/>
      <c r="D286" s="618"/>
      <c r="E286" s="396" t="s">
        <v>62</v>
      </c>
      <c r="F286" s="409"/>
      <c r="G286" s="409"/>
      <c r="H286" s="613"/>
      <c r="I286" s="613"/>
      <c r="J286" s="613"/>
      <c r="K286" s="613"/>
      <c r="L286" s="613"/>
      <c r="M286" s="616"/>
      <c r="N286" s="616"/>
      <c r="O286" s="616"/>
      <c r="P286" s="616"/>
      <c r="Q286" s="616"/>
      <c r="R286" s="616"/>
      <c r="S286" s="617">
        <f t="shared" ref="S286:S289" si="34">IFERROR(AVERAGEIF(M286:R286,"&gt;0",M286:R286),0)</f>
        <v>0</v>
      </c>
      <c r="T286" s="617"/>
      <c r="U286" s="613"/>
      <c r="V286" s="613"/>
    </row>
    <row r="287" spans="1:22" x14ac:dyDescent="0.3">
      <c r="A287" s="396" t="s">
        <v>34</v>
      </c>
      <c r="B287" s="618" t="s">
        <v>73</v>
      </c>
      <c r="C287" s="618"/>
      <c r="D287" s="618"/>
      <c r="E287" s="396" t="s">
        <v>62</v>
      </c>
      <c r="F287" s="409"/>
      <c r="G287" s="409"/>
      <c r="H287" s="613"/>
      <c r="I287" s="613"/>
      <c r="J287" s="613"/>
      <c r="K287" s="613"/>
      <c r="L287" s="613"/>
      <c r="M287" s="616"/>
      <c r="N287" s="616"/>
      <c r="O287" s="616"/>
      <c r="P287" s="616"/>
      <c r="Q287" s="616"/>
      <c r="R287" s="616"/>
      <c r="S287" s="617">
        <f t="shared" si="34"/>
        <v>0</v>
      </c>
      <c r="T287" s="617"/>
      <c r="U287" s="613"/>
      <c r="V287" s="613"/>
    </row>
    <row r="288" spans="1:22" x14ac:dyDescent="0.3">
      <c r="A288" s="396" t="s">
        <v>36</v>
      </c>
      <c r="B288" s="618" t="s">
        <v>74</v>
      </c>
      <c r="C288" s="618"/>
      <c r="D288" s="618"/>
      <c r="E288" s="396" t="s">
        <v>62</v>
      </c>
      <c r="F288" s="409"/>
      <c r="G288" s="409"/>
      <c r="H288" s="613"/>
      <c r="I288" s="613"/>
      <c r="J288" s="613"/>
      <c r="K288" s="613"/>
      <c r="L288" s="613"/>
      <c r="M288" s="616"/>
      <c r="N288" s="616"/>
      <c r="O288" s="616"/>
      <c r="P288" s="616"/>
      <c r="Q288" s="616"/>
      <c r="R288" s="616"/>
      <c r="S288" s="617">
        <f t="shared" si="34"/>
        <v>0</v>
      </c>
      <c r="T288" s="617"/>
      <c r="U288" s="613"/>
      <c r="V288" s="613"/>
    </row>
    <row r="289" spans="1:22" x14ac:dyDescent="0.3">
      <c r="A289" s="396" t="s">
        <v>67</v>
      </c>
      <c r="B289" s="618" t="s">
        <v>75</v>
      </c>
      <c r="C289" s="618"/>
      <c r="D289" s="618"/>
      <c r="E289" s="396" t="s">
        <v>62</v>
      </c>
      <c r="F289" s="409"/>
      <c r="G289" s="409"/>
      <c r="H289" s="613"/>
      <c r="I289" s="613"/>
      <c r="J289" s="613"/>
      <c r="K289" s="613"/>
      <c r="L289" s="613"/>
      <c r="M289" s="616"/>
      <c r="N289" s="616"/>
      <c r="O289" s="616"/>
      <c r="P289" s="616"/>
      <c r="Q289" s="616"/>
      <c r="R289" s="616"/>
      <c r="S289" s="617">
        <f t="shared" si="34"/>
        <v>0</v>
      </c>
      <c r="T289" s="617"/>
      <c r="U289" s="613"/>
      <c r="V289" s="613"/>
    </row>
    <row r="290" spans="1:22" x14ac:dyDescent="0.3">
      <c r="A290" s="396" t="s">
        <v>50</v>
      </c>
      <c r="B290" s="618" t="s">
        <v>156</v>
      </c>
      <c r="C290" s="618"/>
      <c r="D290" s="618"/>
      <c r="E290" s="396"/>
      <c r="F290" s="409"/>
      <c r="G290" s="409"/>
      <c r="H290" s="613"/>
      <c r="I290" s="613"/>
      <c r="J290" s="613"/>
      <c r="K290" s="613"/>
      <c r="L290" s="613"/>
      <c r="M290" s="616"/>
      <c r="N290" s="616"/>
      <c r="O290" s="616"/>
      <c r="P290" s="616"/>
      <c r="Q290" s="616"/>
      <c r="R290" s="616"/>
      <c r="S290" s="617">
        <f>IFERROR(AVERAGEIF(M290:R290,"&gt;0",M290:R290),0)</f>
        <v>0</v>
      </c>
      <c r="T290" s="617"/>
      <c r="U290" s="613"/>
      <c r="V290" s="613"/>
    </row>
    <row r="291" spans="1:22" ht="31.5" customHeight="1" x14ac:dyDescent="0.3">
      <c r="A291" s="396" t="s">
        <v>51</v>
      </c>
      <c r="B291" s="631" t="s">
        <v>964</v>
      </c>
      <c r="C291" s="632"/>
      <c r="D291" s="633"/>
      <c r="E291" s="396" t="s">
        <v>645</v>
      </c>
      <c r="F291" s="409"/>
      <c r="G291" s="409"/>
      <c r="H291" s="613"/>
      <c r="I291" s="613"/>
      <c r="J291" s="613"/>
      <c r="K291" s="613"/>
      <c r="L291" s="613"/>
      <c r="M291" s="614"/>
      <c r="N291" s="615"/>
      <c r="O291" s="614"/>
      <c r="P291" s="615"/>
      <c r="Q291" s="614"/>
      <c r="R291" s="615"/>
      <c r="S291" s="617">
        <f>IFERROR(AVERAGEIF(M291:R291,"&gt;0",M291:R291),0)</f>
        <v>0</v>
      </c>
      <c r="T291" s="617"/>
      <c r="U291" s="619"/>
      <c r="V291" s="620"/>
    </row>
    <row r="292" spans="1:22" x14ac:dyDescent="0.3">
      <c r="A292" s="194" t="s">
        <v>294</v>
      </c>
      <c r="B292" s="638" t="s">
        <v>289</v>
      </c>
      <c r="C292" s="638"/>
      <c r="D292" s="638"/>
      <c r="E292" s="638"/>
      <c r="F292" s="638"/>
      <c r="G292" s="638"/>
      <c r="H292" s="638"/>
      <c r="I292" s="638"/>
      <c r="J292" s="638"/>
      <c r="K292" s="638"/>
      <c r="L292" s="638"/>
      <c r="M292" s="638"/>
      <c r="N292" s="638"/>
      <c r="O292" s="638"/>
      <c r="P292" s="638"/>
      <c r="Q292" s="638"/>
      <c r="R292" s="638"/>
      <c r="S292" s="638"/>
      <c r="T292" s="638"/>
      <c r="U292" s="638"/>
      <c r="V292" s="638"/>
    </row>
    <row r="293" spans="1:22" ht="62.4" customHeight="1" x14ac:dyDescent="0.3">
      <c r="A293" s="398" t="s">
        <v>30</v>
      </c>
      <c r="B293" s="641" t="s">
        <v>1194</v>
      </c>
      <c r="C293" s="641"/>
      <c r="D293" s="641"/>
      <c r="E293" s="641"/>
      <c r="F293" s="641"/>
      <c r="G293" s="641"/>
      <c r="H293" s="641"/>
      <c r="I293" s="641"/>
      <c r="J293" s="641"/>
      <c r="K293" s="641"/>
      <c r="L293" s="641"/>
      <c r="M293" s="641"/>
      <c r="N293" s="641"/>
      <c r="O293" s="641"/>
      <c r="P293" s="641"/>
      <c r="Q293" s="641"/>
      <c r="R293" s="641"/>
      <c r="S293" s="641"/>
      <c r="T293" s="641"/>
      <c r="U293" s="641"/>
      <c r="V293" s="641"/>
    </row>
    <row r="294" spans="1:22" x14ac:dyDescent="0.3">
      <c r="A294" s="398" t="s">
        <v>32</v>
      </c>
      <c r="B294" s="641" t="s">
        <v>1070</v>
      </c>
      <c r="C294" s="641"/>
      <c r="D294" s="641"/>
      <c r="E294" s="641"/>
      <c r="F294" s="641"/>
      <c r="G294" s="641"/>
      <c r="H294" s="641"/>
      <c r="I294" s="641"/>
      <c r="J294" s="641"/>
      <c r="K294" s="641"/>
      <c r="L294" s="641"/>
      <c r="M294" s="641"/>
      <c r="N294" s="641"/>
      <c r="O294" s="641"/>
      <c r="P294" s="641"/>
      <c r="Q294" s="641"/>
      <c r="R294" s="641"/>
      <c r="S294" s="641"/>
      <c r="T294" s="641"/>
      <c r="U294" s="641"/>
      <c r="V294" s="641"/>
    </row>
    <row r="295" spans="1:22" x14ac:dyDescent="0.3">
      <c r="A295" s="398" t="s">
        <v>295</v>
      </c>
      <c r="B295" s="700" t="s">
        <v>76</v>
      </c>
      <c r="C295" s="700"/>
      <c r="D295" s="700"/>
      <c r="E295" s="700"/>
      <c r="F295" s="700"/>
      <c r="G295" s="700"/>
      <c r="H295" s="700"/>
      <c r="I295" s="700"/>
      <c r="J295" s="700"/>
      <c r="K295" s="700"/>
      <c r="L295" s="700"/>
      <c r="M295" s="700"/>
      <c r="N295" s="700"/>
      <c r="O295" s="700"/>
      <c r="P295" s="700"/>
      <c r="Q295" s="700"/>
      <c r="R295" s="700"/>
      <c r="S295" s="700"/>
      <c r="T295" s="700"/>
      <c r="U295" s="700"/>
      <c r="V295" s="700"/>
    </row>
    <row r="296" spans="1:22" x14ac:dyDescent="0.3">
      <c r="A296" s="398" t="s">
        <v>296</v>
      </c>
      <c r="B296" s="694" t="s">
        <v>297</v>
      </c>
      <c r="C296" s="694"/>
      <c r="D296" s="694"/>
      <c r="E296" s="694"/>
      <c r="F296" s="694"/>
      <c r="G296" s="694"/>
      <c r="H296" s="694"/>
      <c r="I296" s="694"/>
      <c r="J296" s="694"/>
      <c r="K296" s="694"/>
      <c r="L296" s="694"/>
      <c r="M296" s="694"/>
      <c r="N296" s="694"/>
      <c r="O296" s="694"/>
      <c r="P296" s="694"/>
      <c r="Q296" s="694"/>
      <c r="R296" s="694"/>
      <c r="S296" s="694"/>
      <c r="T296" s="694"/>
      <c r="U296" s="694"/>
      <c r="V296" s="694"/>
    </row>
    <row r="297" spans="1:22" x14ac:dyDescent="0.3">
      <c r="A297" s="398" t="s">
        <v>30</v>
      </c>
      <c r="B297" s="641" t="s">
        <v>590</v>
      </c>
      <c r="C297" s="641"/>
      <c r="D297" s="641"/>
      <c r="E297" s="641"/>
      <c r="F297" s="641"/>
      <c r="G297" s="641"/>
      <c r="H297" s="641"/>
      <c r="I297" s="641"/>
      <c r="J297" s="641"/>
      <c r="K297" s="641"/>
      <c r="L297" s="641"/>
      <c r="M297" s="641"/>
      <c r="N297" s="641"/>
      <c r="O297" s="641"/>
      <c r="P297" s="641"/>
      <c r="Q297" s="641"/>
      <c r="R297" s="641"/>
      <c r="S297" s="641"/>
      <c r="T297" s="641"/>
      <c r="U297" s="641"/>
      <c r="V297" s="641"/>
    </row>
    <row r="298" spans="1:22" x14ac:dyDescent="0.3">
      <c r="A298" s="398" t="s">
        <v>32</v>
      </c>
      <c r="B298" s="641" t="s">
        <v>299</v>
      </c>
      <c r="C298" s="641"/>
      <c r="D298" s="641"/>
      <c r="E298" s="641"/>
      <c r="F298" s="641"/>
      <c r="G298" s="641"/>
      <c r="H298" s="641"/>
      <c r="I298" s="641"/>
      <c r="J298" s="641"/>
      <c r="K298" s="641"/>
      <c r="L298" s="641"/>
      <c r="M298" s="641"/>
      <c r="N298" s="641"/>
      <c r="O298" s="641"/>
      <c r="P298" s="641"/>
      <c r="Q298" s="641"/>
      <c r="R298" s="641"/>
      <c r="S298" s="641"/>
      <c r="T298" s="641"/>
      <c r="U298" s="641"/>
      <c r="V298" s="641"/>
    </row>
    <row r="299" spans="1:22" x14ac:dyDescent="0.3">
      <c r="A299" s="398" t="s">
        <v>77</v>
      </c>
      <c r="B299" s="641" t="s">
        <v>300</v>
      </c>
      <c r="C299" s="641"/>
      <c r="D299" s="641"/>
      <c r="E299" s="641"/>
      <c r="F299" s="641"/>
      <c r="G299" s="641"/>
      <c r="H299" s="641"/>
      <c r="I299" s="641"/>
      <c r="J299" s="641"/>
      <c r="K299" s="641"/>
      <c r="L299" s="641"/>
      <c r="M299" s="641"/>
      <c r="N299" s="641"/>
      <c r="O299" s="641"/>
      <c r="P299" s="641"/>
      <c r="Q299" s="641"/>
      <c r="R299" s="641"/>
      <c r="S299" s="641"/>
      <c r="T299" s="641"/>
      <c r="U299" s="641"/>
      <c r="V299" s="641"/>
    </row>
    <row r="300" spans="1:22" x14ac:dyDescent="0.3">
      <c r="A300" s="398" t="s">
        <v>189</v>
      </c>
      <c r="B300" s="694" t="s">
        <v>131</v>
      </c>
      <c r="C300" s="694"/>
      <c r="D300" s="694"/>
      <c r="E300" s="694"/>
      <c r="F300" s="694"/>
      <c r="G300" s="694"/>
      <c r="H300" s="694"/>
      <c r="I300" s="694"/>
      <c r="J300" s="694"/>
      <c r="K300" s="694"/>
      <c r="L300" s="694"/>
      <c r="M300" s="694"/>
      <c r="N300" s="694"/>
      <c r="O300" s="694"/>
      <c r="P300" s="694"/>
      <c r="Q300" s="694"/>
      <c r="R300" s="694"/>
      <c r="S300" s="694"/>
      <c r="T300" s="694"/>
      <c r="U300" s="694"/>
      <c r="V300" s="694"/>
    </row>
    <row r="301" spans="1:22" x14ac:dyDescent="0.3">
      <c r="A301" s="398" t="s">
        <v>30</v>
      </c>
      <c r="B301" s="641" t="s">
        <v>298</v>
      </c>
      <c r="C301" s="641"/>
      <c r="D301" s="641"/>
      <c r="E301" s="641"/>
      <c r="F301" s="641"/>
      <c r="G301" s="641"/>
      <c r="H301" s="641"/>
      <c r="I301" s="641"/>
      <c r="J301" s="641"/>
      <c r="K301" s="641"/>
      <c r="L301" s="641"/>
      <c r="M301" s="641"/>
      <c r="N301" s="641"/>
      <c r="O301" s="641"/>
      <c r="P301" s="641"/>
      <c r="Q301" s="641"/>
      <c r="R301" s="641"/>
      <c r="S301" s="641"/>
      <c r="T301" s="641"/>
      <c r="U301" s="641"/>
      <c r="V301" s="641"/>
    </row>
    <row r="302" spans="1:22" x14ac:dyDescent="0.3">
      <c r="A302" s="294" t="s">
        <v>32</v>
      </c>
      <c r="B302" s="667" t="s">
        <v>393</v>
      </c>
      <c r="C302" s="667"/>
      <c r="D302" s="667"/>
      <c r="E302" s="667"/>
      <c r="F302" s="667"/>
      <c r="G302" s="667"/>
      <c r="H302" s="667"/>
      <c r="I302" s="667"/>
      <c r="J302" s="667"/>
      <c r="K302" s="667"/>
      <c r="L302" s="667"/>
      <c r="M302" s="667"/>
      <c r="N302" s="667"/>
      <c r="O302" s="667"/>
      <c r="P302" s="667"/>
      <c r="Q302" s="667"/>
      <c r="R302" s="667"/>
      <c r="S302" s="667"/>
      <c r="T302" s="667"/>
      <c r="U302" s="667"/>
      <c r="V302" s="667"/>
    </row>
    <row r="303" spans="1:22" x14ac:dyDescent="0.3">
      <c r="A303" s="414">
        <v>10.199999999999999</v>
      </c>
      <c r="B303" s="642" t="s">
        <v>400</v>
      </c>
      <c r="C303" s="642"/>
      <c r="D303" s="642"/>
      <c r="E303" s="642"/>
      <c r="F303" s="642"/>
      <c r="G303" s="642"/>
      <c r="H303" s="642"/>
      <c r="I303" s="642"/>
      <c r="J303" s="642"/>
      <c r="K303" s="642"/>
      <c r="L303" s="642"/>
      <c r="M303" s="642"/>
      <c r="N303" s="642"/>
      <c r="O303" s="642"/>
      <c r="P303" s="642"/>
      <c r="Q303" s="642"/>
      <c r="R303" s="642"/>
      <c r="S303" s="642"/>
      <c r="T303" s="642"/>
      <c r="U303" s="642"/>
      <c r="V303" s="642"/>
    </row>
    <row r="304" spans="1:22" ht="47.4" customHeight="1" x14ac:dyDescent="0.3">
      <c r="A304" s="169" t="s">
        <v>146</v>
      </c>
      <c r="B304" s="623" t="s">
        <v>232</v>
      </c>
      <c r="C304" s="623"/>
      <c r="D304" s="623"/>
      <c r="E304" s="396" t="s">
        <v>27</v>
      </c>
      <c r="F304" s="396" t="s">
        <v>57</v>
      </c>
      <c r="G304" s="396" t="s">
        <v>58</v>
      </c>
      <c r="H304" s="621" t="s">
        <v>727</v>
      </c>
      <c r="I304" s="621"/>
      <c r="J304" s="621"/>
      <c r="K304" s="621"/>
      <c r="L304" s="621"/>
      <c r="M304" s="635" t="s">
        <v>718</v>
      </c>
      <c r="N304" s="621"/>
      <c r="O304" s="635" t="s">
        <v>719</v>
      </c>
      <c r="P304" s="621"/>
      <c r="Q304" s="635" t="s">
        <v>724</v>
      </c>
      <c r="R304" s="621"/>
      <c r="S304" s="636" t="s">
        <v>725</v>
      </c>
      <c r="T304" s="637"/>
      <c r="U304" s="621" t="s">
        <v>280</v>
      </c>
      <c r="V304" s="621"/>
    </row>
    <row r="305" spans="1:22" x14ac:dyDescent="0.3">
      <c r="A305" s="414" t="s">
        <v>292</v>
      </c>
      <c r="B305" s="642" t="s">
        <v>397</v>
      </c>
      <c r="C305" s="642"/>
      <c r="D305" s="642"/>
      <c r="E305" s="642"/>
      <c r="F305" s="642"/>
      <c r="G305" s="642"/>
      <c r="H305" s="642"/>
      <c r="I305" s="642"/>
      <c r="J305" s="642"/>
      <c r="K305" s="642"/>
      <c r="L305" s="642"/>
      <c r="M305" s="642"/>
      <c r="N305" s="642"/>
      <c r="O305" s="642"/>
      <c r="P305" s="642"/>
      <c r="Q305" s="642"/>
      <c r="R305" s="642"/>
      <c r="S305" s="642"/>
      <c r="T305" s="642"/>
      <c r="U305" s="642"/>
      <c r="V305" s="642"/>
    </row>
    <row r="306" spans="1:22" x14ac:dyDescent="0.3">
      <c r="A306" s="396" t="s">
        <v>30</v>
      </c>
      <c r="B306" s="195" t="s">
        <v>386</v>
      </c>
      <c r="C306" s="196"/>
      <c r="D306" s="197"/>
      <c r="E306" s="406" t="s">
        <v>62</v>
      </c>
      <c r="F306" s="198"/>
      <c r="G306" s="403"/>
      <c r="H306" s="695"/>
      <c r="I306" s="695"/>
      <c r="J306" s="695"/>
      <c r="K306" s="695"/>
      <c r="L306" s="695"/>
      <c r="M306" s="616"/>
      <c r="N306" s="616"/>
      <c r="O306" s="616"/>
      <c r="P306" s="616"/>
      <c r="Q306" s="616"/>
      <c r="R306" s="616"/>
      <c r="S306" s="659">
        <f>IFERROR(AVERAGEIF(M306:R306,"&gt;0",M306:R306),0)</f>
        <v>0</v>
      </c>
      <c r="T306" s="659"/>
      <c r="U306" s="699"/>
      <c r="V306" s="699"/>
    </row>
    <row r="307" spans="1:22" x14ac:dyDescent="0.3">
      <c r="A307" s="396" t="s">
        <v>77</v>
      </c>
      <c r="B307" s="195" t="s">
        <v>387</v>
      </c>
      <c r="C307" s="196"/>
      <c r="D307" s="197"/>
      <c r="E307" s="406" t="s">
        <v>62</v>
      </c>
      <c r="F307" s="198"/>
      <c r="G307" s="403"/>
      <c r="H307" s="696"/>
      <c r="I307" s="697"/>
      <c r="J307" s="697"/>
      <c r="K307" s="697"/>
      <c r="L307" s="698"/>
      <c r="M307" s="614"/>
      <c r="N307" s="615"/>
      <c r="O307" s="614"/>
      <c r="P307" s="615"/>
      <c r="Q307" s="614"/>
      <c r="R307" s="615"/>
      <c r="S307" s="659">
        <f t="shared" ref="S307:S308" si="35">IFERROR(AVERAGEIF(M307:R307,"&gt;0",M307:R307),0)</f>
        <v>0</v>
      </c>
      <c r="T307" s="659"/>
      <c r="U307" s="699"/>
      <c r="V307" s="699"/>
    </row>
    <row r="308" spans="1:22" x14ac:dyDescent="0.3">
      <c r="A308" s="396" t="s">
        <v>283</v>
      </c>
      <c r="B308" s="195" t="s">
        <v>388</v>
      </c>
      <c r="C308" s="196"/>
      <c r="D308" s="197"/>
      <c r="E308" s="406" t="s">
        <v>62</v>
      </c>
      <c r="F308" s="198"/>
      <c r="G308" s="403"/>
      <c r="H308" s="696"/>
      <c r="I308" s="697"/>
      <c r="J308" s="697"/>
      <c r="K308" s="697"/>
      <c r="L308" s="698"/>
      <c r="M308" s="614"/>
      <c r="N308" s="615"/>
      <c r="O308" s="614"/>
      <c r="P308" s="615"/>
      <c r="Q308" s="614"/>
      <c r="R308" s="615"/>
      <c r="S308" s="659">
        <f t="shared" si="35"/>
        <v>0</v>
      </c>
      <c r="T308" s="659"/>
      <c r="U308" s="699"/>
      <c r="V308" s="699"/>
    </row>
    <row r="309" spans="1:22" x14ac:dyDescent="0.3">
      <c r="A309" s="396" t="s">
        <v>38</v>
      </c>
      <c r="B309" s="195" t="s">
        <v>392</v>
      </c>
      <c r="C309" s="196"/>
      <c r="D309" s="197"/>
      <c r="E309" s="406" t="s">
        <v>62</v>
      </c>
      <c r="F309" s="198"/>
      <c r="G309" s="403"/>
      <c r="H309" s="696"/>
      <c r="I309" s="697"/>
      <c r="J309" s="697"/>
      <c r="K309" s="697"/>
      <c r="L309" s="698"/>
      <c r="M309" s="614"/>
      <c r="N309" s="615"/>
      <c r="O309" s="614"/>
      <c r="P309" s="615"/>
      <c r="Q309" s="614"/>
      <c r="R309" s="615"/>
      <c r="S309" s="659">
        <f t="shared" ref="S309" si="36">IFERROR(AVERAGEIF(M309:R309,"&gt;0",M309:R309),0)</f>
        <v>0</v>
      </c>
      <c r="T309" s="659"/>
      <c r="U309" s="699"/>
      <c r="V309" s="699"/>
    </row>
    <row r="310" spans="1:22" x14ac:dyDescent="0.3">
      <c r="A310" s="396" t="s">
        <v>40</v>
      </c>
      <c r="B310" s="195" t="s">
        <v>72</v>
      </c>
      <c r="C310" s="196"/>
      <c r="D310" s="197"/>
      <c r="E310" s="406" t="s">
        <v>62</v>
      </c>
      <c r="F310" s="198"/>
      <c r="G310" s="403"/>
      <c r="H310" s="696"/>
      <c r="I310" s="697"/>
      <c r="J310" s="697"/>
      <c r="K310" s="697"/>
      <c r="L310" s="698"/>
      <c r="M310" s="614"/>
      <c r="N310" s="615"/>
      <c r="O310" s="614"/>
      <c r="P310" s="615"/>
      <c r="Q310" s="614"/>
      <c r="R310" s="615"/>
      <c r="S310" s="659">
        <f t="shared" ref="S310" si="37">IFERROR(AVERAGEIF(M310:R310,"&gt;0",M310:R310),0)</f>
        <v>0</v>
      </c>
      <c r="T310" s="659"/>
      <c r="U310" s="699"/>
      <c r="V310" s="699"/>
    </row>
    <row r="311" spans="1:22" x14ac:dyDescent="0.3">
      <c r="A311" s="396" t="s">
        <v>42</v>
      </c>
      <c r="B311" s="195" t="s">
        <v>73</v>
      </c>
      <c r="C311" s="196"/>
      <c r="D311" s="197"/>
      <c r="E311" s="406" t="s">
        <v>62</v>
      </c>
      <c r="F311" s="198"/>
      <c r="G311" s="403"/>
      <c r="H311" s="696"/>
      <c r="I311" s="697"/>
      <c r="J311" s="697"/>
      <c r="K311" s="697"/>
      <c r="L311" s="698"/>
      <c r="M311" s="614"/>
      <c r="N311" s="615"/>
      <c r="O311" s="614"/>
      <c r="P311" s="615"/>
      <c r="Q311" s="614"/>
      <c r="R311" s="615"/>
      <c r="S311" s="659">
        <f t="shared" ref="S311" si="38">IFERROR(AVERAGEIF(M311:R311,"&gt;0",M311:R311),0)</f>
        <v>0</v>
      </c>
      <c r="T311" s="659"/>
      <c r="U311" s="699"/>
      <c r="V311" s="699"/>
    </row>
    <row r="312" spans="1:22" x14ac:dyDescent="0.3">
      <c r="A312" s="396" t="s">
        <v>44</v>
      </c>
      <c r="B312" s="195" t="s">
        <v>383</v>
      </c>
      <c r="C312" s="196"/>
      <c r="D312" s="197"/>
      <c r="E312" s="406" t="s">
        <v>385</v>
      </c>
      <c r="F312" s="198"/>
      <c r="G312" s="403"/>
      <c r="H312" s="695"/>
      <c r="I312" s="695"/>
      <c r="J312" s="695"/>
      <c r="K312" s="695"/>
      <c r="L312" s="695"/>
      <c r="M312" s="614"/>
      <c r="N312" s="615"/>
      <c r="O312" s="614"/>
      <c r="P312" s="615"/>
      <c r="Q312" s="614"/>
      <c r="R312" s="615"/>
      <c r="S312" s="659">
        <f t="shared" ref="S312:S313" si="39">IFERROR(AVERAGEIF(M312:R312,"&gt;0",M312:R312),0)</f>
        <v>0</v>
      </c>
      <c r="T312" s="659"/>
      <c r="U312" s="699"/>
      <c r="V312" s="699"/>
    </row>
    <row r="313" spans="1:22" x14ac:dyDescent="0.3">
      <c r="A313" s="396" t="s">
        <v>46</v>
      </c>
      <c r="B313" s="195" t="s">
        <v>384</v>
      </c>
      <c r="C313" s="196"/>
      <c r="D313" s="197"/>
      <c r="E313" s="406" t="s">
        <v>385</v>
      </c>
      <c r="F313" s="198"/>
      <c r="G313" s="403"/>
      <c r="H313" s="695"/>
      <c r="I313" s="695"/>
      <c r="J313" s="695"/>
      <c r="K313" s="695"/>
      <c r="L313" s="695"/>
      <c r="M313" s="614"/>
      <c r="N313" s="615"/>
      <c r="O313" s="614"/>
      <c r="P313" s="615"/>
      <c r="Q313" s="614"/>
      <c r="R313" s="615"/>
      <c r="S313" s="659">
        <f t="shared" si="39"/>
        <v>0</v>
      </c>
      <c r="T313" s="659"/>
      <c r="U313" s="699"/>
      <c r="V313" s="699"/>
    </row>
    <row r="314" spans="1:22" x14ac:dyDescent="0.3">
      <c r="A314" s="396" t="s">
        <v>48</v>
      </c>
      <c r="B314" s="195" t="s">
        <v>389</v>
      </c>
      <c r="C314" s="196"/>
      <c r="D314" s="197"/>
      <c r="E314" s="406" t="s">
        <v>390</v>
      </c>
      <c r="F314" s="198"/>
      <c r="G314" s="403"/>
      <c r="H314" s="695"/>
      <c r="I314" s="695"/>
      <c r="J314" s="695"/>
      <c r="K314" s="695"/>
      <c r="L314" s="695"/>
      <c r="M314" s="616"/>
      <c r="N314" s="616"/>
      <c r="O314" s="616"/>
      <c r="P314" s="616"/>
      <c r="Q314" s="616"/>
      <c r="R314" s="616"/>
      <c r="S314" s="659">
        <f t="shared" ref="S314" si="40">IFERROR(AVERAGEIF(M314:R314,"&gt;0",M314:R314),0)</f>
        <v>0</v>
      </c>
      <c r="T314" s="659"/>
      <c r="U314" s="699"/>
      <c r="V314" s="699"/>
    </row>
    <row r="315" spans="1:22" x14ac:dyDescent="0.3">
      <c r="A315" s="396" t="s">
        <v>302</v>
      </c>
      <c r="B315" s="195" t="s">
        <v>68</v>
      </c>
      <c r="C315" s="196"/>
      <c r="D315" s="197"/>
      <c r="E315" s="406" t="s">
        <v>124</v>
      </c>
      <c r="F315" s="198"/>
      <c r="G315" s="403"/>
      <c r="H315" s="695"/>
      <c r="I315" s="695"/>
      <c r="J315" s="695"/>
      <c r="K315" s="695"/>
      <c r="L315" s="695"/>
      <c r="M315" s="616"/>
      <c r="N315" s="616"/>
      <c r="O315" s="616"/>
      <c r="P315" s="616"/>
      <c r="Q315" s="616"/>
      <c r="R315" s="616"/>
      <c r="S315" s="659">
        <f>IFERROR(AVERAGEIF(M315:R315,"&gt;0",M315:R315),0)</f>
        <v>0</v>
      </c>
      <c r="T315" s="659"/>
      <c r="U315" s="699"/>
      <c r="V315" s="699"/>
    </row>
    <row r="316" spans="1:22" x14ac:dyDescent="0.3">
      <c r="A316" s="396" t="s">
        <v>303</v>
      </c>
      <c r="B316" s="195" t="s">
        <v>361</v>
      </c>
      <c r="C316" s="196"/>
      <c r="D316" s="197"/>
      <c r="E316" s="406" t="s">
        <v>124</v>
      </c>
      <c r="F316" s="198"/>
      <c r="G316" s="403"/>
      <c r="H316" s="695"/>
      <c r="I316" s="695"/>
      <c r="J316" s="695"/>
      <c r="K316" s="695"/>
      <c r="L316" s="695"/>
      <c r="M316" s="614"/>
      <c r="N316" s="615"/>
      <c r="O316" s="614"/>
      <c r="P316" s="615"/>
      <c r="Q316" s="614"/>
      <c r="R316" s="615"/>
      <c r="S316" s="659">
        <f>IFERROR(AVERAGEIF(M316:R316,"&gt;0",M316:R316),0)</f>
        <v>0</v>
      </c>
      <c r="T316" s="659"/>
      <c r="U316" s="699"/>
      <c r="V316" s="699"/>
    </row>
    <row r="317" spans="1:22" x14ac:dyDescent="0.3">
      <c r="A317" s="414" t="s">
        <v>398</v>
      </c>
      <c r="B317" s="706" t="s">
        <v>395</v>
      </c>
      <c r="C317" s="706"/>
      <c r="D317" s="706"/>
      <c r="E317" s="706"/>
      <c r="F317" s="706"/>
      <c r="G317" s="706"/>
      <c r="H317" s="706"/>
      <c r="I317" s="706"/>
      <c r="J317" s="706"/>
      <c r="K317" s="706"/>
      <c r="L317" s="706"/>
      <c r="M317" s="706"/>
      <c r="N317" s="706"/>
      <c r="O317" s="706"/>
      <c r="P317" s="706"/>
      <c r="Q317" s="706"/>
      <c r="R317" s="706"/>
      <c r="S317" s="706"/>
      <c r="T317" s="706"/>
      <c r="U317" s="706"/>
      <c r="V317" s="706"/>
    </row>
    <row r="318" spans="1:22" x14ac:dyDescent="0.3">
      <c r="A318" s="396" t="s">
        <v>30</v>
      </c>
      <c r="B318" s="705" t="s">
        <v>68</v>
      </c>
      <c r="C318" s="705"/>
      <c r="D318" s="705"/>
      <c r="E318" s="501" t="s">
        <v>880</v>
      </c>
      <c r="F318" s="199"/>
      <c r="G318" s="408"/>
      <c r="H318" s="702"/>
      <c r="I318" s="702"/>
      <c r="J318" s="702"/>
      <c r="K318" s="702"/>
      <c r="L318" s="702"/>
      <c r="M318" s="614"/>
      <c r="N318" s="615"/>
      <c r="O318" s="614"/>
      <c r="P318" s="615"/>
      <c r="Q318" s="614"/>
      <c r="R318" s="615"/>
      <c r="S318" s="659">
        <f>IFERROR(AVERAGEIF(M318:R318,"&gt;0",M318:R318),0)</f>
        <v>0</v>
      </c>
      <c r="T318" s="659"/>
      <c r="U318" s="699"/>
      <c r="V318" s="699"/>
    </row>
    <row r="319" spans="1:22" x14ac:dyDescent="0.3">
      <c r="A319" s="396" t="s">
        <v>32</v>
      </c>
      <c r="B319" s="705" t="s">
        <v>361</v>
      </c>
      <c r="C319" s="705"/>
      <c r="D319" s="705"/>
      <c r="E319" s="501" t="s">
        <v>880</v>
      </c>
      <c r="F319" s="199"/>
      <c r="G319" s="408"/>
      <c r="H319" s="702"/>
      <c r="I319" s="702"/>
      <c r="J319" s="702"/>
      <c r="K319" s="702"/>
      <c r="L319" s="702"/>
      <c r="M319" s="614"/>
      <c r="N319" s="615"/>
      <c r="O319" s="614"/>
      <c r="P319" s="615"/>
      <c r="Q319" s="614"/>
      <c r="R319" s="615"/>
      <c r="S319" s="659">
        <f>IFERROR(AVERAGEIF(M319:R319,"&gt;0",M319:R319),0)</f>
        <v>0</v>
      </c>
      <c r="T319" s="659"/>
      <c r="U319" s="699"/>
      <c r="V319" s="699"/>
    </row>
    <row r="320" spans="1:22" x14ac:dyDescent="0.3">
      <c r="A320" s="414" t="s">
        <v>399</v>
      </c>
      <c r="B320" s="706" t="s">
        <v>396</v>
      </c>
      <c r="C320" s="706"/>
      <c r="D320" s="706"/>
      <c r="E320" s="706"/>
      <c r="F320" s="706"/>
      <c r="G320" s="706"/>
      <c r="H320" s="706"/>
      <c r="I320" s="706"/>
      <c r="J320" s="706"/>
      <c r="K320" s="706"/>
      <c r="L320" s="706"/>
      <c r="M320" s="706"/>
      <c r="N320" s="706"/>
      <c r="O320" s="706"/>
      <c r="P320" s="706"/>
      <c r="Q320" s="706"/>
      <c r="R320" s="706"/>
      <c r="S320" s="706"/>
      <c r="T320" s="706"/>
      <c r="U320" s="706"/>
      <c r="V320" s="706"/>
    </row>
    <row r="321" spans="1:22" x14ac:dyDescent="0.3">
      <c r="A321" s="396" t="s">
        <v>30</v>
      </c>
      <c r="B321" s="705" t="s">
        <v>68</v>
      </c>
      <c r="C321" s="705"/>
      <c r="D321" s="705"/>
      <c r="E321" s="406" t="s">
        <v>880</v>
      </c>
      <c r="F321" s="198"/>
      <c r="G321" s="403"/>
      <c r="H321" s="695"/>
      <c r="I321" s="695"/>
      <c r="J321" s="695"/>
      <c r="K321" s="695"/>
      <c r="L321" s="695"/>
      <c r="M321" s="614"/>
      <c r="N321" s="615"/>
      <c r="O321" s="614"/>
      <c r="P321" s="615"/>
      <c r="Q321" s="614"/>
      <c r="R321" s="615"/>
      <c r="S321" s="659">
        <f>IFERROR(AVERAGEIF(M321:R321,"&gt;0",M321:R321),0)</f>
        <v>0</v>
      </c>
      <c r="T321" s="659"/>
      <c r="U321" s="699"/>
      <c r="V321" s="699"/>
    </row>
    <row r="322" spans="1:22" x14ac:dyDescent="0.3">
      <c r="A322" s="412"/>
      <c r="B322" s="700"/>
      <c r="C322" s="700"/>
      <c r="D322" s="700"/>
      <c r="E322" s="373"/>
      <c r="F322" s="199"/>
      <c r="G322" s="408"/>
      <c r="H322" s="702"/>
      <c r="I322" s="702"/>
      <c r="J322" s="702"/>
      <c r="K322" s="702"/>
      <c r="L322" s="702"/>
      <c r="M322" s="614"/>
      <c r="N322" s="615"/>
      <c r="O322" s="614"/>
      <c r="P322" s="615"/>
      <c r="Q322" s="614"/>
      <c r="R322" s="615"/>
      <c r="S322" s="659">
        <f>IFERROR(AVERAGEIF(M322:R322,"&gt;0",M322:R322),0)</f>
        <v>0</v>
      </c>
      <c r="T322" s="659"/>
      <c r="U322" s="699"/>
      <c r="V322" s="699"/>
    </row>
    <row r="323" spans="1:22" x14ac:dyDescent="0.3">
      <c r="A323" s="398" t="s">
        <v>398</v>
      </c>
      <c r="B323" s="694" t="s">
        <v>118</v>
      </c>
      <c r="C323" s="694"/>
      <c r="D323" s="694"/>
      <c r="E323" s="694"/>
      <c r="F323" s="694"/>
      <c r="G323" s="694"/>
      <c r="H323" s="694"/>
      <c r="I323" s="694"/>
      <c r="J323" s="694"/>
      <c r="K323" s="694"/>
      <c r="L323" s="694"/>
      <c r="M323" s="694"/>
      <c r="N323" s="694"/>
      <c r="O323" s="694"/>
      <c r="P323" s="694"/>
      <c r="Q323" s="694"/>
      <c r="R323" s="694"/>
      <c r="S323" s="694"/>
      <c r="T323" s="694"/>
      <c r="U323" s="694"/>
      <c r="V323" s="694"/>
    </row>
    <row r="324" spans="1:22" x14ac:dyDescent="0.3">
      <c r="A324" s="398" t="s">
        <v>30</v>
      </c>
      <c r="B324" s="641" t="s">
        <v>293</v>
      </c>
      <c r="C324" s="641"/>
      <c r="D324" s="641"/>
      <c r="E324" s="641"/>
      <c r="F324" s="641"/>
      <c r="G324" s="641"/>
      <c r="H324" s="641"/>
      <c r="I324" s="641"/>
      <c r="J324" s="641"/>
      <c r="K324" s="641"/>
      <c r="L324" s="641"/>
      <c r="M324" s="641"/>
      <c r="N324" s="641"/>
      <c r="O324" s="641"/>
      <c r="P324" s="641"/>
      <c r="Q324" s="641"/>
      <c r="R324" s="641"/>
      <c r="S324" s="641"/>
      <c r="T324" s="641"/>
      <c r="U324" s="641"/>
      <c r="V324" s="641"/>
    </row>
    <row r="325" spans="1:22" x14ac:dyDescent="0.3">
      <c r="A325" s="398" t="s">
        <v>32</v>
      </c>
      <c r="B325" s="701" t="s">
        <v>362</v>
      </c>
      <c r="C325" s="701"/>
      <c r="D325" s="701"/>
      <c r="E325" s="701"/>
      <c r="F325" s="701"/>
      <c r="G325" s="701"/>
      <c r="H325" s="701"/>
      <c r="I325" s="701"/>
      <c r="J325" s="701"/>
      <c r="K325" s="701"/>
      <c r="L325" s="701"/>
      <c r="M325" s="701"/>
      <c r="N325" s="701"/>
      <c r="O325" s="701"/>
      <c r="P325" s="701"/>
      <c r="Q325" s="701"/>
      <c r="R325" s="701"/>
      <c r="S325" s="701"/>
      <c r="T325" s="701"/>
      <c r="U325" s="701"/>
      <c r="V325" s="701"/>
    </row>
    <row r="326" spans="1:22" x14ac:dyDescent="0.3">
      <c r="A326" s="398" t="s">
        <v>77</v>
      </c>
      <c r="B326" s="701" t="s">
        <v>1077</v>
      </c>
      <c r="C326" s="701"/>
      <c r="D326" s="701"/>
      <c r="E326" s="701"/>
      <c r="F326" s="701"/>
      <c r="G326" s="701"/>
      <c r="H326" s="701"/>
      <c r="I326" s="701"/>
      <c r="J326" s="701"/>
      <c r="K326" s="701"/>
      <c r="L326" s="701"/>
      <c r="M326" s="701"/>
      <c r="N326" s="701"/>
      <c r="O326" s="701"/>
      <c r="P326" s="701"/>
      <c r="Q326" s="701"/>
      <c r="R326" s="701"/>
      <c r="S326" s="701"/>
      <c r="T326" s="701"/>
      <c r="U326" s="701"/>
      <c r="V326" s="701"/>
    </row>
    <row r="327" spans="1:22" x14ac:dyDescent="0.3">
      <c r="A327" s="398" t="s">
        <v>283</v>
      </c>
      <c r="B327" s="701" t="s">
        <v>394</v>
      </c>
      <c r="C327" s="701"/>
      <c r="D327" s="701"/>
      <c r="E327" s="701"/>
      <c r="F327" s="701"/>
      <c r="G327" s="701"/>
      <c r="H327" s="701"/>
      <c r="I327" s="701"/>
      <c r="J327" s="701"/>
      <c r="K327" s="701"/>
      <c r="L327" s="701"/>
      <c r="M327" s="701"/>
      <c r="N327" s="701"/>
      <c r="O327" s="701"/>
      <c r="P327" s="701"/>
      <c r="Q327" s="701"/>
      <c r="R327" s="701"/>
      <c r="S327" s="701"/>
      <c r="T327" s="701"/>
      <c r="U327" s="701"/>
      <c r="V327" s="701"/>
    </row>
    <row r="328" spans="1:22" s="201" customFormat="1" ht="15.6" x14ac:dyDescent="0.3">
      <c r="A328" s="200">
        <v>11</v>
      </c>
      <c r="B328" s="717" t="s">
        <v>405</v>
      </c>
      <c r="C328" s="717"/>
      <c r="D328" s="717"/>
      <c r="E328" s="717"/>
      <c r="F328" s="717"/>
      <c r="G328" s="717"/>
      <c r="H328" s="717"/>
      <c r="I328" s="717"/>
      <c r="J328" s="717"/>
      <c r="K328" s="717"/>
      <c r="L328" s="717"/>
      <c r="M328" s="717"/>
      <c r="N328" s="717"/>
      <c r="O328" s="717"/>
      <c r="P328" s="717"/>
      <c r="Q328" s="717"/>
      <c r="R328" s="717"/>
      <c r="S328" s="717"/>
      <c r="T328" s="717"/>
      <c r="U328" s="717"/>
      <c r="V328" s="717"/>
    </row>
    <row r="329" spans="1:22" ht="30.6" customHeight="1" x14ac:dyDescent="0.3">
      <c r="A329" s="396" t="s">
        <v>146</v>
      </c>
      <c r="B329" s="621" t="s">
        <v>132</v>
      </c>
      <c r="C329" s="621"/>
      <c r="D329" s="621"/>
      <c r="E329" s="396" t="s">
        <v>27</v>
      </c>
      <c r="F329" s="621" t="s">
        <v>727</v>
      </c>
      <c r="G329" s="621"/>
      <c r="H329" s="621"/>
      <c r="I329" s="621"/>
      <c r="J329" s="621"/>
      <c r="K329" s="621"/>
      <c r="L329" s="621"/>
      <c r="M329" s="635" t="s">
        <v>718</v>
      </c>
      <c r="N329" s="621"/>
      <c r="O329" s="635" t="s">
        <v>719</v>
      </c>
      <c r="P329" s="621"/>
      <c r="Q329" s="635" t="s">
        <v>724</v>
      </c>
      <c r="R329" s="621"/>
      <c r="S329" s="636" t="s">
        <v>725</v>
      </c>
      <c r="T329" s="637"/>
      <c r="U329" s="621" t="s">
        <v>280</v>
      </c>
      <c r="V329" s="621"/>
    </row>
    <row r="330" spans="1:22" x14ac:dyDescent="0.3">
      <c r="A330" s="396">
        <v>11.1</v>
      </c>
      <c r="B330" s="623" t="s">
        <v>78</v>
      </c>
      <c r="C330" s="623"/>
      <c r="D330" s="623"/>
      <c r="E330" s="396"/>
      <c r="F330" s="621"/>
      <c r="G330" s="621"/>
      <c r="H330" s="621"/>
      <c r="I330" s="621"/>
      <c r="J330" s="621"/>
      <c r="K330" s="621"/>
      <c r="L330" s="621"/>
      <c r="M330" s="621"/>
      <c r="N330" s="621"/>
      <c r="O330" s="621"/>
      <c r="P330" s="621"/>
      <c r="Q330" s="621"/>
      <c r="R330" s="621"/>
      <c r="S330" s="621"/>
      <c r="T330" s="621"/>
      <c r="U330" s="704"/>
      <c r="V330" s="704"/>
    </row>
    <row r="331" spans="1:22" x14ac:dyDescent="0.3">
      <c r="A331" s="396" t="s">
        <v>4</v>
      </c>
      <c r="B331" s="623" t="s">
        <v>88</v>
      </c>
      <c r="C331" s="623"/>
      <c r="D331" s="623"/>
      <c r="E331" s="396"/>
      <c r="F331" s="624"/>
      <c r="G331" s="624"/>
      <c r="H331" s="624"/>
      <c r="I331" s="624"/>
      <c r="J331" s="624"/>
      <c r="K331" s="624"/>
      <c r="L331" s="624"/>
      <c r="M331" s="621"/>
      <c r="N331" s="621"/>
      <c r="O331" s="621"/>
      <c r="P331" s="621"/>
      <c r="Q331" s="621"/>
      <c r="R331" s="621"/>
      <c r="S331" s="621"/>
      <c r="T331" s="621"/>
      <c r="U331" s="704"/>
      <c r="V331" s="704"/>
    </row>
    <row r="332" spans="1:22" x14ac:dyDescent="0.3">
      <c r="A332" s="396" t="s">
        <v>30</v>
      </c>
      <c r="B332" s="618" t="s">
        <v>344</v>
      </c>
      <c r="C332" s="618"/>
      <c r="D332" s="618"/>
      <c r="E332" s="404" t="s">
        <v>343</v>
      </c>
      <c r="F332" s="625"/>
      <c r="G332" s="625"/>
      <c r="H332" s="625"/>
      <c r="I332" s="625"/>
      <c r="J332" s="625"/>
      <c r="K332" s="625"/>
      <c r="L332" s="625"/>
      <c r="M332" s="616"/>
      <c r="N332" s="616"/>
      <c r="O332" s="616"/>
      <c r="P332" s="616"/>
      <c r="Q332" s="616"/>
      <c r="R332" s="616"/>
      <c r="S332" s="659">
        <f>IFERROR(AVERAGEIF(M332:R332,"&gt;0",M332:R332),0)</f>
        <v>0</v>
      </c>
      <c r="T332" s="659"/>
      <c r="U332" s="639"/>
      <c r="V332" s="639"/>
    </row>
    <row r="333" spans="1:22" x14ac:dyDescent="0.3">
      <c r="A333" s="396" t="s">
        <v>32</v>
      </c>
      <c r="B333" s="618" t="s">
        <v>102</v>
      </c>
      <c r="C333" s="618"/>
      <c r="D333" s="618"/>
      <c r="E333" s="404" t="s">
        <v>101</v>
      </c>
      <c r="F333" s="625"/>
      <c r="G333" s="625"/>
      <c r="H333" s="625"/>
      <c r="I333" s="625"/>
      <c r="J333" s="625"/>
      <c r="K333" s="625"/>
      <c r="L333" s="625"/>
      <c r="M333" s="616"/>
      <c r="N333" s="616"/>
      <c r="O333" s="616"/>
      <c r="P333" s="616"/>
      <c r="Q333" s="616"/>
      <c r="R333" s="616"/>
      <c r="S333" s="617">
        <f>IFERROR(AVERAGEIF(M333:R333,"&gt;0",M333:R333),0)</f>
        <v>0</v>
      </c>
      <c r="T333" s="617"/>
      <c r="U333" s="639"/>
      <c r="V333" s="639"/>
    </row>
    <row r="334" spans="1:22" x14ac:dyDescent="0.3">
      <c r="A334" s="396" t="s">
        <v>77</v>
      </c>
      <c r="B334" s="618" t="s">
        <v>103</v>
      </c>
      <c r="C334" s="618"/>
      <c r="D334" s="618"/>
      <c r="E334" s="404" t="s">
        <v>97</v>
      </c>
      <c r="F334" s="625"/>
      <c r="G334" s="625"/>
      <c r="H334" s="625"/>
      <c r="I334" s="625"/>
      <c r="J334" s="625"/>
      <c r="K334" s="625"/>
      <c r="L334" s="625"/>
      <c r="M334" s="640">
        <v>0</v>
      </c>
      <c r="N334" s="640"/>
      <c r="O334" s="640">
        <v>0</v>
      </c>
      <c r="P334" s="640"/>
      <c r="Q334" s="640">
        <v>0</v>
      </c>
      <c r="R334" s="640"/>
      <c r="S334" s="617">
        <f>IFERROR(AVERAGEA(M334:R334),0)</f>
        <v>0</v>
      </c>
      <c r="T334" s="617"/>
      <c r="U334" s="639"/>
      <c r="V334" s="639"/>
    </row>
    <row r="335" spans="1:22" x14ac:dyDescent="0.3">
      <c r="A335" s="396" t="s">
        <v>283</v>
      </c>
      <c r="B335" s="618" t="s">
        <v>98</v>
      </c>
      <c r="C335" s="618"/>
      <c r="D335" s="618"/>
      <c r="E335" s="404" t="s">
        <v>99</v>
      </c>
      <c r="F335" s="625"/>
      <c r="G335" s="625"/>
      <c r="H335" s="625"/>
      <c r="I335" s="625"/>
      <c r="J335" s="625"/>
      <c r="K335" s="625"/>
      <c r="L335" s="625"/>
      <c r="M335" s="616"/>
      <c r="N335" s="616"/>
      <c r="O335" s="616"/>
      <c r="P335" s="616"/>
      <c r="Q335" s="616"/>
      <c r="R335" s="616"/>
      <c r="S335" s="617">
        <f t="shared" ref="S335" si="41">IFERROR(AVERAGEIF(M335:R335,"&gt;0",M335:R335),0)</f>
        <v>0</v>
      </c>
      <c r="T335" s="617"/>
      <c r="U335" s="639"/>
      <c r="V335" s="639"/>
    </row>
    <row r="336" spans="1:22" x14ac:dyDescent="0.3">
      <c r="A336" s="396" t="s">
        <v>12</v>
      </c>
      <c r="B336" s="623" t="s">
        <v>467</v>
      </c>
      <c r="C336" s="623"/>
      <c r="D336" s="623"/>
      <c r="E336" s="396"/>
      <c r="F336" s="625"/>
      <c r="G336" s="625"/>
      <c r="H336" s="625"/>
      <c r="I336" s="625"/>
      <c r="J336" s="625"/>
      <c r="K336" s="625"/>
      <c r="L336" s="625"/>
      <c r="M336" s="639"/>
      <c r="N336" s="639"/>
      <c r="O336" s="639"/>
      <c r="P336" s="639"/>
      <c r="Q336" s="639"/>
      <c r="R336" s="639"/>
      <c r="S336" s="656"/>
      <c r="T336" s="656"/>
      <c r="U336" s="639"/>
      <c r="V336" s="639"/>
    </row>
    <row r="337" spans="1:22" x14ac:dyDescent="0.3">
      <c r="A337" s="396" t="s">
        <v>30</v>
      </c>
      <c r="B337" s="618" t="s">
        <v>344</v>
      </c>
      <c r="C337" s="618"/>
      <c r="D337" s="618"/>
      <c r="E337" s="404" t="s">
        <v>343</v>
      </c>
      <c r="F337" s="625"/>
      <c r="G337" s="625"/>
      <c r="H337" s="625"/>
      <c r="I337" s="625"/>
      <c r="J337" s="625"/>
      <c r="K337" s="625"/>
      <c r="L337" s="625"/>
      <c r="M337" s="616"/>
      <c r="N337" s="616"/>
      <c r="O337" s="616"/>
      <c r="P337" s="616"/>
      <c r="Q337" s="616"/>
      <c r="R337" s="616"/>
      <c r="S337" s="659">
        <f>IFERROR(AVERAGEIF(M337:R337,"&gt;0",M337:R337),0)</f>
        <v>0</v>
      </c>
      <c r="T337" s="659"/>
      <c r="U337" s="639"/>
      <c r="V337" s="639"/>
    </row>
    <row r="338" spans="1:22" x14ac:dyDescent="0.3">
      <c r="A338" s="396" t="s">
        <v>32</v>
      </c>
      <c r="B338" s="618" t="s">
        <v>102</v>
      </c>
      <c r="C338" s="618"/>
      <c r="D338" s="618"/>
      <c r="E338" s="404" t="s">
        <v>101</v>
      </c>
      <c r="F338" s="625"/>
      <c r="G338" s="625"/>
      <c r="H338" s="625"/>
      <c r="I338" s="625"/>
      <c r="J338" s="625"/>
      <c r="K338" s="625"/>
      <c r="L338" s="625"/>
      <c r="M338" s="616"/>
      <c r="N338" s="616"/>
      <c r="O338" s="616"/>
      <c r="P338" s="616"/>
      <c r="Q338" s="616"/>
      <c r="R338" s="616"/>
      <c r="S338" s="617">
        <f>IFERROR(AVERAGEIF(M338:R338,"&gt;0",M338:R338),0)</f>
        <v>0</v>
      </c>
      <c r="T338" s="617"/>
      <c r="U338" s="639"/>
      <c r="V338" s="639"/>
    </row>
    <row r="339" spans="1:22" x14ac:dyDescent="0.3">
      <c r="A339" s="396" t="s">
        <v>77</v>
      </c>
      <c r="B339" s="618" t="s">
        <v>468</v>
      </c>
      <c r="C339" s="618"/>
      <c r="D339" s="618"/>
      <c r="E339" s="404" t="s">
        <v>97</v>
      </c>
      <c r="F339" s="625"/>
      <c r="G339" s="625"/>
      <c r="H339" s="625"/>
      <c r="I339" s="625"/>
      <c r="J339" s="625"/>
      <c r="K339" s="625"/>
      <c r="L339" s="625"/>
      <c r="M339" s="640">
        <v>0</v>
      </c>
      <c r="N339" s="640"/>
      <c r="O339" s="640">
        <v>0</v>
      </c>
      <c r="P339" s="640"/>
      <c r="Q339" s="640">
        <v>0</v>
      </c>
      <c r="R339" s="640"/>
      <c r="S339" s="617">
        <f>IFERROR(AVERAGEA(M339:R339),0)</f>
        <v>0</v>
      </c>
      <c r="T339" s="617"/>
      <c r="U339" s="639"/>
      <c r="V339" s="639"/>
    </row>
    <row r="340" spans="1:22" x14ac:dyDescent="0.3">
      <c r="A340" s="396" t="s">
        <v>283</v>
      </c>
      <c r="B340" s="618" t="s">
        <v>469</v>
      </c>
      <c r="C340" s="618"/>
      <c r="D340" s="618"/>
      <c r="E340" s="404" t="s">
        <v>99</v>
      </c>
      <c r="F340" s="646"/>
      <c r="G340" s="716"/>
      <c r="H340" s="716"/>
      <c r="I340" s="716"/>
      <c r="J340" s="716"/>
      <c r="K340" s="716"/>
      <c r="L340" s="647"/>
      <c r="M340" s="616"/>
      <c r="N340" s="616"/>
      <c r="O340" s="616"/>
      <c r="P340" s="616"/>
      <c r="Q340" s="616"/>
      <c r="R340" s="616"/>
      <c r="S340" s="617">
        <f t="shared" ref="S340" si="42">IFERROR(AVERAGEIF(M340:R340,"&gt;0",M340:R340),0)</f>
        <v>0</v>
      </c>
      <c r="T340" s="617"/>
      <c r="U340" s="639"/>
      <c r="V340" s="639"/>
    </row>
    <row r="341" spans="1:22" x14ac:dyDescent="0.3">
      <c r="A341" s="396" t="s">
        <v>50</v>
      </c>
      <c r="B341" s="623" t="s">
        <v>406</v>
      </c>
      <c r="C341" s="623"/>
      <c r="D341" s="623"/>
      <c r="E341" s="396"/>
      <c r="F341" s="625"/>
      <c r="G341" s="625"/>
      <c r="H341" s="625"/>
      <c r="I341" s="625"/>
      <c r="J341" s="625"/>
      <c r="K341" s="625"/>
      <c r="L341" s="625"/>
      <c r="M341" s="639"/>
      <c r="N341" s="639"/>
      <c r="O341" s="639"/>
      <c r="P341" s="639"/>
      <c r="Q341" s="639"/>
      <c r="R341" s="639"/>
      <c r="S341" s="656"/>
      <c r="T341" s="656"/>
      <c r="U341" s="639"/>
      <c r="V341" s="639"/>
    </row>
    <row r="342" spans="1:22" x14ac:dyDescent="0.3">
      <c r="A342" s="396" t="s">
        <v>30</v>
      </c>
      <c r="B342" s="618" t="s">
        <v>344</v>
      </c>
      <c r="C342" s="618"/>
      <c r="D342" s="618"/>
      <c r="E342" s="404" t="s">
        <v>343</v>
      </c>
      <c r="F342" s="625"/>
      <c r="G342" s="625"/>
      <c r="H342" s="625"/>
      <c r="I342" s="625"/>
      <c r="J342" s="625"/>
      <c r="K342" s="625"/>
      <c r="L342" s="625"/>
      <c r="M342" s="616"/>
      <c r="N342" s="616"/>
      <c r="O342" s="616"/>
      <c r="P342" s="616"/>
      <c r="Q342" s="616"/>
      <c r="R342" s="616"/>
      <c r="S342" s="617">
        <f>IFERROR(AVERAGEIF(M342:R342,"&gt;0",M342:R342),0)</f>
        <v>0</v>
      </c>
      <c r="T342" s="617"/>
      <c r="U342" s="639"/>
      <c r="V342" s="639"/>
    </row>
    <row r="343" spans="1:22" x14ac:dyDescent="0.3">
      <c r="A343" s="396" t="s">
        <v>32</v>
      </c>
      <c r="B343" s="618" t="s">
        <v>104</v>
      </c>
      <c r="C343" s="618"/>
      <c r="D343" s="618"/>
      <c r="E343" s="404" t="s">
        <v>101</v>
      </c>
      <c r="F343" s="625"/>
      <c r="G343" s="625"/>
      <c r="H343" s="625"/>
      <c r="I343" s="625"/>
      <c r="J343" s="625"/>
      <c r="K343" s="625"/>
      <c r="L343" s="625"/>
      <c r="M343" s="616"/>
      <c r="N343" s="616"/>
      <c r="O343" s="616"/>
      <c r="P343" s="616"/>
      <c r="Q343" s="616"/>
      <c r="R343" s="616"/>
      <c r="S343" s="617">
        <f>IFERROR(AVERAGEIF(M343:R343,"&gt;0",M343:R343),0)</f>
        <v>0</v>
      </c>
      <c r="T343" s="617"/>
      <c r="U343" s="639"/>
      <c r="V343" s="639"/>
    </row>
    <row r="344" spans="1:22" x14ac:dyDescent="0.3">
      <c r="A344" s="396" t="s">
        <v>77</v>
      </c>
      <c r="B344" s="618" t="s">
        <v>125</v>
      </c>
      <c r="C344" s="618"/>
      <c r="D344" s="618"/>
      <c r="E344" s="404" t="s">
        <v>97</v>
      </c>
      <c r="F344" s="625"/>
      <c r="G344" s="625"/>
      <c r="H344" s="625"/>
      <c r="I344" s="625"/>
      <c r="J344" s="625"/>
      <c r="K344" s="625"/>
      <c r="L344" s="625"/>
      <c r="M344" s="640">
        <v>0</v>
      </c>
      <c r="N344" s="640"/>
      <c r="O344" s="640">
        <v>0</v>
      </c>
      <c r="P344" s="640"/>
      <c r="Q344" s="640">
        <v>0</v>
      </c>
      <c r="R344" s="640"/>
      <c r="S344" s="617">
        <f>IFERROR(AVERAGEA(M344:R344),0)</f>
        <v>0</v>
      </c>
      <c r="T344" s="617"/>
      <c r="U344" s="639"/>
      <c r="V344" s="639"/>
    </row>
    <row r="345" spans="1:22" x14ac:dyDescent="0.3">
      <c r="A345" s="396" t="s">
        <v>283</v>
      </c>
      <c r="B345" s="618" t="s">
        <v>126</v>
      </c>
      <c r="C345" s="618"/>
      <c r="D345" s="618"/>
      <c r="E345" s="404" t="s">
        <v>99</v>
      </c>
      <c r="F345" s="625"/>
      <c r="G345" s="625"/>
      <c r="H345" s="625"/>
      <c r="I345" s="625"/>
      <c r="J345" s="625"/>
      <c r="K345" s="625"/>
      <c r="L345" s="625"/>
      <c r="M345" s="616"/>
      <c r="N345" s="616"/>
      <c r="O345" s="616"/>
      <c r="P345" s="616"/>
      <c r="Q345" s="616"/>
      <c r="R345" s="616"/>
      <c r="S345" s="617">
        <f t="shared" ref="S345" si="43">IFERROR(AVERAGEIF(M345:R345,"&gt;0",M345:R345),0)</f>
        <v>0</v>
      </c>
      <c r="T345" s="617"/>
      <c r="U345" s="639"/>
      <c r="V345" s="639"/>
    </row>
    <row r="346" spans="1:22" x14ac:dyDescent="0.3">
      <c r="A346" s="396">
        <v>11.2</v>
      </c>
      <c r="B346" s="623" t="s">
        <v>712</v>
      </c>
      <c r="C346" s="623"/>
      <c r="D346" s="623"/>
      <c r="E346" s="396"/>
      <c r="F346" s="625"/>
      <c r="G346" s="625"/>
      <c r="H346" s="625"/>
      <c r="I346" s="625"/>
      <c r="J346" s="625"/>
      <c r="K346" s="625"/>
      <c r="L346" s="625"/>
      <c r="M346" s="639"/>
      <c r="N346" s="639"/>
      <c r="O346" s="639"/>
      <c r="P346" s="639"/>
      <c r="Q346" s="639"/>
      <c r="R346" s="639"/>
      <c r="S346" s="656"/>
      <c r="T346" s="656"/>
      <c r="U346" s="639"/>
      <c r="V346" s="639"/>
    </row>
    <row r="347" spans="1:22" x14ac:dyDescent="0.3">
      <c r="A347" s="396" t="s">
        <v>4</v>
      </c>
      <c r="B347" s="623" t="s">
        <v>470</v>
      </c>
      <c r="C347" s="623"/>
      <c r="D347" s="623"/>
      <c r="E347" s="396"/>
      <c r="F347" s="625"/>
      <c r="G347" s="625"/>
      <c r="H347" s="625"/>
      <c r="I347" s="625"/>
      <c r="J347" s="625"/>
      <c r="K347" s="625"/>
      <c r="L347" s="625"/>
      <c r="M347" s="639"/>
      <c r="N347" s="639"/>
      <c r="O347" s="639"/>
      <c r="P347" s="639"/>
      <c r="Q347" s="639"/>
      <c r="R347" s="639"/>
      <c r="S347" s="656"/>
      <c r="T347" s="656"/>
      <c r="U347" s="639"/>
      <c r="V347" s="639"/>
    </row>
    <row r="348" spans="1:22" x14ac:dyDescent="0.3">
      <c r="A348" s="396" t="s">
        <v>30</v>
      </c>
      <c r="B348" s="618" t="s">
        <v>344</v>
      </c>
      <c r="C348" s="618"/>
      <c r="D348" s="618"/>
      <c r="E348" s="404" t="s">
        <v>343</v>
      </c>
      <c r="F348" s="625"/>
      <c r="G348" s="625"/>
      <c r="H348" s="625"/>
      <c r="I348" s="625"/>
      <c r="J348" s="625"/>
      <c r="K348" s="625"/>
      <c r="L348" s="625"/>
      <c r="M348" s="616"/>
      <c r="N348" s="616"/>
      <c r="O348" s="616"/>
      <c r="P348" s="616"/>
      <c r="Q348" s="616"/>
      <c r="R348" s="616"/>
      <c r="S348" s="617">
        <f>IFERROR(AVERAGEIF(M348:R348,"&gt;0",M348:R348),0)</f>
        <v>0</v>
      </c>
      <c r="T348" s="617"/>
      <c r="U348" s="639"/>
      <c r="V348" s="639"/>
    </row>
    <row r="349" spans="1:22" x14ac:dyDescent="0.3">
      <c r="A349" s="396" t="s">
        <v>32</v>
      </c>
      <c r="B349" s="618" t="s">
        <v>100</v>
      </c>
      <c r="C349" s="618"/>
      <c r="D349" s="618"/>
      <c r="E349" s="404" t="s">
        <v>153</v>
      </c>
      <c r="F349" s="625"/>
      <c r="G349" s="625"/>
      <c r="H349" s="625"/>
      <c r="I349" s="625"/>
      <c r="J349" s="625"/>
      <c r="K349" s="625"/>
      <c r="L349" s="625"/>
      <c r="M349" s="616"/>
      <c r="N349" s="616"/>
      <c r="O349" s="616"/>
      <c r="P349" s="616"/>
      <c r="Q349" s="616"/>
      <c r="R349" s="616"/>
      <c r="S349" s="617">
        <f>IFERROR(AVERAGEIF(M349:R349,"&gt;0",M349:R349),0)</f>
        <v>0</v>
      </c>
      <c r="T349" s="617"/>
      <c r="U349" s="639"/>
      <c r="V349" s="639"/>
    </row>
    <row r="350" spans="1:22" x14ac:dyDescent="0.3">
      <c r="A350" s="396" t="s">
        <v>77</v>
      </c>
      <c r="B350" s="618" t="s">
        <v>105</v>
      </c>
      <c r="C350" s="618"/>
      <c r="D350" s="618"/>
      <c r="E350" s="404" t="s">
        <v>107</v>
      </c>
      <c r="F350" s="625"/>
      <c r="G350" s="625"/>
      <c r="H350" s="625"/>
      <c r="I350" s="625"/>
      <c r="J350" s="625"/>
      <c r="K350" s="625"/>
      <c r="L350" s="625"/>
      <c r="M350" s="640">
        <v>0</v>
      </c>
      <c r="N350" s="640"/>
      <c r="O350" s="640">
        <v>0</v>
      </c>
      <c r="P350" s="640"/>
      <c r="Q350" s="640">
        <v>0</v>
      </c>
      <c r="R350" s="640"/>
      <c r="S350" s="617">
        <f>IFERROR(AVERAGEA(M350:R350),0)</f>
        <v>0</v>
      </c>
      <c r="T350" s="617"/>
      <c r="U350" s="639"/>
      <c r="V350" s="639"/>
    </row>
    <row r="351" spans="1:22" x14ac:dyDescent="0.3">
      <c r="A351" s="396" t="s">
        <v>283</v>
      </c>
      <c r="B351" s="618" t="s">
        <v>476</v>
      </c>
      <c r="C351" s="618"/>
      <c r="D351" s="618"/>
      <c r="E351" s="404" t="s">
        <v>106</v>
      </c>
      <c r="F351" s="625"/>
      <c r="G351" s="625"/>
      <c r="H351" s="625"/>
      <c r="I351" s="625"/>
      <c r="J351" s="625"/>
      <c r="K351" s="625"/>
      <c r="L351" s="625"/>
      <c r="M351" s="616"/>
      <c r="N351" s="616"/>
      <c r="O351" s="616"/>
      <c r="P351" s="616"/>
      <c r="Q351" s="616"/>
      <c r="R351" s="616"/>
      <c r="S351" s="617">
        <f>IFERROR(AVERAGEIF(M351:R351,"&gt;0",M351:R351),0)</f>
        <v>0</v>
      </c>
      <c r="T351" s="617"/>
      <c r="U351" s="639"/>
      <c r="V351" s="639"/>
    </row>
    <row r="352" spans="1:22" x14ac:dyDescent="0.3">
      <c r="A352" s="396" t="s">
        <v>38</v>
      </c>
      <c r="B352" s="618" t="s">
        <v>158</v>
      </c>
      <c r="C352" s="618"/>
      <c r="D352" s="618"/>
      <c r="E352" s="404" t="s">
        <v>157</v>
      </c>
      <c r="F352" s="625"/>
      <c r="G352" s="625"/>
      <c r="H352" s="625"/>
      <c r="I352" s="625"/>
      <c r="J352" s="625"/>
      <c r="K352" s="625"/>
      <c r="L352" s="625"/>
      <c r="M352" s="616"/>
      <c r="N352" s="616"/>
      <c r="O352" s="616"/>
      <c r="P352" s="616"/>
      <c r="Q352" s="616"/>
      <c r="R352" s="616"/>
      <c r="S352" s="617">
        <f>IFERROR(AVERAGEIF(M352:R352,"&gt;0",M352:R352),0)</f>
        <v>0</v>
      </c>
      <c r="T352" s="617"/>
      <c r="U352" s="639"/>
      <c r="V352" s="639"/>
    </row>
    <row r="353" spans="1:22" x14ac:dyDescent="0.3">
      <c r="A353" s="396" t="s">
        <v>12</v>
      </c>
      <c r="B353" s="623" t="s">
        <v>471</v>
      </c>
      <c r="C353" s="623"/>
      <c r="D353" s="623"/>
      <c r="E353" s="396"/>
      <c r="F353" s="625"/>
      <c r="G353" s="625"/>
      <c r="H353" s="625"/>
      <c r="I353" s="625"/>
      <c r="J353" s="625"/>
      <c r="K353" s="625"/>
      <c r="L353" s="625"/>
      <c r="M353" s="639"/>
      <c r="N353" s="639"/>
      <c r="O353" s="639"/>
      <c r="P353" s="639"/>
      <c r="Q353" s="639"/>
      <c r="R353" s="639"/>
      <c r="S353" s="656"/>
      <c r="T353" s="656"/>
      <c r="U353" s="639"/>
      <c r="V353" s="639"/>
    </row>
    <row r="354" spans="1:22" x14ac:dyDescent="0.3">
      <c r="A354" s="396" t="s">
        <v>30</v>
      </c>
      <c r="B354" s="618" t="s">
        <v>344</v>
      </c>
      <c r="C354" s="618"/>
      <c r="D354" s="618"/>
      <c r="E354" s="404" t="s">
        <v>343</v>
      </c>
      <c r="F354" s="625"/>
      <c r="G354" s="625"/>
      <c r="H354" s="625"/>
      <c r="I354" s="625"/>
      <c r="J354" s="625"/>
      <c r="K354" s="625"/>
      <c r="L354" s="625"/>
      <c r="M354" s="616"/>
      <c r="N354" s="616"/>
      <c r="O354" s="616"/>
      <c r="P354" s="616"/>
      <c r="Q354" s="616"/>
      <c r="R354" s="616"/>
      <c r="S354" s="617">
        <f>IFERROR(AVERAGEIF(M354:R354,"&gt;0",M354:R354),0)</f>
        <v>0</v>
      </c>
      <c r="T354" s="617"/>
      <c r="U354" s="639"/>
      <c r="V354" s="639"/>
    </row>
    <row r="355" spans="1:22" x14ac:dyDescent="0.3">
      <c r="A355" s="396" t="s">
        <v>32</v>
      </c>
      <c r="B355" s="618" t="s">
        <v>100</v>
      </c>
      <c r="C355" s="618"/>
      <c r="D355" s="618"/>
      <c r="E355" s="404" t="s">
        <v>153</v>
      </c>
      <c r="F355" s="625"/>
      <c r="G355" s="625"/>
      <c r="H355" s="625"/>
      <c r="I355" s="625"/>
      <c r="J355" s="625"/>
      <c r="K355" s="625"/>
      <c r="L355" s="625"/>
      <c r="M355" s="616"/>
      <c r="N355" s="616"/>
      <c r="O355" s="616"/>
      <c r="P355" s="616"/>
      <c r="Q355" s="616"/>
      <c r="R355" s="616"/>
      <c r="S355" s="617">
        <f>IFERROR(AVERAGEIF(M355:R355,"&gt;0",M355:R355),0)</f>
        <v>0</v>
      </c>
      <c r="T355" s="617"/>
      <c r="U355" s="639"/>
      <c r="V355" s="639"/>
    </row>
    <row r="356" spans="1:22" x14ac:dyDescent="0.3">
      <c r="A356" s="396" t="s">
        <v>77</v>
      </c>
      <c r="B356" s="618" t="s">
        <v>105</v>
      </c>
      <c r="C356" s="618"/>
      <c r="D356" s="618"/>
      <c r="E356" s="404" t="s">
        <v>107</v>
      </c>
      <c r="F356" s="625"/>
      <c r="G356" s="625"/>
      <c r="H356" s="625"/>
      <c r="I356" s="625"/>
      <c r="J356" s="625"/>
      <c r="K356" s="625"/>
      <c r="L356" s="625"/>
      <c r="M356" s="640">
        <v>0</v>
      </c>
      <c r="N356" s="640"/>
      <c r="O356" s="640">
        <v>0</v>
      </c>
      <c r="P356" s="640"/>
      <c r="Q356" s="640">
        <v>0</v>
      </c>
      <c r="R356" s="640"/>
      <c r="S356" s="617">
        <f>IFERROR(AVERAGEA(M356:R356),0)</f>
        <v>0</v>
      </c>
      <c r="T356" s="617"/>
      <c r="U356" s="639"/>
      <c r="V356" s="639"/>
    </row>
    <row r="357" spans="1:22" x14ac:dyDescent="0.3">
      <c r="A357" s="396" t="s">
        <v>283</v>
      </c>
      <c r="B357" s="618" t="s">
        <v>476</v>
      </c>
      <c r="C357" s="618"/>
      <c r="D357" s="618"/>
      <c r="E357" s="404" t="s">
        <v>106</v>
      </c>
      <c r="F357" s="625"/>
      <c r="G357" s="625"/>
      <c r="H357" s="625"/>
      <c r="I357" s="625"/>
      <c r="J357" s="625"/>
      <c r="K357" s="625"/>
      <c r="L357" s="625"/>
      <c r="M357" s="616"/>
      <c r="N357" s="616"/>
      <c r="O357" s="616"/>
      <c r="P357" s="616"/>
      <c r="Q357" s="616"/>
      <c r="R357" s="616"/>
      <c r="S357" s="617">
        <f>IFERROR(AVERAGEIF(M357:R357,"&gt;0",M357:R357),0)</f>
        <v>0</v>
      </c>
      <c r="T357" s="617"/>
      <c r="U357" s="639"/>
      <c r="V357" s="639"/>
    </row>
    <row r="358" spans="1:22" x14ac:dyDescent="0.3">
      <c r="A358" s="396" t="s">
        <v>38</v>
      </c>
      <c r="B358" s="618" t="s">
        <v>158</v>
      </c>
      <c r="C358" s="618"/>
      <c r="D358" s="618"/>
      <c r="E358" s="404" t="s">
        <v>157</v>
      </c>
      <c r="F358" s="625"/>
      <c r="G358" s="625"/>
      <c r="H358" s="625"/>
      <c r="I358" s="625"/>
      <c r="J358" s="625"/>
      <c r="K358" s="625"/>
      <c r="L358" s="625"/>
      <c r="M358" s="616"/>
      <c r="N358" s="616"/>
      <c r="O358" s="616"/>
      <c r="P358" s="616"/>
      <c r="Q358" s="616"/>
      <c r="R358" s="616"/>
      <c r="S358" s="617">
        <f>IFERROR(AVERAGEIF(M358:R358,"&gt;0",M358:R358),0)</f>
        <v>0</v>
      </c>
      <c r="T358" s="617"/>
      <c r="U358" s="639"/>
      <c r="V358" s="639"/>
    </row>
    <row r="359" spans="1:22" x14ac:dyDescent="0.3">
      <c r="A359" s="396" t="s">
        <v>50</v>
      </c>
      <c r="B359" s="623" t="s">
        <v>477</v>
      </c>
      <c r="C359" s="623"/>
      <c r="D359" s="623"/>
      <c r="E359" s="396"/>
      <c r="F359" s="625"/>
      <c r="G359" s="625"/>
      <c r="H359" s="625"/>
      <c r="I359" s="625"/>
      <c r="J359" s="625"/>
      <c r="K359" s="625"/>
      <c r="L359" s="625"/>
      <c r="M359" s="639"/>
      <c r="N359" s="639"/>
      <c r="O359" s="639"/>
      <c r="P359" s="639"/>
      <c r="Q359" s="639"/>
      <c r="R359" s="639"/>
      <c r="S359" s="656"/>
      <c r="T359" s="656"/>
      <c r="U359" s="639"/>
      <c r="V359" s="639"/>
    </row>
    <row r="360" spans="1:22" x14ac:dyDescent="0.3">
      <c r="A360" s="396" t="s">
        <v>30</v>
      </c>
      <c r="B360" s="618" t="s">
        <v>344</v>
      </c>
      <c r="C360" s="618"/>
      <c r="D360" s="618"/>
      <c r="E360" s="404" t="s">
        <v>343</v>
      </c>
      <c r="F360" s="625"/>
      <c r="G360" s="625"/>
      <c r="H360" s="625"/>
      <c r="I360" s="625"/>
      <c r="J360" s="625"/>
      <c r="K360" s="625"/>
      <c r="L360" s="625"/>
      <c r="M360" s="616"/>
      <c r="N360" s="616"/>
      <c r="O360" s="616"/>
      <c r="P360" s="616"/>
      <c r="Q360" s="616"/>
      <c r="R360" s="616"/>
      <c r="S360" s="617">
        <f>IFERROR(AVERAGEIF(M360:R360,"&gt;0",M360:R360),0)</f>
        <v>0</v>
      </c>
      <c r="T360" s="617"/>
      <c r="U360" s="639"/>
      <c r="V360" s="639"/>
    </row>
    <row r="361" spans="1:22" x14ac:dyDescent="0.3">
      <c r="A361" s="396" t="s">
        <v>32</v>
      </c>
      <c r="B361" s="618" t="s">
        <v>100</v>
      </c>
      <c r="C361" s="618"/>
      <c r="D361" s="618"/>
      <c r="E361" s="404" t="s">
        <v>153</v>
      </c>
      <c r="F361" s="625"/>
      <c r="G361" s="625"/>
      <c r="H361" s="625"/>
      <c r="I361" s="625"/>
      <c r="J361" s="625"/>
      <c r="K361" s="625"/>
      <c r="L361" s="625"/>
      <c r="M361" s="616"/>
      <c r="N361" s="616"/>
      <c r="O361" s="616"/>
      <c r="P361" s="616"/>
      <c r="Q361" s="616"/>
      <c r="R361" s="616"/>
      <c r="S361" s="617">
        <f>IFERROR(AVERAGEIF(M361:R361,"&gt;0",M361:R361),0)</f>
        <v>0</v>
      </c>
      <c r="T361" s="617"/>
      <c r="U361" s="639"/>
      <c r="V361" s="639"/>
    </row>
    <row r="362" spans="1:22" x14ac:dyDescent="0.3">
      <c r="A362" s="396" t="s">
        <v>77</v>
      </c>
      <c r="B362" s="618" t="s">
        <v>105</v>
      </c>
      <c r="C362" s="618"/>
      <c r="D362" s="618"/>
      <c r="E362" s="404" t="s">
        <v>107</v>
      </c>
      <c r="F362" s="625"/>
      <c r="G362" s="625"/>
      <c r="H362" s="625"/>
      <c r="I362" s="625"/>
      <c r="J362" s="625"/>
      <c r="K362" s="625"/>
      <c r="L362" s="625"/>
      <c r="M362" s="640">
        <v>0</v>
      </c>
      <c r="N362" s="640"/>
      <c r="O362" s="640">
        <v>0</v>
      </c>
      <c r="P362" s="640"/>
      <c r="Q362" s="640">
        <v>0</v>
      </c>
      <c r="R362" s="640"/>
      <c r="S362" s="617">
        <f>IFERROR(AVERAGEA(M362:R362),0)</f>
        <v>0</v>
      </c>
      <c r="T362" s="617"/>
      <c r="U362" s="639"/>
      <c r="V362" s="639"/>
    </row>
    <row r="363" spans="1:22" x14ac:dyDescent="0.3">
      <c r="A363" s="396" t="s">
        <v>283</v>
      </c>
      <c r="B363" s="618" t="s">
        <v>476</v>
      </c>
      <c r="C363" s="618"/>
      <c r="D363" s="618"/>
      <c r="E363" s="404" t="s">
        <v>106</v>
      </c>
      <c r="F363" s="625"/>
      <c r="G363" s="625"/>
      <c r="H363" s="625"/>
      <c r="I363" s="625"/>
      <c r="J363" s="625"/>
      <c r="K363" s="625"/>
      <c r="L363" s="625"/>
      <c r="M363" s="616"/>
      <c r="N363" s="616"/>
      <c r="O363" s="616"/>
      <c r="P363" s="616"/>
      <c r="Q363" s="616"/>
      <c r="R363" s="616"/>
      <c r="S363" s="617">
        <f>IFERROR(AVERAGEIF(M363:R363,"&gt;0",M363:R363),0)</f>
        <v>0</v>
      </c>
      <c r="T363" s="617"/>
      <c r="U363" s="639"/>
      <c r="V363" s="639"/>
    </row>
    <row r="364" spans="1:22" x14ac:dyDescent="0.3">
      <c r="A364" s="396" t="s">
        <v>38</v>
      </c>
      <c r="B364" s="618" t="s">
        <v>158</v>
      </c>
      <c r="C364" s="618"/>
      <c r="D364" s="618"/>
      <c r="E364" s="404" t="s">
        <v>157</v>
      </c>
      <c r="F364" s="625"/>
      <c r="G364" s="625"/>
      <c r="H364" s="625"/>
      <c r="I364" s="625"/>
      <c r="J364" s="625"/>
      <c r="K364" s="625"/>
      <c r="L364" s="625"/>
      <c r="M364" s="616"/>
      <c r="N364" s="616"/>
      <c r="O364" s="616"/>
      <c r="P364" s="616"/>
      <c r="Q364" s="616"/>
      <c r="R364" s="616"/>
      <c r="S364" s="617">
        <f>IFERROR(AVERAGEIF(M364:R364,"&gt;0",M364:R364),0)</f>
        <v>0</v>
      </c>
      <c r="T364" s="617"/>
      <c r="U364" s="639"/>
      <c r="V364" s="639"/>
    </row>
    <row r="365" spans="1:22" x14ac:dyDescent="0.3">
      <c r="A365" s="396">
        <v>11.3</v>
      </c>
      <c r="B365" s="623" t="s">
        <v>79</v>
      </c>
      <c r="C365" s="623"/>
      <c r="D365" s="623"/>
      <c r="E365" s="396"/>
      <c r="F365" s="625"/>
      <c r="G365" s="625"/>
      <c r="H365" s="625"/>
      <c r="I365" s="625"/>
      <c r="J365" s="625"/>
      <c r="K365" s="625"/>
      <c r="L365" s="625"/>
      <c r="M365" s="639"/>
      <c r="N365" s="639"/>
      <c r="O365" s="639"/>
      <c r="P365" s="639"/>
      <c r="Q365" s="639"/>
      <c r="R365" s="639"/>
      <c r="S365" s="656"/>
      <c r="T365" s="656"/>
      <c r="U365" s="639"/>
      <c r="V365" s="639"/>
    </row>
    <row r="366" spans="1:22" x14ac:dyDescent="0.3">
      <c r="A366" s="396" t="s">
        <v>4</v>
      </c>
      <c r="B366" s="623" t="s">
        <v>108</v>
      </c>
      <c r="C366" s="623"/>
      <c r="D366" s="623"/>
      <c r="E366" s="396" t="s">
        <v>472</v>
      </c>
      <c r="F366" s="625"/>
      <c r="G366" s="625"/>
      <c r="H366" s="625"/>
      <c r="I366" s="625"/>
      <c r="J366" s="625"/>
      <c r="K366" s="625"/>
      <c r="L366" s="625"/>
      <c r="M366" s="639"/>
      <c r="N366" s="639"/>
      <c r="O366" s="639"/>
      <c r="P366" s="639"/>
      <c r="Q366" s="639"/>
      <c r="R366" s="639"/>
      <c r="S366" s="656"/>
      <c r="T366" s="656"/>
      <c r="U366" s="639"/>
      <c r="V366" s="639"/>
    </row>
    <row r="367" spans="1:22" x14ac:dyDescent="0.3">
      <c r="A367" s="396" t="s">
        <v>30</v>
      </c>
      <c r="B367" s="618" t="s">
        <v>344</v>
      </c>
      <c r="C367" s="618"/>
      <c r="D367" s="618"/>
      <c r="E367" s="404" t="s">
        <v>475</v>
      </c>
      <c r="F367" s="625"/>
      <c r="G367" s="625"/>
      <c r="H367" s="625"/>
      <c r="I367" s="625"/>
      <c r="J367" s="625"/>
      <c r="K367" s="625"/>
      <c r="L367" s="625"/>
      <c r="M367" s="616"/>
      <c r="N367" s="616"/>
      <c r="O367" s="616"/>
      <c r="P367" s="616"/>
      <c r="Q367" s="616"/>
      <c r="R367" s="616"/>
      <c r="S367" s="617">
        <f>IFERROR(AVERAGEIF(M367:R367,"&gt;0",M367:R367),0)</f>
        <v>0</v>
      </c>
      <c r="T367" s="617"/>
      <c r="U367" s="639"/>
      <c r="V367" s="639"/>
    </row>
    <row r="368" spans="1:22" x14ac:dyDescent="0.3">
      <c r="A368" s="396" t="s">
        <v>32</v>
      </c>
      <c r="B368" s="618" t="s">
        <v>104</v>
      </c>
      <c r="C368" s="618"/>
      <c r="D368" s="618"/>
      <c r="E368" s="404" t="s">
        <v>114</v>
      </c>
      <c r="F368" s="625"/>
      <c r="G368" s="625"/>
      <c r="H368" s="625"/>
      <c r="I368" s="625"/>
      <c r="J368" s="625"/>
      <c r="K368" s="625"/>
      <c r="L368" s="625"/>
      <c r="M368" s="616"/>
      <c r="N368" s="616"/>
      <c r="O368" s="616"/>
      <c r="P368" s="616"/>
      <c r="Q368" s="616"/>
      <c r="R368" s="616"/>
      <c r="S368" s="617">
        <f>IFERROR(AVERAGEIF(M368:R368,"&gt;0",M368:R368),0)</f>
        <v>0</v>
      </c>
      <c r="T368" s="617"/>
      <c r="U368" s="639"/>
      <c r="V368" s="639"/>
    </row>
    <row r="369" spans="1:25" x14ac:dyDescent="0.3">
      <c r="A369" s="396" t="s">
        <v>77</v>
      </c>
      <c r="B369" s="618" t="s">
        <v>127</v>
      </c>
      <c r="C369" s="618"/>
      <c r="D369" s="618"/>
      <c r="E369" s="404" t="s">
        <v>115</v>
      </c>
      <c r="F369" s="625"/>
      <c r="G369" s="625"/>
      <c r="H369" s="625"/>
      <c r="I369" s="625"/>
      <c r="J369" s="625"/>
      <c r="K369" s="625"/>
      <c r="L369" s="625"/>
      <c r="M369" s="640">
        <v>0</v>
      </c>
      <c r="N369" s="640"/>
      <c r="O369" s="640">
        <v>0</v>
      </c>
      <c r="P369" s="640"/>
      <c r="Q369" s="640">
        <v>0</v>
      </c>
      <c r="R369" s="640"/>
      <c r="S369" s="617">
        <f>IFERROR(AVERAGEA(M369:R369),0)</f>
        <v>0</v>
      </c>
      <c r="T369" s="617"/>
      <c r="U369" s="639"/>
      <c r="V369" s="639"/>
    </row>
    <row r="370" spans="1:25" x14ac:dyDescent="0.3">
      <c r="A370" s="396" t="s">
        <v>283</v>
      </c>
      <c r="B370" s="618" t="s">
        <v>109</v>
      </c>
      <c r="C370" s="618"/>
      <c r="D370" s="618"/>
      <c r="E370" s="404" t="s">
        <v>715</v>
      </c>
      <c r="F370" s="625"/>
      <c r="G370" s="625"/>
      <c r="H370" s="625"/>
      <c r="I370" s="625"/>
      <c r="J370" s="625"/>
      <c r="K370" s="625"/>
      <c r="L370" s="625"/>
      <c r="M370" s="616"/>
      <c r="N370" s="616"/>
      <c r="O370" s="616"/>
      <c r="P370" s="616"/>
      <c r="Q370" s="616"/>
      <c r="R370" s="616"/>
      <c r="S370" s="617">
        <f t="shared" ref="S370" si="44">IFERROR(AVERAGEIF(M370:R370,"&gt;0",M370:R370),0)</f>
        <v>0</v>
      </c>
      <c r="T370" s="617"/>
      <c r="U370" s="639"/>
      <c r="V370" s="639"/>
    </row>
    <row r="371" spans="1:25" ht="29.4" customHeight="1" x14ac:dyDescent="0.3">
      <c r="A371" s="396" t="s">
        <v>12</v>
      </c>
      <c r="B371" s="623" t="s">
        <v>108</v>
      </c>
      <c r="C371" s="623"/>
      <c r="D371" s="623"/>
      <c r="E371" s="396" t="s">
        <v>473</v>
      </c>
      <c r="F371" s="625"/>
      <c r="G371" s="625"/>
      <c r="H371" s="625"/>
      <c r="I371" s="625"/>
      <c r="J371" s="625"/>
      <c r="K371" s="625"/>
      <c r="L371" s="625"/>
      <c r="M371" s="639"/>
      <c r="N371" s="639"/>
      <c r="O371" s="639"/>
      <c r="P371" s="639"/>
      <c r="Q371" s="639"/>
      <c r="R371" s="639"/>
      <c r="S371" s="656"/>
      <c r="T371" s="656"/>
      <c r="U371" s="639"/>
      <c r="V371" s="639"/>
    </row>
    <row r="372" spans="1:25" x14ac:dyDescent="0.3">
      <c r="A372" s="396" t="s">
        <v>30</v>
      </c>
      <c r="B372" s="618" t="s">
        <v>344</v>
      </c>
      <c r="C372" s="618"/>
      <c r="D372" s="618"/>
      <c r="E372" s="404" t="s">
        <v>475</v>
      </c>
      <c r="F372" s="625"/>
      <c r="G372" s="625"/>
      <c r="H372" s="625"/>
      <c r="I372" s="625"/>
      <c r="J372" s="625"/>
      <c r="K372" s="625"/>
      <c r="L372" s="625"/>
      <c r="M372" s="616"/>
      <c r="N372" s="616"/>
      <c r="O372" s="616"/>
      <c r="P372" s="616"/>
      <c r="Q372" s="616"/>
      <c r="R372" s="616"/>
      <c r="S372" s="617">
        <f>IFERROR(AVERAGEIF(M372:R372,"&gt;0",M372:R372),0)</f>
        <v>0</v>
      </c>
      <c r="T372" s="617"/>
      <c r="U372" s="639"/>
      <c r="V372" s="639"/>
    </row>
    <row r="373" spans="1:25" x14ac:dyDescent="0.3">
      <c r="A373" s="396" t="s">
        <v>32</v>
      </c>
      <c r="B373" s="618" t="s">
        <v>104</v>
      </c>
      <c r="C373" s="618"/>
      <c r="D373" s="618"/>
      <c r="E373" s="404" t="s">
        <v>114</v>
      </c>
      <c r="F373" s="625"/>
      <c r="G373" s="625"/>
      <c r="H373" s="625"/>
      <c r="I373" s="625"/>
      <c r="J373" s="625"/>
      <c r="K373" s="625"/>
      <c r="L373" s="625"/>
      <c r="M373" s="616"/>
      <c r="N373" s="616"/>
      <c r="O373" s="616"/>
      <c r="P373" s="616"/>
      <c r="Q373" s="616"/>
      <c r="R373" s="616"/>
      <c r="S373" s="617">
        <f>IFERROR(AVERAGEIF(M373:R373,"&gt;0",M373:R373),0)</f>
        <v>0</v>
      </c>
      <c r="T373" s="617"/>
      <c r="U373" s="639"/>
      <c r="V373" s="639"/>
    </row>
    <row r="374" spans="1:25" x14ac:dyDescent="0.3">
      <c r="A374" s="396" t="s">
        <v>77</v>
      </c>
      <c r="B374" s="618" t="s">
        <v>127</v>
      </c>
      <c r="C374" s="618"/>
      <c r="D374" s="618"/>
      <c r="E374" s="404" t="s">
        <v>115</v>
      </c>
      <c r="F374" s="625"/>
      <c r="G374" s="625"/>
      <c r="H374" s="625"/>
      <c r="I374" s="625"/>
      <c r="J374" s="625"/>
      <c r="K374" s="625"/>
      <c r="L374" s="625"/>
      <c r="M374" s="640">
        <v>0</v>
      </c>
      <c r="N374" s="640"/>
      <c r="O374" s="640">
        <v>0</v>
      </c>
      <c r="P374" s="640"/>
      <c r="Q374" s="640">
        <v>0</v>
      </c>
      <c r="R374" s="640"/>
      <c r="S374" s="617">
        <f>IFERROR(AVERAGEA(M374:R374),0)</f>
        <v>0</v>
      </c>
      <c r="T374" s="617"/>
      <c r="U374" s="639"/>
      <c r="V374" s="639"/>
    </row>
    <row r="375" spans="1:25" x14ac:dyDescent="0.3">
      <c r="A375" s="396" t="s">
        <v>283</v>
      </c>
      <c r="B375" s="618" t="s">
        <v>109</v>
      </c>
      <c r="C375" s="618"/>
      <c r="D375" s="618"/>
      <c r="E375" s="404" t="s">
        <v>715</v>
      </c>
      <c r="F375" s="625"/>
      <c r="G375" s="625"/>
      <c r="H375" s="625"/>
      <c r="I375" s="625"/>
      <c r="J375" s="625"/>
      <c r="K375" s="625"/>
      <c r="L375" s="625"/>
      <c r="M375" s="616"/>
      <c r="N375" s="616"/>
      <c r="O375" s="616"/>
      <c r="P375" s="616"/>
      <c r="Q375" s="616"/>
      <c r="R375" s="616"/>
      <c r="S375" s="617">
        <f t="shared" ref="S375" si="45">IFERROR(AVERAGEIF(M375:R375,"&gt;0",M375:R375),0)</f>
        <v>0</v>
      </c>
      <c r="T375" s="617"/>
      <c r="U375" s="639"/>
      <c r="V375" s="639"/>
    </row>
    <row r="376" spans="1:25" x14ac:dyDescent="0.3">
      <c r="A376" s="396" t="s">
        <v>50</v>
      </c>
      <c r="B376" s="623" t="s">
        <v>108</v>
      </c>
      <c r="C376" s="623"/>
      <c r="D376" s="623"/>
      <c r="E376" s="396" t="s">
        <v>474</v>
      </c>
      <c r="F376" s="625"/>
      <c r="G376" s="625"/>
      <c r="H376" s="625"/>
      <c r="I376" s="625"/>
      <c r="J376" s="625"/>
      <c r="K376" s="625"/>
      <c r="L376" s="625"/>
      <c r="M376" s="639"/>
      <c r="N376" s="639"/>
      <c r="O376" s="639"/>
      <c r="P376" s="639"/>
      <c r="Q376" s="639"/>
      <c r="R376" s="639"/>
      <c r="S376" s="656"/>
      <c r="T376" s="656"/>
      <c r="U376" s="639"/>
      <c r="V376" s="639"/>
    </row>
    <row r="377" spans="1:25" x14ac:dyDescent="0.3">
      <c r="A377" s="396" t="s">
        <v>30</v>
      </c>
      <c r="B377" s="618" t="s">
        <v>344</v>
      </c>
      <c r="C377" s="618"/>
      <c r="D377" s="618"/>
      <c r="E377" s="404" t="s">
        <v>475</v>
      </c>
      <c r="F377" s="625"/>
      <c r="G377" s="625"/>
      <c r="H377" s="625"/>
      <c r="I377" s="625"/>
      <c r="J377" s="625"/>
      <c r="K377" s="625"/>
      <c r="L377" s="625"/>
      <c r="M377" s="616"/>
      <c r="N377" s="616"/>
      <c r="O377" s="616"/>
      <c r="P377" s="616"/>
      <c r="Q377" s="616"/>
      <c r="R377" s="616"/>
      <c r="S377" s="617">
        <f>IFERROR(AVERAGEIF(M377:R377,"&gt;0",M377:R377),0)</f>
        <v>0</v>
      </c>
      <c r="T377" s="617"/>
      <c r="U377" s="639"/>
      <c r="V377" s="639"/>
    </row>
    <row r="378" spans="1:25" x14ac:dyDescent="0.3">
      <c r="A378" s="396" t="s">
        <v>32</v>
      </c>
      <c r="B378" s="618" t="s">
        <v>104</v>
      </c>
      <c r="C378" s="618"/>
      <c r="D378" s="618"/>
      <c r="E378" s="404" t="s">
        <v>114</v>
      </c>
      <c r="F378" s="625"/>
      <c r="G378" s="625"/>
      <c r="H378" s="625"/>
      <c r="I378" s="625"/>
      <c r="J378" s="625"/>
      <c r="K378" s="625"/>
      <c r="L378" s="625"/>
      <c r="M378" s="616"/>
      <c r="N378" s="616"/>
      <c r="O378" s="616"/>
      <c r="P378" s="616"/>
      <c r="Q378" s="616"/>
      <c r="R378" s="616"/>
      <c r="S378" s="617">
        <f>IFERROR(AVERAGEIF(M378:R378,"&gt;0",M378:R378),0)</f>
        <v>0</v>
      </c>
      <c r="T378" s="617"/>
      <c r="U378" s="639"/>
      <c r="V378" s="639"/>
    </row>
    <row r="379" spans="1:25" x14ac:dyDescent="0.3">
      <c r="A379" s="396" t="s">
        <v>77</v>
      </c>
      <c r="B379" s="618" t="s">
        <v>127</v>
      </c>
      <c r="C379" s="618"/>
      <c r="D379" s="618"/>
      <c r="E379" s="404" t="s">
        <v>115</v>
      </c>
      <c r="F379" s="625"/>
      <c r="G379" s="625"/>
      <c r="H379" s="625"/>
      <c r="I379" s="625"/>
      <c r="J379" s="625"/>
      <c r="K379" s="625"/>
      <c r="L379" s="625"/>
      <c r="M379" s="640">
        <v>0</v>
      </c>
      <c r="N379" s="640"/>
      <c r="O379" s="640">
        <v>0</v>
      </c>
      <c r="P379" s="640"/>
      <c r="Q379" s="640">
        <v>0</v>
      </c>
      <c r="R379" s="640"/>
      <c r="S379" s="617">
        <f>IFERROR(AVERAGEA(M379:R379),0)</f>
        <v>0</v>
      </c>
      <c r="T379" s="617"/>
      <c r="U379" s="639"/>
      <c r="V379" s="639"/>
    </row>
    <row r="380" spans="1:25" x14ac:dyDescent="0.3">
      <c r="A380" s="396" t="s">
        <v>283</v>
      </c>
      <c r="B380" s="618" t="s">
        <v>109</v>
      </c>
      <c r="C380" s="618"/>
      <c r="D380" s="618"/>
      <c r="E380" s="404" t="s">
        <v>715</v>
      </c>
      <c r="F380" s="625"/>
      <c r="G380" s="625"/>
      <c r="H380" s="625"/>
      <c r="I380" s="625"/>
      <c r="J380" s="625"/>
      <c r="K380" s="625"/>
      <c r="L380" s="625"/>
      <c r="M380" s="616"/>
      <c r="N380" s="616"/>
      <c r="O380" s="616"/>
      <c r="P380" s="616"/>
      <c r="Q380" s="616"/>
      <c r="R380" s="616"/>
      <c r="S380" s="617">
        <f t="shared" ref="S380" si="46">IFERROR(AVERAGEIF(M380:R380,"&gt;0",M380:R380),0)</f>
        <v>0</v>
      </c>
      <c r="T380" s="617"/>
      <c r="U380" s="639"/>
      <c r="V380" s="639"/>
    </row>
    <row r="381" spans="1:25" x14ac:dyDescent="0.3">
      <c r="A381" s="398" t="s">
        <v>288</v>
      </c>
      <c r="B381" s="638" t="s">
        <v>289</v>
      </c>
      <c r="C381" s="638"/>
      <c r="D381" s="638"/>
      <c r="E381" s="638"/>
      <c r="F381" s="638"/>
      <c r="G381" s="638"/>
      <c r="H381" s="638"/>
      <c r="I381" s="638"/>
      <c r="J381" s="638"/>
      <c r="K381" s="638"/>
      <c r="L381" s="638"/>
      <c r="M381" s="638"/>
      <c r="N381" s="638"/>
      <c r="O381" s="638"/>
      <c r="P381" s="638"/>
      <c r="Q381" s="638"/>
      <c r="R381" s="638"/>
      <c r="S381" s="638"/>
      <c r="T381" s="638"/>
      <c r="U381" s="638"/>
      <c r="V381" s="638"/>
    </row>
    <row r="382" spans="1:25" x14ac:dyDescent="0.3">
      <c r="A382" s="398" t="s">
        <v>30</v>
      </c>
      <c r="B382" s="643" t="s">
        <v>152</v>
      </c>
      <c r="C382" s="643"/>
      <c r="D382" s="643"/>
      <c r="E382" s="643"/>
      <c r="F382" s="643"/>
      <c r="G382" s="643"/>
      <c r="H382" s="643"/>
      <c r="I382" s="643"/>
      <c r="J382" s="643"/>
      <c r="K382" s="643"/>
      <c r="L382" s="643"/>
      <c r="M382" s="643"/>
      <c r="N382" s="643"/>
      <c r="O382" s="643"/>
      <c r="P382" s="643"/>
      <c r="Q382" s="643"/>
      <c r="R382" s="643"/>
      <c r="S382" s="643"/>
      <c r="T382" s="643"/>
      <c r="U382" s="643"/>
      <c r="V382" s="643"/>
    </row>
    <row r="383" spans="1:25" x14ac:dyDescent="0.3">
      <c r="A383" s="398" t="s">
        <v>32</v>
      </c>
      <c r="B383" s="643" t="s">
        <v>231</v>
      </c>
      <c r="C383" s="643"/>
      <c r="D383" s="643"/>
      <c r="E383" s="643"/>
      <c r="F383" s="643"/>
      <c r="G383" s="643"/>
      <c r="H383" s="643"/>
      <c r="I383" s="643"/>
      <c r="J383" s="643"/>
      <c r="K383" s="643"/>
      <c r="L383" s="643"/>
      <c r="M383" s="643"/>
      <c r="N383" s="643"/>
      <c r="O383" s="643"/>
      <c r="P383" s="643"/>
      <c r="Q383" s="643"/>
      <c r="R383" s="643"/>
      <c r="S383" s="643"/>
      <c r="T383" s="643"/>
      <c r="U383" s="643"/>
      <c r="V383" s="643"/>
    </row>
    <row r="384" spans="1:25" x14ac:dyDescent="0.3">
      <c r="A384" s="398">
        <v>12.1</v>
      </c>
      <c r="B384" s="638" t="s">
        <v>240</v>
      </c>
      <c r="C384" s="638"/>
      <c r="D384" s="638"/>
      <c r="E384" s="638"/>
      <c r="F384" s="638"/>
      <c r="G384" s="638"/>
      <c r="H384" s="638"/>
      <c r="I384" s="638"/>
      <c r="J384" s="638"/>
      <c r="K384" s="638"/>
      <c r="L384" s="638"/>
      <c r="M384" s="638"/>
      <c r="N384" s="638"/>
      <c r="O384" s="638"/>
      <c r="P384" s="638"/>
      <c r="Q384" s="638"/>
      <c r="R384" s="638"/>
      <c r="S384" s="638"/>
      <c r="T384" s="638"/>
      <c r="U384" s="638"/>
      <c r="V384" s="638"/>
      <c r="W384" s="167"/>
      <c r="X384" s="167"/>
      <c r="Y384" s="167"/>
    </row>
    <row r="385" spans="1:25" ht="30.6" customHeight="1" x14ac:dyDescent="0.3">
      <c r="A385" s="621" t="s">
        <v>146</v>
      </c>
      <c r="B385" s="621" t="str">
        <f>IF(OR($E$5="Gas Turbine (Open Cycle)",$E$5="Combined Cycle Gas Turbine (CCGT)"),"Modules","Units")</f>
        <v>Units</v>
      </c>
      <c r="C385" s="621"/>
      <c r="D385" s="621"/>
      <c r="E385" s="621" t="s">
        <v>727</v>
      </c>
      <c r="F385" s="621"/>
      <c r="G385" s="621"/>
      <c r="H385" s="621"/>
      <c r="I385" s="621"/>
      <c r="J385" s="621"/>
      <c r="K385" s="621"/>
      <c r="L385" s="621"/>
      <c r="M385" s="621" t="s">
        <v>729</v>
      </c>
      <c r="N385" s="621"/>
      <c r="O385" s="621"/>
      <c r="P385" s="621"/>
      <c r="Q385" s="621"/>
      <c r="R385" s="621"/>
      <c r="S385" s="621"/>
      <c r="T385" s="621"/>
      <c r="U385" s="621" t="s">
        <v>280</v>
      </c>
      <c r="V385" s="621"/>
      <c r="W385" s="167"/>
      <c r="X385" s="167"/>
      <c r="Y385" s="167"/>
    </row>
    <row r="386" spans="1:25" ht="54.6" customHeight="1" x14ac:dyDescent="0.3">
      <c r="A386" s="621"/>
      <c r="B386" s="621"/>
      <c r="C386" s="621"/>
      <c r="D386" s="621"/>
      <c r="E386" s="621" t="s">
        <v>363</v>
      </c>
      <c r="F386" s="621"/>
      <c r="G386" s="621" t="s">
        <v>364</v>
      </c>
      <c r="H386" s="621"/>
      <c r="I386" s="621" t="s">
        <v>365</v>
      </c>
      <c r="J386" s="621"/>
      <c r="K386" s="621" t="s">
        <v>366</v>
      </c>
      <c r="L386" s="621"/>
      <c r="M386" s="621" t="s">
        <v>363</v>
      </c>
      <c r="N386" s="621"/>
      <c r="O386" s="621" t="s">
        <v>364</v>
      </c>
      <c r="P386" s="621"/>
      <c r="Q386" s="621" t="s">
        <v>365</v>
      </c>
      <c r="R386" s="621"/>
      <c r="S386" s="621" t="s">
        <v>366</v>
      </c>
      <c r="T386" s="621"/>
      <c r="U386" s="621"/>
      <c r="V386" s="621"/>
      <c r="W386" s="167"/>
      <c r="X386" s="167"/>
      <c r="Y386" s="167"/>
    </row>
    <row r="387" spans="1:25" s="203" customFormat="1" ht="33.6" customHeight="1" x14ac:dyDescent="0.3">
      <c r="A387" s="621"/>
      <c r="B387" s="621"/>
      <c r="C387" s="621"/>
      <c r="D387" s="621"/>
      <c r="E387" s="396" t="s">
        <v>28</v>
      </c>
      <c r="F387" s="396" t="s">
        <v>199</v>
      </c>
      <c r="G387" s="396" t="s">
        <v>28</v>
      </c>
      <c r="H387" s="396" t="s">
        <v>199</v>
      </c>
      <c r="I387" s="396" t="s">
        <v>28</v>
      </c>
      <c r="J387" s="396" t="s">
        <v>199</v>
      </c>
      <c r="K387" s="396" t="s">
        <v>28</v>
      </c>
      <c r="L387" s="396" t="s">
        <v>199</v>
      </c>
      <c r="M387" s="396" t="s">
        <v>28</v>
      </c>
      <c r="N387" s="396" t="s">
        <v>199</v>
      </c>
      <c r="O387" s="396" t="s">
        <v>28</v>
      </c>
      <c r="P387" s="396" t="s">
        <v>199</v>
      </c>
      <c r="Q387" s="396" t="s">
        <v>28</v>
      </c>
      <c r="R387" s="396" t="s">
        <v>199</v>
      </c>
      <c r="S387" s="396" t="s">
        <v>28</v>
      </c>
      <c r="T387" s="396" t="s">
        <v>199</v>
      </c>
      <c r="U387" s="621"/>
      <c r="V387" s="621"/>
      <c r="W387" s="202"/>
      <c r="X387" s="202"/>
      <c r="Y387" s="202"/>
    </row>
    <row r="388" spans="1:25" s="179" customFormat="1" x14ac:dyDescent="0.3">
      <c r="A388" s="396" t="s">
        <v>30</v>
      </c>
      <c r="B388" s="624" t="str">
        <f>IF(OR($E$5="Gas Turbine (Open Cycle)",$E$5="Combined Cycle Gas Turbine (CCGT)"),"Module1","Unit1")</f>
        <v>Unit1</v>
      </c>
      <c r="C388" s="624"/>
      <c r="D388" s="624"/>
      <c r="E388" s="400"/>
      <c r="F388" s="400"/>
      <c r="G388" s="402"/>
      <c r="H388" s="402"/>
      <c r="I388" s="402"/>
      <c r="J388" s="402"/>
      <c r="K388" s="402"/>
      <c r="L388" s="402"/>
      <c r="M388" s="400"/>
      <c r="N388" s="400"/>
      <c r="O388" s="402"/>
      <c r="P388" s="402"/>
      <c r="Q388" s="402"/>
      <c r="R388" s="402"/>
      <c r="S388" s="402"/>
      <c r="T388" s="402"/>
      <c r="U388" s="625"/>
      <c r="V388" s="625"/>
      <c r="W388" s="204"/>
      <c r="X388" s="204"/>
      <c r="Y388" s="204">
        <f>(120*200+160*1200+150*2000)/(120+160+150)</f>
        <v>1200</v>
      </c>
    </row>
    <row r="389" spans="1:25" s="179" customFormat="1" x14ac:dyDescent="0.3">
      <c r="A389" s="396" t="s">
        <v>32</v>
      </c>
      <c r="B389" s="624" t="str">
        <f>IF(OR($E$5="Gas Turbine (Open Cycle)",$E$5="Combined Cycle Gas Turbine (CCGT)"),"Module2","Unit2")</f>
        <v>Unit2</v>
      </c>
      <c r="C389" s="624"/>
      <c r="D389" s="624"/>
      <c r="E389" s="400"/>
      <c r="F389" s="400"/>
      <c r="G389" s="402"/>
      <c r="H389" s="402"/>
      <c r="I389" s="402"/>
      <c r="J389" s="402"/>
      <c r="K389" s="402"/>
      <c r="L389" s="402"/>
      <c r="M389" s="400"/>
      <c r="N389" s="400"/>
      <c r="O389" s="402"/>
      <c r="P389" s="402"/>
      <c r="Q389" s="402"/>
      <c r="R389" s="402"/>
      <c r="S389" s="402"/>
      <c r="T389" s="402"/>
      <c r="U389" s="625"/>
      <c r="V389" s="625"/>
      <c r="W389" s="204"/>
      <c r="Y389" s="179">
        <f>(150*300+200*500+205*1500)/(150+200+205)</f>
        <v>815.31531531531527</v>
      </c>
    </row>
    <row r="390" spans="1:25" s="179" customFormat="1" x14ac:dyDescent="0.3">
      <c r="A390" s="396" t="s">
        <v>34</v>
      </c>
      <c r="B390" s="624" t="str">
        <f>IF(OR($E$5="Gas Turbine (Open Cycle)",$E$5="Combined Cycle Gas Turbine (CCGT)"),"Module3","Unit3")</f>
        <v>Unit3</v>
      </c>
      <c r="C390" s="624"/>
      <c r="D390" s="624"/>
      <c r="E390" s="400"/>
      <c r="F390" s="400"/>
      <c r="G390" s="400"/>
      <c r="H390" s="400"/>
      <c r="I390" s="400"/>
      <c r="J390" s="400"/>
      <c r="K390" s="402"/>
      <c r="L390" s="402"/>
      <c r="M390" s="402"/>
      <c r="N390" s="402"/>
      <c r="O390" s="402"/>
      <c r="P390" s="402"/>
      <c r="Q390" s="402"/>
      <c r="R390" s="402"/>
      <c r="S390" s="402"/>
      <c r="T390" s="402"/>
      <c r="U390" s="625"/>
      <c r="V390" s="625"/>
      <c r="W390" s="204"/>
      <c r="Y390" s="204"/>
    </row>
    <row r="391" spans="1:25" s="179" customFormat="1" x14ac:dyDescent="0.3">
      <c r="A391" s="396" t="s">
        <v>36</v>
      </c>
      <c r="B391" s="624" t="str">
        <f>IF(OR($E$5="Gas Turbine (Open Cycle)",$E$5="Combined Cycle Gas Turbine (CCGT)"),"Module4","Unit4")</f>
        <v>Unit4</v>
      </c>
      <c r="C391" s="624"/>
      <c r="D391" s="624"/>
      <c r="E391" s="400"/>
      <c r="F391" s="400"/>
      <c r="G391" s="400"/>
      <c r="H391" s="400"/>
      <c r="I391" s="400"/>
      <c r="J391" s="400"/>
      <c r="K391" s="402"/>
      <c r="L391" s="402"/>
      <c r="M391" s="402"/>
      <c r="N391" s="402"/>
      <c r="O391" s="402"/>
      <c r="P391" s="402"/>
      <c r="Q391" s="402"/>
      <c r="R391" s="402"/>
      <c r="S391" s="402"/>
      <c r="T391" s="402"/>
      <c r="U391" s="625"/>
      <c r="V391" s="625"/>
      <c r="W391" s="204"/>
      <c r="X391" s="204"/>
      <c r="Y391" s="204"/>
    </row>
    <row r="392" spans="1:25" x14ac:dyDescent="0.25">
      <c r="A392" s="396" t="s">
        <v>38</v>
      </c>
      <c r="B392" s="624" t="str">
        <f>IF(OR($E$5="Gas Turbine (Open Cycle)",$E$5="Combined Cycle Gas Turbine (CCGT)"),"Module5","Unit5")</f>
        <v>Unit5</v>
      </c>
      <c r="C392" s="624"/>
      <c r="D392" s="624"/>
      <c r="E392" s="400"/>
      <c r="F392" s="400"/>
      <c r="G392" s="400"/>
      <c r="H392" s="400"/>
      <c r="I392" s="400"/>
      <c r="J392" s="400"/>
      <c r="K392" s="374"/>
      <c r="L392" s="374"/>
      <c r="M392" s="175"/>
      <c r="N392" s="374"/>
      <c r="O392" s="374"/>
      <c r="P392" s="374"/>
      <c r="Q392" s="374"/>
      <c r="R392" s="374"/>
      <c r="S392" s="374"/>
      <c r="T392" s="374"/>
      <c r="U392" s="625"/>
      <c r="V392" s="625"/>
      <c r="W392" s="167"/>
      <c r="X392" s="167"/>
      <c r="Y392" s="167"/>
    </row>
    <row r="393" spans="1:25" x14ac:dyDescent="0.25">
      <c r="A393" s="396" t="s">
        <v>40</v>
      </c>
      <c r="B393" s="624" t="str">
        <f>IF(OR($E$5="Gas Turbine (Open Cycle)",$E$5="Combined Cycle Gas Turbine (CCGT)"),"Module6","Unit6")</f>
        <v>Unit6</v>
      </c>
      <c r="C393" s="624"/>
      <c r="D393" s="624"/>
      <c r="E393" s="400"/>
      <c r="F393" s="400"/>
      <c r="G393" s="400"/>
      <c r="H393" s="400"/>
      <c r="I393" s="400"/>
      <c r="J393" s="400"/>
      <c r="K393" s="374"/>
      <c r="L393" s="374"/>
      <c r="M393" s="175"/>
      <c r="N393" s="374"/>
      <c r="O393" s="374"/>
      <c r="P393" s="374"/>
      <c r="Q393" s="374"/>
      <c r="R393" s="374"/>
      <c r="S393" s="374"/>
      <c r="T393" s="374"/>
      <c r="U393" s="625"/>
      <c r="V393" s="625"/>
      <c r="W393" s="167"/>
      <c r="X393" s="167"/>
      <c r="Y393" s="167"/>
    </row>
    <row r="394" spans="1:25" x14ac:dyDescent="0.25">
      <c r="A394" s="396" t="s">
        <v>42</v>
      </c>
      <c r="B394" s="624" t="str">
        <f>IF(OR($E$5="Gas Turbine (Open Cycle)",$E$5="Combined Cycle Gas Turbine (CCGT)"),"Module7","Unit7")</f>
        <v>Unit7</v>
      </c>
      <c r="C394" s="624"/>
      <c r="D394" s="624"/>
      <c r="E394" s="400"/>
      <c r="F394" s="400"/>
      <c r="G394" s="400"/>
      <c r="H394" s="400"/>
      <c r="I394" s="400"/>
      <c r="J394" s="400"/>
      <c r="K394" s="374"/>
      <c r="L394" s="374"/>
      <c r="M394" s="175"/>
      <c r="N394" s="374"/>
      <c r="O394" s="374"/>
      <c r="P394" s="374"/>
      <c r="Q394" s="374"/>
      <c r="R394" s="374"/>
      <c r="S394" s="374"/>
      <c r="T394" s="374"/>
      <c r="U394" s="625"/>
      <c r="V394" s="625"/>
      <c r="W394" s="167"/>
      <c r="X394" s="167"/>
      <c r="Y394" s="167"/>
    </row>
    <row r="395" spans="1:25" x14ac:dyDescent="0.25">
      <c r="A395" s="396" t="s">
        <v>44</v>
      </c>
      <c r="B395" s="624" t="str">
        <f>IF(OR($E$5="Gas Turbine (Open Cycle)",$E$5="Combined Cycle Gas Turbine (CCGT)"),"Module8","Unit8")</f>
        <v>Unit8</v>
      </c>
      <c r="C395" s="624"/>
      <c r="D395" s="624"/>
      <c r="E395" s="400"/>
      <c r="F395" s="400"/>
      <c r="G395" s="400"/>
      <c r="H395" s="400"/>
      <c r="I395" s="400"/>
      <c r="J395" s="400"/>
      <c r="K395" s="374"/>
      <c r="L395" s="374"/>
      <c r="M395" s="175"/>
      <c r="N395" s="374"/>
      <c r="O395" s="374"/>
      <c r="P395" s="374"/>
      <c r="Q395" s="374"/>
      <c r="R395" s="374"/>
      <c r="S395" s="374"/>
      <c r="T395" s="374"/>
      <c r="U395" s="625"/>
      <c r="V395" s="625"/>
      <c r="W395" s="167"/>
      <c r="X395" s="167"/>
      <c r="Y395" s="167"/>
    </row>
    <row r="396" spans="1:25" x14ac:dyDescent="0.25">
      <c r="A396" s="396" t="s">
        <v>46</v>
      </c>
      <c r="B396" s="624" t="str">
        <f>IF(OR($E$5="Gas Turbine (Open Cycle)",$E$5="Combined Cycle Gas Turbine (CCGT)"),"Module9","Unit9")</f>
        <v>Unit9</v>
      </c>
      <c r="C396" s="624"/>
      <c r="D396" s="624"/>
      <c r="E396" s="400"/>
      <c r="F396" s="400"/>
      <c r="G396" s="400"/>
      <c r="H396" s="400"/>
      <c r="I396" s="400"/>
      <c r="J396" s="400"/>
      <c r="K396" s="402"/>
      <c r="L396" s="374"/>
      <c r="M396" s="175"/>
      <c r="N396" s="374"/>
      <c r="O396" s="374"/>
      <c r="P396" s="374"/>
      <c r="Q396" s="374"/>
      <c r="R396" s="374"/>
      <c r="S396" s="374"/>
      <c r="T396" s="374"/>
      <c r="U396" s="625"/>
      <c r="V396" s="625"/>
      <c r="W396" s="167"/>
      <c r="X396" s="167"/>
      <c r="Y396" s="167"/>
    </row>
    <row r="397" spans="1:25" x14ac:dyDescent="0.25">
      <c r="A397" s="396" t="s">
        <v>48</v>
      </c>
      <c r="B397" s="624" t="str">
        <f>IF(OR($E$5="Gas Turbine (Open Cycle)",$E$5="Combined Cycle Gas Turbine (CCGT)"),"Module10","Unit10")</f>
        <v>Unit10</v>
      </c>
      <c r="C397" s="624"/>
      <c r="D397" s="624"/>
      <c r="E397" s="400"/>
      <c r="F397" s="400"/>
      <c r="G397" s="400"/>
      <c r="H397" s="400"/>
      <c r="I397" s="400"/>
      <c r="J397" s="400"/>
      <c r="K397" s="374"/>
      <c r="L397" s="374"/>
      <c r="M397" s="175"/>
      <c r="N397" s="374"/>
      <c r="O397" s="374"/>
      <c r="P397" s="374"/>
      <c r="Q397" s="374"/>
      <c r="R397" s="374"/>
      <c r="S397" s="374"/>
      <c r="T397" s="374"/>
      <c r="U397" s="625"/>
      <c r="V397" s="625"/>
      <c r="W397" s="167"/>
      <c r="X397" s="167"/>
      <c r="Y397" s="167"/>
    </row>
    <row r="398" spans="1:25" x14ac:dyDescent="0.3">
      <c r="A398" s="422"/>
      <c r="B398" s="659" t="s">
        <v>121</v>
      </c>
      <c r="C398" s="659"/>
      <c r="D398" s="659"/>
      <c r="E398" s="401">
        <f>SUM(E388:E397)</f>
        <v>0</v>
      </c>
      <c r="F398" s="413">
        <f>IFERROR((E388*F388+E389*F389+E390*F390+E391*F391+E392*F392+E393*F393+E394*F394+E395*F395+E396*F396+E397*F397)/E398,0)</f>
        <v>0</v>
      </c>
      <c r="G398" s="401">
        <f>SUM(G388:G397)</f>
        <v>0</v>
      </c>
      <c r="H398" s="375">
        <f>IFERROR((G388*H388+G389*H389+G390*H390+G391*H391+G392*H392+G393*H393+G394*H394+G395*H395+G396*H396+G397*H397)/G398,0)</f>
        <v>0</v>
      </c>
      <c r="I398" s="401">
        <f>SUM(I388:I397)</f>
        <v>0</v>
      </c>
      <c r="J398" s="376">
        <f>IFERROR((I388*J388+I389*J389+I390*J390+I391*J391+I392*J392+I393*J393+I394*J394+I395*J395+I396*J396+I397*J397)/I398,0)</f>
        <v>0</v>
      </c>
      <c r="K398" s="401">
        <f>SUM(K388:K397)</f>
        <v>0</v>
      </c>
      <c r="L398" s="376">
        <f>IFERROR((K388*L388+K389*L389+K390*L390+K391*L391+K392*L392+K393*L393+K394*L394+K395*L395+K396*L396+K397*L397)/K398,0)</f>
        <v>0</v>
      </c>
      <c r="M398" s="401">
        <f>SUM(M388:M397)</f>
        <v>0</v>
      </c>
      <c r="N398" s="401">
        <f>IFERROR((M388*N388+M389*N389+M390*N390+M391*N391+M392*N392+M393*N393+M394*N394+M395*N395+M396*N396+M397*N397)/M398,0)</f>
        <v>0</v>
      </c>
      <c r="O398" s="401">
        <f>SUM(O388:O397)</f>
        <v>0</v>
      </c>
      <c r="P398" s="375">
        <f>IFERROR((O388*P388+O389*P389+O390*P390+O391*P391+O392*P392+O393*P393+O394*P394+O395*P395+O396*P396+O397*P397)/O398,0)</f>
        <v>0</v>
      </c>
      <c r="Q398" s="401">
        <f>SUM(Q388:Q397)</f>
        <v>0</v>
      </c>
      <c r="R398" s="376">
        <f>IFERROR((Q388*R388+Q389*R389+Q390*R390+Q391*R391+Q392*R392+Q393*R393+Q394*R394+Q395*R395+Q396*R396+Q397*R397)/Q398,0)</f>
        <v>0</v>
      </c>
      <c r="S398" s="401">
        <f>SUM(S388:S397)</f>
        <v>0</v>
      </c>
      <c r="T398" s="376">
        <f>IFERROR((S388*T388+S389*T389+S390*T390+S391*T391+S392*T392+S393*T393+S394*T394+S395*T395+S396*T396+S397*T397)/S398,0)</f>
        <v>0</v>
      </c>
      <c r="U398" s="625"/>
      <c r="V398" s="625"/>
      <c r="W398" s="167"/>
      <c r="X398" s="167"/>
      <c r="Y398" s="167"/>
    </row>
    <row r="399" spans="1:25" s="203" customFormat="1" ht="23.25" customHeight="1" x14ac:dyDescent="0.3">
      <c r="A399" s="398" t="s">
        <v>290</v>
      </c>
      <c r="B399" s="700" t="s">
        <v>234</v>
      </c>
      <c r="C399" s="700"/>
      <c r="D399" s="700"/>
      <c r="E399" s="700"/>
      <c r="F399" s="700"/>
      <c r="G399" s="700"/>
      <c r="H399" s="700"/>
      <c r="I399" s="700"/>
      <c r="J399" s="700"/>
      <c r="K399" s="700"/>
      <c r="L399" s="700"/>
      <c r="M399" s="700"/>
      <c r="N399" s="700"/>
      <c r="O399" s="700"/>
      <c r="P399" s="700"/>
      <c r="Q399" s="700"/>
      <c r="R399" s="700"/>
      <c r="S399" s="700"/>
      <c r="T399" s="700"/>
      <c r="U399" s="700"/>
      <c r="V399" s="700"/>
      <c r="W399" s="202"/>
      <c r="X399" s="202"/>
      <c r="Y399" s="202"/>
    </row>
    <row r="400" spans="1:25" ht="21.75" customHeight="1" x14ac:dyDescent="0.3">
      <c r="A400" s="398">
        <v>12.2</v>
      </c>
      <c r="B400" s="638" t="s">
        <v>233</v>
      </c>
      <c r="C400" s="638"/>
      <c r="D400" s="638"/>
      <c r="E400" s="638"/>
      <c r="F400" s="638"/>
      <c r="G400" s="638"/>
      <c r="H400" s="638"/>
      <c r="I400" s="638"/>
      <c r="J400" s="638"/>
      <c r="K400" s="638"/>
      <c r="L400" s="638"/>
      <c r="M400" s="638"/>
      <c r="N400" s="638"/>
      <c r="O400" s="638"/>
      <c r="P400" s="638"/>
      <c r="Q400" s="638"/>
      <c r="R400" s="638"/>
      <c r="S400" s="638"/>
      <c r="T400" s="638"/>
      <c r="U400" s="638"/>
      <c r="V400" s="638"/>
      <c r="W400" s="167"/>
      <c r="X400" s="167"/>
      <c r="Y400" s="167"/>
    </row>
    <row r="401" spans="1:25" x14ac:dyDescent="0.3">
      <c r="A401" s="621" t="s">
        <v>146</v>
      </c>
      <c r="B401" s="621" t="str">
        <f>IF(OR($E$5="Gas Turbine (Open Cycle)",$E$5="Combined Cycle Gas Turbine (CCGT)"),"Modules","Units")</f>
        <v>Units</v>
      </c>
      <c r="C401" s="621"/>
      <c r="D401" s="677" t="s">
        <v>227</v>
      </c>
      <c r="E401" s="621" t="s">
        <v>727</v>
      </c>
      <c r="F401" s="621"/>
      <c r="G401" s="621"/>
      <c r="H401" s="621"/>
      <c r="I401" s="621"/>
      <c r="J401" s="621"/>
      <c r="K401" s="621"/>
      <c r="L401" s="621"/>
      <c r="M401" s="621" t="s">
        <v>729</v>
      </c>
      <c r="N401" s="621"/>
      <c r="O401" s="621"/>
      <c r="P401" s="621"/>
      <c r="Q401" s="621"/>
      <c r="R401" s="621"/>
      <c r="S401" s="621"/>
      <c r="T401" s="621"/>
      <c r="U401" s="707" t="s">
        <v>280</v>
      </c>
      <c r="V401" s="707"/>
      <c r="W401" s="167"/>
      <c r="X401" s="167"/>
      <c r="Y401" s="167"/>
    </row>
    <row r="402" spans="1:25" ht="96.6" customHeight="1" x14ac:dyDescent="0.3">
      <c r="A402" s="621"/>
      <c r="B402" s="621"/>
      <c r="C402" s="621"/>
      <c r="D402" s="679"/>
      <c r="E402" s="396" t="s">
        <v>352</v>
      </c>
      <c r="F402" s="396" t="s">
        <v>353</v>
      </c>
      <c r="G402" s="396" t="s">
        <v>334</v>
      </c>
      <c r="H402" s="396" t="s">
        <v>241</v>
      </c>
      <c r="I402" s="169" t="s">
        <v>367</v>
      </c>
      <c r="J402" s="169" t="s">
        <v>133</v>
      </c>
      <c r="K402" s="169" t="s">
        <v>368</v>
      </c>
      <c r="L402" s="169" t="s">
        <v>369</v>
      </c>
      <c r="M402" s="396" t="s">
        <v>352</v>
      </c>
      <c r="N402" s="396" t="s">
        <v>236</v>
      </c>
      <c r="O402" s="169" t="s">
        <v>333</v>
      </c>
      <c r="P402" s="396" t="s">
        <v>241</v>
      </c>
      <c r="Q402" s="169" t="s">
        <v>367</v>
      </c>
      <c r="R402" s="169" t="s">
        <v>133</v>
      </c>
      <c r="S402" s="169" t="s">
        <v>368</v>
      </c>
      <c r="T402" s="169" t="s">
        <v>369</v>
      </c>
      <c r="U402" s="707"/>
      <c r="V402" s="707"/>
      <c r="W402" s="167"/>
      <c r="X402" s="167"/>
      <c r="Y402" s="167"/>
    </row>
    <row r="403" spans="1:25" s="178" customFormat="1" ht="25.2" customHeight="1" x14ac:dyDescent="0.3">
      <c r="A403" s="621"/>
      <c r="B403" s="621"/>
      <c r="C403" s="621"/>
      <c r="D403" s="407" t="s">
        <v>28</v>
      </c>
      <c r="E403" s="407" t="s">
        <v>226</v>
      </c>
      <c r="F403" s="407" t="s">
        <v>226</v>
      </c>
      <c r="G403" s="407" t="s">
        <v>226</v>
      </c>
      <c r="H403" s="407"/>
      <c r="I403" s="407" t="s">
        <v>28</v>
      </c>
      <c r="J403" s="407" t="s">
        <v>171</v>
      </c>
      <c r="K403" s="407" t="s">
        <v>28</v>
      </c>
      <c r="L403" s="407" t="s">
        <v>171</v>
      </c>
      <c r="M403" s="407" t="s">
        <v>226</v>
      </c>
      <c r="N403" s="407" t="s">
        <v>226</v>
      </c>
      <c r="O403" s="407" t="s">
        <v>226</v>
      </c>
      <c r="P403" s="407"/>
      <c r="Q403" s="407" t="s">
        <v>28</v>
      </c>
      <c r="R403" s="407" t="s">
        <v>171</v>
      </c>
      <c r="S403" s="407" t="s">
        <v>28</v>
      </c>
      <c r="T403" s="407" t="s">
        <v>171</v>
      </c>
      <c r="U403" s="718"/>
      <c r="V403" s="719"/>
      <c r="W403" s="205"/>
      <c r="X403" s="205"/>
      <c r="Y403" s="205"/>
    </row>
    <row r="404" spans="1:25" s="179" customFormat="1" x14ac:dyDescent="0.3">
      <c r="A404" s="396" t="s">
        <v>30</v>
      </c>
      <c r="B404" s="624" t="str">
        <f>IF(OR($E$5="Gas Turbine (Open Cycle)",$E$5="Combined Cycle Gas Turbine (CCGT)"),"Module1","Unit1")</f>
        <v>Unit1</v>
      </c>
      <c r="C404" s="624"/>
      <c r="D404" s="399">
        <f t="shared" ref="D404:D413" si="47">E18</f>
        <v>0</v>
      </c>
      <c r="E404" s="402"/>
      <c r="F404" s="402"/>
      <c r="G404" s="400"/>
      <c r="H404" s="206">
        <f>(8760-(F404+G404+E404))/8760</f>
        <v>1</v>
      </c>
      <c r="I404" s="400"/>
      <c r="J404" s="402"/>
      <c r="K404" s="206">
        <f>IFERROR((E388*F388+G388*H388+I388*J388+K388*L388)/(F388+H388+J388+L388),0)</f>
        <v>0</v>
      </c>
      <c r="L404" s="206">
        <f>F388+H388+J388+L388</f>
        <v>0</v>
      </c>
      <c r="M404" s="402"/>
      <c r="N404" s="402"/>
      <c r="O404" s="400"/>
      <c r="P404" s="413">
        <f>(8760-(N404+O404+M404))/8760</f>
        <v>1</v>
      </c>
      <c r="Q404" s="400"/>
      <c r="R404" s="402"/>
      <c r="S404" s="413">
        <f>IFERROR((M388*N388+O388*P388+Q388*R388+S388*T388)/(N388+P388+R388+T388),0)</f>
        <v>0</v>
      </c>
      <c r="T404" s="508">
        <f>N388+P388+R388+T388</f>
        <v>0</v>
      </c>
      <c r="U404" s="625"/>
      <c r="V404" s="625"/>
      <c r="W404" s="204"/>
      <c r="X404" s="204"/>
      <c r="Y404" s="204"/>
    </row>
    <row r="405" spans="1:25" s="179" customFormat="1" x14ac:dyDescent="0.3">
      <c r="A405" s="396" t="s">
        <v>32</v>
      </c>
      <c r="B405" s="624" t="str">
        <f>IF(OR($E$5="Gas Turbine (Open Cycle)",$E$5="Combined Cycle Gas Turbine (CCGT)"),"Module2","Unit2")</f>
        <v>Unit2</v>
      </c>
      <c r="C405" s="624"/>
      <c r="D405" s="399">
        <f t="shared" si="47"/>
        <v>0</v>
      </c>
      <c r="E405" s="402"/>
      <c r="F405" s="400"/>
      <c r="G405" s="402"/>
      <c r="H405" s="206">
        <f t="shared" ref="H405:H413" si="48">(8760-(F405+G405+E405))/8760</f>
        <v>1</v>
      </c>
      <c r="I405" s="400"/>
      <c r="J405" s="402"/>
      <c r="K405" s="206">
        <f>IFERROR((E389*F389+G389*H389+I389*J389+K389*L389)/(F389+H389+J389+L389),0)</f>
        <v>0</v>
      </c>
      <c r="L405" s="206">
        <f t="shared" ref="L405:L413" si="49">F389+H389+J389+L389</f>
        <v>0</v>
      </c>
      <c r="M405" s="400"/>
      <c r="N405" s="400"/>
      <c r="O405" s="402"/>
      <c r="P405" s="413">
        <f t="shared" ref="P405:P413" si="50">(8760-(N405+O405+M405))/8760</f>
        <v>1</v>
      </c>
      <c r="Q405" s="400"/>
      <c r="R405" s="402"/>
      <c r="S405" s="413">
        <f t="shared" ref="S405:S413" si="51">IFERROR((M389*N389+O389*P389+Q389*R389+S389*T389)/(N389+P389+R389+T389),0)</f>
        <v>0</v>
      </c>
      <c r="T405" s="508">
        <f t="shared" ref="T405:T413" si="52">N389+P389+R389+T389</f>
        <v>0</v>
      </c>
      <c r="U405" s="625"/>
      <c r="V405" s="625"/>
      <c r="W405" s="204"/>
      <c r="X405" s="204"/>
      <c r="Y405" s="204"/>
    </row>
    <row r="406" spans="1:25" s="179" customFormat="1" x14ac:dyDescent="0.25">
      <c r="A406" s="396" t="s">
        <v>77</v>
      </c>
      <c r="B406" s="624" t="str">
        <f>IF(OR($E$5="Gas Turbine (Open Cycle)",$E$5="Combined Cycle Gas Turbine (CCGT)"),"Module3","Unit3")</f>
        <v>Unit3</v>
      </c>
      <c r="C406" s="624"/>
      <c r="D406" s="399">
        <f t="shared" si="47"/>
        <v>0</v>
      </c>
      <c r="E406" s="402"/>
      <c r="F406" s="400"/>
      <c r="G406" s="402"/>
      <c r="H406" s="206">
        <f t="shared" si="48"/>
        <v>1</v>
      </c>
      <c r="I406" s="400"/>
      <c r="J406" s="402"/>
      <c r="K406" s="206">
        <f t="shared" ref="K406:K413" si="53">IFERROR((E390*F390+G390*H390+I390*J390+K390*L390)/(F390+H390+J390+L390),0)</f>
        <v>0</v>
      </c>
      <c r="L406" s="206">
        <f t="shared" si="49"/>
        <v>0</v>
      </c>
      <c r="M406" s="400"/>
      <c r="N406" s="400"/>
      <c r="O406" s="402"/>
      <c r="P406" s="413">
        <f t="shared" si="50"/>
        <v>1</v>
      </c>
      <c r="Q406" s="400"/>
      <c r="R406" s="410"/>
      <c r="S406" s="413">
        <f t="shared" si="51"/>
        <v>0</v>
      </c>
      <c r="T406" s="508">
        <f t="shared" si="52"/>
        <v>0</v>
      </c>
      <c r="U406" s="625"/>
      <c r="V406" s="625"/>
      <c r="W406" s="204"/>
      <c r="X406" s="204"/>
      <c r="Y406" s="204"/>
    </row>
    <row r="407" spans="1:25" s="179" customFormat="1" x14ac:dyDescent="0.25">
      <c r="A407" s="396" t="s">
        <v>283</v>
      </c>
      <c r="B407" s="624" t="str">
        <f>IF(OR($E$5="Gas Turbine (Open Cycle)",$E$5="Combined Cycle Gas Turbine (CCGT)"),"Module4","Unit4")</f>
        <v>Unit4</v>
      </c>
      <c r="C407" s="624"/>
      <c r="D407" s="399">
        <f t="shared" si="47"/>
        <v>0</v>
      </c>
      <c r="E407" s="402"/>
      <c r="F407" s="400"/>
      <c r="G407" s="402"/>
      <c r="H407" s="206">
        <f t="shared" si="48"/>
        <v>1</v>
      </c>
      <c r="I407" s="400"/>
      <c r="J407" s="402"/>
      <c r="K407" s="206">
        <f t="shared" si="53"/>
        <v>0</v>
      </c>
      <c r="L407" s="206">
        <f t="shared" si="49"/>
        <v>0</v>
      </c>
      <c r="M407" s="400"/>
      <c r="N407" s="400"/>
      <c r="O407" s="402"/>
      <c r="P407" s="413">
        <f t="shared" si="50"/>
        <v>1</v>
      </c>
      <c r="Q407" s="400"/>
      <c r="R407" s="410"/>
      <c r="S407" s="413">
        <f t="shared" si="51"/>
        <v>0</v>
      </c>
      <c r="T407" s="508">
        <f t="shared" si="52"/>
        <v>0</v>
      </c>
      <c r="U407" s="625"/>
      <c r="V407" s="625"/>
      <c r="W407" s="204"/>
      <c r="X407" s="204"/>
      <c r="Y407" s="204"/>
    </row>
    <row r="408" spans="1:25" s="179" customFormat="1" x14ac:dyDescent="0.25">
      <c r="A408" s="396" t="s">
        <v>38</v>
      </c>
      <c r="B408" s="624" t="str">
        <f>IF(OR($E$5="Gas Turbine (Open Cycle)",$E$5="Combined Cycle Gas Turbine (CCGT)"),"Module5","Unit5")</f>
        <v>Unit5</v>
      </c>
      <c r="C408" s="624"/>
      <c r="D408" s="399">
        <f t="shared" si="47"/>
        <v>0</v>
      </c>
      <c r="E408" s="402"/>
      <c r="F408" s="400"/>
      <c r="G408" s="402"/>
      <c r="H408" s="206">
        <f t="shared" si="48"/>
        <v>1</v>
      </c>
      <c r="I408" s="400"/>
      <c r="J408" s="402"/>
      <c r="K408" s="206">
        <f t="shared" si="53"/>
        <v>0</v>
      </c>
      <c r="L408" s="206">
        <f t="shared" si="49"/>
        <v>0</v>
      </c>
      <c r="M408" s="400"/>
      <c r="N408" s="400"/>
      <c r="O408" s="402"/>
      <c r="P408" s="413">
        <f t="shared" si="50"/>
        <v>1</v>
      </c>
      <c r="Q408" s="400"/>
      <c r="R408" s="410"/>
      <c r="S408" s="413">
        <f t="shared" si="51"/>
        <v>0</v>
      </c>
      <c r="T408" s="508">
        <f t="shared" si="52"/>
        <v>0</v>
      </c>
      <c r="U408" s="625"/>
      <c r="V408" s="625"/>
      <c r="W408" s="204"/>
      <c r="X408" s="204"/>
      <c r="Y408" s="204"/>
    </row>
    <row r="409" spans="1:25" s="179" customFormat="1" x14ac:dyDescent="0.25">
      <c r="A409" s="396" t="s">
        <v>40</v>
      </c>
      <c r="B409" s="624" t="str">
        <f>IF(OR($E$5="Gas Turbine (Open Cycle)",$E$5="Combined Cycle Gas Turbine (CCGT)"),"Module6","Unit6")</f>
        <v>Unit6</v>
      </c>
      <c r="C409" s="624"/>
      <c r="D409" s="399">
        <f t="shared" si="47"/>
        <v>0</v>
      </c>
      <c r="E409" s="402"/>
      <c r="F409" s="400"/>
      <c r="G409" s="402"/>
      <c r="H409" s="206">
        <f t="shared" si="48"/>
        <v>1</v>
      </c>
      <c r="I409" s="400"/>
      <c r="J409" s="402"/>
      <c r="K409" s="206">
        <f t="shared" si="53"/>
        <v>0</v>
      </c>
      <c r="L409" s="206">
        <f t="shared" si="49"/>
        <v>0</v>
      </c>
      <c r="M409" s="400"/>
      <c r="N409" s="400"/>
      <c r="O409" s="402"/>
      <c r="P409" s="413">
        <f t="shared" si="50"/>
        <v>1</v>
      </c>
      <c r="Q409" s="400"/>
      <c r="R409" s="410"/>
      <c r="S409" s="413">
        <f t="shared" si="51"/>
        <v>0</v>
      </c>
      <c r="T409" s="508">
        <f t="shared" si="52"/>
        <v>0</v>
      </c>
      <c r="U409" s="625"/>
      <c r="V409" s="625"/>
      <c r="W409" s="204"/>
      <c r="X409" s="204"/>
      <c r="Y409" s="204"/>
    </row>
    <row r="410" spans="1:25" s="179" customFormat="1" x14ac:dyDescent="0.25">
      <c r="A410" s="396" t="s">
        <v>42</v>
      </c>
      <c r="B410" s="624" t="str">
        <f>IF(OR($E$5="Gas Turbine (Open Cycle)",$E$5="Combined Cycle Gas Turbine (CCGT)"),"Module7","Unit7")</f>
        <v>Unit7</v>
      </c>
      <c r="C410" s="624"/>
      <c r="D410" s="399">
        <f t="shared" si="47"/>
        <v>0</v>
      </c>
      <c r="E410" s="402"/>
      <c r="F410" s="400"/>
      <c r="G410" s="402"/>
      <c r="H410" s="206">
        <f t="shared" si="48"/>
        <v>1</v>
      </c>
      <c r="I410" s="400"/>
      <c r="J410" s="402"/>
      <c r="K410" s="206">
        <f t="shared" si="53"/>
        <v>0</v>
      </c>
      <c r="L410" s="206">
        <f t="shared" si="49"/>
        <v>0</v>
      </c>
      <c r="M410" s="400"/>
      <c r="N410" s="400"/>
      <c r="O410" s="402"/>
      <c r="P410" s="413">
        <f t="shared" si="50"/>
        <v>1</v>
      </c>
      <c r="Q410" s="400"/>
      <c r="R410" s="410"/>
      <c r="S410" s="413">
        <f t="shared" si="51"/>
        <v>0</v>
      </c>
      <c r="T410" s="508">
        <f t="shared" si="52"/>
        <v>0</v>
      </c>
      <c r="U410" s="625"/>
      <c r="V410" s="625"/>
      <c r="W410" s="204"/>
      <c r="X410" s="204"/>
      <c r="Y410" s="204"/>
    </row>
    <row r="411" spans="1:25" s="179" customFormat="1" x14ac:dyDescent="0.25">
      <c r="A411" s="396" t="s">
        <v>44</v>
      </c>
      <c r="B411" s="624" t="str">
        <f>IF(OR($E$5="Gas Turbine (Open Cycle)",$E$5="Combined Cycle Gas Turbine (CCGT)"),"Module8","Unit8")</f>
        <v>Unit8</v>
      </c>
      <c r="C411" s="624"/>
      <c r="D411" s="399">
        <f t="shared" si="47"/>
        <v>0</v>
      </c>
      <c r="E411" s="402"/>
      <c r="F411" s="400"/>
      <c r="G411" s="402"/>
      <c r="H411" s="206">
        <f t="shared" si="48"/>
        <v>1</v>
      </c>
      <c r="I411" s="400"/>
      <c r="J411" s="402"/>
      <c r="K411" s="206">
        <f t="shared" si="53"/>
        <v>0</v>
      </c>
      <c r="L411" s="206">
        <f t="shared" si="49"/>
        <v>0</v>
      </c>
      <c r="M411" s="400"/>
      <c r="N411" s="400"/>
      <c r="O411" s="402"/>
      <c r="P411" s="413">
        <f t="shared" si="50"/>
        <v>1</v>
      </c>
      <c r="Q411" s="400"/>
      <c r="R411" s="410"/>
      <c r="S411" s="413">
        <f t="shared" si="51"/>
        <v>0</v>
      </c>
      <c r="T411" s="508">
        <f t="shared" si="52"/>
        <v>0</v>
      </c>
      <c r="U411" s="625"/>
      <c r="V411" s="625"/>
      <c r="W411" s="204"/>
      <c r="X411" s="204"/>
      <c r="Y411" s="204"/>
    </row>
    <row r="412" spans="1:25" s="179" customFormat="1" x14ac:dyDescent="0.25">
      <c r="A412" s="396" t="s">
        <v>46</v>
      </c>
      <c r="B412" s="624" t="str">
        <f>IF(OR($E$5="Gas Turbine (Open Cycle)",$E$5="Combined Cycle Gas Turbine (CCGT)"),"Module9","Unit9")</f>
        <v>Unit9</v>
      </c>
      <c r="C412" s="624"/>
      <c r="D412" s="399">
        <f t="shared" si="47"/>
        <v>0</v>
      </c>
      <c r="E412" s="402"/>
      <c r="F412" s="400"/>
      <c r="G412" s="402"/>
      <c r="H412" s="206">
        <f t="shared" si="48"/>
        <v>1</v>
      </c>
      <c r="I412" s="400"/>
      <c r="J412" s="402"/>
      <c r="K412" s="206">
        <f t="shared" si="53"/>
        <v>0</v>
      </c>
      <c r="L412" s="206">
        <f t="shared" si="49"/>
        <v>0</v>
      </c>
      <c r="M412" s="400"/>
      <c r="N412" s="400"/>
      <c r="O412" s="402"/>
      <c r="P412" s="413">
        <f t="shared" si="50"/>
        <v>1</v>
      </c>
      <c r="Q412" s="400"/>
      <c r="R412" s="410"/>
      <c r="S412" s="413">
        <f t="shared" si="51"/>
        <v>0</v>
      </c>
      <c r="T412" s="508">
        <f t="shared" si="52"/>
        <v>0</v>
      </c>
      <c r="U412" s="625"/>
      <c r="V412" s="625"/>
      <c r="W412" s="204"/>
      <c r="X412" s="204"/>
      <c r="Y412" s="204"/>
    </row>
    <row r="413" spans="1:25" s="179" customFormat="1" x14ac:dyDescent="0.25">
      <c r="A413" s="396" t="s">
        <v>48</v>
      </c>
      <c r="B413" s="624" t="str">
        <f>IF(OR($E$5="Gas Turbine (Open Cycle)",$E$5="Combined Cycle Gas Turbine (CCGT)"),"Module10","Unit10")</f>
        <v>Unit10</v>
      </c>
      <c r="C413" s="624"/>
      <c r="D413" s="399">
        <f t="shared" si="47"/>
        <v>0</v>
      </c>
      <c r="E413" s="402"/>
      <c r="F413" s="400"/>
      <c r="G413" s="402"/>
      <c r="H413" s="206">
        <f t="shared" si="48"/>
        <v>1</v>
      </c>
      <c r="I413" s="400"/>
      <c r="J413" s="402"/>
      <c r="K413" s="206">
        <f t="shared" si="53"/>
        <v>0</v>
      </c>
      <c r="L413" s="206">
        <f t="shared" si="49"/>
        <v>0</v>
      </c>
      <c r="M413" s="400"/>
      <c r="N413" s="400"/>
      <c r="O413" s="402"/>
      <c r="P413" s="413">
        <f t="shared" si="50"/>
        <v>1</v>
      </c>
      <c r="Q413" s="400"/>
      <c r="R413" s="410"/>
      <c r="S413" s="413">
        <f t="shared" si="51"/>
        <v>0</v>
      </c>
      <c r="T413" s="508">
        <f t="shared" si="52"/>
        <v>0</v>
      </c>
      <c r="U413" s="625"/>
      <c r="V413" s="625"/>
      <c r="W413" s="204"/>
      <c r="X413" s="204"/>
      <c r="Y413" s="204"/>
    </row>
    <row r="414" spans="1:25" s="178" customFormat="1" x14ac:dyDescent="0.25">
      <c r="A414" s="396" t="s">
        <v>302</v>
      </c>
      <c r="B414" s="621" t="s">
        <v>121</v>
      </c>
      <c r="C414" s="621"/>
      <c r="D414" s="399">
        <f>SUM(D404:D413)</f>
        <v>0</v>
      </c>
      <c r="E414" s="377">
        <f>IFERROR(($D$404*E404+$D$405*E405+$D$406*E406+$D$407*E407+$D$408*E408+$D$409*E409+$D$410*E410+$D$411*E411+$D$412*E412+$D$413*E413)/($D$414*8760),0)</f>
        <v>0</v>
      </c>
      <c r="F414" s="377">
        <f>IFERROR(($D$404*F404+$D$405*F405+$D$406*F406+$D$407*F407+$D$408*F408+$D$409*F409+$D$410*F410+$D$411*F411+$D$412*F412+$D$413*F413)/($D$414*8760),0)</f>
        <v>0</v>
      </c>
      <c r="G414" s="207">
        <f>IFERROR((G404*D404+G405*D405+G406*D406+G407*D407+G408*D408+G409*D409+G410*D410+G411*D411+G412*D412+G413*D413)/(D414*8760),0)</f>
        <v>0</v>
      </c>
      <c r="H414" s="378">
        <f>1-F414-G414-E414</f>
        <v>1</v>
      </c>
      <c r="I414" s="379">
        <f>SUM(I404:I413)</f>
        <v>0</v>
      </c>
      <c r="J414" s="380">
        <f>IFERROR((I404*J404+I405*J405+I406*J406+I407*J407+I408*J408+I409*J409+I410*J410+I411*J411+I412*J412+I413*J413)/SUM(I404:I413),0)</f>
        <v>0</v>
      </c>
      <c r="K414" s="378">
        <f>SUM(K404:K413)</f>
        <v>0</v>
      </c>
      <c r="L414" s="380">
        <f>IFERROR((K404*L404+K405*L405+K406*L406+K407*L407+K408*L408+K409*L409+K410*L410+K411*L411+K412*L412+K413*L413)/K414,)</f>
        <v>0</v>
      </c>
      <c r="M414" s="379">
        <f>IFERROR(($D$404*M404+$D$405*M405+$D$406*M406+$D$407*M407+$D$408*M408+$D$409*M409+$D$410*M410+$D$411*M411+$D$412*M412+$D$413*M413)/($M$8*8760),0)</f>
        <v>0</v>
      </c>
      <c r="N414" s="379">
        <f>IFERROR(($D$404*N404+$D$405*N405+$D$406*N406+$D$407*N407+$D$408*N408+$D$409*N409+$D$410*N410+$D$411*N411+$D$412*N412+$D$413*N413)/($M$8*8760),0)</f>
        <v>0</v>
      </c>
      <c r="O414" s="379">
        <f>IFERROR((O404*D404+O405*D405+O406*D406+O407*D407+O408*D408+O409*D409+O410*D410+O411*D411+O412*D412+O413*D413)/($M$8*8760),0)</f>
        <v>0</v>
      </c>
      <c r="P414" s="378">
        <f>1-N414-O414-M414</f>
        <v>1</v>
      </c>
      <c r="Q414" s="379">
        <f>SUM(Q404:Q413)</f>
        <v>0</v>
      </c>
      <c r="R414" s="380">
        <f>IFERROR((Q404*R404+Q405*R405+Q406*R406+Q407*R407+Q408*R408+Q409*R409+Q410*R410+Q411*R411+Q412*R412+Q413*R413)/SUM(Q404:Q413),0)</f>
        <v>0</v>
      </c>
      <c r="S414" s="379">
        <f>SUM(S404:S413)</f>
        <v>0</v>
      </c>
      <c r="T414" s="379">
        <f>IFERROR((S404*T404+S405*T405+S406*T406+S407*T407+S408*T408+S409*T409+S410*T410+S411*T411+S412*T412+S413*T413)/SUM(S404:S413),0)</f>
        <v>0</v>
      </c>
      <c r="U414" s="625"/>
      <c r="V414" s="625"/>
      <c r="W414" s="205"/>
      <c r="X414" s="205"/>
      <c r="Y414" s="205"/>
    </row>
    <row r="415" spans="1:25" x14ac:dyDescent="0.3">
      <c r="A415" s="398"/>
      <c r="B415" s="667" t="s">
        <v>707</v>
      </c>
      <c r="C415" s="667"/>
      <c r="D415" s="667"/>
      <c r="E415" s="667"/>
      <c r="F415" s="667"/>
      <c r="G415" s="667"/>
      <c r="H415" s="667"/>
      <c r="I415" s="667"/>
      <c r="J415" s="667"/>
      <c r="K415" s="667"/>
      <c r="L415" s="667"/>
      <c r="M415" s="667"/>
      <c r="N415" s="667"/>
      <c r="O415" s="667"/>
      <c r="P415" s="667"/>
      <c r="Q415" s="667"/>
      <c r="R415" s="667"/>
      <c r="S415" s="667"/>
      <c r="T415" s="667"/>
      <c r="U415" s="667"/>
      <c r="V415" s="667"/>
      <c r="W415" s="167"/>
      <c r="X415" s="167"/>
      <c r="Y415" s="167"/>
    </row>
    <row r="416" spans="1:25" x14ac:dyDescent="0.3">
      <c r="A416" s="398" t="s">
        <v>291</v>
      </c>
      <c r="B416" s="694" t="s">
        <v>134</v>
      </c>
      <c r="C416" s="694"/>
      <c r="D416" s="694"/>
      <c r="E416" s="694"/>
      <c r="F416" s="694"/>
      <c r="G416" s="694"/>
      <c r="H416" s="694"/>
      <c r="I416" s="694"/>
      <c r="J416" s="694"/>
      <c r="K416" s="694"/>
      <c r="L416" s="694"/>
      <c r="M416" s="694"/>
      <c r="N416" s="694"/>
      <c r="O416" s="694"/>
      <c r="P416" s="694"/>
      <c r="Q416" s="694"/>
      <c r="R416" s="694"/>
      <c r="S416" s="694"/>
      <c r="T416" s="694"/>
      <c r="U416" s="694"/>
      <c r="V416" s="694"/>
      <c r="W416" s="167"/>
      <c r="X416" s="167"/>
      <c r="Y416" s="167"/>
    </row>
    <row r="417" spans="1:25" x14ac:dyDescent="0.3">
      <c r="A417" s="398" t="s">
        <v>30</v>
      </c>
      <c r="B417" s="641" t="s">
        <v>708</v>
      </c>
      <c r="C417" s="641"/>
      <c r="D417" s="641"/>
      <c r="E417" s="641"/>
      <c r="F417" s="641"/>
      <c r="G417" s="641"/>
      <c r="H417" s="641"/>
      <c r="I417" s="641"/>
      <c r="J417" s="641"/>
      <c r="K417" s="641"/>
      <c r="L417" s="641"/>
      <c r="M417" s="641"/>
      <c r="N417" s="641"/>
      <c r="O417" s="641"/>
      <c r="P417" s="641"/>
      <c r="Q417" s="641"/>
      <c r="R417" s="641"/>
      <c r="S417" s="641"/>
      <c r="T417" s="641"/>
      <c r="U417" s="641"/>
      <c r="V417" s="641"/>
      <c r="W417" s="167"/>
      <c r="X417" s="167"/>
      <c r="Y417" s="167"/>
    </row>
    <row r="418" spans="1:25" x14ac:dyDescent="0.3">
      <c r="A418" s="398" t="s">
        <v>32</v>
      </c>
      <c r="B418" s="701" t="s">
        <v>370</v>
      </c>
      <c r="C418" s="701"/>
      <c r="D418" s="701"/>
      <c r="E418" s="701"/>
      <c r="F418" s="701"/>
      <c r="G418" s="701"/>
      <c r="H418" s="701"/>
      <c r="I418" s="701"/>
      <c r="J418" s="701"/>
      <c r="K418" s="701"/>
      <c r="L418" s="701"/>
      <c r="M418" s="701"/>
      <c r="N418" s="701"/>
      <c r="O418" s="701"/>
      <c r="P418" s="701"/>
      <c r="Q418" s="701"/>
      <c r="R418" s="701"/>
      <c r="S418" s="701"/>
      <c r="T418" s="701"/>
      <c r="U418" s="701"/>
      <c r="V418" s="701"/>
      <c r="W418" s="167"/>
      <c r="X418" s="167"/>
      <c r="Y418" s="167"/>
    </row>
    <row r="419" spans="1:25" x14ac:dyDescent="0.3">
      <c r="A419" s="398" t="s">
        <v>77</v>
      </c>
      <c r="B419" s="701" t="s">
        <v>371</v>
      </c>
      <c r="C419" s="701"/>
      <c r="D419" s="701"/>
      <c r="E419" s="701"/>
      <c r="F419" s="701"/>
      <c r="G419" s="701"/>
      <c r="H419" s="701"/>
      <c r="I419" s="701"/>
      <c r="J419" s="701"/>
      <c r="K419" s="701"/>
      <c r="L419" s="701"/>
      <c r="M419" s="701"/>
      <c r="N419" s="701"/>
      <c r="O419" s="701"/>
      <c r="P419" s="701"/>
      <c r="Q419" s="701"/>
      <c r="R419" s="701"/>
      <c r="S419" s="701"/>
      <c r="T419" s="701"/>
      <c r="U419" s="701"/>
      <c r="V419" s="701"/>
      <c r="W419" s="167"/>
      <c r="X419" s="167"/>
      <c r="Y419" s="167"/>
    </row>
    <row r="420" spans="1:25" x14ac:dyDescent="0.3">
      <c r="A420" s="398" t="s">
        <v>36</v>
      </c>
      <c r="B420" s="641" t="s">
        <v>372</v>
      </c>
      <c r="C420" s="641"/>
      <c r="D420" s="641"/>
      <c r="E420" s="641"/>
      <c r="F420" s="641"/>
      <c r="G420" s="641"/>
      <c r="H420" s="641"/>
      <c r="I420" s="641"/>
      <c r="J420" s="641"/>
      <c r="K420" s="641"/>
      <c r="L420" s="641"/>
      <c r="M420" s="641"/>
      <c r="N420" s="641"/>
      <c r="O420" s="641"/>
      <c r="P420" s="641"/>
      <c r="Q420" s="641"/>
      <c r="R420" s="641"/>
      <c r="S420" s="641"/>
      <c r="T420" s="641"/>
      <c r="U420" s="641"/>
      <c r="V420" s="641"/>
      <c r="W420" s="167"/>
      <c r="X420" s="167"/>
      <c r="Y420" s="167"/>
    </row>
    <row r="421" spans="1:25" x14ac:dyDescent="0.3">
      <c r="A421" s="414">
        <v>12.3</v>
      </c>
      <c r="B421" s="642" t="s">
        <v>140</v>
      </c>
      <c r="C421" s="642"/>
      <c r="D421" s="642"/>
      <c r="E421" s="642"/>
      <c r="F421" s="642"/>
      <c r="G421" s="642"/>
      <c r="H421" s="642"/>
      <c r="I421" s="642"/>
      <c r="J421" s="642"/>
      <c r="K421" s="642"/>
      <c r="L421" s="642"/>
      <c r="M421" s="642"/>
      <c r="N421" s="642"/>
      <c r="O421" s="642"/>
      <c r="P421" s="642"/>
      <c r="Q421" s="642"/>
      <c r="R421" s="642"/>
      <c r="S421" s="642"/>
      <c r="T421" s="642"/>
      <c r="U421" s="642"/>
      <c r="V421" s="642"/>
      <c r="W421" s="167"/>
      <c r="X421" s="167"/>
      <c r="Y421" s="167"/>
    </row>
    <row r="422" spans="1:25" x14ac:dyDescent="0.3">
      <c r="A422" s="621" t="s">
        <v>146</v>
      </c>
      <c r="B422" s="623" t="s">
        <v>207</v>
      </c>
      <c r="C422" s="623"/>
      <c r="D422" s="623"/>
      <c r="E422" s="621" t="s">
        <v>727</v>
      </c>
      <c r="F422" s="621"/>
      <c r="G422" s="621"/>
      <c r="H422" s="621"/>
      <c r="I422" s="621"/>
      <c r="J422" s="621"/>
      <c r="K422" s="621"/>
      <c r="L422" s="621"/>
      <c r="M422" s="621" t="s">
        <v>729</v>
      </c>
      <c r="N422" s="621"/>
      <c r="O422" s="621"/>
      <c r="P422" s="621"/>
      <c r="Q422" s="621"/>
      <c r="R422" s="621"/>
      <c r="S422" s="621"/>
      <c r="T422" s="621"/>
      <c r="U422" s="621" t="s">
        <v>280</v>
      </c>
      <c r="V422" s="621"/>
      <c r="W422" s="167"/>
      <c r="X422" s="167"/>
      <c r="Y422" s="167"/>
    </row>
    <row r="423" spans="1:25" x14ac:dyDescent="0.3">
      <c r="A423" s="621"/>
      <c r="B423" s="623"/>
      <c r="C423" s="623"/>
      <c r="D423" s="623"/>
      <c r="E423" s="621" t="s">
        <v>208</v>
      </c>
      <c r="F423" s="621"/>
      <c r="G423" s="621" t="s">
        <v>201</v>
      </c>
      <c r="H423" s="621"/>
      <c r="I423" s="621" t="s">
        <v>202</v>
      </c>
      <c r="J423" s="621"/>
      <c r="K423" s="621" t="s">
        <v>210</v>
      </c>
      <c r="L423" s="621"/>
      <c r="M423" s="621" t="s">
        <v>208</v>
      </c>
      <c r="N423" s="621"/>
      <c r="O423" s="621" t="s">
        <v>201</v>
      </c>
      <c r="P423" s="621"/>
      <c r="Q423" s="621" t="s">
        <v>202</v>
      </c>
      <c r="R423" s="621"/>
      <c r="S423" s="621" t="s">
        <v>210</v>
      </c>
      <c r="T423" s="621"/>
      <c r="U423" s="621"/>
      <c r="V423" s="621"/>
      <c r="W423" s="167"/>
      <c r="X423" s="167"/>
      <c r="Y423" s="167"/>
    </row>
    <row r="424" spans="1:25" x14ac:dyDescent="0.3">
      <c r="A424" s="621"/>
      <c r="B424" s="621" t="s">
        <v>62</v>
      </c>
      <c r="C424" s="621"/>
      <c r="D424" s="621"/>
      <c r="E424" s="208" t="s">
        <v>209</v>
      </c>
      <c r="F424" s="396" t="s">
        <v>211</v>
      </c>
      <c r="G424" s="635" t="s">
        <v>4</v>
      </c>
      <c r="H424" s="621"/>
      <c r="I424" s="621" t="s">
        <v>12</v>
      </c>
      <c r="J424" s="621"/>
      <c r="K424" s="621" t="s">
        <v>50</v>
      </c>
      <c r="L424" s="621"/>
      <c r="M424" s="208" t="s">
        <v>209</v>
      </c>
      <c r="N424" s="396" t="s">
        <v>211</v>
      </c>
      <c r="O424" s="635" t="s">
        <v>4</v>
      </c>
      <c r="P424" s="621"/>
      <c r="Q424" s="621" t="s">
        <v>12</v>
      </c>
      <c r="R424" s="621"/>
      <c r="S424" s="621" t="s">
        <v>50</v>
      </c>
      <c r="T424" s="621"/>
      <c r="U424" s="621"/>
      <c r="V424" s="621"/>
      <c r="W424" s="167"/>
      <c r="X424" s="167"/>
      <c r="Y424" s="167"/>
    </row>
    <row r="425" spans="1:25" x14ac:dyDescent="0.3">
      <c r="A425" s="294" t="s">
        <v>30</v>
      </c>
      <c r="B425" s="640"/>
      <c r="C425" s="640"/>
      <c r="D425" s="640"/>
      <c r="E425" s="209"/>
      <c r="F425" s="402"/>
      <c r="G425" s="625"/>
      <c r="H425" s="625"/>
      <c r="I425" s="625"/>
      <c r="J425" s="625"/>
      <c r="K425" s="625"/>
      <c r="L425" s="625"/>
      <c r="M425" s="209"/>
      <c r="N425" s="402"/>
      <c r="O425" s="625"/>
      <c r="P425" s="625"/>
      <c r="Q425" s="625"/>
      <c r="R425" s="625"/>
      <c r="S425" s="625"/>
      <c r="T425" s="625"/>
      <c r="U425" s="625"/>
      <c r="V425" s="625"/>
      <c r="W425" s="167"/>
      <c r="X425" s="167"/>
      <c r="Y425" s="167"/>
    </row>
    <row r="426" spans="1:25" x14ac:dyDescent="0.3">
      <c r="A426" s="398"/>
      <c r="B426" s="656"/>
      <c r="C426" s="656"/>
      <c r="D426" s="656"/>
      <c r="E426" s="656"/>
      <c r="F426" s="656"/>
      <c r="G426" s="656"/>
      <c r="H426" s="656"/>
      <c r="I426" s="656"/>
      <c r="J426" s="656"/>
      <c r="K426" s="656"/>
      <c r="L426" s="656"/>
      <c r="M426" s="656"/>
      <c r="N426" s="656"/>
      <c r="O426" s="656"/>
      <c r="P426" s="656"/>
      <c r="Q426" s="656"/>
      <c r="R426" s="656"/>
      <c r="S426" s="656"/>
      <c r="T426" s="656"/>
      <c r="U426" s="625"/>
      <c r="V426" s="625"/>
      <c r="W426" s="167"/>
      <c r="X426" s="167"/>
      <c r="Y426" s="167"/>
    </row>
    <row r="427" spans="1:25" x14ac:dyDescent="0.3">
      <c r="A427" s="398" t="s">
        <v>301</v>
      </c>
      <c r="B427" s="638" t="s">
        <v>286</v>
      </c>
      <c r="C427" s="638"/>
      <c r="D427" s="638"/>
      <c r="E427" s="638"/>
      <c r="F427" s="638"/>
      <c r="G427" s="638"/>
      <c r="H427" s="638"/>
      <c r="I427" s="638"/>
      <c r="J427" s="638"/>
      <c r="K427" s="638"/>
      <c r="L427" s="638"/>
      <c r="M427" s="638"/>
      <c r="N427" s="638"/>
      <c r="O427" s="638"/>
      <c r="P427" s="638"/>
      <c r="Q427" s="638"/>
      <c r="R427" s="638"/>
      <c r="S427" s="638"/>
      <c r="T427" s="638"/>
      <c r="U427" s="638"/>
      <c r="V427" s="638"/>
      <c r="W427" s="167"/>
      <c r="X427" s="167"/>
      <c r="Y427" s="167"/>
    </row>
    <row r="428" spans="1:25" x14ac:dyDescent="0.3">
      <c r="A428" s="294" t="s">
        <v>30</v>
      </c>
      <c r="B428" s="643" t="s">
        <v>287</v>
      </c>
      <c r="C428" s="643"/>
      <c r="D428" s="643"/>
      <c r="E428" s="643"/>
      <c r="F428" s="643"/>
      <c r="G428" s="643"/>
      <c r="H428" s="643"/>
      <c r="I428" s="643"/>
      <c r="J428" s="643"/>
      <c r="K428" s="643"/>
      <c r="L428" s="643"/>
      <c r="M428" s="643"/>
      <c r="N428" s="643"/>
      <c r="O428" s="643"/>
      <c r="P428" s="643"/>
      <c r="Q428" s="643"/>
      <c r="R428" s="643"/>
      <c r="S428" s="643"/>
      <c r="T428" s="643"/>
      <c r="U428" s="643"/>
      <c r="V428" s="643"/>
      <c r="W428" s="167"/>
      <c r="X428" s="167"/>
      <c r="Y428" s="167"/>
    </row>
    <row r="429" spans="1:25" x14ac:dyDescent="0.3">
      <c r="A429" s="398">
        <v>12.4</v>
      </c>
      <c r="B429" s="638" t="s">
        <v>239</v>
      </c>
      <c r="C429" s="638"/>
      <c r="D429" s="638"/>
      <c r="E429" s="638"/>
      <c r="F429" s="638"/>
      <c r="G429" s="638"/>
      <c r="H429" s="638"/>
      <c r="I429" s="638"/>
      <c r="J429" s="638"/>
      <c r="K429" s="638"/>
      <c r="L429" s="638"/>
      <c r="M429" s="638"/>
      <c r="N429" s="638"/>
      <c r="O429" s="638"/>
      <c r="P429" s="638"/>
      <c r="Q429" s="638"/>
      <c r="R429" s="638"/>
      <c r="S429" s="638"/>
      <c r="T429" s="638"/>
      <c r="U429" s="638"/>
      <c r="V429" s="638"/>
      <c r="W429" s="167"/>
      <c r="X429" s="167"/>
      <c r="Y429" s="167"/>
    </row>
    <row r="430" spans="1:25" x14ac:dyDescent="0.3">
      <c r="A430" s="398" t="s">
        <v>296</v>
      </c>
      <c r="B430" s="638" t="s">
        <v>306</v>
      </c>
      <c r="C430" s="638"/>
      <c r="D430" s="638"/>
      <c r="E430" s="638"/>
      <c r="F430" s="638"/>
      <c r="G430" s="638"/>
      <c r="H430" s="638"/>
      <c r="I430" s="638"/>
      <c r="J430" s="638"/>
      <c r="K430" s="638"/>
      <c r="L430" s="638"/>
      <c r="M430" s="638"/>
      <c r="N430" s="638"/>
      <c r="O430" s="638"/>
      <c r="P430" s="638"/>
      <c r="Q430" s="638"/>
      <c r="R430" s="638"/>
      <c r="S430" s="638"/>
      <c r="T430" s="638"/>
      <c r="U430" s="638"/>
      <c r="V430" s="638"/>
      <c r="W430" s="167"/>
      <c r="X430" s="167"/>
      <c r="Y430" s="167"/>
    </row>
    <row r="431" spans="1:25" x14ac:dyDescent="0.3">
      <c r="A431" s="621" t="s">
        <v>146</v>
      </c>
      <c r="B431" s="623" t="s">
        <v>132</v>
      </c>
      <c r="C431" s="623"/>
      <c r="D431" s="623"/>
      <c r="E431" s="621" t="s">
        <v>27</v>
      </c>
      <c r="F431" s="621" t="s">
        <v>727</v>
      </c>
      <c r="G431" s="621"/>
      <c r="H431" s="621"/>
      <c r="I431" s="621"/>
      <c r="J431" s="621"/>
      <c r="K431" s="621"/>
      <c r="L431" s="621"/>
      <c r="M431" s="635" t="s">
        <v>718</v>
      </c>
      <c r="N431" s="621"/>
      <c r="O431" s="635" t="s">
        <v>719</v>
      </c>
      <c r="P431" s="621"/>
      <c r="Q431" s="635" t="s">
        <v>724</v>
      </c>
      <c r="R431" s="621"/>
      <c r="S431" s="621" t="s">
        <v>725</v>
      </c>
      <c r="T431" s="621"/>
      <c r="U431" s="710" t="s">
        <v>52</v>
      </c>
      <c r="V431" s="711"/>
      <c r="W431" s="167"/>
      <c r="X431" s="167"/>
      <c r="Y431" s="167"/>
    </row>
    <row r="432" spans="1:25" ht="45" customHeight="1" x14ac:dyDescent="0.3">
      <c r="A432" s="621"/>
      <c r="B432" s="623"/>
      <c r="C432" s="623"/>
      <c r="D432" s="623"/>
      <c r="E432" s="621"/>
      <c r="F432" s="621" t="s">
        <v>586</v>
      </c>
      <c r="G432" s="621"/>
      <c r="H432" s="621"/>
      <c r="I432" s="621" t="s">
        <v>587</v>
      </c>
      <c r="J432" s="621"/>
      <c r="K432" s="621"/>
      <c r="L432" s="621"/>
      <c r="M432" s="388" t="s">
        <v>586</v>
      </c>
      <c r="N432" s="388" t="s">
        <v>587</v>
      </c>
      <c r="O432" s="388" t="s">
        <v>586</v>
      </c>
      <c r="P432" s="388" t="s">
        <v>587</v>
      </c>
      <c r="Q432" s="388" t="s">
        <v>586</v>
      </c>
      <c r="R432" s="388" t="s">
        <v>588</v>
      </c>
      <c r="S432" s="388" t="s">
        <v>586</v>
      </c>
      <c r="T432" s="388" t="s">
        <v>588</v>
      </c>
      <c r="U432" s="712"/>
      <c r="V432" s="713"/>
      <c r="W432" s="167"/>
      <c r="X432" s="167"/>
      <c r="Y432" s="167"/>
    </row>
    <row r="433" spans="1:25" x14ac:dyDescent="0.3">
      <c r="A433" s="396" t="s">
        <v>30</v>
      </c>
      <c r="B433" s="618" t="s">
        <v>1069</v>
      </c>
      <c r="C433" s="618"/>
      <c r="D433" s="618"/>
      <c r="E433" s="398" t="s">
        <v>139</v>
      </c>
      <c r="F433" s="639"/>
      <c r="G433" s="639"/>
      <c r="H433" s="639"/>
      <c r="I433" s="639"/>
      <c r="J433" s="639"/>
      <c r="K433" s="639"/>
      <c r="L433" s="639"/>
      <c r="M433" s="210"/>
      <c r="N433" s="210"/>
      <c r="O433" s="210"/>
      <c r="P433" s="210"/>
      <c r="Q433" s="210"/>
      <c r="R433" s="210"/>
      <c r="S433" s="399">
        <f>IFERROR(AVERAGEA(M433,O433,Q433),0)</f>
        <v>0</v>
      </c>
      <c r="T433" s="399">
        <f>IFERROR(AVERAGEA(N433,P433,R433),0)</f>
        <v>0</v>
      </c>
      <c r="U433" s="639"/>
      <c r="V433" s="639"/>
      <c r="W433" s="167"/>
      <c r="X433" s="167"/>
      <c r="Y433" s="167"/>
    </row>
    <row r="434" spans="1:25" x14ac:dyDescent="0.3">
      <c r="A434" s="396" t="s">
        <v>32</v>
      </c>
      <c r="B434" s="618" t="s">
        <v>138</v>
      </c>
      <c r="C434" s="618"/>
      <c r="D434" s="618"/>
      <c r="E434" s="398" t="s">
        <v>139</v>
      </c>
      <c r="F434" s="639"/>
      <c r="G434" s="639"/>
      <c r="H434" s="639"/>
      <c r="I434" s="639"/>
      <c r="J434" s="639"/>
      <c r="K434" s="639"/>
      <c r="L434" s="639"/>
      <c r="M434" s="210"/>
      <c r="N434" s="210"/>
      <c r="O434" s="210"/>
      <c r="P434" s="210"/>
      <c r="Q434" s="210"/>
      <c r="R434" s="210"/>
      <c r="S434" s="399">
        <f>IFERROR(AVERAGEA(M434,O434,Q434),0)</f>
        <v>0</v>
      </c>
      <c r="T434" s="399">
        <f>IFERROR(AVERAGEA(N434,P434,R434),0)</f>
        <v>0</v>
      </c>
      <c r="U434" s="639"/>
      <c r="V434" s="639"/>
      <c r="W434" s="167"/>
      <c r="X434" s="167"/>
      <c r="Y434" s="167"/>
    </row>
    <row r="435" spans="1:25" x14ac:dyDescent="0.3">
      <c r="A435" s="398" t="s">
        <v>189</v>
      </c>
      <c r="B435" s="638" t="s">
        <v>305</v>
      </c>
      <c r="C435" s="638"/>
      <c r="D435" s="638"/>
      <c r="E435" s="638"/>
      <c r="F435" s="638"/>
      <c r="G435" s="638"/>
      <c r="H435" s="638"/>
      <c r="I435" s="638"/>
      <c r="J435" s="638"/>
      <c r="K435" s="638"/>
      <c r="L435" s="638"/>
      <c r="M435" s="638"/>
      <c r="N435" s="638"/>
      <c r="O435" s="638"/>
      <c r="P435" s="638"/>
      <c r="Q435" s="638"/>
      <c r="R435" s="638"/>
      <c r="S435" s="638"/>
      <c r="T435" s="638"/>
      <c r="U435" s="638"/>
      <c r="V435" s="638"/>
      <c r="W435" s="167"/>
      <c r="X435" s="167"/>
      <c r="Y435" s="167"/>
    </row>
    <row r="436" spans="1:25" x14ac:dyDescent="0.3">
      <c r="A436" s="396" t="s">
        <v>30</v>
      </c>
      <c r="B436" s="618" t="s">
        <v>304</v>
      </c>
      <c r="C436" s="618"/>
      <c r="D436" s="618"/>
      <c r="E436" s="398" t="s">
        <v>92</v>
      </c>
      <c r="F436" s="639"/>
      <c r="G436" s="639"/>
      <c r="H436" s="639"/>
      <c r="I436" s="639"/>
      <c r="J436" s="639"/>
      <c r="K436" s="639"/>
      <c r="L436" s="639"/>
      <c r="M436" s="616"/>
      <c r="N436" s="616"/>
      <c r="O436" s="616"/>
      <c r="P436" s="616"/>
      <c r="Q436" s="616"/>
      <c r="R436" s="616"/>
      <c r="S436" s="617">
        <f>IFERROR(AVERAGEIF(M436:R436,"&gt;0",M436:R436),0)</f>
        <v>0</v>
      </c>
      <c r="T436" s="617"/>
      <c r="U436" s="639"/>
      <c r="V436" s="639"/>
      <c r="W436" s="167"/>
      <c r="X436" s="167"/>
      <c r="Y436" s="167"/>
    </row>
    <row r="437" spans="1:25" x14ac:dyDescent="0.3">
      <c r="A437" s="452" t="s">
        <v>285</v>
      </c>
      <c r="B437" s="628" t="s">
        <v>1224</v>
      </c>
      <c r="C437" s="629"/>
      <c r="D437" s="629"/>
      <c r="E437" s="629"/>
      <c r="F437" s="629"/>
      <c r="G437" s="629"/>
      <c r="H437" s="629"/>
      <c r="I437" s="629"/>
      <c r="J437" s="629"/>
      <c r="K437" s="629"/>
      <c r="L437" s="629"/>
      <c r="M437" s="629"/>
      <c r="N437" s="629"/>
      <c r="O437" s="629"/>
      <c r="P437" s="629"/>
      <c r="Q437" s="629"/>
      <c r="R437" s="629"/>
      <c r="S437" s="629"/>
      <c r="T437" s="630"/>
      <c r="U437" s="451"/>
      <c r="V437" s="451"/>
      <c r="W437" s="167"/>
      <c r="X437" s="167"/>
      <c r="Y437" s="167"/>
    </row>
    <row r="438" spans="1:25" x14ac:dyDescent="0.3">
      <c r="A438" s="398" t="s">
        <v>190</v>
      </c>
      <c r="B438" s="694" t="s">
        <v>1243</v>
      </c>
      <c r="C438" s="694"/>
      <c r="D438" s="694"/>
      <c r="E438" s="694"/>
      <c r="F438" s="694"/>
      <c r="G438" s="694"/>
      <c r="H438" s="694"/>
      <c r="I438" s="694"/>
      <c r="J438" s="694"/>
      <c r="K438" s="694"/>
      <c r="L438" s="694"/>
      <c r="M438" s="694"/>
      <c r="N438" s="694"/>
      <c r="O438" s="694"/>
      <c r="P438" s="694"/>
      <c r="Q438" s="694"/>
      <c r="R438" s="694"/>
      <c r="S438" s="694"/>
      <c r="T438" s="694"/>
      <c r="U438" s="694"/>
      <c r="V438" s="694"/>
      <c r="W438" s="167"/>
      <c r="X438" s="167"/>
      <c r="Y438" s="167"/>
    </row>
    <row r="439" spans="1:25" ht="39" customHeight="1" x14ac:dyDescent="0.3">
      <c r="A439" s="621" t="s">
        <v>146</v>
      </c>
      <c r="B439" s="621" t="str">
        <f>IF(OR($E$5="Gas Turbine (Open Cycle)",$E$5="Combined Cycle Gas Turbine (CCGT)"),"Modules","Units")</f>
        <v>Units</v>
      </c>
      <c r="C439" s="621"/>
      <c r="D439" s="621"/>
      <c r="E439" s="621" t="s">
        <v>28</v>
      </c>
      <c r="F439" s="636" t="s">
        <v>727</v>
      </c>
      <c r="G439" s="655"/>
      <c r="H439" s="637"/>
      <c r="I439" s="635" t="s">
        <v>718</v>
      </c>
      <c r="J439" s="635"/>
      <c r="K439" s="635"/>
      <c r="L439" s="635" t="s">
        <v>719</v>
      </c>
      <c r="M439" s="635"/>
      <c r="N439" s="635"/>
      <c r="O439" s="652" t="s">
        <v>724</v>
      </c>
      <c r="P439" s="653"/>
      <c r="Q439" s="654"/>
      <c r="R439" s="635" t="s">
        <v>730</v>
      </c>
      <c r="S439" s="635"/>
      <c r="T439" s="635"/>
      <c r="U439" s="621" t="s">
        <v>52</v>
      </c>
      <c r="V439" s="621"/>
    </row>
    <row r="440" spans="1:25" ht="32.25" customHeight="1" x14ac:dyDescent="0.3">
      <c r="A440" s="621"/>
      <c r="B440" s="621"/>
      <c r="C440" s="621"/>
      <c r="D440" s="621"/>
      <c r="E440" s="621"/>
      <c r="F440" s="396" t="s">
        <v>337</v>
      </c>
      <c r="G440" s="396" t="s">
        <v>338</v>
      </c>
      <c r="H440" s="396" t="s">
        <v>339</v>
      </c>
      <c r="I440" s="396" t="s">
        <v>337</v>
      </c>
      <c r="J440" s="396" t="s">
        <v>338</v>
      </c>
      <c r="K440" s="396" t="s">
        <v>339</v>
      </c>
      <c r="L440" s="396" t="s">
        <v>337</v>
      </c>
      <c r="M440" s="396" t="s">
        <v>338</v>
      </c>
      <c r="N440" s="396" t="s">
        <v>339</v>
      </c>
      <c r="O440" s="396" t="s">
        <v>337</v>
      </c>
      <c r="P440" s="396" t="s">
        <v>338</v>
      </c>
      <c r="Q440" s="396" t="s">
        <v>339</v>
      </c>
      <c r="R440" s="396" t="s">
        <v>337</v>
      </c>
      <c r="S440" s="396" t="s">
        <v>338</v>
      </c>
      <c r="T440" s="396" t="s">
        <v>339</v>
      </c>
      <c r="U440" s="621"/>
      <c r="V440" s="621"/>
      <c r="W440" s="167"/>
      <c r="X440" s="167"/>
      <c r="Y440" s="167"/>
    </row>
    <row r="441" spans="1:25" x14ac:dyDescent="0.3">
      <c r="A441" s="621"/>
      <c r="B441" s="621"/>
      <c r="C441" s="621"/>
      <c r="D441" s="621"/>
      <c r="E441" s="621"/>
      <c r="F441" s="396" t="s">
        <v>139</v>
      </c>
      <c r="G441" s="396" t="s">
        <v>139</v>
      </c>
      <c r="H441" s="396" t="s">
        <v>139</v>
      </c>
      <c r="I441" s="396" t="s">
        <v>139</v>
      </c>
      <c r="J441" s="396" t="s">
        <v>139</v>
      </c>
      <c r="K441" s="396" t="s">
        <v>139</v>
      </c>
      <c r="L441" s="396" t="s">
        <v>139</v>
      </c>
      <c r="M441" s="396" t="s">
        <v>139</v>
      </c>
      <c r="N441" s="396" t="s">
        <v>139</v>
      </c>
      <c r="O441" s="396" t="s">
        <v>139</v>
      </c>
      <c r="P441" s="396" t="s">
        <v>139</v>
      </c>
      <c r="Q441" s="396" t="s">
        <v>139</v>
      </c>
      <c r="R441" s="396" t="s">
        <v>139</v>
      </c>
      <c r="S441" s="396" t="s">
        <v>139</v>
      </c>
      <c r="T441" s="396" t="s">
        <v>139</v>
      </c>
      <c r="U441" s="621"/>
      <c r="V441" s="621"/>
      <c r="W441" s="167"/>
      <c r="X441" s="167"/>
      <c r="Y441" s="167"/>
    </row>
    <row r="442" spans="1:25" x14ac:dyDescent="0.3">
      <c r="A442" s="396" t="s">
        <v>30</v>
      </c>
      <c r="B442" s="624" t="str">
        <f>IF(OR($E$5="Gas Turbine (Open Cycle)",$E$5="Combined Cycle Gas Turbine (CCGT)"),"Module1","Unit1")</f>
        <v>Unit1</v>
      </c>
      <c r="C442" s="624"/>
      <c r="D442" s="624"/>
      <c r="E442" s="401">
        <f t="shared" ref="E442:E451" si="54">E18</f>
        <v>0</v>
      </c>
      <c r="F442" s="397"/>
      <c r="G442" s="397"/>
      <c r="H442" s="397"/>
      <c r="I442" s="397"/>
      <c r="J442" s="397"/>
      <c r="K442" s="397"/>
      <c r="L442" s="397"/>
      <c r="M442" s="397"/>
      <c r="N442" s="397"/>
      <c r="O442" s="397"/>
      <c r="P442" s="397"/>
      <c r="Q442" s="397"/>
      <c r="R442" s="211">
        <f>IFERROR(AVERAGEA(I442,L442,O442),0)</f>
        <v>0</v>
      </c>
      <c r="S442" s="211">
        <f>IFERROR(AVERAGEA(J442,M442,P442),0)</f>
        <v>0</v>
      </c>
      <c r="T442" s="211">
        <f>IFERROR(AVERAGEA(K442,N442,Q442),0)</f>
        <v>0</v>
      </c>
      <c r="U442" s="639"/>
      <c r="V442" s="639"/>
      <c r="W442" s="167"/>
      <c r="X442" s="167"/>
      <c r="Y442" s="167"/>
    </row>
    <row r="443" spans="1:25" x14ac:dyDescent="0.3">
      <c r="A443" s="396" t="s">
        <v>32</v>
      </c>
      <c r="B443" s="624" t="str">
        <f>IF(OR($E$5="Gas Turbine (Open Cycle)",$E$5="Combined Cycle Gas Turbine (CCGT)"),"Module2","Unit2")</f>
        <v>Unit2</v>
      </c>
      <c r="C443" s="624"/>
      <c r="D443" s="624"/>
      <c r="E443" s="401">
        <f t="shared" si="54"/>
        <v>0</v>
      </c>
      <c r="F443" s="397"/>
      <c r="G443" s="397"/>
      <c r="H443" s="397"/>
      <c r="I443" s="397"/>
      <c r="J443" s="397"/>
      <c r="K443" s="397"/>
      <c r="L443" s="397"/>
      <c r="M443" s="397"/>
      <c r="N443" s="397"/>
      <c r="O443" s="397"/>
      <c r="P443" s="397"/>
      <c r="Q443" s="397"/>
      <c r="R443" s="211">
        <f t="shared" ref="R443:R451" si="55">IFERROR(AVERAGEA(I443,L443,O443),0)</f>
        <v>0</v>
      </c>
      <c r="S443" s="211">
        <f t="shared" ref="S443:S451" si="56">IFERROR(AVERAGEA(J443,M443,P443),0)</f>
        <v>0</v>
      </c>
      <c r="T443" s="211">
        <f t="shared" ref="T443:T451" si="57">IFERROR(AVERAGEA(K443,N443,Q443),0)</f>
        <v>0</v>
      </c>
      <c r="U443" s="639"/>
      <c r="V443" s="639"/>
      <c r="W443" s="167"/>
      <c r="X443" s="167"/>
      <c r="Y443" s="167"/>
    </row>
    <row r="444" spans="1:25" x14ac:dyDescent="0.3">
      <c r="A444" s="396" t="s">
        <v>34</v>
      </c>
      <c r="B444" s="624" t="str">
        <f>IF(OR($E$5="Gas Turbine (Open Cycle)",$E$5="Combined Cycle Gas Turbine (CCGT)"),"Module3","Unit3")</f>
        <v>Unit3</v>
      </c>
      <c r="C444" s="624"/>
      <c r="D444" s="624"/>
      <c r="E444" s="401">
        <f t="shared" si="54"/>
        <v>0</v>
      </c>
      <c r="F444" s="397"/>
      <c r="G444" s="397"/>
      <c r="H444" s="397"/>
      <c r="I444" s="397"/>
      <c r="J444" s="397"/>
      <c r="K444" s="397"/>
      <c r="L444" s="397"/>
      <c r="M444" s="397"/>
      <c r="N444" s="397"/>
      <c r="O444" s="397"/>
      <c r="P444" s="397"/>
      <c r="Q444" s="397"/>
      <c r="R444" s="211">
        <f t="shared" si="55"/>
        <v>0</v>
      </c>
      <c r="S444" s="211">
        <f t="shared" si="56"/>
        <v>0</v>
      </c>
      <c r="T444" s="211">
        <f t="shared" si="57"/>
        <v>0</v>
      </c>
      <c r="U444" s="639"/>
      <c r="V444" s="639"/>
      <c r="W444" s="167"/>
      <c r="X444" s="167"/>
      <c r="Y444" s="167"/>
    </row>
    <row r="445" spans="1:25" x14ac:dyDescent="0.3">
      <c r="A445" s="396" t="s">
        <v>36</v>
      </c>
      <c r="B445" s="624" t="str">
        <f>IF(OR($E$5="Gas Turbine (Open Cycle)",$E$5="Combined Cycle Gas Turbine (CCGT)"),"Module4","Unit4")</f>
        <v>Unit4</v>
      </c>
      <c r="C445" s="624"/>
      <c r="D445" s="624"/>
      <c r="E445" s="401">
        <f t="shared" si="54"/>
        <v>0</v>
      </c>
      <c r="F445" s="397"/>
      <c r="G445" s="397"/>
      <c r="H445" s="397"/>
      <c r="I445" s="397"/>
      <c r="J445" s="397"/>
      <c r="K445" s="397"/>
      <c r="L445" s="397"/>
      <c r="M445" s="397"/>
      <c r="N445" s="397"/>
      <c r="O445" s="397"/>
      <c r="P445" s="397"/>
      <c r="Q445" s="397"/>
      <c r="R445" s="211">
        <f t="shared" si="55"/>
        <v>0</v>
      </c>
      <c r="S445" s="211">
        <f t="shared" si="56"/>
        <v>0</v>
      </c>
      <c r="T445" s="211">
        <f t="shared" si="57"/>
        <v>0</v>
      </c>
      <c r="U445" s="639"/>
      <c r="V445" s="639"/>
      <c r="W445" s="167"/>
      <c r="X445" s="167"/>
      <c r="Y445" s="167"/>
    </row>
    <row r="446" spans="1:25" x14ac:dyDescent="0.3">
      <c r="A446" s="396" t="s">
        <v>38</v>
      </c>
      <c r="B446" s="624" t="str">
        <f>IF(OR($E$5="Gas Turbine (Open Cycle)",$E$5="Combined Cycle Gas Turbine (CCGT)"),"Module5","Unit5")</f>
        <v>Unit5</v>
      </c>
      <c r="C446" s="624"/>
      <c r="D446" s="624"/>
      <c r="E446" s="401">
        <f t="shared" si="54"/>
        <v>0</v>
      </c>
      <c r="F446" s="397"/>
      <c r="G446" s="397"/>
      <c r="H446" s="397"/>
      <c r="I446" s="397"/>
      <c r="J446" s="397"/>
      <c r="K446" s="397"/>
      <c r="L446" s="397"/>
      <c r="M446" s="397"/>
      <c r="N446" s="397"/>
      <c r="O446" s="397"/>
      <c r="P446" s="397"/>
      <c r="Q446" s="397"/>
      <c r="R446" s="211">
        <f t="shared" si="55"/>
        <v>0</v>
      </c>
      <c r="S446" s="211">
        <f t="shared" si="56"/>
        <v>0</v>
      </c>
      <c r="T446" s="211">
        <f t="shared" si="57"/>
        <v>0</v>
      </c>
      <c r="U446" s="639"/>
      <c r="V446" s="639"/>
      <c r="W446" s="167"/>
      <c r="X446" s="167"/>
      <c r="Y446" s="167"/>
    </row>
    <row r="447" spans="1:25" x14ac:dyDescent="0.3">
      <c r="A447" s="396" t="s">
        <v>40</v>
      </c>
      <c r="B447" s="624" t="str">
        <f>IF(OR($E$5="Gas Turbine (Open Cycle)",$E$5="Combined Cycle Gas Turbine (CCGT)"),"Module6","Unit6")</f>
        <v>Unit6</v>
      </c>
      <c r="C447" s="624"/>
      <c r="D447" s="624"/>
      <c r="E447" s="401">
        <f t="shared" si="54"/>
        <v>0</v>
      </c>
      <c r="F447" s="397"/>
      <c r="G447" s="397"/>
      <c r="H447" s="397"/>
      <c r="I447" s="397"/>
      <c r="J447" s="397"/>
      <c r="K447" s="397"/>
      <c r="L447" s="397"/>
      <c r="M447" s="397"/>
      <c r="N447" s="397"/>
      <c r="O447" s="397"/>
      <c r="P447" s="397"/>
      <c r="Q447" s="397"/>
      <c r="R447" s="211">
        <f t="shared" si="55"/>
        <v>0</v>
      </c>
      <c r="S447" s="211">
        <f t="shared" si="56"/>
        <v>0</v>
      </c>
      <c r="T447" s="211">
        <f t="shared" si="57"/>
        <v>0</v>
      </c>
      <c r="U447" s="639"/>
      <c r="V447" s="639"/>
      <c r="W447" s="167"/>
      <c r="X447" s="167"/>
      <c r="Y447" s="167"/>
    </row>
    <row r="448" spans="1:25" x14ac:dyDescent="0.3">
      <c r="A448" s="396" t="s">
        <v>42</v>
      </c>
      <c r="B448" s="624" t="str">
        <f>IF(OR($E$5="Gas Turbine (Open Cycle)",$E$5="Combined Cycle Gas Turbine (CCGT)"),"Module7","Unit7")</f>
        <v>Unit7</v>
      </c>
      <c r="C448" s="624"/>
      <c r="D448" s="624"/>
      <c r="E448" s="401">
        <f t="shared" si="54"/>
        <v>0</v>
      </c>
      <c r="F448" s="397"/>
      <c r="G448" s="397"/>
      <c r="H448" s="397"/>
      <c r="I448" s="397"/>
      <c r="J448" s="397"/>
      <c r="K448" s="397"/>
      <c r="L448" s="397"/>
      <c r="M448" s="397"/>
      <c r="N448" s="397"/>
      <c r="O448" s="397"/>
      <c r="P448" s="397"/>
      <c r="Q448" s="397"/>
      <c r="R448" s="211">
        <f t="shared" si="55"/>
        <v>0</v>
      </c>
      <c r="S448" s="211">
        <f t="shared" si="56"/>
        <v>0</v>
      </c>
      <c r="T448" s="211">
        <f t="shared" si="57"/>
        <v>0</v>
      </c>
      <c r="U448" s="639"/>
      <c r="V448" s="639"/>
      <c r="W448" s="167"/>
      <c r="X448" s="167"/>
      <c r="Y448" s="167"/>
    </row>
    <row r="449" spans="1:25" x14ac:dyDescent="0.3">
      <c r="A449" s="396" t="s">
        <v>44</v>
      </c>
      <c r="B449" s="624" t="str">
        <f>IF(OR($E$5="Gas Turbine (Open Cycle)",$E$5="Combined Cycle Gas Turbine (CCGT)"),"Module8","Unit8")</f>
        <v>Unit8</v>
      </c>
      <c r="C449" s="624"/>
      <c r="D449" s="624"/>
      <c r="E449" s="401">
        <f t="shared" si="54"/>
        <v>0</v>
      </c>
      <c r="F449" s="397"/>
      <c r="G449" s="397"/>
      <c r="H449" s="397"/>
      <c r="I449" s="397"/>
      <c r="J449" s="397"/>
      <c r="K449" s="397"/>
      <c r="L449" s="397"/>
      <c r="M449" s="212"/>
      <c r="N449" s="212"/>
      <c r="O449" s="397"/>
      <c r="P449" s="397"/>
      <c r="Q449" s="397"/>
      <c r="R449" s="211">
        <f t="shared" si="55"/>
        <v>0</v>
      </c>
      <c r="S449" s="211">
        <f t="shared" si="56"/>
        <v>0</v>
      </c>
      <c r="T449" s="211">
        <f t="shared" si="57"/>
        <v>0</v>
      </c>
      <c r="U449" s="639"/>
      <c r="V449" s="639"/>
      <c r="W449" s="167"/>
      <c r="X449" s="167"/>
      <c r="Y449" s="167"/>
    </row>
    <row r="450" spans="1:25" x14ac:dyDescent="0.3">
      <c r="A450" s="396" t="s">
        <v>46</v>
      </c>
      <c r="B450" s="624" t="str">
        <f>IF(OR($E$5="Gas Turbine (Open Cycle)",$E$5="Combined Cycle Gas Turbine (CCGT)"),"Module9","Unit9")</f>
        <v>Unit9</v>
      </c>
      <c r="C450" s="624"/>
      <c r="D450" s="624"/>
      <c r="E450" s="401">
        <f t="shared" si="54"/>
        <v>0</v>
      </c>
      <c r="F450" s="397"/>
      <c r="G450" s="397"/>
      <c r="H450" s="397"/>
      <c r="I450" s="397"/>
      <c r="J450" s="397"/>
      <c r="K450" s="397"/>
      <c r="L450" s="397"/>
      <c r="M450" s="397"/>
      <c r="N450" s="397"/>
      <c r="O450" s="397"/>
      <c r="P450" s="397"/>
      <c r="Q450" s="397"/>
      <c r="R450" s="211">
        <f t="shared" si="55"/>
        <v>0</v>
      </c>
      <c r="S450" s="211">
        <f t="shared" si="56"/>
        <v>0</v>
      </c>
      <c r="T450" s="211">
        <f t="shared" si="57"/>
        <v>0</v>
      </c>
      <c r="U450" s="639"/>
      <c r="V450" s="639"/>
      <c r="W450" s="167"/>
      <c r="X450" s="167"/>
      <c r="Y450" s="167"/>
    </row>
    <row r="451" spans="1:25" x14ac:dyDescent="0.3">
      <c r="A451" s="396" t="s">
        <v>48</v>
      </c>
      <c r="B451" s="624" t="str">
        <f>IF(OR($E$5="Gas Turbine (Open Cycle)",$E$5="Combined Cycle Gas Turbine (CCGT)"),"Module10","Unit10")</f>
        <v>Unit10</v>
      </c>
      <c r="C451" s="624"/>
      <c r="D451" s="624"/>
      <c r="E451" s="401">
        <f t="shared" si="54"/>
        <v>0</v>
      </c>
      <c r="F451" s="397"/>
      <c r="G451" s="397"/>
      <c r="H451" s="397"/>
      <c r="I451" s="397"/>
      <c r="J451" s="397"/>
      <c r="K451" s="397"/>
      <c r="L451" s="397"/>
      <c r="M451" s="397"/>
      <c r="N451" s="397"/>
      <c r="O451" s="397"/>
      <c r="P451" s="397"/>
      <c r="Q451" s="397"/>
      <c r="R451" s="211">
        <f t="shared" si="55"/>
        <v>0</v>
      </c>
      <c r="S451" s="211">
        <f t="shared" si="56"/>
        <v>0</v>
      </c>
      <c r="T451" s="211">
        <f t="shared" si="57"/>
        <v>0</v>
      </c>
      <c r="U451" s="639"/>
      <c r="V451" s="639"/>
      <c r="W451" s="167"/>
      <c r="X451" s="167"/>
      <c r="Y451" s="167"/>
    </row>
    <row r="452" spans="1:25" x14ac:dyDescent="0.3">
      <c r="A452" s="398" t="s">
        <v>285</v>
      </c>
      <c r="B452" s="643" t="s">
        <v>310</v>
      </c>
      <c r="C452" s="643"/>
      <c r="D452" s="643"/>
      <c r="E452" s="643"/>
      <c r="F452" s="643"/>
      <c r="G452" s="643"/>
      <c r="H452" s="643"/>
      <c r="I452" s="643"/>
      <c r="J452" s="643"/>
      <c r="K452" s="643"/>
      <c r="L452" s="643"/>
      <c r="M452" s="643"/>
      <c r="N452" s="643"/>
      <c r="O452" s="643"/>
      <c r="P452" s="643"/>
      <c r="Q452" s="643"/>
      <c r="R452" s="643"/>
      <c r="S452" s="643"/>
      <c r="T452" s="643"/>
      <c r="U452" s="643"/>
      <c r="V452" s="643"/>
      <c r="W452" s="167"/>
      <c r="X452" s="167"/>
      <c r="Y452" s="167"/>
    </row>
    <row r="453" spans="1:25" x14ac:dyDescent="0.3">
      <c r="A453" s="398" t="s">
        <v>30</v>
      </c>
      <c r="B453" s="715" t="s">
        <v>308</v>
      </c>
      <c r="C453" s="715"/>
      <c r="D453" s="715"/>
      <c r="E453" s="715"/>
      <c r="F453" s="715"/>
      <c r="G453" s="715"/>
      <c r="H453" s="715"/>
      <c r="I453" s="715"/>
      <c r="J453" s="715"/>
      <c r="K453" s="715"/>
      <c r="L453" s="715"/>
      <c r="M453" s="715"/>
      <c r="N453" s="715"/>
      <c r="O453" s="715"/>
      <c r="P453" s="715"/>
      <c r="Q453" s="715"/>
      <c r="R453" s="715"/>
      <c r="S453" s="715"/>
      <c r="T453" s="715"/>
      <c r="U453" s="715"/>
      <c r="V453" s="715"/>
      <c r="W453" s="167"/>
      <c r="X453" s="167"/>
      <c r="Y453" s="167"/>
    </row>
    <row r="454" spans="1:25" x14ac:dyDescent="0.3">
      <c r="A454" s="398" t="s">
        <v>32</v>
      </c>
      <c r="B454" s="643" t="s">
        <v>309</v>
      </c>
      <c r="C454" s="643"/>
      <c r="D454" s="643"/>
      <c r="E454" s="643"/>
      <c r="F454" s="643"/>
      <c r="G454" s="643"/>
      <c r="H454" s="643"/>
      <c r="I454" s="643"/>
      <c r="J454" s="643"/>
      <c r="K454" s="643"/>
      <c r="L454" s="643"/>
      <c r="M454" s="643"/>
      <c r="N454" s="643"/>
      <c r="O454" s="643"/>
      <c r="P454" s="643"/>
      <c r="Q454" s="643"/>
      <c r="R454" s="643"/>
      <c r="S454" s="643"/>
      <c r="T454" s="643"/>
      <c r="U454" s="643"/>
      <c r="V454" s="643"/>
      <c r="W454" s="167"/>
      <c r="X454" s="167"/>
      <c r="Y454" s="167"/>
    </row>
    <row r="455" spans="1:25" x14ac:dyDescent="0.3">
      <c r="A455" s="398">
        <v>12.5</v>
      </c>
      <c r="B455" s="638" t="s">
        <v>373</v>
      </c>
      <c r="C455" s="638"/>
      <c r="D455" s="638"/>
      <c r="E455" s="638"/>
      <c r="F455" s="638"/>
      <c r="G455" s="638"/>
      <c r="H455" s="638"/>
      <c r="I455" s="638"/>
      <c r="J455" s="638"/>
      <c r="K455" s="638"/>
      <c r="L455" s="638"/>
      <c r="M455" s="638"/>
      <c r="N455" s="638"/>
      <c r="O455" s="638"/>
      <c r="P455" s="638"/>
      <c r="Q455" s="638"/>
      <c r="R455" s="638"/>
      <c r="S455" s="638"/>
      <c r="T455" s="638"/>
      <c r="U455" s="638"/>
      <c r="V455" s="638"/>
      <c r="W455" s="167"/>
      <c r="X455" s="167"/>
      <c r="Y455" s="167"/>
    </row>
    <row r="456" spans="1:25" ht="29.25" customHeight="1" x14ac:dyDescent="0.3">
      <c r="A456" s="621" t="s">
        <v>146</v>
      </c>
      <c r="B456" s="621" t="s">
        <v>324</v>
      </c>
      <c r="C456" s="621"/>
      <c r="D456" s="621"/>
      <c r="E456" s="621" t="s">
        <v>727</v>
      </c>
      <c r="F456" s="621"/>
      <c r="G456" s="621"/>
      <c r="H456" s="621"/>
      <c r="I456" s="621"/>
      <c r="J456" s="621"/>
      <c r="K456" s="621"/>
      <c r="L456" s="621"/>
      <c r="M456" s="635" t="s">
        <v>729</v>
      </c>
      <c r="N456" s="621"/>
      <c r="O456" s="621"/>
      <c r="P456" s="621"/>
      <c r="Q456" s="621"/>
      <c r="R456" s="621"/>
      <c r="S456" s="621"/>
      <c r="T456" s="621"/>
      <c r="U456" s="621" t="s">
        <v>280</v>
      </c>
      <c r="V456" s="621"/>
      <c r="W456" s="167"/>
      <c r="X456" s="167"/>
      <c r="Y456" s="167"/>
    </row>
    <row r="457" spans="1:25" ht="41.4" x14ac:dyDescent="0.3">
      <c r="A457" s="621"/>
      <c r="B457" s="621"/>
      <c r="C457" s="621"/>
      <c r="D457" s="621"/>
      <c r="E457" s="621" t="s">
        <v>227</v>
      </c>
      <c r="F457" s="621" t="s">
        <v>874</v>
      </c>
      <c r="G457" s="621"/>
      <c r="H457" s="621"/>
      <c r="I457" s="169" t="s">
        <v>141</v>
      </c>
      <c r="J457" s="396" t="s">
        <v>312</v>
      </c>
      <c r="K457" s="396" t="s">
        <v>311</v>
      </c>
      <c r="L457" s="621" t="s">
        <v>52</v>
      </c>
      <c r="M457" s="621" t="s">
        <v>227</v>
      </c>
      <c r="N457" s="621" t="s">
        <v>143</v>
      </c>
      <c r="O457" s="621"/>
      <c r="P457" s="621"/>
      <c r="Q457" s="169" t="s">
        <v>141</v>
      </c>
      <c r="R457" s="396" t="s">
        <v>311</v>
      </c>
      <c r="S457" s="396" t="s">
        <v>312</v>
      </c>
      <c r="T457" s="621" t="s">
        <v>52</v>
      </c>
      <c r="U457" s="621"/>
      <c r="V457" s="621"/>
      <c r="W457" s="167"/>
      <c r="X457" s="167"/>
      <c r="Y457" s="167"/>
    </row>
    <row r="458" spans="1:25" x14ac:dyDescent="0.3">
      <c r="A458" s="621"/>
      <c r="B458" s="621"/>
      <c r="C458" s="621"/>
      <c r="D458" s="621"/>
      <c r="E458" s="621"/>
      <c r="F458" s="621"/>
      <c r="G458" s="621"/>
      <c r="H458" s="621"/>
      <c r="I458" s="169" t="s">
        <v>136</v>
      </c>
      <c r="J458" s="396" t="s">
        <v>92</v>
      </c>
      <c r="K458" s="396" t="s">
        <v>307</v>
      </c>
      <c r="L458" s="621"/>
      <c r="M458" s="621"/>
      <c r="N458" s="621"/>
      <c r="O458" s="621"/>
      <c r="P458" s="621"/>
      <c r="Q458" s="169" t="s">
        <v>136</v>
      </c>
      <c r="R458" s="396" t="s">
        <v>92</v>
      </c>
      <c r="S458" s="396" t="s">
        <v>307</v>
      </c>
      <c r="T458" s="621"/>
      <c r="U458" s="621"/>
      <c r="V458" s="621"/>
      <c r="W458" s="167"/>
      <c r="X458" s="167"/>
      <c r="Y458" s="167"/>
    </row>
    <row r="459" spans="1:25" x14ac:dyDescent="0.3">
      <c r="A459" s="404" t="s">
        <v>30</v>
      </c>
      <c r="B459" s="625"/>
      <c r="C459" s="625"/>
      <c r="D459" s="625"/>
      <c r="E459" s="402"/>
      <c r="F459" s="625"/>
      <c r="G459" s="625"/>
      <c r="H459" s="625"/>
      <c r="I459" s="175"/>
      <c r="J459" s="402"/>
      <c r="K459" s="175"/>
      <c r="L459" s="175"/>
      <c r="M459" s="175"/>
      <c r="N459" s="625"/>
      <c r="O459" s="625"/>
      <c r="P459" s="625"/>
      <c r="Q459" s="175"/>
      <c r="R459" s="175"/>
      <c r="S459" s="175"/>
      <c r="T459" s="175"/>
      <c r="U459" s="625"/>
      <c r="V459" s="625"/>
      <c r="W459" s="167"/>
      <c r="X459" s="167"/>
      <c r="Y459" s="167"/>
    </row>
    <row r="460" spans="1:25" x14ac:dyDescent="0.3">
      <c r="A460" s="404" t="s">
        <v>32</v>
      </c>
      <c r="B460" s="625"/>
      <c r="C460" s="625"/>
      <c r="D460" s="625"/>
      <c r="E460" s="402"/>
      <c r="F460" s="625"/>
      <c r="G460" s="625"/>
      <c r="H460" s="625"/>
      <c r="I460" s="175"/>
      <c r="J460" s="402"/>
      <c r="K460" s="175"/>
      <c r="L460" s="175"/>
      <c r="M460" s="175"/>
      <c r="N460" s="625"/>
      <c r="O460" s="625"/>
      <c r="P460" s="625"/>
      <c r="Q460" s="175"/>
      <c r="R460" s="175"/>
      <c r="S460" s="175"/>
      <c r="T460" s="175"/>
      <c r="U460" s="625"/>
      <c r="V460" s="625"/>
      <c r="W460" s="167"/>
      <c r="X460" s="167"/>
      <c r="Y460" s="167"/>
    </row>
    <row r="461" spans="1:25" x14ac:dyDescent="0.3">
      <c r="A461" s="404" t="s">
        <v>77</v>
      </c>
      <c r="B461" s="625"/>
      <c r="C461" s="625"/>
      <c r="D461" s="625"/>
      <c r="E461" s="402"/>
      <c r="F461" s="625"/>
      <c r="G461" s="625"/>
      <c r="H461" s="625"/>
      <c r="I461" s="175"/>
      <c r="J461" s="175"/>
      <c r="K461" s="175"/>
      <c r="L461" s="175"/>
      <c r="M461" s="175"/>
      <c r="N461" s="625"/>
      <c r="O461" s="625"/>
      <c r="P461" s="625"/>
      <c r="Q461" s="175"/>
      <c r="R461" s="175"/>
      <c r="S461" s="175"/>
      <c r="T461" s="175"/>
      <c r="U461" s="625"/>
      <c r="V461" s="625"/>
      <c r="W461" s="167"/>
      <c r="X461" s="167"/>
      <c r="Y461" s="167"/>
    </row>
    <row r="462" spans="1:25" x14ac:dyDescent="0.3">
      <c r="A462" s="404" t="s">
        <v>283</v>
      </c>
      <c r="B462" s="625"/>
      <c r="C462" s="625"/>
      <c r="D462" s="625"/>
      <c r="E462" s="402"/>
      <c r="F462" s="625"/>
      <c r="G462" s="625"/>
      <c r="H462" s="625"/>
      <c r="I462" s="175"/>
      <c r="J462" s="175"/>
      <c r="K462" s="175"/>
      <c r="L462" s="175"/>
      <c r="M462" s="175"/>
      <c r="N462" s="625"/>
      <c r="O462" s="625"/>
      <c r="P462" s="625"/>
      <c r="Q462" s="175"/>
      <c r="R462" s="175"/>
      <c r="S462" s="175"/>
      <c r="T462" s="175"/>
      <c r="U462" s="625"/>
      <c r="V462" s="625"/>
      <c r="W462" s="167"/>
      <c r="X462" s="167"/>
      <c r="Y462" s="167"/>
    </row>
    <row r="463" spans="1:25" x14ac:dyDescent="0.3">
      <c r="A463" s="404" t="s">
        <v>38</v>
      </c>
      <c r="B463" s="625"/>
      <c r="C463" s="625"/>
      <c r="D463" s="625"/>
      <c r="E463" s="402"/>
      <c r="F463" s="625"/>
      <c r="G463" s="625"/>
      <c r="H463" s="625"/>
      <c r="I463" s="175"/>
      <c r="J463" s="175"/>
      <c r="K463" s="175"/>
      <c r="L463" s="175"/>
      <c r="M463" s="175"/>
      <c r="N463" s="625"/>
      <c r="O463" s="625"/>
      <c r="P463" s="625"/>
      <c r="Q463" s="175"/>
      <c r="R463" s="175"/>
      <c r="S463" s="175"/>
      <c r="T463" s="175"/>
      <c r="U463" s="625"/>
      <c r="V463" s="625"/>
      <c r="W463" s="167"/>
      <c r="X463" s="167"/>
      <c r="Y463" s="167"/>
    </row>
    <row r="464" spans="1:25" x14ac:dyDescent="0.3">
      <c r="A464" s="404" t="s">
        <v>40</v>
      </c>
      <c r="B464" s="625"/>
      <c r="C464" s="625"/>
      <c r="D464" s="625"/>
      <c r="E464" s="402"/>
      <c r="F464" s="625"/>
      <c r="G464" s="625"/>
      <c r="H464" s="625"/>
      <c r="I464" s="175"/>
      <c r="J464" s="175"/>
      <c r="K464" s="175"/>
      <c r="L464" s="175"/>
      <c r="M464" s="175"/>
      <c r="N464" s="625"/>
      <c r="O464" s="625"/>
      <c r="P464" s="625"/>
      <c r="Q464" s="175"/>
      <c r="R464" s="175"/>
      <c r="S464" s="175"/>
      <c r="T464" s="175"/>
      <c r="U464" s="625"/>
      <c r="V464" s="625"/>
      <c r="W464" s="167"/>
      <c r="X464" s="167"/>
      <c r="Y464" s="167"/>
    </row>
    <row r="465" spans="1:25" x14ac:dyDescent="0.3">
      <c r="A465" s="404" t="s">
        <v>42</v>
      </c>
      <c r="B465" s="625"/>
      <c r="C465" s="625"/>
      <c r="D465" s="625"/>
      <c r="E465" s="402"/>
      <c r="F465" s="625"/>
      <c r="G465" s="625"/>
      <c r="H465" s="625"/>
      <c r="I465" s="175"/>
      <c r="J465" s="175"/>
      <c r="K465" s="175"/>
      <c r="L465" s="175"/>
      <c r="M465" s="175"/>
      <c r="N465" s="625"/>
      <c r="O465" s="625"/>
      <c r="P465" s="625"/>
      <c r="Q465" s="175"/>
      <c r="R465" s="175"/>
      <c r="S465" s="175"/>
      <c r="T465" s="175"/>
      <c r="U465" s="625"/>
      <c r="V465" s="625"/>
      <c r="W465" s="167"/>
      <c r="X465" s="167"/>
      <c r="Y465" s="167"/>
    </row>
    <row r="466" spans="1:25" x14ac:dyDescent="0.3">
      <c r="A466" s="404" t="s">
        <v>44</v>
      </c>
      <c r="B466" s="625"/>
      <c r="C466" s="625"/>
      <c r="D466" s="625"/>
      <c r="E466" s="402"/>
      <c r="F466" s="625"/>
      <c r="G466" s="625"/>
      <c r="H466" s="625"/>
      <c r="I466" s="175"/>
      <c r="J466" s="175"/>
      <c r="K466" s="175"/>
      <c r="L466" s="175"/>
      <c r="M466" s="175"/>
      <c r="N466" s="625"/>
      <c r="O466" s="625"/>
      <c r="P466" s="625"/>
      <c r="Q466" s="175"/>
      <c r="R466" s="175"/>
      <c r="S466" s="175"/>
      <c r="T466" s="175"/>
      <c r="U466" s="625"/>
      <c r="V466" s="625"/>
      <c r="W466" s="167"/>
      <c r="X466" s="167"/>
      <c r="Y466" s="167"/>
    </row>
    <row r="467" spans="1:25" x14ac:dyDescent="0.3">
      <c r="A467" s="404" t="s">
        <v>46</v>
      </c>
      <c r="B467" s="625"/>
      <c r="C467" s="625"/>
      <c r="D467" s="625"/>
      <c r="E467" s="402"/>
      <c r="F467" s="625"/>
      <c r="G467" s="625"/>
      <c r="H467" s="625"/>
      <c r="I467" s="175"/>
      <c r="J467" s="175"/>
      <c r="K467" s="175"/>
      <c r="L467" s="175"/>
      <c r="M467" s="175"/>
      <c r="N467" s="625"/>
      <c r="O467" s="625"/>
      <c r="P467" s="625"/>
      <c r="Q467" s="175"/>
      <c r="R467" s="175"/>
      <c r="S467" s="175"/>
      <c r="T467" s="175"/>
      <c r="U467" s="625"/>
      <c r="V467" s="625"/>
      <c r="W467" s="167"/>
      <c r="X467" s="167"/>
      <c r="Y467" s="167"/>
    </row>
    <row r="468" spans="1:25" x14ac:dyDescent="0.3">
      <c r="A468" s="404" t="s">
        <v>48</v>
      </c>
      <c r="B468" s="625"/>
      <c r="C468" s="625"/>
      <c r="D468" s="625"/>
      <c r="E468" s="402"/>
      <c r="F468" s="625"/>
      <c r="G468" s="625"/>
      <c r="H468" s="625"/>
      <c r="I468" s="175"/>
      <c r="J468" s="175"/>
      <c r="K468" s="175"/>
      <c r="L468" s="175"/>
      <c r="M468" s="175"/>
      <c r="N468" s="625"/>
      <c r="O468" s="625"/>
      <c r="P468" s="625"/>
      <c r="Q468" s="175"/>
      <c r="R468" s="175"/>
      <c r="S468" s="175"/>
      <c r="T468" s="175"/>
      <c r="U468" s="625"/>
      <c r="V468" s="625"/>
      <c r="W468" s="167"/>
      <c r="X468" s="167"/>
      <c r="Y468" s="167"/>
    </row>
    <row r="469" spans="1:25" x14ac:dyDescent="0.3">
      <c r="A469" s="404"/>
      <c r="B469" s="714" t="s">
        <v>121</v>
      </c>
      <c r="C469" s="714"/>
      <c r="D469" s="714"/>
      <c r="E469" s="401"/>
      <c r="F469" s="659"/>
      <c r="G469" s="659"/>
      <c r="H469" s="659"/>
      <c r="I469" s="176"/>
      <c r="J469" s="401">
        <f>SUM(J459:J468)</f>
        <v>0</v>
      </c>
      <c r="K469" s="401">
        <f>SUM(K459:K468)</f>
        <v>0</v>
      </c>
      <c r="L469" s="176"/>
      <c r="M469" s="176"/>
      <c r="N469" s="659"/>
      <c r="O469" s="659"/>
      <c r="P469" s="659"/>
      <c r="Q469" s="176"/>
      <c r="R469" s="401">
        <f>SUM(R459:R468)</f>
        <v>0</v>
      </c>
      <c r="S469" s="401">
        <f>SUM(S459:S468)</f>
        <v>0</v>
      </c>
      <c r="T469" s="176"/>
      <c r="U469" s="625"/>
      <c r="V469" s="625"/>
      <c r="W469" s="167"/>
      <c r="X469" s="167"/>
      <c r="Y469" s="167"/>
    </row>
    <row r="470" spans="1:25" x14ac:dyDescent="0.3">
      <c r="A470" s="398" t="s">
        <v>284</v>
      </c>
      <c r="B470" s="638" t="s">
        <v>142</v>
      </c>
      <c r="C470" s="638"/>
      <c r="D470" s="638"/>
      <c r="E470" s="638"/>
      <c r="F470" s="638"/>
      <c r="G470" s="638"/>
      <c r="H470" s="638"/>
      <c r="I470" s="638"/>
      <c r="J470" s="638"/>
      <c r="K470" s="638"/>
      <c r="L470" s="638"/>
      <c r="M470" s="638"/>
      <c r="N470" s="638"/>
      <c r="O470" s="638"/>
      <c r="P470" s="638"/>
      <c r="Q470" s="638"/>
      <c r="R470" s="638"/>
      <c r="S470" s="638"/>
      <c r="T470" s="638"/>
      <c r="U470" s="638"/>
      <c r="V470" s="638"/>
      <c r="W470" s="167"/>
      <c r="X470" s="167"/>
      <c r="Y470" s="167"/>
    </row>
    <row r="471" spans="1:25" x14ac:dyDescent="0.3">
      <c r="A471" s="294" t="s">
        <v>30</v>
      </c>
      <c r="B471" s="708" t="s">
        <v>281</v>
      </c>
      <c r="C471" s="708"/>
      <c r="D471" s="708"/>
      <c r="E471" s="708"/>
      <c r="F471" s="708"/>
      <c r="G471" s="708"/>
      <c r="H471" s="708"/>
      <c r="I471" s="708"/>
      <c r="J471" s="708"/>
      <c r="K471" s="708"/>
      <c r="L471" s="708"/>
      <c r="M471" s="708"/>
      <c r="N471" s="708"/>
      <c r="O471" s="708"/>
      <c r="P471" s="708"/>
      <c r="Q471" s="708"/>
      <c r="R471" s="708"/>
      <c r="S471" s="708"/>
      <c r="T471" s="708"/>
      <c r="U471" s="708"/>
      <c r="V471" s="708"/>
      <c r="W471" s="167"/>
      <c r="X471" s="167"/>
      <c r="Y471" s="167"/>
    </row>
    <row r="472" spans="1:25" x14ac:dyDescent="0.3">
      <c r="A472" s="294" t="s">
        <v>32</v>
      </c>
      <c r="B472" s="643" t="s">
        <v>282</v>
      </c>
      <c r="C472" s="643"/>
      <c r="D472" s="643"/>
      <c r="E472" s="643"/>
      <c r="F472" s="643"/>
      <c r="G472" s="643"/>
      <c r="H472" s="643"/>
      <c r="I472" s="643"/>
      <c r="J472" s="643"/>
      <c r="K472" s="643"/>
      <c r="L472" s="643"/>
      <c r="M472" s="643"/>
      <c r="N472" s="643"/>
      <c r="O472" s="643"/>
      <c r="P472" s="643"/>
      <c r="Q472" s="643"/>
      <c r="R472" s="643"/>
      <c r="S472" s="643"/>
      <c r="T472" s="643"/>
      <c r="U472" s="643"/>
      <c r="V472" s="643"/>
      <c r="W472" s="167"/>
      <c r="X472" s="167"/>
      <c r="Y472" s="167"/>
    </row>
    <row r="473" spans="1:25" ht="21.75" customHeight="1" x14ac:dyDescent="0.3">
      <c r="A473" s="398">
        <v>12.6</v>
      </c>
      <c r="B473" s="638" t="s">
        <v>322</v>
      </c>
      <c r="C473" s="638"/>
      <c r="D473" s="638"/>
      <c r="E473" s="638"/>
      <c r="F473" s="638"/>
      <c r="G473" s="638"/>
      <c r="H473" s="638"/>
      <c r="I473" s="638"/>
      <c r="J473" s="638"/>
      <c r="K473" s="638"/>
      <c r="L473" s="638"/>
      <c r="M473" s="638"/>
      <c r="N473" s="638"/>
      <c r="O473" s="638"/>
      <c r="P473" s="638"/>
      <c r="Q473" s="638"/>
      <c r="R473" s="638"/>
      <c r="S473" s="638"/>
      <c r="T473" s="638"/>
      <c r="U473" s="638"/>
      <c r="V473" s="638"/>
      <c r="W473" s="167"/>
      <c r="X473" s="167"/>
      <c r="Y473" s="167"/>
    </row>
    <row r="474" spans="1:25" x14ac:dyDescent="0.3">
      <c r="A474" s="396" t="s">
        <v>146</v>
      </c>
      <c r="B474" s="623" t="s">
        <v>132</v>
      </c>
      <c r="C474" s="623"/>
      <c r="D474" s="623"/>
      <c r="E474" s="396" t="s">
        <v>27</v>
      </c>
      <c r="F474" s="621" t="s">
        <v>727</v>
      </c>
      <c r="G474" s="621"/>
      <c r="H474" s="621"/>
      <c r="I474" s="621"/>
      <c r="J474" s="621"/>
      <c r="K474" s="621"/>
      <c r="L474" s="621"/>
      <c r="M474" s="635" t="s">
        <v>718</v>
      </c>
      <c r="N474" s="621"/>
      <c r="O474" s="635" t="s">
        <v>719</v>
      </c>
      <c r="P474" s="621"/>
      <c r="Q474" s="635" t="s">
        <v>724</v>
      </c>
      <c r="R474" s="621"/>
      <c r="S474" s="621" t="s">
        <v>725</v>
      </c>
      <c r="T474" s="621"/>
      <c r="U474" s="621" t="s">
        <v>280</v>
      </c>
      <c r="V474" s="621"/>
      <c r="W474" s="167"/>
      <c r="X474" s="167"/>
      <c r="Y474" s="167"/>
    </row>
    <row r="475" spans="1:25" x14ac:dyDescent="0.3">
      <c r="A475" s="396" t="s">
        <v>30</v>
      </c>
      <c r="B475" s="618" t="s">
        <v>710</v>
      </c>
      <c r="C475" s="618"/>
      <c r="D475" s="618"/>
      <c r="E475" s="396" t="s">
        <v>92</v>
      </c>
      <c r="F475" s="639"/>
      <c r="G475" s="639"/>
      <c r="H475" s="639"/>
      <c r="I475" s="639"/>
      <c r="J475" s="639"/>
      <c r="K475" s="639"/>
      <c r="L475" s="639"/>
      <c r="M475" s="616"/>
      <c r="N475" s="616"/>
      <c r="O475" s="616"/>
      <c r="P475" s="616"/>
      <c r="Q475" s="616"/>
      <c r="R475" s="616"/>
      <c r="S475" s="617">
        <f>IFERROR(AVERAGEIF(M475:R475,"&gt;0",M475:R475),0)</f>
        <v>0</v>
      </c>
      <c r="T475" s="617"/>
      <c r="U475" s="639"/>
      <c r="V475" s="639"/>
      <c r="W475" s="167"/>
      <c r="X475" s="167"/>
      <c r="Y475" s="167"/>
    </row>
    <row r="476" spans="1:25" x14ac:dyDescent="0.3">
      <c r="A476" s="396" t="s">
        <v>32</v>
      </c>
      <c r="B476" s="618" t="s">
        <v>709</v>
      </c>
      <c r="C476" s="618"/>
      <c r="D476" s="618"/>
      <c r="E476" s="396" t="s">
        <v>307</v>
      </c>
      <c r="F476" s="639"/>
      <c r="G476" s="639"/>
      <c r="H476" s="639"/>
      <c r="I476" s="639"/>
      <c r="J476" s="639"/>
      <c r="K476" s="639"/>
      <c r="L476" s="639"/>
      <c r="M476" s="616"/>
      <c r="N476" s="616"/>
      <c r="O476" s="616"/>
      <c r="P476" s="616"/>
      <c r="Q476" s="616"/>
      <c r="R476" s="616"/>
      <c r="S476" s="617">
        <f>IFERROR(AVERAGEIF(M476:R476,"&gt;0",M476:R476),0)</f>
        <v>0</v>
      </c>
      <c r="T476" s="617"/>
      <c r="U476" s="639"/>
      <c r="V476" s="639"/>
      <c r="W476" s="167"/>
      <c r="X476" s="167"/>
      <c r="Y476" s="167"/>
    </row>
    <row r="477" spans="1:25" x14ac:dyDescent="0.3">
      <c r="A477" s="214">
        <v>13</v>
      </c>
      <c r="B477" s="644" t="s">
        <v>407</v>
      </c>
      <c r="C477" s="644"/>
      <c r="D477" s="644"/>
      <c r="E477" s="644"/>
      <c r="F477" s="644"/>
      <c r="G477" s="644"/>
      <c r="H477" s="644"/>
      <c r="I477" s="644"/>
      <c r="J477" s="644"/>
      <c r="K477" s="644"/>
      <c r="L477" s="644"/>
      <c r="M477" s="644"/>
      <c r="N477" s="644"/>
      <c r="O477" s="644"/>
      <c r="P477" s="644"/>
      <c r="Q477" s="644"/>
      <c r="R477" s="644"/>
      <c r="S477" s="644"/>
      <c r="T477" s="644"/>
      <c r="U477" s="644"/>
      <c r="V477" s="644"/>
      <c r="W477" s="167"/>
      <c r="X477" s="167"/>
      <c r="Y477" s="167"/>
    </row>
    <row r="478" spans="1:25" x14ac:dyDescent="0.3">
      <c r="A478" s="381" t="s">
        <v>146</v>
      </c>
      <c r="B478" s="709" t="s">
        <v>132</v>
      </c>
      <c r="C478" s="709"/>
      <c r="D478" s="709"/>
      <c r="E478" s="381"/>
      <c r="F478" s="709" t="s">
        <v>727</v>
      </c>
      <c r="G478" s="709"/>
      <c r="H478" s="709"/>
      <c r="I478" s="709"/>
      <c r="J478" s="709"/>
      <c r="K478" s="709"/>
      <c r="L478" s="709"/>
      <c r="M478" s="635" t="s">
        <v>718</v>
      </c>
      <c r="N478" s="621"/>
      <c r="O478" s="635" t="s">
        <v>719</v>
      </c>
      <c r="P478" s="621"/>
      <c r="Q478" s="635" t="s">
        <v>724</v>
      </c>
      <c r="R478" s="621"/>
      <c r="S478" s="709" t="s">
        <v>725</v>
      </c>
      <c r="T478" s="709"/>
      <c r="U478" s="709" t="s">
        <v>280</v>
      </c>
      <c r="V478" s="709"/>
      <c r="W478" s="167"/>
      <c r="X478" s="167"/>
      <c r="Y478" s="167"/>
    </row>
    <row r="479" spans="1:25" x14ac:dyDescent="0.3">
      <c r="A479" s="213" t="s">
        <v>408</v>
      </c>
      <c r="B479" s="626" t="s">
        <v>1042</v>
      </c>
      <c r="C479" s="626"/>
      <c r="D479" s="626"/>
      <c r="E479" s="213" t="s">
        <v>417</v>
      </c>
      <c r="F479" s="639" t="s">
        <v>419</v>
      </c>
      <c r="G479" s="639"/>
      <c r="H479" s="639"/>
      <c r="I479" s="639"/>
      <c r="J479" s="639"/>
      <c r="K479" s="639"/>
      <c r="L479" s="639"/>
      <c r="M479" s="625" t="s">
        <v>419</v>
      </c>
      <c r="N479" s="625"/>
      <c r="O479" s="625" t="s">
        <v>419</v>
      </c>
      <c r="P479" s="625"/>
      <c r="Q479" s="625" t="s">
        <v>419</v>
      </c>
      <c r="R479" s="625"/>
      <c r="S479" s="627" t="str">
        <f>IF(AND(M479="Yes",O479="Yes",Q479="Yes"),"Yes","No")</f>
        <v>Yes</v>
      </c>
      <c r="T479" s="627"/>
      <c r="U479" s="625"/>
      <c r="V479" s="625"/>
      <c r="W479" s="167"/>
      <c r="X479" s="167"/>
      <c r="Y479" s="167"/>
    </row>
    <row r="480" spans="1:25" x14ac:dyDescent="0.3">
      <c r="A480" s="213" t="s">
        <v>409</v>
      </c>
      <c r="B480" s="626" t="s">
        <v>1043</v>
      </c>
      <c r="C480" s="626"/>
      <c r="D480" s="626"/>
      <c r="E480" s="213" t="s">
        <v>417</v>
      </c>
      <c r="F480" s="639" t="s">
        <v>419</v>
      </c>
      <c r="G480" s="639"/>
      <c r="H480" s="639"/>
      <c r="I480" s="639"/>
      <c r="J480" s="639"/>
      <c r="K480" s="639"/>
      <c r="L480" s="639"/>
      <c r="M480" s="625" t="s">
        <v>419</v>
      </c>
      <c r="N480" s="625"/>
      <c r="O480" s="625" t="s">
        <v>419</v>
      </c>
      <c r="P480" s="625"/>
      <c r="Q480" s="625" t="s">
        <v>419</v>
      </c>
      <c r="R480" s="625"/>
      <c r="S480" s="627" t="str">
        <f t="shared" ref="S480:S487" si="58">IF(AND(M480="Yes",O480="Yes",Q480="Yes"),"Yes","No")</f>
        <v>Yes</v>
      </c>
      <c r="T480" s="627"/>
      <c r="U480" s="625"/>
      <c r="V480" s="625"/>
      <c r="W480" s="167"/>
      <c r="X480" s="167"/>
      <c r="Y480" s="167"/>
    </row>
    <row r="481" spans="1:25" x14ac:dyDescent="0.3">
      <c r="A481" s="213" t="s">
        <v>410</v>
      </c>
      <c r="B481" s="626" t="s">
        <v>1044</v>
      </c>
      <c r="C481" s="626"/>
      <c r="D481" s="626"/>
      <c r="E481" s="213" t="s">
        <v>417</v>
      </c>
      <c r="F481" s="639" t="s">
        <v>419</v>
      </c>
      <c r="G481" s="639"/>
      <c r="H481" s="639"/>
      <c r="I481" s="639"/>
      <c r="J481" s="639"/>
      <c r="K481" s="639"/>
      <c r="L481" s="639"/>
      <c r="M481" s="625" t="s">
        <v>419</v>
      </c>
      <c r="N481" s="625"/>
      <c r="O481" s="625" t="s">
        <v>419</v>
      </c>
      <c r="P481" s="625"/>
      <c r="Q481" s="625" t="s">
        <v>419</v>
      </c>
      <c r="R481" s="625"/>
      <c r="S481" s="627" t="str">
        <f t="shared" si="58"/>
        <v>Yes</v>
      </c>
      <c r="T481" s="627"/>
      <c r="U481" s="625"/>
      <c r="V481" s="625"/>
      <c r="W481" s="167"/>
      <c r="X481" s="167"/>
      <c r="Y481" s="167"/>
    </row>
    <row r="482" spans="1:25" x14ac:dyDescent="0.3">
      <c r="A482" s="213" t="s">
        <v>411</v>
      </c>
      <c r="B482" s="626" t="s">
        <v>1045</v>
      </c>
      <c r="C482" s="626"/>
      <c r="D482" s="626"/>
      <c r="E482" s="213" t="s">
        <v>417</v>
      </c>
      <c r="F482" s="639" t="s">
        <v>419</v>
      </c>
      <c r="G482" s="639"/>
      <c r="H482" s="639"/>
      <c r="I482" s="639"/>
      <c r="J482" s="639"/>
      <c r="K482" s="639"/>
      <c r="L482" s="639"/>
      <c r="M482" s="625" t="s">
        <v>419</v>
      </c>
      <c r="N482" s="625"/>
      <c r="O482" s="625" t="s">
        <v>419</v>
      </c>
      <c r="P482" s="625"/>
      <c r="Q482" s="625" t="s">
        <v>419</v>
      </c>
      <c r="R482" s="625"/>
      <c r="S482" s="627" t="str">
        <f t="shared" si="58"/>
        <v>Yes</v>
      </c>
      <c r="T482" s="627"/>
      <c r="U482" s="625"/>
      <c r="V482" s="625"/>
      <c r="W482" s="167"/>
      <c r="X482" s="167"/>
      <c r="Y482" s="167"/>
    </row>
    <row r="483" spans="1:25" x14ac:dyDescent="0.3">
      <c r="A483" s="213" t="s">
        <v>412</v>
      </c>
      <c r="B483" s="626" t="s">
        <v>1046</v>
      </c>
      <c r="C483" s="626"/>
      <c r="D483" s="626"/>
      <c r="E483" s="213" t="s">
        <v>417</v>
      </c>
      <c r="F483" s="639" t="s">
        <v>419</v>
      </c>
      <c r="G483" s="639"/>
      <c r="H483" s="639"/>
      <c r="I483" s="639"/>
      <c r="J483" s="639"/>
      <c r="K483" s="639"/>
      <c r="L483" s="639"/>
      <c r="M483" s="625" t="s">
        <v>419</v>
      </c>
      <c r="N483" s="625"/>
      <c r="O483" s="625" t="s">
        <v>419</v>
      </c>
      <c r="P483" s="625"/>
      <c r="Q483" s="625" t="s">
        <v>419</v>
      </c>
      <c r="R483" s="625"/>
      <c r="S483" s="627" t="str">
        <f t="shared" si="58"/>
        <v>Yes</v>
      </c>
      <c r="T483" s="627"/>
      <c r="U483" s="625"/>
      <c r="V483" s="625"/>
      <c r="W483" s="167"/>
      <c r="X483" s="167"/>
      <c r="Y483" s="167"/>
    </row>
    <row r="484" spans="1:25" x14ac:dyDescent="0.3">
      <c r="A484" s="213" t="s">
        <v>413</v>
      </c>
      <c r="B484" s="626" t="s">
        <v>1047</v>
      </c>
      <c r="C484" s="626"/>
      <c r="D484" s="626"/>
      <c r="E484" s="213" t="s">
        <v>417</v>
      </c>
      <c r="F484" s="639" t="s">
        <v>419</v>
      </c>
      <c r="G484" s="639"/>
      <c r="H484" s="639"/>
      <c r="I484" s="639"/>
      <c r="J484" s="639"/>
      <c r="K484" s="639"/>
      <c r="L484" s="639"/>
      <c r="M484" s="625" t="s">
        <v>419</v>
      </c>
      <c r="N484" s="625"/>
      <c r="O484" s="625" t="s">
        <v>419</v>
      </c>
      <c r="P484" s="625"/>
      <c r="Q484" s="625" t="s">
        <v>419</v>
      </c>
      <c r="R484" s="625"/>
      <c r="S484" s="627" t="str">
        <f t="shared" ref="S484:S485" si="59">IF(AND(M484="Yes",O484="Yes",Q484="Yes"),"Yes","No")</f>
        <v>Yes</v>
      </c>
      <c r="T484" s="627"/>
      <c r="U484" s="625"/>
      <c r="V484" s="625"/>
      <c r="W484" s="167"/>
      <c r="X484" s="167"/>
      <c r="Y484" s="167"/>
    </row>
    <row r="485" spans="1:25" x14ac:dyDescent="0.3">
      <c r="A485" s="213" t="s">
        <v>625</v>
      </c>
      <c r="B485" s="626" t="s">
        <v>1048</v>
      </c>
      <c r="C485" s="626"/>
      <c r="D485" s="626"/>
      <c r="E485" s="213" t="s">
        <v>417</v>
      </c>
      <c r="F485" s="639" t="s">
        <v>419</v>
      </c>
      <c r="G485" s="639"/>
      <c r="H485" s="639"/>
      <c r="I485" s="639"/>
      <c r="J485" s="639"/>
      <c r="K485" s="639"/>
      <c r="L485" s="639"/>
      <c r="M485" s="625" t="s">
        <v>419</v>
      </c>
      <c r="N485" s="625"/>
      <c r="O485" s="625" t="s">
        <v>419</v>
      </c>
      <c r="P485" s="625"/>
      <c r="Q485" s="625" t="s">
        <v>419</v>
      </c>
      <c r="R485" s="625"/>
      <c r="S485" s="627" t="str">
        <f t="shared" si="59"/>
        <v>Yes</v>
      </c>
      <c r="T485" s="627"/>
      <c r="U485" s="625"/>
      <c r="V485" s="625"/>
      <c r="W485" s="167"/>
      <c r="X485" s="167"/>
      <c r="Y485" s="167"/>
    </row>
    <row r="486" spans="1:25" x14ac:dyDescent="0.3">
      <c r="A486" s="213" t="s">
        <v>414</v>
      </c>
      <c r="B486" s="626" t="s">
        <v>1049</v>
      </c>
      <c r="C486" s="626"/>
      <c r="D486" s="626"/>
      <c r="E486" s="213" t="s">
        <v>417</v>
      </c>
      <c r="F486" s="639" t="s">
        <v>419</v>
      </c>
      <c r="G486" s="639"/>
      <c r="H486" s="639"/>
      <c r="I486" s="639"/>
      <c r="J486" s="639"/>
      <c r="K486" s="639"/>
      <c r="L486" s="639"/>
      <c r="M486" s="625" t="s">
        <v>419</v>
      </c>
      <c r="N486" s="625"/>
      <c r="O486" s="625" t="s">
        <v>419</v>
      </c>
      <c r="P486" s="625"/>
      <c r="Q486" s="625" t="s">
        <v>419</v>
      </c>
      <c r="R486" s="625"/>
      <c r="S486" s="627" t="str">
        <f t="shared" si="58"/>
        <v>Yes</v>
      </c>
      <c r="T486" s="627"/>
      <c r="U486" s="625"/>
      <c r="V486" s="625"/>
      <c r="W486" s="167"/>
      <c r="X486" s="167"/>
      <c r="Y486" s="167"/>
    </row>
    <row r="487" spans="1:25" x14ac:dyDescent="0.3">
      <c r="A487" s="213" t="s">
        <v>628</v>
      </c>
      <c r="B487" s="626" t="s">
        <v>1050</v>
      </c>
      <c r="C487" s="626"/>
      <c r="D487" s="626"/>
      <c r="E487" s="213" t="s">
        <v>417</v>
      </c>
      <c r="F487" s="639" t="s">
        <v>419</v>
      </c>
      <c r="G487" s="639"/>
      <c r="H487" s="639"/>
      <c r="I487" s="639"/>
      <c r="J487" s="639"/>
      <c r="K487" s="639"/>
      <c r="L487" s="639"/>
      <c r="M487" s="625" t="s">
        <v>419</v>
      </c>
      <c r="N487" s="625"/>
      <c r="O487" s="625" t="s">
        <v>419</v>
      </c>
      <c r="P487" s="625"/>
      <c r="Q487" s="625" t="s">
        <v>419</v>
      </c>
      <c r="R487" s="625"/>
      <c r="S487" s="627" t="str">
        <f t="shared" si="58"/>
        <v>Yes</v>
      </c>
      <c r="T487" s="627"/>
      <c r="U487" s="625"/>
      <c r="V487" s="625"/>
      <c r="W487" s="167"/>
      <c r="X487" s="167"/>
      <c r="Y487" s="167"/>
    </row>
    <row r="488" spans="1:25" x14ac:dyDescent="0.3">
      <c r="A488" s="214">
        <v>14</v>
      </c>
      <c r="B488" s="644" t="s">
        <v>547</v>
      </c>
      <c r="C488" s="644"/>
      <c r="D488" s="644"/>
      <c r="E488" s="405" t="s">
        <v>418</v>
      </c>
      <c r="F488" s="621"/>
      <c r="G488" s="621"/>
      <c r="H488" s="621"/>
      <c r="I488" s="621"/>
      <c r="J488" s="621"/>
      <c r="K488" s="621"/>
      <c r="L488" s="621"/>
      <c r="M488" s="621"/>
      <c r="N488" s="621"/>
      <c r="O488" s="621"/>
      <c r="P488" s="621"/>
      <c r="Q488" s="621"/>
      <c r="R488" s="621"/>
      <c r="S488" s="621"/>
      <c r="T488" s="621"/>
      <c r="U488" s="621"/>
      <c r="V488" s="621"/>
      <c r="W488" s="167"/>
      <c r="X488" s="167"/>
      <c r="Y488" s="167"/>
    </row>
    <row r="489" spans="1:25" x14ac:dyDescent="0.3">
      <c r="A489" s="213" t="s">
        <v>4</v>
      </c>
      <c r="B489" s="626" t="s">
        <v>415</v>
      </c>
      <c r="C489" s="626"/>
      <c r="D489" s="626"/>
      <c r="E489" s="213" t="s">
        <v>539</v>
      </c>
      <c r="F489" s="639"/>
      <c r="G489" s="639"/>
      <c r="H489" s="639"/>
      <c r="I489" s="639"/>
      <c r="J489" s="639"/>
      <c r="K489" s="639"/>
      <c r="L489" s="639"/>
      <c r="M489" s="639"/>
      <c r="N489" s="639"/>
      <c r="O489" s="639"/>
      <c r="P489" s="639"/>
      <c r="Q489" s="639"/>
      <c r="R489" s="639"/>
      <c r="S489" s="646"/>
      <c r="T489" s="647"/>
      <c r="U489" s="625"/>
      <c r="V489" s="625"/>
      <c r="W489" s="167"/>
      <c r="X489" s="167"/>
      <c r="Y489" s="167"/>
    </row>
    <row r="490" spans="1:25" x14ac:dyDescent="0.3">
      <c r="A490" s="405" t="s">
        <v>12</v>
      </c>
      <c r="B490" s="649" t="s">
        <v>540</v>
      </c>
      <c r="C490" s="649"/>
      <c r="D490" s="649"/>
      <c r="E490" s="649"/>
      <c r="F490" s="649"/>
      <c r="G490" s="649"/>
      <c r="H490" s="649"/>
      <c r="I490" s="649"/>
      <c r="J490" s="649"/>
      <c r="K490" s="649"/>
      <c r="L490" s="649"/>
      <c r="M490" s="649"/>
      <c r="N490" s="649"/>
      <c r="O490" s="649"/>
      <c r="P490" s="649"/>
      <c r="Q490" s="649"/>
      <c r="R490" s="649"/>
      <c r="S490" s="649"/>
      <c r="T490" s="649"/>
      <c r="U490" s="649"/>
      <c r="V490" s="649"/>
      <c r="W490" s="167"/>
      <c r="X490" s="167"/>
      <c r="Y490" s="167"/>
    </row>
    <row r="491" spans="1:25" x14ac:dyDescent="0.3">
      <c r="A491" s="405" t="s">
        <v>548</v>
      </c>
      <c r="B491" s="649" t="s">
        <v>78</v>
      </c>
      <c r="C491" s="649"/>
      <c r="D491" s="649"/>
      <c r="E491" s="405"/>
      <c r="F491" s="639"/>
      <c r="G491" s="639"/>
      <c r="H491" s="639"/>
      <c r="I491" s="639"/>
      <c r="J491" s="639"/>
      <c r="K491" s="639"/>
      <c r="L491" s="639"/>
      <c r="M491" s="639"/>
      <c r="N491" s="639"/>
      <c r="O491" s="639"/>
      <c r="P491" s="639"/>
      <c r="Q491" s="639"/>
      <c r="R491" s="639"/>
      <c r="S491" s="646"/>
      <c r="T491" s="647"/>
      <c r="U491" s="625"/>
      <c r="V491" s="625"/>
      <c r="W491" s="167"/>
      <c r="X491" s="167"/>
      <c r="Y491" s="167"/>
    </row>
    <row r="492" spans="1:25" x14ac:dyDescent="0.3">
      <c r="A492" s="215" t="s">
        <v>549</v>
      </c>
      <c r="B492" s="648" t="s">
        <v>424</v>
      </c>
      <c r="C492" s="648"/>
      <c r="D492" s="648"/>
      <c r="E492" s="215" t="s">
        <v>307</v>
      </c>
      <c r="F492" s="639"/>
      <c r="G492" s="639"/>
      <c r="H492" s="639"/>
      <c r="I492" s="639"/>
      <c r="J492" s="639"/>
      <c r="K492" s="639"/>
      <c r="L492" s="639"/>
      <c r="M492" s="639"/>
      <c r="N492" s="639"/>
      <c r="O492" s="639"/>
      <c r="P492" s="639"/>
      <c r="Q492" s="639"/>
      <c r="R492" s="639"/>
      <c r="S492" s="627">
        <f>SUM(M492:R492)</f>
        <v>0</v>
      </c>
      <c r="T492" s="627"/>
      <c r="U492" s="625"/>
      <c r="V492" s="625"/>
      <c r="W492" s="167"/>
      <c r="X492" s="167"/>
      <c r="Y492" s="167"/>
    </row>
    <row r="493" spans="1:25" x14ac:dyDescent="0.3">
      <c r="A493" s="215" t="s">
        <v>550</v>
      </c>
      <c r="B493" s="648" t="s">
        <v>685</v>
      </c>
      <c r="C493" s="648"/>
      <c r="D493" s="648"/>
      <c r="E493" s="215" t="s">
        <v>307</v>
      </c>
      <c r="F493" s="639"/>
      <c r="G493" s="639"/>
      <c r="H493" s="639"/>
      <c r="I493" s="639"/>
      <c r="J493" s="639"/>
      <c r="K493" s="639"/>
      <c r="L493" s="639"/>
      <c r="M493" s="639"/>
      <c r="N493" s="639"/>
      <c r="O493" s="639"/>
      <c r="P493" s="639"/>
      <c r="Q493" s="639"/>
      <c r="R493" s="639"/>
      <c r="S493" s="627">
        <f t="shared" ref="S493:S498" si="60">SUM(M493:R493)</f>
        <v>0</v>
      </c>
      <c r="T493" s="627"/>
      <c r="U493" s="625"/>
      <c r="V493" s="625"/>
      <c r="W493" s="167"/>
      <c r="X493" s="167"/>
      <c r="Y493" s="167"/>
    </row>
    <row r="494" spans="1:25" x14ac:dyDescent="0.3">
      <c r="A494" s="215" t="s">
        <v>551</v>
      </c>
      <c r="B494" s="648" t="s">
        <v>541</v>
      </c>
      <c r="C494" s="648"/>
      <c r="D494" s="648"/>
      <c r="E494" s="215" t="s">
        <v>307</v>
      </c>
      <c r="F494" s="639"/>
      <c r="G494" s="639"/>
      <c r="H494" s="639"/>
      <c r="I494" s="639"/>
      <c r="J494" s="639"/>
      <c r="K494" s="639"/>
      <c r="L494" s="639"/>
      <c r="M494" s="639"/>
      <c r="N494" s="639"/>
      <c r="O494" s="639"/>
      <c r="P494" s="639"/>
      <c r="Q494" s="639"/>
      <c r="R494" s="639"/>
      <c r="S494" s="627">
        <f t="shared" si="60"/>
        <v>0</v>
      </c>
      <c r="T494" s="627"/>
      <c r="U494" s="625"/>
      <c r="V494" s="625"/>
      <c r="W494" s="167"/>
      <c r="X494" s="167"/>
      <c r="Y494" s="167"/>
    </row>
    <row r="495" spans="1:25" x14ac:dyDescent="0.3">
      <c r="A495" s="215" t="s">
        <v>552</v>
      </c>
      <c r="B495" s="648" t="s">
        <v>542</v>
      </c>
      <c r="C495" s="648"/>
      <c r="D495" s="648"/>
      <c r="E495" s="215" t="s">
        <v>307</v>
      </c>
      <c r="F495" s="639"/>
      <c r="G495" s="639"/>
      <c r="H495" s="639"/>
      <c r="I495" s="639"/>
      <c r="J495" s="639"/>
      <c r="K495" s="639"/>
      <c r="L495" s="639"/>
      <c r="M495" s="639"/>
      <c r="N495" s="639"/>
      <c r="O495" s="639"/>
      <c r="P495" s="639"/>
      <c r="Q495" s="639"/>
      <c r="R495" s="639"/>
      <c r="S495" s="627">
        <f t="shared" si="60"/>
        <v>0</v>
      </c>
      <c r="T495" s="627"/>
      <c r="U495" s="625"/>
      <c r="V495" s="625"/>
      <c r="W495" s="167"/>
      <c r="X495" s="167"/>
      <c r="Y495" s="167"/>
    </row>
    <row r="496" spans="1:25" x14ac:dyDescent="0.3">
      <c r="A496" s="405" t="s">
        <v>553</v>
      </c>
      <c r="B496" s="649" t="s">
        <v>543</v>
      </c>
      <c r="C496" s="649"/>
      <c r="D496" s="649"/>
      <c r="E496" s="405" t="s">
        <v>307</v>
      </c>
      <c r="F496" s="639"/>
      <c r="G496" s="639"/>
      <c r="H496" s="639"/>
      <c r="I496" s="639"/>
      <c r="J496" s="639"/>
      <c r="K496" s="639"/>
      <c r="L496" s="639"/>
      <c r="M496" s="639"/>
      <c r="N496" s="639"/>
      <c r="O496" s="639"/>
      <c r="P496" s="639"/>
      <c r="Q496" s="639"/>
      <c r="R496" s="639"/>
      <c r="S496" s="627">
        <f t="shared" si="60"/>
        <v>0</v>
      </c>
      <c r="T496" s="627"/>
      <c r="U496" s="625"/>
      <c r="V496" s="625"/>
      <c r="W496" s="167"/>
      <c r="X496" s="167"/>
      <c r="Y496" s="167"/>
    </row>
    <row r="497" spans="1:25" x14ac:dyDescent="0.3">
      <c r="A497" s="405" t="s">
        <v>554</v>
      </c>
      <c r="B497" s="649" t="s">
        <v>544</v>
      </c>
      <c r="C497" s="649"/>
      <c r="D497" s="649"/>
      <c r="E497" s="405" t="s">
        <v>307</v>
      </c>
      <c r="F497" s="639"/>
      <c r="G497" s="639"/>
      <c r="H497" s="639"/>
      <c r="I497" s="639"/>
      <c r="J497" s="639"/>
      <c r="K497" s="639"/>
      <c r="L497" s="639"/>
      <c r="M497" s="639"/>
      <c r="N497" s="639"/>
      <c r="O497" s="639"/>
      <c r="P497" s="639"/>
      <c r="Q497" s="639"/>
      <c r="R497" s="639"/>
      <c r="S497" s="627">
        <f t="shared" si="60"/>
        <v>0</v>
      </c>
      <c r="T497" s="627"/>
      <c r="U497" s="625"/>
      <c r="V497" s="625"/>
      <c r="W497" s="167"/>
      <c r="X497" s="167"/>
      <c r="Y497" s="167"/>
    </row>
    <row r="498" spans="1:25" x14ac:dyDescent="0.3">
      <c r="A498" s="213" t="s">
        <v>50</v>
      </c>
      <c r="B498" s="626" t="s">
        <v>545</v>
      </c>
      <c r="C498" s="626"/>
      <c r="D498" s="626"/>
      <c r="E498" s="213" t="s">
        <v>546</v>
      </c>
      <c r="F498" s="639"/>
      <c r="G498" s="639"/>
      <c r="H498" s="639"/>
      <c r="I498" s="639"/>
      <c r="J498" s="639"/>
      <c r="K498" s="639"/>
      <c r="L498" s="639"/>
      <c r="M498" s="639"/>
      <c r="N498" s="639"/>
      <c r="O498" s="639"/>
      <c r="P498" s="639"/>
      <c r="Q498" s="639"/>
      <c r="R498" s="639"/>
      <c r="S498" s="627">
        <f t="shared" si="60"/>
        <v>0</v>
      </c>
      <c r="T498" s="627"/>
      <c r="U498" s="625"/>
      <c r="V498" s="625"/>
      <c r="W498" s="167"/>
      <c r="X498" s="167"/>
      <c r="Y498" s="167"/>
    </row>
    <row r="499" spans="1:25" x14ac:dyDescent="0.3">
      <c r="A499" s="214">
        <v>15</v>
      </c>
      <c r="B499" s="644" t="s">
        <v>416</v>
      </c>
      <c r="C499" s="644"/>
      <c r="D499" s="644"/>
      <c r="E499" s="215" t="s">
        <v>417</v>
      </c>
      <c r="F499" s="639" t="s">
        <v>419</v>
      </c>
      <c r="G499" s="639"/>
      <c r="H499" s="639"/>
      <c r="I499" s="639"/>
      <c r="J499" s="639"/>
      <c r="K499" s="639"/>
      <c r="L499" s="639"/>
      <c r="M499" s="625" t="s">
        <v>419</v>
      </c>
      <c r="N499" s="625"/>
      <c r="O499" s="625"/>
      <c r="P499" s="625"/>
      <c r="Q499" s="625"/>
      <c r="R499" s="625"/>
      <c r="S499" s="627" t="str">
        <f>IF(AND(M499="Yes"),"Yes","No")</f>
        <v>Yes</v>
      </c>
      <c r="T499" s="627"/>
      <c r="U499" s="625"/>
      <c r="V499" s="625"/>
      <c r="W499" s="167"/>
      <c r="X499" s="167"/>
      <c r="Y499" s="167"/>
    </row>
    <row r="500" spans="1:25" ht="14.4" thickBot="1" x14ac:dyDescent="0.35">
      <c r="A500" s="205"/>
      <c r="B500" s="415"/>
      <c r="C500" s="415"/>
      <c r="D500" s="415"/>
      <c r="E500" s="216"/>
      <c r="F500" s="216"/>
      <c r="G500" s="216"/>
      <c r="H500" s="217"/>
      <c r="V500" s="204"/>
      <c r="W500" s="204"/>
      <c r="X500" s="167"/>
      <c r="Y500" s="167"/>
    </row>
    <row r="501" spans="1:25" ht="28.2" customHeight="1" thickBot="1" x14ac:dyDescent="0.35">
      <c r="A501" s="382"/>
      <c r="B501" s="301" t="s">
        <v>1064</v>
      </c>
      <c r="C501" s="415"/>
      <c r="D501" s="415"/>
      <c r="E501" s="216"/>
      <c r="F501" s="216"/>
      <c r="G501" s="216"/>
      <c r="H501" s="217"/>
      <c r="V501" s="204"/>
      <c r="W501" s="204"/>
      <c r="X501" s="167"/>
      <c r="Y501" s="167"/>
    </row>
    <row r="502" spans="1:25" ht="15" thickBot="1" x14ac:dyDescent="0.35">
      <c r="A502" s="383">
        <v>0</v>
      </c>
      <c r="B502" s="384" t="s">
        <v>1065</v>
      </c>
      <c r="C502" s="415"/>
      <c r="D502" s="415"/>
      <c r="E502" s="216"/>
      <c r="F502" s="216"/>
      <c r="G502" s="216"/>
      <c r="H502" s="217"/>
      <c r="V502" s="204"/>
      <c r="W502" s="204"/>
      <c r="X502" s="167"/>
      <c r="Y502" s="167"/>
    </row>
    <row r="503" spans="1:25" ht="15" thickBot="1" x14ac:dyDescent="0.35">
      <c r="A503" s="385"/>
      <c r="B503" s="302" t="s">
        <v>1066</v>
      </c>
      <c r="C503" s="415"/>
      <c r="D503" s="415"/>
      <c r="E503" s="216"/>
      <c r="F503" s="216"/>
      <c r="G503" s="216"/>
      <c r="H503" s="217"/>
      <c r="V503" s="204"/>
      <c r="W503" s="204"/>
      <c r="X503" s="167"/>
      <c r="Y503" s="167"/>
    </row>
    <row r="504" spans="1:25" ht="15" thickBot="1" x14ac:dyDescent="0.35">
      <c r="A504" s="386"/>
      <c r="B504" s="302" t="s">
        <v>1067</v>
      </c>
      <c r="C504" s="415"/>
      <c r="D504" s="415"/>
      <c r="E504" s="216"/>
      <c r="F504" s="216"/>
      <c r="G504" s="216"/>
      <c r="H504" s="217"/>
      <c r="V504" s="204"/>
      <c r="W504" s="204"/>
      <c r="X504" s="167"/>
      <c r="Y504" s="167"/>
    </row>
    <row r="505" spans="1:25" ht="15" thickBot="1" x14ac:dyDescent="0.35">
      <c r="A505" s="387" t="s">
        <v>419</v>
      </c>
      <c r="B505" s="303" t="s">
        <v>1068</v>
      </c>
      <c r="C505" s="415"/>
      <c r="D505" s="415"/>
      <c r="E505" s="216"/>
      <c r="F505" s="216"/>
      <c r="G505" s="216"/>
      <c r="H505" s="217"/>
      <c r="V505" s="204"/>
      <c r="W505" s="204"/>
      <c r="X505" s="167"/>
      <c r="Y505" s="167"/>
    </row>
    <row r="506" spans="1:25" x14ac:dyDescent="0.3">
      <c r="A506" s="205"/>
      <c r="B506" s="415"/>
      <c r="C506" s="415"/>
      <c r="D506" s="415"/>
      <c r="E506" s="216"/>
      <c r="F506" s="216"/>
      <c r="G506" s="216"/>
      <c r="H506" s="217"/>
      <c r="V506" s="204"/>
      <c r="W506" s="204"/>
      <c r="X506" s="167"/>
      <c r="Y506" s="167"/>
    </row>
    <row r="507" spans="1:25" x14ac:dyDescent="0.3">
      <c r="A507" s="205"/>
      <c r="B507" s="417"/>
      <c r="C507" s="415"/>
      <c r="D507" s="415"/>
      <c r="E507" s="216"/>
      <c r="F507" s="216"/>
      <c r="G507" s="216"/>
      <c r="H507" s="217"/>
      <c r="V507" s="204"/>
      <c r="W507" s="204"/>
      <c r="X507" s="167"/>
      <c r="Y507" s="167"/>
    </row>
    <row r="508" spans="1:25" x14ac:dyDescent="0.3">
      <c r="A508" s="650" t="s">
        <v>711</v>
      </c>
      <c r="B508" s="651"/>
      <c r="C508" s="651"/>
      <c r="D508" s="651"/>
      <c r="E508" s="651"/>
      <c r="F508" s="651"/>
      <c r="G508" s="651"/>
      <c r="H508" s="651"/>
      <c r="I508" s="651"/>
      <c r="J508" s="651"/>
      <c r="K508" s="651"/>
      <c r="L508" s="651"/>
      <c r="M508" s="651"/>
      <c r="N508" s="651"/>
      <c r="O508" s="651"/>
      <c r="P508" s="651"/>
      <c r="Q508" s="651"/>
      <c r="R508" s="651"/>
      <c r="S508" s="651"/>
      <c r="T508" s="651"/>
      <c r="U508" s="651"/>
      <c r="V508" s="651"/>
      <c r="W508" s="204"/>
      <c r="X508" s="167"/>
      <c r="Y508" s="167"/>
    </row>
    <row r="509" spans="1:25" x14ac:dyDescent="0.3">
      <c r="A509" s="650"/>
      <c r="B509" s="651"/>
      <c r="C509" s="651"/>
      <c r="D509" s="651"/>
      <c r="E509" s="651"/>
      <c r="F509" s="651"/>
      <c r="G509" s="651"/>
      <c r="H509" s="651"/>
      <c r="I509" s="651"/>
      <c r="J509" s="651"/>
      <c r="K509" s="651"/>
      <c r="L509" s="651"/>
      <c r="M509" s="651"/>
      <c r="N509" s="651"/>
      <c r="O509" s="651"/>
      <c r="P509" s="651"/>
      <c r="Q509" s="651"/>
      <c r="R509" s="651"/>
      <c r="S509" s="651"/>
      <c r="T509" s="651"/>
      <c r="U509" s="651"/>
      <c r="V509" s="651"/>
      <c r="W509" s="204"/>
      <c r="X509" s="167"/>
      <c r="Y509" s="167"/>
    </row>
    <row r="510" spans="1:25" x14ac:dyDescent="0.3">
      <c r="A510" s="205"/>
      <c r="B510" s="415"/>
      <c r="C510" s="415"/>
      <c r="D510" s="415"/>
      <c r="E510" s="216"/>
      <c r="F510" s="216"/>
      <c r="G510" s="216"/>
      <c r="H510" s="217"/>
      <c r="V510" s="204"/>
      <c r="W510" s="204"/>
      <c r="X510" s="167"/>
      <c r="Y510" s="167"/>
    </row>
    <row r="511" spans="1:25" x14ac:dyDescent="0.3">
      <c r="A511" s="164"/>
      <c r="B511" s="164"/>
      <c r="C511" s="164"/>
      <c r="D511" s="415"/>
      <c r="E511" s="216"/>
      <c r="F511" s="216"/>
      <c r="G511" s="216"/>
      <c r="H511" s="217"/>
      <c r="V511" s="204"/>
      <c r="W511" s="167"/>
      <c r="X511" s="167"/>
      <c r="Y511" s="167"/>
    </row>
    <row r="512" spans="1:25" x14ac:dyDescent="0.3">
      <c r="A512" s="164"/>
      <c r="B512" s="164"/>
      <c r="C512" s="164"/>
      <c r="D512" s="415"/>
      <c r="E512" s="216"/>
      <c r="F512" s="216"/>
      <c r="G512" s="216"/>
      <c r="H512" s="217"/>
      <c r="V512" s="204"/>
      <c r="W512" s="167"/>
      <c r="X512" s="167"/>
      <c r="Y512" s="167"/>
    </row>
    <row r="513" spans="1:25" x14ac:dyDescent="0.3">
      <c r="A513" s="205"/>
      <c r="B513" s="415"/>
      <c r="C513" s="415"/>
      <c r="D513" s="415"/>
      <c r="E513" s="216"/>
      <c r="F513" s="216"/>
      <c r="G513" s="216"/>
      <c r="H513" s="217"/>
      <c r="P513" s="217"/>
      <c r="Q513" s="217"/>
      <c r="R513" s="217"/>
      <c r="S513" s="217"/>
      <c r="T513" s="217"/>
      <c r="U513" s="217"/>
      <c r="V513" s="204"/>
      <c r="W513" s="167"/>
      <c r="X513" s="167"/>
      <c r="Y513" s="167"/>
    </row>
    <row r="514" spans="1:25" x14ac:dyDescent="0.3">
      <c r="A514" s="205"/>
      <c r="B514" s="164"/>
      <c r="C514" s="415"/>
      <c r="D514" s="415"/>
      <c r="E514" s="216"/>
      <c r="F514" s="216"/>
      <c r="G514" s="216"/>
      <c r="H514" s="217"/>
      <c r="P514" s="217"/>
      <c r="Q514" s="217"/>
      <c r="R514" s="217"/>
      <c r="S514" s="217"/>
      <c r="T514" s="217"/>
      <c r="U514" s="217"/>
      <c r="V514" s="204"/>
      <c r="W514" s="167"/>
      <c r="X514" s="167"/>
      <c r="Y514" s="167"/>
    </row>
    <row r="515" spans="1:25" x14ac:dyDescent="0.3">
      <c r="A515" s="205"/>
      <c r="B515" s="164"/>
      <c r="C515" s="415"/>
      <c r="D515" s="415"/>
      <c r="E515" s="216"/>
      <c r="F515" s="216"/>
      <c r="G515" s="216"/>
      <c r="H515" s="217"/>
      <c r="P515" s="217"/>
      <c r="Q515" s="217"/>
      <c r="R515" s="217"/>
      <c r="S515" s="217"/>
      <c r="T515" s="217"/>
      <c r="U515" s="415"/>
      <c r="V515" s="204"/>
      <c r="W515" s="167"/>
      <c r="X515" s="167"/>
      <c r="Y515" s="167"/>
    </row>
    <row r="516" spans="1:25" x14ac:dyDescent="0.3">
      <c r="A516" s="205"/>
      <c r="B516" s="415"/>
      <c r="C516" s="415"/>
      <c r="D516" s="415"/>
      <c r="E516" s="216"/>
      <c r="F516" s="216"/>
      <c r="G516" s="216"/>
      <c r="H516" s="217"/>
      <c r="I516" s="217"/>
      <c r="J516" s="217"/>
      <c r="K516" s="217"/>
      <c r="L516" s="217"/>
      <c r="M516" s="217"/>
      <c r="N516" s="217"/>
      <c r="P516" s="217"/>
      <c r="Q516" s="217"/>
      <c r="R516" s="217"/>
      <c r="S516" s="217"/>
      <c r="T516" s="217"/>
      <c r="U516" s="217"/>
      <c r="V516" s="204"/>
      <c r="W516" s="167"/>
      <c r="X516" s="167"/>
      <c r="Y516" s="167"/>
    </row>
    <row r="517" spans="1:25" x14ac:dyDescent="0.3">
      <c r="A517" s="205"/>
      <c r="B517" s="645" t="s">
        <v>80</v>
      </c>
      <c r="C517" s="645"/>
      <c r="D517" s="645"/>
      <c r="E517" s="645"/>
      <c r="F517" s="645"/>
      <c r="G517" s="216"/>
      <c r="H517" s="167"/>
      <c r="I517" s="167"/>
      <c r="J517" s="167"/>
      <c r="K517" s="167"/>
      <c r="L517" s="167"/>
      <c r="M517" s="167"/>
      <c r="N517" s="167"/>
      <c r="O517" s="418" t="s">
        <v>555</v>
      </c>
      <c r="P517" s="415"/>
      <c r="Q517" s="217"/>
      <c r="R517" s="217"/>
      <c r="S517" s="217"/>
      <c r="T517" s="217"/>
      <c r="U517" s="217"/>
      <c r="V517" s="204"/>
      <c r="W517" s="167"/>
      <c r="X517" s="167"/>
      <c r="Y517" s="167"/>
    </row>
    <row r="518" spans="1:25" x14ac:dyDescent="0.3">
      <c r="A518" s="205"/>
      <c r="B518" s="217"/>
      <c r="C518" s="217"/>
      <c r="D518" s="217"/>
      <c r="E518" s="217"/>
      <c r="F518" s="217"/>
      <c r="G518" s="216"/>
      <c r="H518" s="167"/>
      <c r="I518" s="167"/>
      <c r="J518" s="167"/>
      <c r="K518" s="167"/>
      <c r="L518" s="167"/>
      <c r="M518" s="167"/>
      <c r="N518" s="167"/>
      <c r="O518" s="418"/>
      <c r="P518" s="415"/>
      <c r="Q518" s="415"/>
      <c r="R518" s="415"/>
      <c r="S518" s="217"/>
      <c r="T518" s="217"/>
      <c r="U518" s="217"/>
      <c r="V518" s="204"/>
      <c r="W518" s="167"/>
      <c r="X518" s="167"/>
      <c r="Y518" s="167"/>
    </row>
    <row r="519" spans="1:25" x14ac:dyDescent="0.3">
      <c r="A519" s="205"/>
      <c r="B519" s="645" t="s">
        <v>83</v>
      </c>
      <c r="C519" s="645"/>
      <c r="D519" s="645"/>
      <c r="E519" s="645"/>
      <c r="F519" s="645"/>
      <c r="G519" s="645"/>
      <c r="H519" s="167"/>
      <c r="I519" s="167"/>
      <c r="J519" s="167"/>
      <c r="K519" s="167"/>
      <c r="L519" s="167"/>
      <c r="M519" s="167"/>
      <c r="N519" s="167"/>
      <c r="O519" s="419" t="s">
        <v>556</v>
      </c>
      <c r="P519" s="217"/>
      <c r="Q519" s="217"/>
      <c r="R519" s="217"/>
      <c r="S519" s="217"/>
      <c r="T519" s="167"/>
      <c r="U519" s="167"/>
      <c r="V519" s="204"/>
      <c r="W519" s="167"/>
      <c r="X519" s="167"/>
      <c r="Y519" s="167"/>
    </row>
    <row r="520" spans="1:25" x14ac:dyDescent="0.3">
      <c r="A520" s="205"/>
      <c r="B520" s="217" t="s">
        <v>84</v>
      </c>
      <c r="C520" s="217"/>
      <c r="D520" s="217"/>
      <c r="E520" s="217"/>
      <c r="F520" s="217"/>
      <c r="G520" s="216"/>
      <c r="H520" s="167"/>
      <c r="I520" s="167"/>
      <c r="J520" s="167"/>
      <c r="K520" s="167"/>
      <c r="L520" s="167"/>
      <c r="M520" s="167"/>
      <c r="N520" s="204"/>
      <c r="O520" s="418"/>
      <c r="P520" s="204"/>
      <c r="Q520" s="204"/>
      <c r="R520" s="204"/>
      <c r="S520" s="204"/>
      <c r="T520" s="204"/>
      <c r="U520" s="204"/>
      <c r="V520" s="204"/>
    </row>
    <row r="521" spans="1:25" x14ac:dyDescent="0.3">
      <c r="A521" s="205"/>
      <c r="B521" s="415" t="s">
        <v>85</v>
      </c>
      <c r="C521" s="415"/>
      <c r="D521" s="217"/>
      <c r="E521" s="217"/>
      <c r="F521" s="217"/>
      <c r="G521" s="216"/>
      <c r="H521" s="167"/>
      <c r="I521" s="167"/>
      <c r="J521" s="167"/>
      <c r="K521" s="204"/>
      <c r="L521" s="204"/>
      <c r="M521" s="167"/>
      <c r="N521" s="167"/>
      <c r="O521" s="419"/>
      <c r="P521" s="167"/>
      <c r="Q521" s="167"/>
      <c r="R521" s="167"/>
      <c r="S521" s="167"/>
      <c r="T521" s="167"/>
      <c r="U521" s="167"/>
      <c r="V521" s="204"/>
    </row>
    <row r="522" spans="1:25" x14ac:dyDescent="0.3">
      <c r="A522" s="205"/>
      <c r="B522" s="415"/>
      <c r="C522" s="415"/>
      <c r="D522" s="415"/>
      <c r="E522" s="415"/>
      <c r="F522" s="217"/>
      <c r="G522" s="216"/>
      <c r="H522" s="167"/>
      <c r="I522" s="167"/>
      <c r="J522" s="167"/>
      <c r="K522" s="204"/>
      <c r="L522" s="204"/>
      <c r="M522" s="167"/>
      <c r="N522" s="167"/>
      <c r="O522" s="419" t="s">
        <v>86</v>
      </c>
      <c r="P522" s="167"/>
      <c r="Q522" s="167"/>
      <c r="R522" s="167"/>
      <c r="S522" s="167"/>
      <c r="T522" s="167"/>
      <c r="U522" s="167"/>
      <c r="V522" s="204"/>
    </row>
    <row r="525" spans="1:25" x14ac:dyDescent="0.3">
      <c r="B525" s="415" t="s">
        <v>81</v>
      </c>
    </row>
    <row r="526" spans="1:25" x14ac:dyDescent="0.3">
      <c r="B526" s="415" t="s">
        <v>82</v>
      </c>
    </row>
  </sheetData>
  <sheetProtection password="EC3B" sheet="1" objects="1" scenarios="1"/>
  <mergeCells count="2259">
    <mergeCell ref="S492:T492"/>
    <mergeCell ref="S493:T493"/>
    <mergeCell ref="S494:T494"/>
    <mergeCell ref="S495:T495"/>
    <mergeCell ref="S496:T496"/>
    <mergeCell ref="S497:T497"/>
    <mergeCell ref="S498:T498"/>
    <mergeCell ref="S330:T330"/>
    <mergeCell ref="M331:N331"/>
    <mergeCell ref="O331:P331"/>
    <mergeCell ref="Q331:R331"/>
    <mergeCell ref="S331:T331"/>
    <mergeCell ref="B323:V323"/>
    <mergeCell ref="M322:N322"/>
    <mergeCell ref="Q336:R336"/>
    <mergeCell ref="S336:T336"/>
    <mergeCell ref="M346:N346"/>
    <mergeCell ref="S352:T352"/>
    <mergeCell ref="M350:N350"/>
    <mergeCell ref="O350:P350"/>
    <mergeCell ref="Q350:R350"/>
    <mergeCell ref="S350:T350"/>
    <mergeCell ref="S344:T344"/>
    <mergeCell ref="M355:N355"/>
    <mergeCell ref="M354:N354"/>
    <mergeCell ref="U343:V343"/>
    <mergeCell ref="U344:V344"/>
    <mergeCell ref="U339:V339"/>
    <mergeCell ref="B346:D346"/>
    <mergeCell ref="O329:P329"/>
    <mergeCell ref="B325:V325"/>
    <mergeCell ref="S355:T355"/>
    <mergeCell ref="M321:N321"/>
    <mergeCell ref="O321:P321"/>
    <mergeCell ref="U404:V404"/>
    <mergeCell ref="U345:V345"/>
    <mergeCell ref="M348:N348"/>
    <mergeCell ref="O348:P348"/>
    <mergeCell ref="Q348:R348"/>
    <mergeCell ref="S348:T348"/>
    <mergeCell ref="M347:N347"/>
    <mergeCell ref="O347:P347"/>
    <mergeCell ref="Q347:R347"/>
    <mergeCell ref="S347:T347"/>
    <mergeCell ref="M377:N377"/>
    <mergeCell ref="U403:V403"/>
    <mergeCell ref="O386:P386"/>
    <mergeCell ref="Q357:R357"/>
    <mergeCell ref="S357:T357"/>
    <mergeCell ref="S356:T356"/>
    <mergeCell ref="M357:N357"/>
    <mergeCell ref="S376:T376"/>
    <mergeCell ref="O368:P368"/>
    <mergeCell ref="Q368:R368"/>
    <mergeCell ref="M378:N378"/>
    <mergeCell ref="O378:P378"/>
    <mergeCell ref="S363:T363"/>
    <mergeCell ref="Q378:R378"/>
    <mergeCell ref="S374:T374"/>
    <mergeCell ref="M356:N356"/>
    <mergeCell ref="O356:P356"/>
    <mergeCell ref="U347:V347"/>
    <mergeCell ref="U348:V348"/>
    <mergeCell ref="U322:V322"/>
    <mergeCell ref="S329:T329"/>
    <mergeCell ref="U336:V336"/>
    <mergeCell ref="U337:V337"/>
    <mergeCell ref="F332:L332"/>
    <mergeCell ref="F340:L340"/>
    <mergeCell ref="S340:T340"/>
    <mergeCell ref="O337:P337"/>
    <mergeCell ref="Q337:R337"/>
    <mergeCell ref="S337:T337"/>
    <mergeCell ref="U340:V340"/>
    <mergeCell ref="M337:N337"/>
    <mergeCell ref="B328:V328"/>
    <mergeCell ref="B337:D337"/>
    <mergeCell ref="U331:V331"/>
    <mergeCell ref="U332:V332"/>
    <mergeCell ref="U333:V333"/>
    <mergeCell ref="B339:D339"/>
    <mergeCell ref="F339:L339"/>
    <mergeCell ref="M339:N339"/>
    <mergeCell ref="Q335:R335"/>
    <mergeCell ref="F337:L337"/>
    <mergeCell ref="S332:T332"/>
    <mergeCell ref="B322:D322"/>
    <mergeCell ref="B331:D331"/>
    <mergeCell ref="B330:D330"/>
    <mergeCell ref="B334:D334"/>
    <mergeCell ref="B335:D335"/>
    <mergeCell ref="H308:L308"/>
    <mergeCell ref="O341:P341"/>
    <mergeCell ref="O352:P352"/>
    <mergeCell ref="Q352:R352"/>
    <mergeCell ref="S345:T345"/>
    <mergeCell ref="O339:P339"/>
    <mergeCell ref="Q339:R339"/>
    <mergeCell ref="S339:T339"/>
    <mergeCell ref="F348:L348"/>
    <mergeCell ref="F345:L345"/>
    <mergeCell ref="Q345:R345"/>
    <mergeCell ref="F350:L350"/>
    <mergeCell ref="B345:D345"/>
    <mergeCell ref="B347:D347"/>
    <mergeCell ref="B348:D348"/>
    <mergeCell ref="B341:D341"/>
    <mergeCell ref="B321:D321"/>
    <mergeCell ref="O335:P335"/>
    <mergeCell ref="M340:N340"/>
    <mergeCell ref="O340:P340"/>
    <mergeCell ref="M335:N335"/>
    <mergeCell ref="O336:P336"/>
    <mergeCell ref="B320:V320"/>
    <mergeCell ref="O330:P330"/>
    <mergeCell ref="Q330:R330"/>
    <mergeCell ref="F334:L334"/>
    <mergeCell ref="F335:L335"/>
    <mergeCell ref="U360:V360"/>
    <mergeCell ref="U361:V361"/>
    <mergeCell ref="U379:V379"/>
    <mergeCell ref="U380:V380"/>
    <mergeCell ref="U385:V387"/>
    <mergeCell ref="U388:V388"/>
    <mergeCell ref="F377:L377"/>
    <mergeCell ref="U349:V349"/>
    <mergeCell ref="U350:V350"/>
    <mergeCell ref="U351:V351"/>
    <mergeCell ref="U352:V352"/>
    <mergeCell ref="Q349:R349"/>
    <mergeCell ref="U356:V356"/>
    <mergeCell ref="B352:D352"/>
    <mergeCell ref="B372:D372"/>
    <mergeCell ref="B364:D364"/>
    <mergeCell ref="O364:P364"/>
    <mergeCell ref="F365:L365"/>
    <mergeCell ref="U364:V364"/>
    <mergeCell ref="Q377:R377"/>
    <mergeCell ref="Q341:R341"/>
    <mergeCell ref="F342:L342"/>
    <mergeCell ref="M342:N342"/>
    <mergeCell ref="U342:V342"/>
    <mergeCell ref="U366:V366"/>
    <mergeCell ref="U367:V367"/>
    <mergeCell ref="U368:V368"/>
    <mergeCell ref="U376:V376"/>
    <mergeCell ref="U377:V377"/>
    <mergeCell ref="F359:L359"/>
    <mergeCell ref="S351:T351"/>
    <mergeCell ref="O354:P354"/>
    <mergeCell ref="M349:N349"/>
    <mergeCell ref="O349:P349"/>
    <mergeCell ref="U372:V372"/>
    <mergeCell ref="U373:V373"/>
    <mergeCell ref="O346:P346"/>
    <mergeCell ref="S343:T343"/>
    <mergeCell ref="F341:L341"/>
    <mergeCell ref="F343:L343"/>
    <mergeCell ref="O372:P372"/>
    <mergeCell ref="Q372:R372"/>
    <mergeCell ref="S372:T372"/>
    <mergeCell ref="F370:L370"/>
    <mergeCell ref="Q363:R363"/>
    <mergeCell ref="F373:L373"/>
    <mergeCell ref="M373:N373"/>
    <mergeCell ref="O373:P373"/>
    <mergeCell ref="Q373:R373"/>
    <mergeCell ref="S373:T373"/>
    <mergeCell ref="F364:L364"/>
    <mergeCell ref="M364:N364"/>
    <mergeCell ref="U394:V394"/>
    <mergeCell ref="I434:L434"/>
    <mergeCell ref="U389:V389"/>
    <mergeCell ref="O423:P423"/>
    <mergeCell ref="I424:J424"/>
    <mergeCell ref="U409:V409"/>
    <mergeCell ref="U412:V412"/>
    <mergeCell ref="U353:V353"/>
    <mergeCell ref="U354:V354"/>
    <mergeCell ref="U346:V346"/>
    <mergeCell ref="S370:T370"/>
    <mergeCell ref="Q355:R355"/>
    <mergeCell ref="F346:L346"/>
    <mergeCell ref="S359:T359"/>
    <mergeCell ref="F363:L363"/>
    <mergeCell ref="M363:N363"/>
    <mergeCell ref="O362:P362"/>
    <mergeCell ref="F362:L362"/>
    <mergeCell ref="F379:L379"/>
    <mergeCell ref="M379:N379"/>
    <mergeCell ref="O365:P365"/>
    <mergeCell ref="Q365:R365"/>
    <mergeCell ref="Q362:R362"/>
    <mergeCell ref="M368:N368"/>
    <mergeCell ref="F372:L372"/>
    <mergeCell ref="M372:N372"/>
    <mergeCell ref="B384:V384"/>
    <mergeCell ref="B367:D367"/>
    <mergeCell ref="B351:D351"/>
    <mergeCell ref="U378:V378"/>
    <mergeCell ref="O351:P351"/>
    <mergeCell ref="Q351:R351"/>
    <mergeCell ref="B469:D469"/>
    <mergeCell ref="B478:D478"/>
    <mergeCell ref="B449:D449"/>
    <mergeCell ref="B450:D450"/>
    <mergeCell ref="U456:V458"/>
    <mergeCell ref="B438:V438"/>
    <mergeCell ref="B453:V453"/>
    <mergeCell ref="B452:V452"/>
    <mergeCell ref="B454:V454"/>
    <mergeCell ref="F459:H459"/>
    <mergeCell ref="E456:L456"/>
    <mergeCell ref="E457:E458"/>
    <mergeCell ref="U460:V460"/>
    <mergeCell ref="T457:T458"/>
    <mergeCell ref="B459:D459"/>
    <mergeCell ref="S478:T478"/>
    <mergeCell ref="F464:H464"/>
    <mergeCell ref="F465:H465"/>
    <mergeCell ref="F478:L478"/>
    <mergeCell ref="Q476:R476"/>
    <mergeCell ref="S476:T476"/>
    <mergeCell ref="U443:V443"/>
    <mergeCell ref="U444:V444"/>
    <mergeCell ref="U445:V445"/>
    <mergeCell ref="U446:V446"/>
    <mergeCell ref="U447:V447"/>
    <mergeCell ref="B455:V455"/>
    <mergeCell ref="F461:H461"/>
    <mergeCell ref="B476:D476"/>
    <mergeCell ref="B447:D447"/>
    <mergeCell ref="B445:D445"/>
    <mergeCell ref="A456:A458"/>
    <mergeCell ref="A439:A441"/>
    <mergeCell ref="F468:H468"/>
    <mergeCell ref="N468:P468"/>
    <mergeCell ref="F466:H466"/>
    <mergeCell ref="F467:H467"/>
    <mergeCell ref="B451:D451"/>
    <mergeCell ref="F460:H460"/>
    <mergeCell ref="I439:K439"/>
    <mergeCell ref="E439:E441"/>
    <mergeCell ref="B435:V435"/>
    <mergeCell ref="F436:L436"/>
    <mergeCell ref="M436:N436"/>
    <mergeCell ref="O436:P436"/>
    <mergeCell ref="Q436:R436"/>
    <mergeCell ref="M456:T456"/>
    <mergeCell ref="U436:V436"/>
    <mergeCell ref="U439:V441"/>
    <mergeCell ref="U442:V442"/>
    <mergeCell ref="N463:P463"/>
    <mergeCell ref="N464:P464"/>
    <mergeCell ref="N465:P465"/>
    <mergeCell ref="N466:P466"/>
    <mergeCell ref="N467:P467"/>
    <mergeCell ref="B462:D462"/>
    <mergeCell ref="B463:D463"/>
    <mergeCell ref="B464:D464"/>
    <mergeCell ref="B465:D465"/>
    <mergeCell ref="N457:P458"/>
    <mergeCell ref="N462:P462"/>
    <mergeCell ref="B456:D458"/>
    <mergeCell ref="B446:D446"/>
    <mergeCell ref="I433:L433"/>
    <mergeCell ref="F434:H434"/>
    <mergeCell ref="S322:T322"/>
    <mergeCell ref="U431:V432"/>
    <mergeCell ref="U422:V424"/>
    <mergeCell ref="B425:D425"/>
    <mergeCell ref="B426:D426"/>
    <mergeCell ref="B418:V418"/>
    <mergeCell ref="B400:V400"/>
    <mergeCell ref="U414:V414"/>
    <mergeCell ref="U405:V405"/>
    <mergeCell ref="U374:V374"/>
    <mergeCell ref="U375:V375"/>
    <mergeCell ref="G423:H423"/>
    <mergeCell ref="U425:V425"/>
    <mergeCell ref="U426:V426"/>
    <mergeCell ref="E426:F426"/>
    <mergeCell ref="I425:J425"/>
    <mergeCell ref="S431:T431"/>
    <mergeCell ref="K424:L424"/>
    <mergeCell ref="U365:V365"/>
    <mergeCell ref="U355:V355"/>
    <mergeCell ref="F349:L349"/>
    <mergeCell ref="Q346:R346"/>
    <mergeCell ref="U371:V371"/>
    <mergeCell ref="M341:N341"/>
    <mergeCell ref="G424:H424"/>
    <mergeCell ref="S377:T377"/>
    <mergeCell ref="U362:V362"/>
    <mergeCell ref="U363:V363"/>
    <mergeCell ref="B389:D389"/>
    <mergeCell ref="B390:D390"/>
    <mergeCell ref="A431:A432"/>
    <mergeCell ref="B431:D432"/>
    <mergeCell ref="E431:E432"/>
    <mergeCell ref="F432:H432"/>
    <mergeCell ref="I432:L432"/>
    <mergeCell ref="M431:N431"/>
    <mergeCell ref="O431:P431"/>
    <mergeCell ref="B434:D434"/>
    <mergeCell ref="B436:D436"/>
    <mergeCell ref="F433:H433"/>
    <mergeCell ref="B409:C409"/>
    <mergeCell ref="Q425:R425"/>
    <mergeCell ref="K426:L426"/>
    <mergeCell ref="S426:T426"/>
    <mergeCell ref="S424:T424"/>
    <mergeCell ref="F344:L344"/>
    <mergeCell ref="M345:N345"/>
    <mergeCell ref="O345:P345"/>
    <mergeCell ref="B399:V399"/>
    <mergeCell ref="B413:C413"/>
    <mergeCell ref="B414:C414"/>
    <mergeCell ref="U369:V369"/>
    <mergeCell ref="U390:V390"/>
    <mergeCell ref="U391:V391"/>
    <mergeCell ref="U392:V392"/>
    <mergeCell ref="U393:V393"/>
    <mergeCell ref="S380:T380"/>
    <mergeCell ref="S386:T386"/>
    <mergeCell ref="O377:P377"/>
    <mergeCell ref="B369:D369"/>
    <mergeCell ref="S362:T362"/>
    <mergeCell ref="B363:D363"/>
    <mergeCell ref="S489:T489"/>
    <mergeCell ref="B49:D49"/>
    <mergeCell ref="B50:D50"/>
    <mergeCell ref="B51:D51"/>
    <mergeCell ref="U357:V357"/>
    <mergeCell ref="U358:V358"/>
    <mergeCell ref="U359:V359"/>
    <mergeCell ref="B52:D52"/>
    <mergeCell ref="B53:D53"/>
    <mergeCell ref="B54:D54"/>
    <mergeCell ref="B338:D338"/>
    <mergeCell ref="U335:V335"/>
    <mergeCell ref="H322:L322"/>
    <mergeCell ref="U334:V334"/>
    <mergeCell ref="M334:N334"/>
    <mergeCell ref="O334:P334"/>
    <mergeCell ref="Q334:R334"/>
    <mergeCell ref="S334:T334"/>
    <mergeCell ref="O322:P322"/>
    <mergeCell ref="B332:D332"/>
    <mergeCell ref="B329:D329"/>
    <mergeCell ref="F329:L329"/>
    <mergeCell ref="F330:L330"/>
    <mergeCell ref="U338:V338"/>
    <mergeCell ref="S346:T346"/>
    <mergeCell ref="U329:V329"/>
    <mergeCell ref="Q322:R322"/>
    <mergeCell ref="B333:D333"/>
    <mergeCell ref="B342:D342"/>
    <mergeCell ref="F351:L351"/>
    <mergeCell ref="F352:L352"/>
    <mergeCell ref="M351:N351"/>
    <mergeCell ref="Q480:R480"/>
    <mergeCell ref="Q481:R481"/>
    <mergeCell ref="F480:L480"/>
    <mergeCell ref="F481:L481"/>
    <mergeCell ref="F482:L482"/>
    <mergeCell ref="M481:N481"/>
    <mergeCell ref="M482:N482"/>
    <mergeCell ref="F499:L499"/>
    <mergeCell ref="F498:L498"/>
    <mergeCell ref="F488:V488"/>
    <mergeCell ref="U480:V480"/>
    <mergeCell ref="U481:V481"/>
    <mergeCell ref="U482:V482"/>
    <mergeCell ref="O482:P482"/>
    <mergeCell ref="Q483:R483"/>
    <mergeCell ref="Q486:R486"/>
    <mergeCell ref="Q487:R487"/>
    <mergeCell ref="S480:T480"/>
    <mergeCell ref="S481:T481"/>
    <mergeCell ref="S482:T482"/>
    <mergeCell ref="O497:P497"/>
    <mergeCell ref="M483:N483"/>
    <mergeCell ref="M486:N486"/>
    <mergeCell ref="M487:N487"/>
    <mergeCell ref="O480:P480"/>
    <mergeCell ref="M484:N484"/>
    <mergeCell ref="O484:P484"/>
    <mergeCell ref="Q484:R484"/>
    <mergeCell ref="S487:T487"/>
    <mergeCell ref="O483:P483"/>
    <mergeCell ref="M480:N480"/>
    <mergeCell ref="O481:P481"/>
    <mergeCell ref="F483:L483"/>
    <mergeCell ref="F486:L486"/>
    <mergeCell ref="S479:T479"/>
    <mergeCell ref="F462:H462"/>
    <mergeCell ref="F463:H463"/>
    <mergeCell ref="F469:H469"/>
    <mergeCell ref="N469:P469"/>
    <mergeCell ref="U464:V464"/>
    <mergeCell ref="U475:V475"/>
    <mergeCell ref="B475:D475"/>
    <mergeCell ref="M479:N479"/>
    <mergeCell ref="U467:V467"/>
    <mergeCell ref="S474:T474"/>
    <mergeCell ref="B471:V471"/>
    <mergeCell ref="U468:V468"/>
    <mergeCell ref="O479:P479"/>
    <mergeCell ref="Q479:R479"/>
    <mergeCell ref="M478:N478"/>
    <mergeCell ref="O478:P478"/>
    <mergeCell ref="Q478:R478"/>
    <mergeCell ref="U476:V476"/>
    <mergeCell ref="U478:V478"/>
    <mergeCell ref="U479:V479"/>
    <mergeCell ref="B486:D486"/>
    <mergeCell ref="F484:L484"/>
    <mergeCell ref="U486:V486"/>
    <mergeCell ref="B473:V473"/>
    <mergeCell ref="B472:V472"/>
    <mergeCell ref="B480:D480"/>
    <mergeCell ref="B481:D481"/>
    <mergeCell ref="B482:D482"/>
    <mergeCell ref="B483:D483"/>
    <mergeCell ref="S314:T314"/>
    <mergeCell ref="B301:V301"/>
    <mergeCell ref="U321:V321"/>
    <mergeCell ref="S321:T321"/>
    <mergeCell ref="B317:V317"/>
    <mergeCell ref="B318:D318"/>
    <mergeCell ref="O319:P319"/>
    <mergeCell ref="H318:L318"/>
    <mergeCell ref="B479:D479"/>
    <mergeCell ref="B477:V477"/>
    <mergeCell ref="N459:P459"/>
    <mergeCell ref="U465:V465"/>
    <mergeCell ref="B460:D460"/>
    <mergeCell ref="B461:D461"/>
    <mergeCell ref="U395:V395"/>
    <mergeCell ref="U396:V396"/>
    <mergeCell ref="U397:V397"/>
    <mergeCell ref="U411:V411"/>
    <mergeCell ref="B430:V430"/>
    <mergeCell ref="Q426:R426"/>
    <mergeCell ref="B397:D397"/>
    <mergeCell ref="B398:D398"/>
    <mergeCell ref="U401:V402"/>
    <mergeCell ref="B415:V415"/>
    <mergeCell ref="O425:P425"/>
    <mergeCell ref="M401:T401"/>
    <mergeCell ref="D401:D402"/>
    <mergeCell ref="F431:L431"/>
    <mergeCell ref="Q424:R424"/>
    <mergeCell ref="N460:P460"/>
    <mergeCell ref="N461:P461"/>
    <mergeCell ref="B419:V419"/>
    <mergeCell ref="M310:N310"/>
    <mergeCell ref="M311:N311"/>
    <mergeCell ref="O290:P290"/>
    <mergeCell ref="Q290:R290"/>
    <mergeCell ref="S290:T290"/>
    <mergeCell ref="B303:V303"/>
    <mergeCell ref="H288:L288"/>
    <mergeCell ref="H310:L310"/>
    <mergeCell ref="M286:N286"/>
    <mergeCell ref="O286:P286"/>
    <mergeCell ref="U288:V288"/>
    <mergeCell ref="Q286:R286"/>
    <mergeCell ref="S286:T286"/>
    <mergeCell ref="B305:V305"/>
    <mergeCell ref="M304:N304"/>
    <mergeCell ref="O304:P304"/>
    <mergeCell ref="S310:T310"/>
    <mergeCell ref="S311:T311"/>
    <mergeCell ref="B289:D289"/>
    <mergeCell ref="H287:L287"/>
    <mergeCell ref="Q304:R304"/>
    <mergeCell ref="S304:T304"/>
    <mergeCell ref="U304:V304"/>
    <mergeCell ref="U306:V306"/>
    <mergeCell ref="U307:V307"/>
    <mergeCell ref="B293:V293"/>
    <mergeCell ref="B298:V298"/>
    <mergeCell ref="S307:T307"/>
    <mergeCell ref="Q289:R289"/>
    <mergeCell ref="B290:D290"/>
    <mergeCell ref="S306:T306"/>
    <mergeCell ref="H307:L307"/>
    <mergeCell ref="M308:N308"/>
    <mergeCell ref="U287:V287"/>
    <mergeCell ref="H306:L306"/>
    <mergeCell ref="M285:N285"/>
    <mergeCell ref="O306:P306"/>
    <mergeCell ref="Q306:R306"/>
    <mergeCell ref="S251:T251"/>
    <mergeCell ref="M252:N252"/>
    <mergeCell ref="U253:V253"/>
    <mergeCell ref="U254:V254"/>
    <mergeCell ref="H252:L252"/>
    <mergeCell ref="U251:V251"/>
    <mergeCell ref="S262:T262"/>
    <mergeCell ref="M255:N255"/>
    <mergeCell ref="Q255:R255"/>
    <mergeCell ref="M254:N254"/>
    <mergeCell ref="O254:P254"/>
    <mergeCell ref="H281:L281"/>
    <mergeCell ref="H282:L282"/>
    <mergeCell ref="U280:V280"/>
    <mergeCell ref="O291:P291"/>
    <mergeCell ref="Q280:R280"/>
    <mergeCell ref="S308:T308"/>
    <mergeCell ref="O288:P288"/>
    <mergeCell ref="M279:N279"/>
    <mergeCell ref="M289:N289"/>
    <mergeCell ref="M281:N281"/>
    <mergeCell ref="U262:V262"/>
    <mergeCell ref="U263:V263"/>
    <mergeCell ref="B267:V267"/>
    <mergeCell ref="H268:L268"/>
    <mergeCell ref="B268:D268"/>
    <mergeCell ref="U152:V152"/>
    <mergeCell ref="U153:V153"/>
    <mergeCell ref="O183:P183"/>
    <mergeCell ref="U170:V170"/>
    <mergeCell ref="U171:V171"/>
    <mergeCell ref="U169:V169"/>
    <mergeCell ref="U154:V154"/>
    <mergeCell ref="E54:F54"/>
    <mergeCell ref="E55:F55"/>
    <mergeCell ref="G56:H56"/>
    <mergeCell ref="M134:N134"/>
    <mergeCell ref="O134:P134"/>
    <mergeCell ref="M110:T110"/>
    <mergeCell ref="M74:T74"/>
    <mergeCell ref="M178:N178"/>
    <mergeCell ref="O178:P178"/>
    <mergeCell ref="Q146:R146"/>
    <mergeCell ref="M147:N147"/>
    <mergeCell ref="O147:P147"/>
    <mergeCell ref="Q147:R147"/>
    <mergeCell ref="S147:T147"/>
    <mergeCell ref="S143:T143"/>
    <mergeCell ref="M144:N144"/>
    <mergeCell ref="B109:V109"/>
    <mergeCell ref="U119:V119"/>
    <mergeCell ref="U126:V126"/>
    <mergeCell ref="U127:V127"/>
    <mergeCell ref="U128:V128"/>
    <mergeCell ref="U129:V129"/>
    <mergeCell ref="B123:V123"/>
    <mergeCell ref="U158:V159"/>
    <mergeCell ref="U69:V69"/>
    <mergeCell ref="U137:V137"/>
    <mergeCell ref="U141:V142"/>
    <mergeCell ref="U143:V143"/>
    <mergeCell ref="U144:V144"/>
    <mergeCell ref="U145:V145"/>
    <mergeCell ref="U146:V146"/>
    <mergeCell ref="U147:V147"/>
    <mergeCell ref="Q149:R149"/>
    <mergeCell ref="B144:D144"/>
    <mergeCell ref="B145:D145"/>
    <mergeCell ref="U149:V149"/>
    <mergeCell ref="B133:D133"/>
    <mergeCell ref="B149:D149"/>
    <mergeCell ref="Q132:R132"/>
    <mergeCell ref="S132:T132"/>
    <mergeCell ref="M133:N133"/>
    <mergeCell ref="O133:P133"/>
    <mergeCell ref="Q133:R133"/>
    <mergeCell ref="S133:T133"/>
    <mergeCell ref="S316:T316"/>
    <mergeCell ref="H316:L316"/>
    <mergeCell ref="U311:V311"/>
    <mergeCell ref="U312:V312"/>
    <mergeCell ref="U313:V313"/>
    <mergeCell ref="F331:L331"/>
    <mergeCell ref="F333:L333"/>
    <mergeCell ref="M330:N330"/>
    <mergeCell ref="U330:V330"/>
    <mergeCell ref="B324:V324"/>
    <mergeCell ref="B343:D343"/>
    <mergeCell ref="B344:D344"/>
    <mergeCell ref="U209:V210"/>
    <mergeCell ref="H205:L205"/>
    <mergeCell ref="H201:L201"/>
    <mergeCell ref="H202:L202"/>
    <mergeCell ref="H203:L203"/>
    <mergeCell ref="B204:D204"/>
    <mergeCell ref="B205:D205"/>
    <mergeCell ref="H209:L209"/>
    <mergeCell ref="H210:L210"/>
    <mergeCell ref="B319:D319"/>
    <mergeCell ref="S263:T263"/>
    <mergeCell ref="M288:N288"/>
    <mergeCell ref="U318:V318"/>
    <mergeCell ref="B228:D228"/>
    <mergeCell ref="B229:D229"/>
    <mergeCell ref="U249:V249"/>
    <mergeCell ref="U228:V228"/>
    <mergeCell ref="U229:V229"/>
    <mergeCell ref="Q281:R281"/>
    <mergeCell ref="S281:T281"/>
    <mergeCell ref="H183:L183"/>
    <mergeCell ref="U192:V193"/>
    <mergeCell ref="U185:V185"/>
    <mergeCell ref="S187:T187"/>
    <mergeCell ref="O187:P187"/>
    <mergeCell ref="U238:V238"/>
    <mergeCell ref="U239:V239"/>
    <mergeCell ref="O196:P196"/>
    <mergeCell ref="Q204:R204"/>
    <mergeCell ref="U187:V187"/>
    <mergeCell ref="U186:V186"/>
    <mergeCell ref="Q187:R187"/>
    <mergeCell ref="B208:V208"/>
    <mergeCell ref="H213:L213"/>
    <mergeCell ref="H219:L219"/>
    <mergeCell ref="M231:N231"/>
    <mergeCell ref="H231:L231"/>
    <mergeCell ref="M219:N219"/>
    <mergeCell ref="O219:P219"/>
    <mergeCell ref="B220:D220"/>
    <mergeCell ref="B238:D238"/>
    <mergeCell ref="Q222:R222"/>
    <mergeCell ref="B234:D234"/>
    <mergeCell ref="O235:P235"/>
    <mergeCell ref="Q235:R235"/>
    <mergeCell ref="M237:N237"/>
    <mergeCell ref="O237:P237"/>
    <mergeCell ref="Q237:R237"/>
    <mergeCell ref="B235:D235"/>
    <mergeCell ref="B236:D236"/>
    <mergeCell ref="B237:D237"/>
    <mergeCell ref="S230:T230"/>
    <mergeCell ref="Q221:R221"/>
    <mergeCell ref="S232:T232"/>
    <mergeCell ref="M234:N234"/>
    <mergeCell ref="O234:P234"/>
    <mergeCell ref="U220:V220"/>
    <mergeCell ref="M251:N251"/>
    <mergeCell ref="H260:L260"/>
    <mergeCell ref="H261:L261"/>
    <mergeCell ref="B255:D255"/>
    <mergeCell ref="O246:P246"/>
    <mergeCell ref="Q246:R246"/>
    <mergeCell ref="U245:V245"/>
    <mergeCell ref="U246:V246"/>
    <mergeCell ref="U247:V247"/>
    <mergeCell ref="B221:D221"/>
    <mergeCell ref="B230:D230"/>
    <mergeCell ref="H230:L230"/>
    <mergeCell ref="O221:P221"/>
    <mergeCell ref="B243:D244"/>
    <mergeCell ref="B248:D248"/>
    <mergeCell ref="B251:D251"/>
    <mergeCell ref="B252:D252"/>
    <mergeCell ref="B253:D253"/>
    <mergeCell ref="B254:D254"/>
    <mergeCell ref="H255:L255"/>
    <mergeCell ref="B256:D256"/>
    <mergeCell ref="B250:V250"/>
    <mergeCell ref="S228:T228"/>
    <mergeCell ref="U252:V252"/>
    <mergeCell ref="U188:V188"/>
    <mergeCell ref="U201:V201"/>
    <mergeCell ref="U234:V234"/>
    <mergeCell ref="U235:V235"/>
    <mergeCell ref="Q251:R251"/>
    <mergeCell ref="H218:L218"/>
    <mergeCell ref="S221:T221"/>
    <mergeCell ref="Q228:R228"/>
    <mergeCell ref="U256:V256"/>
    <mergeCell ref="U260:V261"/>
    <mergeCell ref="U230:V230"/>
    <mergeCell ref="Q230:R230"/>
    <mergeCell ref="M247:N247"/>
    <mergeCell ref="Q238:R238"/>
    <mergeCell ref="S246:T246"/>
    <mergeCell ref="O195:P195"/>
    <mergeCell ref="S195:T195"/>
    <mergeCell ref="O217:P217"/>
    <mergeCell ref="Q217:R217"/>
    <mergeCell ref="S217:T217"/>
    <mergeCell ref="H223:L223"/>
    <mergeCell ref="M223:N223"/>
    <mergeCell ref="Q229:R229"/>
    <mergeCell ref="U231:V231"/>
    <mergeCell ref="H251:L251"/>
    <mergeCell ref="O255:P255"/>
    <mergeCell ref="S257:T257"/>
    <mergeCell ref="Q253:R253"/>
    <mergeCell ref="S253:T253"/>
    <mergeCell ref="H257:L257"/>
    <mergeCell ref="S238:T238"/>
    <mergeCell ref="O229:P229"/>
    <mergeCell ref="S178:T178"/>
    <mergeCell ref="B189:D189"/>
    <mergeCell ref="H189:L189"/>
    <mergeCell ref="M189:N189"/>
    <mergeCell ref="U161:V161"/>
    <mergeCell ref="U162:V162"/>
    <mergeCell ref="U163:V163"/>
    <mergeCell ref="U164:V164"/>
    <mergeCell ref="U166:V166"/>
    <mergeCell ref="U167:V167"/>
    <mergeCell ref="U168:V168"/>
    <mergeCell ref="U236:V236"/>
    <mergeCell ref="H234:L234"/>
    <mergeCell ref="M229:N229"/>
    <mergeCell ref="Q234:R234"/>
    <mergeCell ref="S234:T234"/>
    <mergeCell ref="M228:N228"/>
    <mergeCell ref="O228:P228"/>
    <mergeCell ref="M235:N235"/>
    <mergeCell ref="M236:N236"/>
    <mergeCell ref="H226:L226"/>
    <mergeCell ref="H227:L227"/>
    <mergeCell ref="S229:T229"/>
    <mergeCell ref="O222:P222"/>
    <mergeCell ref="O194:P194"/>
    <mergeCell ref="U181:V181"/>
    <mergeCell ref="B199:V199"/>
    <mergeCell ref="Q219:R219"/>
    <mergeCell ref="S219:T219"/>
    <mergeCell ref="B232:D232"/>
    <mergeCell ref="B226:D227"/>
    <mergeCell ref="O214:P214"/>
    <mergeCell ref="B179:D179"/>
    <mergeCell ref="M179:N179"/>
    <mergeCell ref="U255:V255"/>
    <mergeCell ref="S177:T177"/>
    <mergeCell ref="B154:D154"/>
    <mergeCell ref="B146:D146"/>
    <mergeCell ref="B147:D147"/>
    <mergeCell ref="S204:T204"/>
    <mergeCell ref="O179:P179"/>
    <mergeCell ref="Q179:R179"/>
    <mergeCell ref="M177:N177"/>
    <mergeCell ref="O177:P177"/>
    <mergeCell ref="Q177:R177"/>
    <mergeCell ref="Q183:R183"/>
    <mergeCell ref="S183:T183"/>
    <mergeCell ref="S206:T206"/>
    <mergeCell ref="Q154:R154"/>
    <mergeCell ref="H204:L204"/>
    <mergeCell ref="H184:L184"/>
    <mergeCell ref="M204:N204"/>
    <mergeCell ref="O204:P204"/>
    <mergeCell ref="H187:L187"/>
    <mergeCell ref="S146:T146"/>
    <mergeCell ref="S149:T149"/>
    <mergeCell ref="B183:D183"/>
    <mergeCell ref="U177:V177"/>
    <mergeCell ref="S255:T255"/>
    <mergeCell ref="O247:P247"/>
    <mergeCell ref="Q247:R247"/>
    <mergeCell ref="S247:T247"/>
    <mergeCell ref="S249:T249"/>
    <mergeCell ref="Q254:R254"/>
    <mergeCell ref="Q47:R47"/>
    <mergeCell ref="B203:D203"/>
    <mergeCell ref="B209:D210"/>
    <mergeCell ref="B211:D211"/>
    <mergeCell ref="B212:D212"/>
    <mergeCell ref="S180:T180"/>
    <mergeCell ref="M181:N181"/>
    <mergeCell ref="O181:P181"/>
    <mergeCell ref="B194:D194"/>
    <mergeCell ref="B195:D195"/>
    <mergeCell ref="H192:L192"/>
    <mergeCell ref="H193:L193"/>
    <mergeCell ref="M183:N183"/>
    <mergeCell ref="O203:P203"/>
    <mergeCell ref="Q203:R203"/>
    <mergeCell ref="S47:T47"/>
    <mergeCell ref="U175:V176"/>
    <mergeCell ref="U180:V180"/>
    <mergeCell ref="U183:V183"/>
    <mergeCell ref="U172:V172"/>
    <mergeCell ref="B161:D161"/>
    <mergeCell ref="O162:P162"/>
    <mergeCell ref="Q162:R162"/>
    <mergeCell ref="S162:T162"/>
    <mergeCell ref="O171:P171"/>
    <mergeCell ref="H175:L175"/>
    <mergeCell ref="H176:L176"/>
    <mergeCell ref="Q180:R180"/>
    <mergeCell ref="S154:T154"/>
    <mergeCell ref="B158:D159"/>
    <mergeCell ref="U184:V184"/>
    <mergeCell ref="H186:L186"/>
    <mergeCell ref="E4:T4"/>
    <mergeCell ref="B8:D8"/>
    <mergeCell ref="B9:D9"/>
    <mergeCell ref="B72:D72"/>
    <mergeCell ref="B71:D71"/>
    <mergeCell ref="B70:D70"/>
    <mergeCell ref="B69:D69"/>
    <mergeCell ref="B68:D68"/>
    <mergeCell ref="B67:D67"/>
    <mergeCell ref="B66:D66"/>
    <mergeCell ref="B65:D65"/>
    <mergeCell ref="B64:D64"/>
    <mergeCell ref="B44:D46"/>
    <mergeCell ref="B47:D47"/>
    <mergeCell ref="B48:D48"/>
    <mergeCell ref="B61:V61"/>
    <mergeCell ref="B62:V62"/>
    <mergeCell ref="U44:V46"/>
    <mergeCell ref="U47:V47"/>
    <mergeCell ref="U48:V48"/>
    <mergeCell ref="U49:V49"/>
    <mergeCell ref="B55:D55"/>
    <mergeCell ref="B56:D56"/>
    <mergeCell ref="B57:D57"/>
    <mergeCell ref="M69:T69"/>
    <mergeCell ref="B58:V58"/>
    <mergeCell ref="E56:F56"/>
    <mergeCell ref="O49:P49"/>
    <mergeCell ref="S46:T46"/>
    <mergeCell ref="F65:L65"/>
    <mergeCell ref="U55:V55"/>
    <mergeCell ref="U56:V56"/>
    <mergeCell ref="M48:N48"/>
    <mergeCell ref="M56:N56"/>
    <mergeCell ref="I56:J56"/>
    <mergeCell ref="B6:V6"/>
    <mergeCell ref="Q48:R48"/>
    <mergeCell ref="K56:L56"/>
    <mergeCell ref="S287:T287"/>
    <mergeCell ref="M307:N307"/>
    <mergeCell ref="M333:N333"/>
    <mergeCell ref="Q338:R338"/>
    <mergeCell ref="S338:T338"/>
    <mergeCell ref="O318:P318"/>
    <mergeCell ref="Q318:R318"/>
    <mergeCell ref="O333:P333"/>
    <mergeCell ref="S333:T333"/>
    <mergeCell ref="Q340:R340"/>
    <mergeCell ref="B336:D336"/>
    <mergeCell ref="F336:L336"/>
    <mergeCell ref="M336:N336"/>
    <mergeCell ref="M332:N332"/>
    <mergeCell ref="O332:P332"/>
    <mergeCell ref="H315:L315"/>
    <mergeCell ref="B302:V302"/>
    <mergeCell ref="U315:V315"/>
    <mergeCell ref="U308:V308"/>
    <mergeCell ref="S50:T50"/>
    <mergeCell ref="S51:T51"/>
    <mergeCell ref="S52:T52"/>
    <mergeCell ref="U309:V309"/>
    <mergeCell ref="U310:V310"/>
    <mergeCell ref="B296:V296"/>
    <mergeCell ref="U50:V50"/>
    <mergeCell ref="U51:V51"/>
    <mergeCell ref="U52:V52"/>
    <mergeCell ref="O170:P170"/>
    <mergeCell ref="Q170:R170"/>
    <mergeCell ref="Q264:R264"/>
    <mergeCell ref="B356:D356"/>
    <mergeCell ref="F356:L356"/>
    <mergeCell ref="F361:L361"/>
    <mergeCell ref="B357:D357"/>
    <mergeCell ref="F357:L357"/>
    <mergeCell ref="B359:D359"/>
    <mergeCell ref="B360:D360"/>
    <mergeCell ref="F360:L360"/>
    <mergeCell ref="O359:P359"/>
    <mergeCell ref="S361:T361"/>
    <mergeCell ref="M358:N358"/>
    <mergeCell ref="O358:P358"/>
    <mergeCell ref="Q358:R358"/>
    <mergeCell ref="S358:T358"/>
    <mergeCell ref="U281:V281"/>
    <mergeCell ref="U289:V289"/>
    <mergeCell ref="B350:D350"/>
    <mergeCell ref="B349:D349"/>
    <mergeCell ref="Q354:R354"/>
    <mergeCell ref="S354:T354"/>
    <mergeCell ref="M269:N269"/>
    <mergeCell ref="O269:P269"/>
    <mergeCell ref="O270:P270"/>
    <mergeCell ref="Q270:R270"/>
    <mergeCell ref="H279:L279"/>
    <mergeCell ref="H280:L280"/>
    <mergeCell ref="B292:V292"/>
    <mergeCell ref="H321:L321"/>
    <mergeCell ref="M329:N329"/>
    <mergeCell ref="S309:T309"/>
    <mergeCell ref="O371:P371"/>
    <mergeCell ref="Q371:R371"/>
    <mergeCell ref="Q329:R329"/>
    <mergeCell ref="O316:P316"/>
    <mergeCell ref="B326:V326"/>
    <mergeCell ref="B327:V327"/>
    <mergeCell ref="B355:D355"/>
    <mergeCell ref="F355:L355"/>
    <mergeCell ref="Q359:R359"/>
    <mergeCell ref="Q316:R316"/>
    <mergeCell ref="M318:N318"/>
    <mergeCell ref="M319:N319"/>
    <mergeCell ref="S312:T312"/>
    <mergeCell ref="H319:L319"/>
    <mergeCell ref="U316:V316"/>
    <mergeCell ref="H309:L309"/>
    <mergeCell ref="F338:L338"/>
    <mergeCell ref="M338:N338"/>
    <mergeCell ref="O338:P338"/>
    <mergeCell ref="S341:T341"/>
    <mergeCell ref="M352:N352"/>
    <mergeCell ref="O342:P342"/>
    <mergeCell ref="Q342:R342"/>
    <mergeCell ref="S342:T342"/>
    <mergeCell ref="U341:V341"/>
    <mergeCell ref="S349:T349"/>
    <mergeCell ref="F347:L347"/>
    <mergeCell ref="Q321:R321"/>
    <mergeCell ref="Q332:R332"/>
    <mergeCell ref="S318:T318"/>
    <mergeCell ref="S319:T319"/>
    <mergeCell ref="H313:L313"/>
    <mergeCell ref="B288:D288"/>
    <mergeCell ref="B299:V299"/>
    <mergeCell ref="U319:V319"/>
    <mergeCell ref="U279:V279"/>
    <mergeCell ref="O355:P355"/>
    <mergeCell ref="Q356:R356"/>
    <mergeCell ref="M361:N361"/>
    <mergeCell ref="O361:P361"/>
    <mergeCell ref="Q361:R361"/>
    <mergeCell ref="M360:N360"/>
    <mergeCell ref="O357:P357"/>
    <mergeCell ref="S360:T360"/>
    <mergeCell ref="O360:P360"/>
    <mergeCell ref="Q360:R360"/>
    <mergeCell ref="M359:N359"/>
    <mergeCell ref="M315:N315"/>
    <mergeCell ref="O315:P315"/>
    <mergeCell ref="Q315:R315"/>
    <mergeCell ref="S315:T315"/>
    <mergeCell ref="O289:P289"/>
    <mergeCell ref="F358:L358"/>
    <mergeCell ref="Q319:R319"/>
    <mergeCell ref="S313:T313"/>
    <mergeCell ref="B295:V295"/>
    <mergeCell ref="U314:V314"/>
    <mergeCell ref="B361:D361"/>
    <mergeCell ref="M282:N282"/>
    <mergeCell ref="B294:V294"/>
    <mergeCell ref="U290:V290"/>
    <mergeCell ref="B391:D391"/>
    <mergeCell ref="M367:N367"/>
    <mergeCell ref="O367:P367"/>
    <mergeCell ref="Q367:R367"/>
    <mergeCell ref="S367:T367"/>
    <mergeCell ref="B385:D387"/>
    <mergeCell ref="B388:D388"/>
    <mergeCell ref="O379:P379"/>
    <mergeCell ref="Q379:R379"/>
    <mergeCell ref="F375:L375"/>
    <mergeCell ref="F367:L367"/>
    <mergeCell ref="B362:D362"/>
    <mergeCell ref="F366:L366"/>
    <mergeCell ref="F368:L368"/>
    <mergeCell ref="F369:L369"/>
    <mergeCell ref="M386:N386"/>
    <mergeCell ref="Q370:R370"/>
    <mergeCell ref="M371:N371"/>
    <mergeCell ref="Q364:R364"/>
    <mergeCell ref="S364:T364"/>
    <mergeCell ref="B383:V383"/>
    <mergeCell ref="O363:P363"/>
    <mergeCell ref="B370:D370"/>
    <mergeCell ref="B365:D365"/>
    <mergeCell ref="B366:D366"/>
    <mergeCell ref="B368:D368"/>
    <mergeCell ref="B371:D371"/>
    <mergeCell ref="F371:L371"/>
    <mergeCell ref="S371:T371"/>
    <mergeCell ref="M365:N365"/>
    <mergeCell ref="B394:D394"/>
    <mergeCell ref="B422:D423"/>
    <mergeCell ref="U398:V398"/>
    <mergeCell ref="B401:C403"/>
    <mergeCell ref="B404:C404"/>
    <mergeCell ref="B405:C405"/>
    <mergeCell ref="B406:C406"/>
    <mergeCell ref="B407:C407"/>
    <mergeCell ref="I423:J423"/>
    <mergeCell ref="K423:L423"/>
    <mergeCell ref="E422:L422"/>
    <mergeCell ref="E423:F423"/>
    <mergeCell ref="B408:C408"/>
    <mergeCell ref="M376:N376"/>
    <mergeCell ref="O376:P376"/>
    <mergeCell ref="M375:N375"/>
    <mergeCell ref="O375:P375"/>
    <mergeCell ref="B396:D396"/>
    <mergeCell ref="B395:D395"/>
    <mergeCell ref="E385:L385"/>
    <mergeCell ref="K386:L386"/>
    <mergeCell ref="Q386:R386"/>
    <mergeCell ref="E401:L401"/>
    <mergeCell ref="B412:C412"/>
    <mergeCell ref="B375:D375"/>
    <mergeCell ref="U410:V410"/>
    <mergeCell ref="U406:V406"/>
    <mergeCell ref="U407:V407"/>
    <mergeCell ref="U408:V408"/>
    <mergeCell ref="B376:D376"/>
    <mergeCell ref="B377:D377"/>
    <mergeCell ref="B379:D379"/>
    <mergeCell ref="A422:A424"/>
    <mergeCell ref="A401:A403"/>
    <mergeCell ref="M422:T422"/>
    <mergeCell ref="B353:D353"/>
    <mergeCell ref="F353:L353"/>
    <mergeCell ref="M353:N353"/>
    <mergeCell ref="O353:P353"/>
    <mergeCell ref="Q353:R353"/>
    <mergeCell ref="S353:T353"/>
    <mergeCell ref="B416:V416"/>
    <mergeCell ref="B417:V417"/>
    <mergeCell ref="M385:T385"/>
    <mergeCell ref="S368:T368"/>
    <mergeCell ref="S365:T365"/>
    <mergeCell ref="M366:N366"/>
    <mergeCell ref="O366:P366"/>
    <mergeCell ref="Q366:R366"/>
    <mergeCell ref="S366:T366"/>
    <mergeCell ref="M369:N369"/>
    <mergeCell ref="O369:P369"/>
    <mergeCell ref="Q369:R369"/>
    <mergeCell ref="S369:T369"/>
    <mergeCell ref="M370:N370"/>
    <mergeCell ref="O370:P370"/>
    <mergeCell ref="B410:C410"/>
    <mergeCell ref="B411:C411"/>
    <mergeCell ref="U370:V370"/>
    <mergeCell ref="A385:A387"/>
    <mergeCell ref="E386:F386"/>
    <mergeCell ref="B354:D354"/>
    <mergeCell ref="F354:L354"/>
    <mergeCell ref="B358:D358"/>
    <mergeCell ref="A277:A278"/>
    <mergeCell ref="E277:E278"/>
    <mergeCell ref="F277:F278"/>
    <mergeCell ref="G277:G278"/>
    <mergeCell ref="M278:N278"/>
    <mergeCell ref="O278:P278"/>
    <mergeCell ref="Q278:R278"/>
    <mergeCell ref="M313:N313"/>
    <mergeCell ref="M312:N312"/>
    <mergeCell ref="S335:T335"/>
    <mergeCell ref="M343:N343"/>
    <mergeCell ref="O343:P343"/>
    <mergeCell ref="Q343:R343"/>
    <mergeCell ref="Q333:R333"/>
    <mergeCell ref="M344:N344"/>
    <mergeCell ref="O344:P344"/>
    <mergeCell ref="Q344:R344"/>
    <mergeCell ref="H290:L290"/>
    <mergeCell ref="M290:N290"/>
    <mergeCell ref="S279:T279"/>
    <mergeCell ref="B340:D340"/>
    <mergeCell ref="B279:D279"/>
    <mergeCell ref="B280:D280"/>
    <mergeCell ref="Q308:R308"/>
    <mergeCell ref="Q309:R309"/>
    <mergeCell ref="Q310:R310"/>
    <mergeCell ref="Q311:R311"/>
    <mergeCell ref="Q312:R312"/>
    <mergeCell ref="Q313:R313"/>
    <mergeCell ref="O287:P287"/>
    <mergeCell ref="Q287:R287"/>
    <mergeCell ref="Q279:R279"/>
    <mergeCell ref="O285:P285"/>
    <mergeCell ref="O282:P282"/>
    <mergeCell ref="Q282:R282"/>
    <mergeCell ref="S282:T282"/>
    <mergeCell ref="Q283:R283"/>
    <mergeCell ref="B282:D282"/>
    <mergeCell ref="B281:D281"/>
    <mergeCell ref="B283:D283"/>
    <mergeCell ref="U282:V282"/>
    <mergeCell ref="U283:V283"/>
    <mergeCell ref="O281:P281"/>
    <mergeCell ref="H277:L277"/>
    <mergeCell ref="H278:L278"/>
    <mergeCell ref="B277:D278"/>
    <mergeCell ref="U286:V286"/>
    <mergeCell ref="B285:D285"/>
    <mergeCell ref="B286:D286"/>
    <mergeCell ref="S278:T278"/>
    <mergeCell ref="M277:T277"/>
    <mergeCell ref="S285:T285"/>
    <mergeCell ref="H285:L285"/>
    <mergeCell ref="Q285:R285"/>
    <mergeCell ref="B284:V284"/>
    <mergeCell ref="M283:N283"/>
    <mergeCell ref="H272:L272"/>
    <mergeCell ref="H271:L271"/>
    <mergeCell ref="M270:N270"/>
    <mergeCell ref="H269:L269"/>
    <mergeCell ref="S280:T280"/>
    <mergeCell ref="O279:P279"/>
    <mergeCell ref="B272:D272"/>
    <mergeCell ref="B273:D273"/>
    <mergeCell ref="S274:T274"/>
    <mergeCell ref="Q272:R272"/>
    <mergeCell ref="B274:D274"/>
    <mergeCell ref="U274:V274"/>
    <mergeCell ref="S270:T270"/>
    <mergeCell ref="M271:N271"/>
    <mergeCell ref="O271:P271"/>
    <mergeCell ref="Q271:R271"/>
    <mergeCell ref="S271:T271"/>
    <mergeCell ref="H274:L274"/>
    <mergeCell ref="H273:L273"/>
    <mergeCell ref="B276:V276"/>
    <mergeCell ref="M273:N273"/>
    <mergeCell ref="O273:P273"/>
    <mergeCell ref="Q273:R273"/>
    <mergeCell ref="S273:T273"/>
    <mergeCell ref="H304:L304"/>
    <mergeCell ref="B300:V300"/>
    <mergeCell ref="M287:N287"/>
    <mergeCell ref="O309:P309"/>
    <mergeCell ref="O310:P310"/>
    <mergeCell ref="O311:P311"/>
    <mergeCell ref="O312:P312"/>
    <mergeCell ref="O313:P313"/>
    <mergeCell ref="O314:P314"/>
    <mergeCell ref="H312:L312"/>
    <mergeCell ref="S283:T283"/>
    <mergeCell ref="M306:N306"/>
    <mergeCell ref="Q307:R307"/>
    <mergeCell ref="Q291:R291"/>
    <mergeCell ref="M309:N309"/>
    <mergeCell ref="B297:V297"/>
    <mergeCell ref="S288:T288"/>
    <mergeCell ref="B304:D304"/>
    <mergeCell ref="B287:D287"/>
    <mergeCell ref="U285:V285"/>
    <mergeCell ref="Q314:R314"/>
    <mergeCell ref="H311:L311"/>
    <mergeCell ref="H286:L286"/>
    <mergeCell ref="O283:P283"/>
    <mergeCell ref="H283:L283"/>
    <mergeCell ref="Q288:R288"/>
    <mergeCell ref="M314:N314"/>
    <mergeCell ref="H314:L314"/>
    <mergeCell ref="B291:D291"/>
    <mergeCell ref="H291:L291"/>
    <mergeCell ref="M291:N291"/>
    <mergeCell ref="S289:T289"/>
    <mergeCell ref="B266:D266"/>
    <mergeCell ref="B269:D269"/>
    <mergeCell ref="B270:D270"/>
    <mergeCell ref="B271:D271"/>
    <mergeCell ref="H270:L270"/>
    <mergeCell ref="U265:V265"/>
    <mergeCell ref="U266:V266"/>
    <mergeCell ref="U268:V268"/>
    <mergeCell ref="U269:V269"/>
    <mergeCell ref="U270:V270"/>
    <mergeCell ref="U271:V271"/>
    <mergeCell ref="U272:V272"/>
    <mergeCell ref="U273:V273"/>
    <mergeCell ref="U277:V278"/>
    <mergeCell ref="M280:N280"/>
    <mergeCell ref="O280:P280"/>
    <mergeCell ref="O266:P266"/>
    <mergeCell ref="Q266:R266"/>
    <mergeCell ref="S266:T266"/>
    <mergeCell ref="H266:L266"/>
    <mergeCell ref="Q274:R274"/>
    <mergeCell ref="H265:L265"/>
    <mergeCell ref="M268:N268"/>
    <mergeCell ref="O268:P268"/>
    <mergeCell ref="Q268:R268"/>
    <mergeCell ref="S268:T268"/>
    <mergeCell ref="Q269:R269"/>
    <mergeCell ref="S269:T269"/>
    <mergeCell ref="S272:T272"/>
    <mergeCell ref="M272:N272"/>
    <mergeCell ref="O272:P272"/>
    <mergeCell ref="B275:V275"/>
    <mergeCell ref="U264:V264"/>
    <mergeCell ref="M260:T260"/>
    <mergeCell ref="U248:V248"/>
    <mergeCell ref="O261:P261"/>
    <mergeCell ref="B257:D257"/>
    <mergeCell ref="H254:L254"/>
    <mergeCell ref="F260:F261"/>
    <mergeCell ref="G260:G261"/>
    <mergeCell ref="M261:N261"/>
    <mergeCell ref="Q261:R261"/>
    <mergeCell ref="A260:A261"/>
    <mergeCell ref="O251:P251"/>
    <mergeCell ref="O252:P252"/>
    <mergeCell ref="Q252:R252"/>
    <mergeCell ref="S252:T252"/>
    <mergeCell ref="M253:N253"/>
    <mergeCell ref="B260:D261"/>
    <mergeCell ref="H262:L262"/>
    <mergeCell ref="O262:P262"/>
    <mergeCell ref="Q262:R262"/>
    <mergeCell ref="B262:D262"/>
    <mergeCell ref="S264:T264"/>
    <mergeCell ref="Q257:R257"/>
    <mergeCell ref="M248:N248"/>
    <mergeCell ref="A243:A244"/>
    <mergeCell ref="O236:P236"/>
    <mergeCell ref="O253:P253"/>
    <mergeCell ref="M249:N249"/>
    <mergeCell ref="O249:P249"/>
    <mergeCell ref="Q249:R249"/>
    <mergeCell ref="M246:N246"/>
    <mergeCell ref="S254:T254"/>
    <mergeCell ref="S248:T248"/>
    <mergeCell ref="O248:P248"/>
    <mergeCell ref="H237:L237"/>
    <mergeCell ref="B231:D231"/>
    <mergeCell ref="M244:N244"/>
    <mergeCell ref="O244:P244"/>
    <mergeCell ref="Q244:R244"/>
    <mergeCell ref="S244:T244"/>
    <mergeCell ref="B249:D249"/>
    <mergeCell ref="S239:T239"/>
    <mergeCell ref="M239:N239"/>
    <mergeCell ref="O231:P231"/>
    <mergeCell ref="Q231:R231"/>
    <mergeCell ref="S231:T231"/>
    <mergeCell ref="M232:N232"/>
    <mergeCell ref="O232:P232"/>
    <mergeCell ref="Q232:R232"/>
    <mergeCell ref="H249:L249"/>
    <mergeCell ref="B247:D247"/>
    <mergeCell ref="O239:P239"/>
    <mergeCell ref="E243:E244"/>
    <mergeCell ref="F243:F244"/>
    <mergeCell ref="G243:G244"/>
    <mergeCell ref="B217:D217"/>
    <mergeCell ref="Q211:R211"/>
    <mergeCell ref="H220:L220"/>
    <mergeCell ref="H215:L215"/>
    <mergeCell ref="B216:V216"/>
    <mergeCell ref="M209:T209"/>
    <mergeCell ref="U214:V214"/>
    <mergeCell ref="S227:T227"/>
    <mergeCell ref="Q214:R214"/>
    <mergeCell ref="S214:T214"/>
    <mergeCell ref="O215:P215"/>
    <mergeCell ref="H244:L244"/>
    <mergeCell ref="B239:D239"/>
    <mergeCell ref="S223:T223"/>
    <mergeCell ref="H245:L245"/>
    <mergeCell ref="H246:L246"/>
    <mergeCell ref="H229:L229"/>
    <mergeCell ref="O230:P230"/>
    <mergeCell ref="H238:L238"/>
    <mergeCell ref="H236:L236"/>
    <mergeCell ref="Q239:R239"/>
    <mergeCell ref="Q220:R220"/>
    <mergeCell ref="S220:T220"/>
    <mergeCell ref="S237:T237"/>
    <mergeCell ref="B224:V224"/>
    <mergeCell ref="U226:V227"/>
    <mergeCell ref="M230:N230"/>
    <mergeCell ref="H232:L232"/>
    <mergeCell ref="Q236:R236"/>
    <mergeCell ref="S236:T236"/>
    <mergeCell ref="S235:T235"/>
    <mergeCell ref="H228:L228"/>
    <mergeCell ref="A226:A227"/>
    <mergeCell ref="E226:E227"/>
    <mergeCell ref="F226:F227"/>
    <mergeCell ref="G226:G227"/>
    <mergeCell ref="M227:N227"/>
    <mergeCell ref="O227:P227"/>
    <mergeCell ref="Q227:R227"/>
    <mergeCell ref="B218:D218"/>
    <mergeCell ref="B219:D219"/>
    <mergeCell ref="O223:P223"/>
    <mergeCell ref="Q223:R223"/>
    <mergeCell ref="A192:A193"/>
    <mergeCell ref="E192:E193"/>
    <mergeCell ref="F192:F193"/>
    <mergeCell ref="G192:G193"/>
    <mergeCell ref="M193:N193"/>
    <mergeCell ref="O193:P193"/>
    <mergeCell ref="Q193:R193"/>
    <mergeCell ref="H212:L212"/>
    <mergeCell ref="Q198:R198"/>
    <mergeCell ref="M222:N222"/>
    <mergeCell ref="A209:A210"/>
    <mergeCell ref="E209:E210"/>
    <mergeCell ref="F209:F210"/>
    <mergeCell ref="G209:G210"/>
    <mergeCell ref="M210:N210"/>
    <mergeCell ref="O210:P210"/>
    <mergeCell ref="B223:D223"/>
    <mergeCell ref="M218:N218"/>
    <mergeCell ref="M212:N212"/>
    <mergeCell ref="H214:L214"/>
    <mergeCell ref="B222:D222"/>
    <mergeCell ref="M184:N184"/>
    <mergeCell ref="O184:P184"/>
    <mergeCell ref="Q184:R184"/>
    <mergeCell ref="S184:T184"/>
    <mergeCell ref="M185:N185"/>
    <mergeCell ref="O185:P185"/>
    <mergeCell ref="Q185:R185"/>
    <mergeCell ref="S185:T185"/>
    <mergeCell ref="M186:N186"/>
    <mergeCell ref="O186:P186"/>
    <mergeCell ref="Q186:R186"/>
    <mergeCell ref="S186:T186"/>
    <mergeCell ref="B192:D193"/>
    <mergeCell ref="M192:T192"/>
    <mergeCell ref="B186:D186"/>
    <mergeCell ref="B187:D187"/>
    <mergeCell ref="B188:D188"/>
    <mergeCell ref="M188:N188"/>
    <mergeCell ref="O188:P188"/>
    <mergeCell ref="Q188:R188"/>
    <mergeCell ref="S188:T188"/>
    <mergeCell ref="S193:T193"/>
    <mergeCell ref="H185:L185"/>
    <mergeCell ref="M187:N187"/>
    <mergeCell ref="B184:D184"/>
    <mergeCell ref="O189:P189"/>
    <mergeCell ref="Q189:R189"/>
    <mergeCell ref="S189:T189"/>
    <mergeCell ref="A175:A176"/>
    <mergeCell ref="E175:E176"/>
    <mergeCell ref="F175:F176"/>
    <mergeCell ref="G175:G176"/>
    <mergeCell ref="M176:N176"/>
    <mergeCell ref="O176:P176"/>
    <mergeCell ref="Q176:R176"/>
    <mergeCell ref="S176:T176"/>
    <mergeCell ref="M167:N167"/>
    <mergeCell ref="O167:P167"/>
    <mergeCell ref="Q167:R167"/>
    <mergeCell ref="S167:T167"/>
    <mergeCell ref="M168:N168"/>
    <mergeCell ref="O168:P168"/>
    <mergeCell ref="Q168:R168"/>
    <mergeCell ref="S168:T168"/>
    <mergeCell ref="M169:N169"/>
    <mergeCell ref="O169:P169"/>
    <mergeCell ref="Q169:R169"/>
    <mergeCell ref="S169:T169"/>
    <mergeCell ref="B175:D176"/>
    <mergeCell ref="H167:L167"/>
    <mergeCell ref="H168:L168"/>
    <mergeCell ref="B167:D167"/>
    <mergeCell ref="B168:D168"/>
    <mergeCell ref="B169:D169"/>
    <mergeCell ref="B170:D170"/>
    <mergeCell ref="B171:D171"/>
    <mergeCell ref="H171:L171"/>
    <mergeCell ref="S172:T172"/>
    <mergeCell ref="S170:T170"/>
    <mergeCell ref="S171:T171"/>
    <mergeCell ref="A158:A159"/>
    <mergeCell ref="E158:E159"/>
    <mergeCell ref="F158:F159"/>
    <mergeCell ref="G158:G159"/>
    <mergeCell ref="M159:N159"/>
    <mergeCell ref="O159:P159"/>
    <mergeCell ref="Q159:R159"/>
    <mergeCell ref="S159:T159"/>
    <mergeCell ref="M150:N150"/>
    <mergeCell ref="O150:P150"/>
    <mergeCell ref="Q150:R150"/>
    <mergeCell ref="S150:T150"/>
    <mergeCell ref="M151:N151"/>
    <mergeCell ref="O151:P151"/>
    <mergeCell ref="Q151:R151"/>
    <mergeCell ref="S151:T151"/>
    <mergeCell ref="M152:N152"/>
    <mergeCell ref="O152:P152"/>
    <mergeCell ref="Q152:R152"/>
    <mergeCell ref="S152:T152"/>
    <mergeCell ref="H154:L154"/>
    <mergeCell ref="M158:T158"/>
    <mergeCell ref="H152:L152"/>
    <mergeCell ref="H153:L153"/>
    <mergeCell ref="H150:L150"/>
    <mergeCell ref="H151:L151"/>
    <mergeCell ref="B153:D153"/>
    <mergeCell ref="M153:N153"/>
    <mergeCell ref="B157:V157"/>
    <mergeCell ref="U151:V151"/>
    <mergeCell ref="U150:V150"/>
    <mergeCell ref="B150:D150"/>
    <mergeCell ref="A141:A142"/>
    <mergeCell ref="E141:E142"/>
    <mergeCell ref="O135:P135"/>
    <mergeCell ref="Q135:R135"/>
    <mergeCell ref="S135:T135"/>
    <mergeCell ref="M136:N136"/>
    <mergeCell ref="O136:P136"/>
    <mergeCell ref="Q136:R136"/>
    <mergeCell ref="S136:T136"/>
    <mergeCell ref="M137:N137"/>
    <mergeCell ref="O137:P137"/>
    <mergeCell ref="Q137:R137"/>
    <mergeCell ref="S137:T137"/>
    <mergeCell ref="B140:V140"/>
    <mergeCell ref="H137:L137"/>
    <mergeCell ref="B141:D142"/>
    <mergeCell ref="S142:T142"/>
    <mergeCell ref="H135:L135"/>
    <mergeCell ref="H136:L136"/>
    <mergeCell ref="B139:V139"/>
    <mergeCell ref="H141:L141"/>
    <mergeCell ref="H142:L142"/>
    <mergeCell ref="M138:N138"/>
    <mergeCell ref="O138:P138"/>
    <mergeCell ref="Q138:R138"/>
    <mergeCell ref="S138:T138"/>
    <mergeCell ref="U138:V138"/>
    <mergeCell ref="Q142:R142"/>
    <mergeCell ref="M142:N142"/>
    <mergeCell ref="O142:P142"/>
    <mergeCell ref="U135:V135"/>
    <mergeCell ref="U136:V136"/>
    <mergeCell ref="M73:T73"/>
    <mergeCell ref="V95:V96"/>
    <mergeCell ref="F71:L71"/>
    <mergeCell ref="B108:V108"/>
    <mergeCell ref="M135:N135"/>
    <mergeCell ref="B135:D135"/>
    <mergeCell ref="B136:D136"/>
    <mergeCell ref="B137:D137"/>
    <mergeCell ref="A124:A125"/>
    <mergeCell ref="M125:N125"/>
    <mergeCell ref="O125:P125"/>
    <mergeCell ref="Q125:R125"/>
    <mergeCell ref="S125:T125"/>
    <mergeCell ref="M127:N127"/>
    <mergeCell ref="M128:N128"/>
    <mergeCell ref="M129:N129"/>
    <mergeCell ref="O127:P127"/>
    <mergeCell ref="O128:P128"/>
    <mergeCell ref="O129:P129"/>
    <mergeCell ref="Q127:R127"/>
    <mergeCell ref="Q128:R128"/>
    <mergeCell ref="Q129:R129"/>
    <mergeCell ref="S127:T127"/>
    <mergeCell ref="S128:T128"/>
    <mergeCell ref="S129:T129"/>
    <mergeCell ref="M124:T124"/>
    <mergeCell ref="M126:N126"/>
    <mergeCell ref="O126:P126"/>
    <mergeCell ref="H127:L127"/>
    <mergeCell ref="F124:F125"/>
    <mergeCell ref="E124:E125"/>
    <mergeCell ref="H124:L124"/>
    <mergeCell ref="I57:J57"/>
    <mergeCell ref="K57:L57"/>
    <mergeCell ref="M57:N57"/>
    <mergeCell ref="O57:P57"/>
    <mergeCell ref="S56:T56"/>
    <mergeCell ref="S57:T57"/>
    <mergeCell ref="Q57:R57"/>
    <mergeCell ref="Q56:R56"/>
    <mergeCell ref="O56:P56"/>
    <mergeCell ref="B63:V63"/>
    <mergeCell ref="M65:T65"/>
    <mergeCell ref="U66:V66"/>
    <mergeCell ref="U67:V67"/>
    <mergeCell ref="U68:V68"/>
    <mergeCell ref="F66:L66"/>
    <mergeCell ref="F67:L67"/>
    <mergeCell ref="M67:T67"/>
    <mergeCell ref="E57:F57"/>
    <mergeCell ref="B59:V59"/>
    <mergeCell ref="F68:L68"/>
    <mergeCell ref="B60:V60"/>
    <mergeCell ref="M66:T66"/>
    <mergeCell ref="U64:V64"/>
    <mergeCell ref="U65:V65"/>
    <mergeCell ref="U57:V57"/>
    <mergeCell ref="B117:D117"/>
    <mergeCell ref="B118:D118"/>
    <mergeCell ref="P100:R100"/>
    <mergeCell ref="U116:V116"/>
    <mergeCell ref="U117:V117"/>
    <mergeCell ref="M68:T68"/>
    <mergeCell ref="B75:D75"/>
    <mergeCell ref="U70:V70"/>
    <mergeCell ref="U71:V71"/>
    <mergeCell ref="U72:V72"/>
    <mergeCell ref="B122:V122"/>
    <mergeCell ref="H128:L128"/>
    <mergeCell ref="G99:I99"/>
    <mergeCell ref="G100:I100"/>
    <mergeCell ref="M100:O100"/>
    <mergeCell ref="M115:T115"/>
    <mergeCell ref="M116:T116"/>
    <mergeCell ref="D95:L95"/>
    <mergeCell ref="M95:U95"/>
    <mergeCell ref="B124:D125"/>
    <mergeCell ref="M114:T114"/>
    <mergeCell ref="U110:V110"/>
    <mergeCell ref="B104:V104"/>
    <mergeCell ref="B106:V106"/>
    <mergeCell ref="F77:L77"/>
    <mergeCell ref="M77:T77"/>
    <mergeCell ref="Q126:R126"/>
    <mergeCell ref="S126:T126"/>
    <mergeCell ref="B126:D126"/>
    <mergeCell ref="F70:L70"/>
    <mergeCell ref="F74:L74"/>
    <mergeCell ref="M72:T72"/>
    <mergeCell ref="M112:T112"/>
    <mergeCell ref="P98:R98"/>
    <mergeCell ref="J99:L99"/>
    <mergeCell ref="J100:L100"/>
    <mergeCell ref="J98:L98"/>
    <mergeCell ref="U118:V118"/>
    <mergeCell ref="S99:U99"/>
    <mergeCell ref="S100:U100"/>
    <mergeCell ref="S98:U98"/>
    <mergeCell ref="S48:T48"/>
    <mergeCell ref="S49:T49"/>
    <mergeCell ref="Q52:R52"/>
    <mergeCell ref="U112:V112"/>
    <mergeCell ref="B105:V105"/>
    <mergeCell ref="F117:L117"/>
    <mergeCell ref="F73:L73"/>
    <mergeCell ref="O48:P48"/>
    <mergeCell ref="M55:N55"/>
    <mergeCell ref="M53:N53"/>
    <mergeCell ref="K52:L52"/>
    <mergeCell ref="K53:L53"/>
    <mergeCell ref="M64:T64"/>
    <mergeCell ref="J81:L81"/>
    <mergeCell ref="M81:O81"/>
    <mergeCell ref="P81:R81"/>
    <mergeCell ref="S81:U81"/>
    <mergeCell ref="U77:V77"/>
    <mergeCell ref="U78:V78"/>
    <mergeCell ref="U74:V74"/>
    <mergeCell ref="U111:V111"/>
    <mergeCell ref="B114:D114"/>
    <mergeCell ref="B115:D115"/>
    <mergeCell ref="S96:U96"/>
    <mergeCell ref="D97:F97"/>
    <mergeCell ref="D99:F99"/>
    <mergeCell ref="D100:F100"/>
    <mergeCell ref="D98:F98"/>
    <mergeCell ref="M97:O97"/>
    <mergeCell ref="H133:L133"/>
    <mergeCell ref="O132:P132"/>
    <mergeCell ref="B131:V131"/>
    <mergeCell ref="B107:V107"/>
    <mergeCell ref="O153:P153"/>
    <mergeCell ref="Q153:R153"/>
    <mergeCell ref="M146:N146"/>
    <mergeCell ref="O146:P146"/>
    <mergeCell ref="B134:D134"/>
    <mergeCell ref="Q134:R134"/>
    <mergeCell ref="B121:V121"/>
    <mergeCell ref="H147:L147"/>
    <mergeCell ref="B148:V148"/>
    <mergeCell ref="M98:O98"/>
    <mergeCell ref="G98:I98"/>
    <mergeCell ref="G101:I101"/>
    <mergeCell ref="M101:O101"/>
    <mergeCell ref="B127:D127"/>
    <mergeCell ref="B128:D128"/>
    <mergeCell ref="B129:D129"/>
    <mergeCell ref="B130:D130"/>
    <mergeCell ref="B132:D132"/>
    <mergeCell ref="M119:T119"/>
    <mergeCell ref="M118:T118"/>
    <mergeCell ref="M117:T117"/>
    <mergeCell ref="M111:T111"/>
    <mergeCell ref="M175:T175"/>
    <mergeCell ref="M171:N171"/>
    <mergeCell ref="S211:T211"/>
    <mergeCell ref="M198:N198"/>
    <mergeCell ref="B185:D185"/>
    <mergeCell ref="M160:N160"/>
    <mergeCell ref="O160:P160"/>
    <mergeCell ref="Q160:R160"/>
    <mergeCell ref="S160:T160"/>
    <mergeCell ref="S164:T164"/>
    <mergeCell ref="B174:V174"/>
    <mergeCell ref="M166:N166"/>
    <mergeCell ref="H161:L161"/>
    <mergeCell ref="H162:L162"/>
    <mergeCell ref="H163:L163"/>
    <mergeCell ref="S179:T179"/>
    <mergeCell ref="B177:D177"/>
    <mergeCell ref="B178:D178"/>
    <mergeCell ref="B163:D163"/>
    <mergeCell ref="B160:D160"/>
    <mergeCell ref="U178:V178"/>
    <mergeCell ref="U179:V179"/>
    <mergeCell ref="M170:N170"/>
    <mergeCell ref="Q178:R178"/>
    <mergeCell ref="B164:D164"/>
    <mergeCell ref="M180:N180"/>
    <mergeCell ref="S196:T196"/>
    <mergeCell ref="Q181:R181"/>
    <mergeCell ref="H170:L170"/>
    <mergeCell ref="B162:D162"/>
    <mergeCell ref="U160:V160"/>
    <mergeCell ref="M161:N161"/>
    <mergeCell ref="H125:L125"/>
    <mergeCell ref="G124:G125"/>
    <mergeCell ref="H126:L126"/>
    <mergeCell ref="H129:L129"/>
    <mergeCell ref="B156:V156"/>
    <mergeCell ref="M154:N154"/>
    <mergeCell ref="O154:P154"/>
    <mergeCell ref="H159:L159"/>
    <mergeCell ref="B151:D151"/>
    <mergeCell ref="B143:D143"/>
    <mergeCell ref="H134:L134"/>
    <mergeCell ref="Q143:R143"/>
    <mergeCell ref="S134:T134"/>
    <mergeCell ref="O144:P144"/>
    <mergeCell ref="Q144:R144"/>
    <mergeCell ref="S144:T144"/>
    <mergeCell ref="M145:N145"/>
    <mergeCell ref="O145:P145"/>
    <mergeCell ref="Q145:R145"/>
    <mergeCell ref="S145:T145"/>
    <mergeCell ref="M143:N143"/>
    <mergeCell ref="O143:P143"/>
    <mergeCell ref="M149:N149"/>
    <mergeCell ref="H145:L145"/>
    <mergeCell ref="H144:L144"/>
    <mergeCell ref="S153:T153"/>
    <mergeCell ref="O149:P149"/>
    <mergeCell ref="U130:V130"/>
    <mergeCell ref="U124:V125"/>
    <mergeCell ref="U132:V132"/>
    <mergeCell ref="U133:V133"/>
    <mergeCell ref="U134:V134"/>
    <mergeCell ref="D101:F101"/>
    <mergeCell ref="B119:D119"/>
    <mergeCell ref="U76:V76"/>
    <mergeCell ref="F116:L116"/>
    <mergeCell ref="U114:V114"/>
    <mergeCell ref="U115:V115"/>
    <mergeCell ref="M70:T70"/>
    <mergeCell ref="O163:P163"/>
    <mergeCell ref="Q163:R163"/>
    <mergeCell ref="S163:T163"/>
    <mergeCell ref="B94:V94"/>
    <mergeCell ref="U73:V73"/>
    <mergeCell ref="M71:T71"/>
    <mergeCell ref="F119:L119"/>
    <mergeCell ref="F110:L110"/>
    <mergeCell ref="M76:T76"/>
    <mergeCell ref="B73:D73"/>
    <mergeCell ref="F118:L118"/>
    <mergeCell ref="M163:N163"/>
    <mergeCell ref="F114:L114"/>
    <mergeCell ref="F111:L111"/>
    <mergeCell ref="B111:D111"/>
    <mergeCell ref="B110:D110"/>
    <mergeCell ref="B112:D112"/>
    <mergeCell ref="B79:V79"/>
    <mergeCell ref="H130:L130"/>
    <mergeCell ref="H146:L146"/>
    <mergeCell ref="M130:N130"/>
    <mergeCell ref="F141:F142"/>
    <mergeCell ref="G141:G142"/>
    <mergeCell ref="H132:L132"/>
    <mergeCell ref="O161:P161"/>
    <mergeCell ref="B265:D265"/>
    <mergeCell ref="D102:F102"/>
    <mergeCell ref="G102:I102"/>
    <mergeCell ref="J102:L102"/>
    <mergeCell ref="M102:O102"/>
    <mergeCell ref="P102:R102"/>
    <mergeCell ref="S102:U102"/>
    <mergeCell ref="M266:N266"/>
    <mergeCell ref="M238:N238"/>
    <mergeCell ref="O238:P238"/>
    <mergeCell ref="B191:V191"/>
    <mergeCell ref="H195:L195"/>
    <mergeCell ref="H200:L200"/>
    <mergeCell ref="U202:V202"/>
    <mergeCell ref="M196:N196"/>
    <mergeCell ref="U204:V204"/>
    <mergeCell ref="U205:V205"/>
    <mergeCell ref="M213:N213"/>
    <mergeCell ref="Q265:R265"/>
    <mergeCell ref="S265:T265"/>
    <mergeCell ref="B258:V258"/>
    <mergeCell ref="B259:V259"/>
    <mergeCell ref="Q161:R161"/>
    <mergeCell ref="S161:T161"/>
    <mergeCell ref="M162:N162"/>
    <mergeCell ref="H160:L160"/>
    <mergeCell ref="B113:V113"/>
    <mergeCell ref="B120:V120"/>
    <mergeCell ref="H158:L158"/>
    <mergeCell ref="Q130:R130"/>
    <mergeCell ref="S130:T130"/>
    <mergeCell ref="M132:N132"/>
    <mergeCell ref="B181:D181"/>
    <mergeCell ref="U75:V75"/>
    <mergeCell ref="A1:V1"/>
    <mergeCell ref="A15:A17"/>
    <mergeCell ref="A44:A46"/>
    <mergeCell ref="H247:L247"/>
    <mergeCell ref="B241:V241"/>
    <mergeCell ref="H239:L239"/>
    <mergeCell ref="B242:V242"/>
    <mergeCell ref="M243:T243"/>
    <mergeCell ref="M245:N245"/>
    <mergeCell ref="B245:D245"/>
    <mergeCell ref="O245:P245"/>
    <mergeCell ref="B246:D246"/>
    <mergeCell ref="Q245:R245"/>
    <mergeCell ref="S245:T245"/>
    <mergeCell ref="M194:N194"/>
    <mergeCell ref="U237:V237"/>
    <mergeCell ref="I47:J47"/>
    <mergeCell ref="I48:J48"/>
    <mergeCell ref="I49:J49"/>
    <mergeCell ref="I50:J50"/>
    <mergeCell ref="I51:J51"/>
    <mergeCell ref="E46:F46"/>
    <mergeCell ref="G45:H45"/>
    <mergeCell ref="G46:H46"/>
    <mergeCell ref="K47:L47"/>
    <mergeCell ref="K48:L48"/>
    <mergeCell ref="K49:L49"/>
    <mergeCell ref="G47:H47"/>
    <mergeCell ref="G53:H53"/>
    <mergeCell ref="G54:H54"/>
    <mergeCell ref="H166:L166"/>
    <mergeCell ref="M164:N164"/>
    <mergeCell ref="O164:P164"/>
    <mergeCell ref="Q164:R164"/>
    <mergeCell ref="U53:V53"/>
    <mergeCell ref="Q210:R210"/>
    <mergeCell ref="O200:P200"/>
    <mergeCell ref="Q200:R200"/>
    <mergeCell ref="S200:T200"/>
    <mergeCell ref="S194:T194"/>
    <mergeCell ref="B207:V207"/>
    <mergeCell ref="O198:P198"/>
    <mergeCell ref="F112:L112"/>
    <mergeCell ref="B76:D76"/>
    <mergeCell ref="F76:L76"/>
    <mergeCell ref="O53:P53"/>
    <mergeCell ref="O54:P54"/>
    <mergeCell ref="O55:P55"/>
    <mergeCell ref="P97:R97"/>
    <mergeCell ref="S97:U97"/>
    <mergeCell ref="B78:D78"/>
    <mergeCell ref="M78:T78"/>
    <mergeCell ref="F78:L78"/>
    <mergeCell ref="P101:R101"/>
    <mergeCell ref="S101:U101"/>
    <mergeCell ref="B190:V190"/>
    <mergeCell ref="H188:L188"/>
    <mergeCell ref="J96:L96"/>
    <mergeCell ref="M96:O96"/>
    <mergeCell ref="P96:R96"/>
    <mergeCell ref="M172:N172"/>
    <mergeCell ref="B180:D180"/>
    <mergeCell ref="B37:V37"/>
    <mergeCell ref="I54:J54"/>
    <mergeCell ref="I55:J55"/>
    <mergeCell ref="B38:V38"/>
    <mergeCell ref="B39:V39"/>
    <mergeCell ref="B43:V43"/>
    <mergeCell ref="M49:N49"/>
    <mergeCell ref="M50:N50"/>
    <mergeCell ref="M51:N51"/>
    <mergeCell ref="M52:N52"/>
    <mergeCell ref="S181:T181"/>
    <mergeCell ref="H196:L196"/>
    <mergeCell ref="H180:L180"/>
    <mergeCell ref="H181:L181"/>
    <mergeCell ref="B182:V182"/>
    <mergeCell ref="G49:H49"/>
    <mergeCell ref="G50:H50"/>
    <mergeCell ref="G51:H51"/>
    <mergeCell ref="E52:F52"/>
    <mergeCell ref="F75:L75"/>
    <mergeCell ref="M75:T75"/>
    <mergeCell ref="B103:V103"/>
    <mergeCell ref="H149:L149"/>
    <mergeCell ref="M141:T141"/>
    <mergeCell ref="B116:D116"/>
    <mergeCell ref="O130:P130"/>
    <mergeCell ref="B172:D172"/>
    <mergeCell ref="H172:L172"/>
    <mergeCell ref="Q54:R54"/>
    <mergeCell ref="B152:D152"/>
    <mergeCell ref="H143:L143"/>
    <mergeCell ref="H164:L164"/>
    <mergeCell ref="C15:C17"/>
    <mergeCell ref="B3:D3"/>
    <mergeCell ref="E3:T3"/>
    <mergeCell ref="A95:A96"/>
    <mergeCell ref="D81:F81"/>
    <mergeCell ref="G81:I81"/>
    <mergeCell ref="P99:R99"/>
    <mergeCell ref="B95:B96"/>
    <mergeCell ref="E53:F53"/>
    <mergeCell ref="G52:H52"/>
    <mergeCell ref="M47:N47"/>
    <mergeCell ref="O50:P50"/>
    <mergeCell ref="O51:P51"/>
    <mergeCell ref="O52:P52"/>
    <mergeCell ref="Q50:R50"/>
    <mergeCell ref="Q55:R55"/>
    <mergeCell ref="S53:T53"/>
    <mergeCell ref="S54:T54"/>
    <mergeCell ref="S55:T55"/>
    <mergeCell ref="K50:L50"/>
    <mergeCell ref="K51:L51"/>
    <mergeCell ref="Q53:R53"/>
    <mergeCell ref="E50:F50"/>
    <mergeCell ref="E51:F51"/>
    <mergeCell ref="A80:A82"/>
    <mergeCell ref="B80:B82"/>
    <mergeCell ref="C80:C82"/>
    <mergeCell ref="D80:L80"/>
    <mergeCell ref="M80:U80"/>
    <mergeCell ref="D96:F96"/>
    <mergeCell ref="G96:I96"/>
    <mergeCell ref="G48:H48"/>
    <mergeCell ref="B42:V42"/>
    <mergeCell ref="I45:J45"/>
    <mergeCell ref="B41:V41"/>
    <mergeCell ref="A2:V2"/>
    <mergeCell ref="B7:D7"/>
    <mergeCell ref="E8:L8"/>
    <mergeCell ref="E7:L7"/>
    <mergeCell ref="M7:T7"/>
    <mergeCell ref="E9:L9"/>
    <mergeCell ref="M9:T9"/>
    <mergeCell ref="M8:T8"/>
    <mergeCell ref="U8:V8"/>
    <mergeCell ref="U9:V9"/>
    <mergeCell ref="U7:V7"/>
    <mergeCell ref="B5:D5"/>
    <mergeCell ref="B36:V36"/>
    <mergeCell ref="L16:M16"/>
    <mergeCell ref="D15:D16"/>
    <mergeCell ref="F15:H15"/>
    <mergeCell ref="I15:K15"/>
    <mergeCell ref="L15:P15"/>
    <mergeCell ref="E15:E16"/>
    <mergeCell ref="B4:D4"/>
    <mergeCell ref="E5:T5"/>
    <mergeCell ref="M10:T10"/>
    <mergeCell ref="U10:V10"/>
    <mergeCell ref="U11:V11"/>
    <mergeCell ref="U3:V3"/>
    <mergeCell ref="U4:V4"/>
    <mergeCell ref="U5:V5"/>
    <mergeCell ref="R15:T15"/>
    <mergeCell ref="V15:V17"/>
    <mergeCell ref="B10:D10"/>
    <mergeCell ref="B11:D11"/>
    <mergeCell ref="E10:L10"/>
    <mergeCell ref="E11:L11"/>
    <mergeCell ref="M11:T11"/>
    <mergeCell ref="B12:D12"/>
    <mergeCell ref="E12:L12"/>
    <mergeCell ref="M12:T12"/>
    <mergeCell ref="U12:V12"/>
    <mergeCell ref="B13:D13"/>
    <mergeCell ref="E13:L13"/>
    <mergeCell ref="M13:T13"/>
    <mergeCell ref="M44:T44"/>
    <mergeCell ref="M45:N45"/>
    <mergeCell ref="M46:N46"/>
    <mergeCell ref="O45:P45"/>
    <mergeCell ref="O46:P46"/>
    <mergeCell ref="Q45:R45"/>
    <mergeCell ref="Q46:R46"/>
    <mergeCell ref="S45:T45"/>
    <mergeCell ref="I46:J46"/>
    <mergeCell ref="B14:V14"/>
    <mergeCell ref="E45:F45"/>
    <mergeCell ref="B40:V40"/>
    <mergeCell ref="B15:B17"/>
    <mergeCell ref="U15:U17"/>
    <mergeCell ref="U13:V13"/>
    <mergeCell ref="B28:D28"/>
    <mergeCell ref="E44:L44"/>
    <mergeCell ref="K45:L45"/>
    <mergeCell ref="K46:L46"/>
    <mergeCell ref="B29:V29"/>
    <mergeCell ref="E47:F47"/>
    <mergeCell ref="E48:F48"/>
    <mergeCell ref="E49:F49"/>
    <mergeCell ref="B138:D138"/>
    <mergeCell ref="H138:L138"/>
    <mergeCell ref="B155:D155"/>
    <mergeCell ref="H155:L155"/>
    <mergeCell ref="M155:N155"/>
    <mergeCell ref="O155:P155"/>
    <mergeCell ref="Q155:R155"/>
    <mergeCell ref="S155:T155"/>
    <mergeCell ref="U155:V155"/>
    <mergeCell ref="U54:V54"/>
    <mergeCell ref="J97:L97"/>
    <mergeCell ref="I53:J53"/>
    <mergeCell ref="J101:L101"/>
    <mergeCell ref="M99:O99"/>
    <mergeCell ref="F64:L64"/>
    <mergeCell ref="F115:L115"/>
    <mergeCell ref="I52:J52"/>
    <mergeCell ref="Q49:R49"/>
    <mergeCell ref="G57:H57"/>
    <mergeCell ref="F69:L69"/>
    <mergeCell ref="O47:P47"/>
    <mergeCell ref="Q51:R51"/>
    <mergeCell ref="B77:D77"/>
    <mergeCell ref="K54:L54"/>
    <mergeCell ref="K55:L55"/>
    <mergeCell ref="G55:H55"/>
    <mergeCell ref="B74:D74"/>
    <mergeCell ref="C95:C96"/>
    <mergeCell ref="G97:I97"/>
    <mergeCell ref="S291:T291"/>
    <mergeCell ref="U291:V291"/>
    <mergeCell ref="M257:N257"/>
    <mergeCell ref="O257:P257"/>
    <mergeCell ref="F72:L72"/>
    <mergeCell ref="M54:N54"/>
    <mergeCell ref="O212:P212"/>
    <mergeCell ref="Q212:R212"/>
    <mergeCell ref="S212:T212"/>
    <mergeCell ref="Q240:R240"/>
    <mergeCell ref="S240:T240"/>
    <mergeCell ref="U257:V257"/>
    <mergeCell ref="U219:V219"/>
    <mergeCell ref="B214:D214"/>
    <mergeCell ref="B215:D215"/>
    <mergeCell ref="M211:N211"/>
    <mergeCell ref="H194:L194"/>
    <mergeCell ref="U211:V211"/>
    <mergeCell ref="U212:V212"/>
    <mergeCell ref="U213:V213"/>
    <mergeCell ref="B165:V165"/>
    <mergeCell ref="B201:D201"/>
    <mergeCell ref="B202:D202"/>
    <mergeCell ref="M274:N274"/>
    <mergeCell ref="O274:P274"/>
    <mergeCell ref="B240:D240"/>
    <mergeCell ref="H240:L240"/>
    <mergeCell ref="M240:N240"/>
    <mergeCell ref="O240:P240"/>
    <mergeCell ref="O263:P263"/>
    <mergeCell ref="H263:L263"/>
    <mergeCell ref="H264:L264"/>
    <mergeCell ref="Q431:R431"/>
    <mergeCell ref="U433:V433"/>
    <mergeCell ref="U434:V434"/>
    <mergeCell ref="S436:T436"/>
    <mergeCell ref="O172:P172"/>
    <mergeCell ref="Q172:R172"/>
    <mergeCell ref="M316:N316"/>
    <mergeCell ref="O307:P307"/>
    <mergeCell ref="O308:P308"/>
    <mergeCell ref="S375:T375"/>
    <mergeCell ref="S210:T210"/>
    <mergeCell ref="Q202:R202"/>
    <mergeCell ref="S202:T202"/>
    <mergeCell ref="M203:N203"/>
    <mergeCell ref="H197:L197"/>
    <mergeCell ref="H198:L198"/>
    <mergeCell ref="M205:N205"/>
    <mergeCell ref="O205:P205"/>
    <mergeCell ref="Q205:R205"/>
    <mergeCell ref="S205:T205"/>
    <mergeCell ref="M200:N200"/>
    <mergeCell ref="H235:L235"/>
    <mergeCell ref="B233:V233"/>
    <mergeCell ref="U218:V218"/>
    <mergeCell ref="M214:N214"/>
    <mergeCell ref="U221:V221"/>
    <mergeCell ref="M362:N362"/>
    <mergeCell ref="O180:P180"/>
    <mergeCell ref="Q263:R263"/>
    <mergeCell ref="Q248:R248"/>
    <mergeCell ref="H253:L253"/>
    <mergeCell ref="H248:L248"/>
    <mergeCell ref="I426:J426"/>
    <mergeCell ref="B380:D380"/>
    <mergeCell ref="F376:L376"/>
    <mergeCell ref="S378:T378"/>
    <mergeCell ref="Q376:R376"/>
    <mergeCell ref="G425:H425"/>
    <mergeCell ref="G426:H426"/>
    <mergeCell ref="M426:N426"/>
    <mergeCell ref="S379:T379"/>
    <mergeCell ref="S423:T423"/>
    <mergeCell ref="B424:D424"/>
    <mergeCell ref="S484:T484"/>
    <mergeCell ref="U484:V484"/>
    <mergeCell ref="B485:D485"/>
    <mergeCell ref="F485:L485"/>
    <mergeCell ref="M485:N485"/>
    <mergeCell ref="B492:D492"/>
    <mergeCell ref="Q423:R423"/>
    <mergeCell ref="B427:V427"/>
    <mergeCell ref="U449:V449"/>
    <mergeCell ref="U450:V450"/>
    <mergeCell ref="U451:V451"/>
    <mergeCell ref="B439:D441"/>
    <mergeCell ref="B442:D442"/>
    <mergeCell ref="B443:D443"/>
    <mergeCell ref="B444:D444"/>
    <mergeCell ref="B429:V429"/>
    <mergeCell ref="B428:V428"/>
    <mergeCell ref="G386:H386"/>
    <mergeCell ref="O426:P426"/>
    <mergeCell ref="S425:T425"/>
    <mergeCell ref="K425:L425"/>
    <mergeCell ref="B493:D493"/>
    <mergeCell ref="B488:D488"/>
    <mergeCell ref="O489:P489"/>
    <mergeCell ref="O491:P491"/>
    <mergeCell ref="B490:V490"/>
    <mergeCell ref="O439:Q439"/>
    <mergeCell ref="F439:H439"/>
    <mergeCell ref="L439:N439"/>
    <mergeCell ref="F479:L479"/>
    <mergeCell ref="U459:V459"/>
    <mergeCell ref="M476:N476"/>
    <mergeCell ref="O476:P476"/>
    <mergeCell ref="U448:V448"/>
    <mergeCell ref="L457:L458"/>
    <mergeCell ref="B487:D487"/>
    <mergeCell ref="B466:D466"/>
    <mergeCell ref="B467:D467"/>
    <mergeCell ref="B468:D468"/>
    <mergeCell ref="M474:N474"/>
    <mergeCell ref="O474:P474"/>
    <mergeCell ref="Q474:R474"/>
    <mergeCell ref="M457:M458"/>
    <mergeCell ref="Q482:R482"/>
    <mergeCell ref="U483:V483"/>
    <mergeCell ref="U487:V487"/>
    <mergeCell ref="B474:D474"/>
    <mergeCell ref="F476:L476"/>
    <mergeCell ref="M475:N475"/>
    <mergeCell ref="O475:P475"/>
    <mergeCell ref="S475:T475"/>
    <mergeCell ref="F457:H458"/>
    <mergeCell ref="B470:V470"/>
    <mergeCell ref="B517:F517"/>
    <mergeCell ref="B519:G519"/>
    <mergeCell ref="Q489:R489"/>
    <mergeCell ref="Q491:R491"/>
    <mergeCell ref="Q492:R492"/>
    <mergeCell ref="Q493:R493"/>
    <mergeCell ref="Q494:R494"/>
    <mergeCell ref="Q495:R495"/>
    <mergeCell ref="Q496:R496"/>
    <mergeCell ref="Q497:R497"/>
    <mergeCell ref="Q498:R498"/>
    <mergeCell ref="S491:T491"/>
    <mergeCell ref="M489:N489"/>
    <mergeCell ref="M491:N491"/>
    <mergeCell ref="M492:N492"/>
    <mergeCell ref="M493:N493"/>
    <mergeCell ref="M494:N494"/>
    <mergeCell ref="M495:N495"/>
    <mergeCell ref="M496:N496"/>
    <mergeCell ref="M497:N497"/>
    <mergeCell ref="M498:N498"/>
    <mergeCell ref="O495:P495"/>
    <mergeCell ref="B494:D494"/>
    <mergeCell ref="F496:L496"/>
    <mergeCell ref="B491:D491"/>
    <mergeCell ref="B497:D497"/>
    <mergeCell ref="B495:D495"/>
    <mergeCell ref="B496:D496"/>
    <mergeCell ref="O492:P492"/>
    <mergeCell ref="O493:P493"/>
    <mergeCell ref="A508:V509"/>
    <mergeCell ref="U499:V499"/>
    <mergeCell ref="B420:V420"/>
    <mergeCell ref="Q375:R375"/>
    <mergeCell ref="B421:V421"/>
    <mergeCell ref="B382:V382"/>
    <mergeCell ref="B448:D448"/>
    <mergeCell ref="R439:T439"/>
    <mergeCell ref="B433:D433"/>
    <mergeCell ref="B499:D499"/>
    <mergeCell ref="F491:L491"/>
    <mergeCell ref="F492:L492"/>
    <mergeCell ref="F493:L493"/>
    <mergeCell ref="F494:L494"/>
    <mergeCell ref="F495:L495"/>
    <mergeCell ref="O485:P485"/>
    <mergeCell ref="Q485:R485"/>
    <mergeCell ref="F497:L497"/>
    <mergeCell ref="O496:P496"/>
    <mergeCell ref="B489:D489"/>
    <mergeCell ref="B498:D498"/>
    <mergeCell ref="F489:L489"/>
    <mergeCell ref="O494:P494"/>
    <mergeCell ref="U489:V489"/>
    <mergeCell ref="F487:L487"/>
    <mergeCell ref="S486:T486"/>
    <mergeCell ref="O498:P498"/>
    <mergeCell ref="U494:V494"/>
    <mergeCell ref="U495:V495"/>
    <mergeCell ref="U496:V496"/>
    <mergeCell ref="U497:V497"/>
    <mergeCell ref="U491:V491"/>
    <mergeCell ref="U492:V492"/>
    <mergeCell ref="U493:V493"/>
    <mergeCell ref="U498:V498"/>
    <mergeCell ref="S499:T499"/>
    <mergeCell ref="M499:R499"/>
    <mergeCell ref="S485:T485"/>
    <mergeCell ref="U485:V485"/>
    <mergeCell ref="O486:P486"/>
    <mergeCell ref="O487:P487"/>
    <mergeCell ref="U223:V223"/>
    <mergeCell ref="U232:V232"/>
    <mergeCell ref="U461:V461"/>
    <mergeCell ref="U462:V462"/>
    <mergeCell ref="U463:V463"/>
    <mergeCell ref="F474:L474"/>
    <mergeCell ref="U469:V469"/>
    <mergeCell ref="U474:V474"/>
    <mergeCell ref="U466:V466"/>
    <mergeCell ref="F380:L380"/>
    <mergeCell ref="M380:N380"/>
    <mergeCell ref="O380:P380"/>
    <mergeCell ref="Q380:R380"/>
    <mergeCell ref="B381:V381"/>
    <mergeCell ref="F475:L475"/>
    <mergeCell ref="I386:J386"/>
    <mergeCell ref="Q475:R475"/>
    <mergeCell ref="M264:N264"/>
    <mergeCell ref="O264:P264"/>
    <mergeCell ref="B374:D374"/>
    <mergeCell ref="F374:L374"/>
    <mergeCell ref="M374:N374"/>
    <mergeCell ref="O374:P374"/>
    <mergeCell ref="Q374:R374"/>
    <mergeCell ref="M263:N263"/>
    <mergeCell ref="B392:D392"/>
    <mergeCell ref="B393:D393"/>
    <mergeCell ref="U413:V413"/>
    <mergeCell ref="B484:D484"/>
    <mergeCell ref="S483:T483"/>
    <mergeCell ref="B373:D373"/>
    <mergeCell ref="B378:D378"/>
    <mergeCell ref="F378:L378"/>
    <mergeCell ref="U240:V240"/>
    <mergeCell ref="U243:V244"/>
    <mergeCell ref="H243:L243"/>
    <mergeCell ref="B437:T437"/>
    <mergeCell ref="B166:D166"/>
    <mergeCell ref="O213:P213"/>
    <mergeCell ref="B213:D213"/>
    <mergeCell ref="Q213:R213"/>
    <mergeCell ref="H211:L211"/>
    <mergeCell ref="U206:V206"/>
    <mergeCell ref="B206:D206"/>
    <mergeCell ref="H206:L206"/>
    <mergeCell ref="M206:N206"/>
    <mergeCell ref="O424:P424"/>
    <mergeCell ref="M423:N423"/>
    <mergeCell ref="H289:L289"/>
    <mergeCell ref="M256:N256"/>
    <mergeCell ref="O256:P256"/>
    <mergeCell ref="Q256:R256"/>
    <mergeCell ref="S256:T256"/>
    <mergeCell ref="S261:T261"/>
    <mergeCell ref="M262:N262"/>
    <mergeCell ref="H256:L256"/>
    <mergeCell ref="O265:P265"/>
    <mergeCell ref="U189:V189"/>
    <mergeCell ref="M215:N215"/>
    <mergeCell ref="H217:L217"/>
    <mergeCell ref="M220:N220"/>
    <mergeCell ref="O220:P220"/>
    <mergeCell ref="S218:T218"/>
    <mergeCell ref="M265:N265"/>
    <mergeCell ref="S203:T203"/>
    <mergeCell ref="B263:D263"/>
    <mergeCell ref="B264:D264"/>
    <mergeCell ref="E260:E261"/>
    <mergeCell ref="O166:P166"/>
    <mergeCell ref="O201:P201"/>
    <mergeCell ref="Q201:R201"/>
    <mergeCell ref="S201:T201"/>
    <mergeCell ref="M202:N202"/>
    <mergeCell ref="O202:P202"/>
    <mergeCell ref="Q194:R194"/>
    <mergeCell ref="M197:N197"/>
    <mergeCell ref="H169:L169"/>
    <mergeCell ref="B173:V173"/>
    <mergeCell ref="B225:V225"/>
    <mergeCell ref="M226:T226"/>
    <mergeCell ref="Q166:R166"/>
    <mergeCell ref="S166:T166"/>
    <mergeCell ref="H177:L177"/>
    <mergeCell ref="H178:L178"/>
    <mergeCell ref="H179:L179"/>
    <mergeCell ref="Q171:R171"/>
    <mergeCell ref="B196:D196"/>
    <mergeCell ref="B197:D197"/>
    <mergeCell ref="M221:N221"/>
    <mergeCell ref="U198:V198"/>
    <mergeCell ref="U196:V196"/>
    <mergeCell ref="U197:V197"/>
    <mergeCell ref="U194:V194"/>
    <mergeCell ref="O206:P206"/>
    <mergeCell ref="M217:N217"/>
    <mergeCell ref="H221:L221"/>
    <mergeCell ref="H222:L222"/>
    <mergeCell ref="Q215:R215"/>
    <mergeCell ref="S215:T215"/>
    <mergeCell ref="S222:T222"/>
    <mergeCell ref="O218:P218"/>
    <mergeCell ref="Q218:R218"/>
    <mergeCell ref="Q206:R206"/>
    <mergeCell ref="Q195:R195"/>
    <mergeCell ref="B200:D200"/>
    <mergeCell ref="B198:D198"/>
    <mergeCell ref="Q196:R196"/>
    <mergeCell ref="M195:N195"/>
    <mergeCell ref="U195:V195"/>
    <mergeCell ref="U222:V222"/>
    <mergeCell ref="U200:V200"/>
    <mergeCell ref="O197:P197"/>
    <mergeCell ref="Q197:R197"/>
    <mergeCell ref="S197:T197"/>
    <mergeCell ref="M201:N201"/>
    <mergeCell ref="O211:P211"/>
    <mergeCell ref="U203:V203"/>
    <mergeCell ref="S198:T198"/>
    <mergeCell ref="S213:T213"/>
    <mergeCell ref="U215:V215"/>
    <mergeCell ref="U217:V217"/>
  </mergeCells>
  <dataValidations xWindow="1157" yWindow="493" count="3">
    <dataValidation type="decimal" operator="notEqual" allowBlank="1" showInputMessage="1" showErrorMessage="1" errorTitle="Text Alert" error="Please do not enter &quot;0&quot; or text" promptTitle="Numeric Input" prompt="Please enter numeric values or leave blank" sqref="M126:M130 O126:O130 Q132:Q138 M132:M138 O132:O138 O279:O283 M143:M147 Q143:Q147 M149:M155 O149:O155 O306:O316 O143:O147 M160:M164 Q160:Q164 M166:M172 O166:O172 Q149:Q155 O160:O164 M177:M181 Q177:Q181 M183:M189 O183:O189 Q166:Q172 O177:O181 M194:M198 Q194:Q198 M200:M206 O200:O206 Q183:Q189 O194:O198 M211:M215 Q211:Q215 M217:M223 O217:O223 Q200:Q206 O211:O215 M228:M232 Q228:Q232 M234:M240 O234:O240 Q217:Q223 O228:O232 M245:M249 Q245:Q249 M251:M257 O251:O257 Q234:Q240 O245:O249 M262:M266 Q262:Q266 M268:M274 O268:O274 Q251:Q257 O262:O266 M279:M283 Q279:Q283 M285:M291 O285:O291 Q268:Q274 Q126:Q130 Q436 M360:M364 Q360:Q364 O433:O434 M433:M434 Q433:Q434 O475:O476 M475:M476 Q475:Q476 M342:M345 O342:O345 O354:O358 Q354:Q358 Q337:Q340 Q321:Q322 Q342:Q345 Q377:Q380 O377:O380 M377:M380 O321:O322 M321:M322 Q306:Q316 M306:M316 O436 M318:M319 O318:O319 Q318:Q319 O332:O335 Q332:Q335 M332:M335 M337:M340 O337:O340 O348:O352 M348:M352 Q348:Q352 Q367:Q370 M367:M370 O367:O370 O372:O375 Q372:Q375 M372:M375 M354:M358 O360:O364 Q285:Q291 M436">
      <formula1>0</formula1>
    </dataValidation>
    <dataValidation type="list" allowBlank="1" showInputMessage="1" showErrorMessage="1" sqref="F499:M499 F479:R487 A505">
      <formula1>"Yes,No"</formula1>
    </dataValidation>
    <dataValidation type="list" allowBlank="1" showInputMessage="1" showErrorMessage="1" sqref="U18:U27 U30:U34">
      <formula1>"Coal,Lignite,Gas,Naptha,Oil,Other"</formula1>
    </dataValidation>
  </dataValidations>
  <pageMargins left="0" right="0" top="0.11811023622047245" bottom="0" header="0.31496062992125984" footer="0.31496062992125984"/>
  <pageSetup paperSize="9" scale="44" orientation="landscape" horizontalDpi="4294967295" verticalDpi="4294967295" r:id="rId1"/>
  <rowBreaks count="7" manualBreakCount="7">
    <brk id="62" max="19" man="1"/>
    <brk id="138" max="18" man="1"/>
    <brk id="206" max="18" man="1"/>
    <brk id="274" max="18" man="1"/>
    <brk id="327" min="4" max="13" man="1"/>
    <brk id="399" min="4" max="13" man="1"/>
    <brk id="454"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zoomScale="86" zoomScaleNormal="86" workbookViewId="0">
      <pane xSplit="2" ySplit="4" topLeftCell="C32" activePane="bottomRight" state="frozen"/>
      <selection pane="topRight" activeCell="C1" sqref="C1"/>
      <selection pane="bottomLeft" activeCell="A5" sqref="A5"/>
      <selection pane="bottomRight" activeCell="E44" sqref="E44"/>
    </sheetView>
  </sheetViews>
  <sheetFormatPr defaultColWidth="8.88671875" defaultRowHeight="14.4" x14ac:dyDescent="0.3"/>
  <cols>
    <col min="1" max="1" width="8.88671875" style="481"/>
    <col min="2" max="2" width="47.88671875" style="500" customWidth="1"/>
    <col min="3" max="3" width="34.6640625" style="500" customWidth="1"/>
    <col min="4" max="4" width="12.33203125" style="481" customWidth="1"/>
    <col min="5" max="5" width="17.109375" style="481" customWidth="1"/>
    <col min="6" max="6" width="15.6640625" style="481" customWidth="1"/>
    <col min="7" max="7" width="29.44140625" style="466" customWidth="1"/>
    <col min="8" max="9" width="8.88671875" style="466"/>
    <col min="10" max="10" width="12.33203125" style="466" customWidth="1"/>
    <col min="11" max="16384" width="8.88671875" style="466"/>
  </cols>
  <sheetData>
    <row r="1" spans="1:11" ht="31.95" customHeight="1" x14ac:dyDescent="0.3">
      <c r="A1" s="720" t="s">
        <v>584</v>
      </c>
      <c r="B1" s="720"/>
      <c r="C1" s="720"/>
      <c r="D1" s="720"/>
      <c r="E1" s="720"/>
      <c r="F1" s="720"/>
      <c r="G1" s="720"/>
    </row>
    <row r="2" spans="1:11" x14ac:dyDescent="0.3">
      <c r="A2" s="721" t="s">
        <v>163</v>
      </c>
      <c r="B2" s="721"/>
      <c r="C2" s="467"/>
      <c r="D2" s="722">
        <f>'General Information'!C3</f>
        <v>0</v>
      </c>
      <c r="E2" s="722"/>
      <c r="F2" s="722"/>
      <c r="G2" s="722"/>
    </row>
    <row r="3" spans="1:11" x14ac:dyDescent="0.3">
      <c r="A3" s="468" t="s">
        <v>460</v>
      </c>
      <c r="B3" s="468"/>
      <c r="C3" s="467"/>
      <c r="D3" s="722" t="str">
        <f>'General Information'!D6</f>
        <v>Coal/Lignite/Oil/Gas Fired</v>
      </c>
      <c r="E3" s="722"/>
      <c r="F3" s="722"/>
      <c r="G3" s="722"/>
    </row>
    <row r="4" spans="1:11" ht="28.2" customHeight="1" x14ac:dyDescent="0.3">
      <c r="A4" s="469" t="s">
        <v>223</v>
      </c>
      <c r="B4" s="238" t="s">
        <v>132</v>
      </c>
      <c r="C4" s="238" t="s">
        <v>162</v>
      </c>
      <c r="D4" s="469" t="s">
        <v>154</v>
      </c>
      <c r="E4" s="470" t="s">
        <v>187</v>
      </c>
      <c r="F4" s="470" t="s">
        <v>186</v>
      </c>
      <c r="G4" s="471" t="s">
        <v>52</v>
      </c>
    </row>
    <row r="5" spans="1:11" s="476" customFormat="1" x14ac:dyDescent="0.3">
      <c r="A5" s="472" t="s">
        <v>296</v>
      </c>
      <c r="B5" s="473" t="s">
        <v>462</v>
      </c>
      <c r="C5" s="473"/>
      <c r="D5" s="472"/>
      <c r="E5" s="474"/>
      <c r="F5" s="474"/>
      <c r="G5" s="475"/>
    </row>
    <row r="6" spans="1:11" x14ac:dyDescent="0.3">
      <c r="A6" s="449" t="s">
        <v>275</v>
      </c>
      <c r="B6" s="477" t="s">
        <v>461</v>
      </c>
      <c r="C6" s="477" t="s">
        <v>747</v>
      </c>
      <c r="D6" s="449" t="s">
        <v>28</v>
      </c>
      <c r="E6" s="449">
        <f>'Form Sh'!E8</f>
        <v>0</v>
      </c>
      <c r="F6" s="449">
        <f>'Form Sh'!M8</f>
        <v>0</v>
      </c>
      <c r="G6" s="478"/>
      <c r="K6" s="476"/>
    </row>
    <row r="7" spans="1:11" x14ac:dyDescent="0.3">
      <c r="A7" s="449" t="s">
        <v>276</v>
      </c>
      <c r="B7" s="477" t="s">
        <v>463</v>
      </c>
      <c r="C7" s="477" t="s">
        <v>748</v>
      </c>
      <c r="D7" s="449"/>
      <c r="E7" s="449">
        <f>'Form Sh'!E9:L9</f>
        <v>0</v>
      </c>
      <c r="F7" s="449">
        <f>'Form Sh'!M9</f>
        <v>0</v>
      </c>
      <c r="G7" s="478"/>
    </row>
    <row r="8" spans="1:11" x14ac:dyDescent="0.3">
      <c r="A8" s="449" t="s">
        <v>277</v>
      </c>
      <c r="B8" s="477" t="s">
        <v>1</v>
      </c>
      <c r="C8" s="477" t="s">
        <v>744</v>
      </c>
      <c r="D8" s="449" t="s">
        <v>464</v>
      </c>
      <c r="E8" s="449">
        <f>'General Information'!C4</f>
        <v>0</v>
      </c>
      <c r="F8" s="449">
        <f>'General Information'!C4</f>
        <v>0</v>
      </c>
      <c r="G8" s="478"/>
    </row>
    <row r="9" spans="1:11" x14ac:dyDescent="0.3">
      <c r="A9" s="449" t="s">
        <v>739</v>
      </c>
      <c r="B9" s="477" t="s">
        <v>731</v>
      </c>
      <c r="C9" s="477" t="s">
        <v>745</v>
      </c>
      <c r="D9" s="449" t="s">
        <v>110</v>
      </c>
      <c r="E9" s="369"/>
      <c r="F9" s="449">
        <f>'Form Sh'!M10</f>
        <v>0</v>
      </c>
      <c r="G9" s="478"/>
    </row>
    <row r="10" spans="1:11" x14ac:dyDescent="0.3">
      <c r="A10" s="449" t="s">
        <v>740</v>
      </c>
      <c r="B10" s="477" t="s">
        <v>732</v>
      </c>
      <c r="C10" s="477" t="s">
        <v>746</v>
      </c>
      <c r="D10" s="449" t="s">
        <v>110</v>
      </c>
      <c r="E10" s="369"/>
      <c r="F10" s="449">
        <f>'Form Sh'!M11</f>
        <v>0</v>
      </c>
      <c r="G10" s="478"/>
    </row>
    <row r="11" spans="1:11" ht="28.8" x14ac:dyDescent="0.3">
      <c r="A11" s="449" t="s">
        <v>741</v>
      </c>
      <c r="B11" s="477" t="s">
        <v>738</v>
      </c>
      <c r="C11" s="477" t="s">
        <v>749</v>
      </c>
      <c r="D11" s="449" t="s">
        <v>92</v>
      </c>
      <c r="E11" s="369"/>
      <c r="F11" s="449">
        <f>'Form Sh'!M12</f>
        <v>0</v>
      </c>
      <c r="G11" s="478"/>
    </row>
    <row r="12" spans="1:11" ht="28.8" x14ac:dyDescent="0.3">
      <c r="A12" s="449" t="s">
        <v>742</v>
      </c>
      <c r="B12" s="477" t="s">
        <v>1204</v>
      </c>
      <c r="C12" s="477" t="s">
        <v>750</v>
      </c>
      <c r="D12" s="449" t="s">
        <v>62</v>
      </c>
      <c r="E12" s="369"/>
      <c r="F12" s="449">
        <f>'Form Sh'!M13</f>
        <v>0</v>
      </c>
      <c r="G12" s="478"/>
    </row>
    <row r="13" spans="1:11" ht="28.8" x14ac:dyDescent="0.3">
      <c r="A13" s="449" t="s">
        <v>1080</v>
      </c>
      <c r="B13" s="477" t="s">
        <v>1081</v>
      </c>
      <c r="C13" s="477" t="s">
        <v>1082</v>
      </c>
      <c r="D13" s="449" t="s">
        <v>110</v>
      </c>
      <c r="E13" s="369"/>
      <c r="F13" s="449">
        <f>F9-F10</f>
        <v>0</v>
      </c>
      <c r="G13" s="478"/>
    </row>
    <row r="14" spans="1:11" x14ac:dyDescent="0.3">
      <c r="A14" s="449"/>
      <c r="B14" s="477"/>
      <c r="C14" s="477"/>
      <c r="D14" s="449"/>
      <c r="E14" s="449"/>
      <c r="F14" s="449"/>
      <c r="G14" s="478"/>
    </row>
    <row r="15" spans="1:11" s="353" customFormat="1" x14ac:dyDescent="0.3">
      <c r="A15" s="472" t="s">
        <v>189</v>
      </c>
      <c r="B15" s="473" t="s">
        <v>465</v>
      </c>
      <c r="C15" s="473"/>
      <c r="D15" s="472"/>
      <c r="E15" s="472"/>
      <c r="F15" s="472"/>
      <c r="G15" s="475"/>
    </row>
    <row r="16" spans="1:11" x14ac:dyDescent="0.3">
      <c r="A16" s="449" t="s">
        <v>278</v>
      </c>
      <c r="B16" s="477" t="s">
        <v>466</v>
      </c>
      <c r="C16" s="499"/>
      <c r="D16" s="341" t="s">
        <v>128</v>
      </c>
      <c r="E16" s="316">
        <f>'NF-1 Coal Quality'!E26</f>
        <v>0</v>
      </c>
      <c r="F16" s="316">
        <f>'NF-1 Coal Quality'!F26</f>
        <v>0</v>
      </c>
      <c r="G16" s="478"/>
    </row>
    <row r="17" spans="1:7" ht="28.5" customHeight="1" x14ac:dyDescent="0.3">
      <c r="A17" s="449" t="s">
        <v>279</v>
      </c>
      <c r="B17" s="477" t="s">
        <v>131</v>
      </c>
      <c r="C17" s="499"/>
      <c r="D17" s="341" t="s">
        <v>62</v>
      </c>
      <c r="E17" s="316">
        <f>'NF-1 Coal Quality'!E27</f>
        <v>0</v>
      </c>
      <c r="F17" s="316">
        <f>'NF-1 Coal Quality'!F27</f>
        <v>0</v>
      </c>
      <c r="G17" s="478"/>
    </row>
    <row r="18" spans="1:7" x14ac:dyDescent="0.3">
      <c r="A18" s="449"/>
      <c r="B18" s="477"/>
      <c r="C18" s="499"/>
      <c r="D18" s="341"/>
      <c r="E18" s="316"/>
      <c r="F18" s="316"/>
      <c r="G18" s="478"/>
    </row>
    <row r="19" spans="1:7" s="353" customFormat="1" x14ac:dyDescent="0.3">
      <c r="A19" s="472" t="s">
        <v>190</v>
      </c>
      <c r="B19" s="473" t="s">
        <v>478</v>
      </c>
      <c r="C19" s="473"/>
      <c r="D19" s="472"/>
      <c r="E19" s="479"/>
      <c r="F19" s="479"/>
      <c r="G19" s="475"/>
    </row>
    <row r="20" spans="1:7" x14ac:dyDescent="0.3">
      <c r="A20" s="449" t="s">
        <v>313</v>
      </c>
      <c r="B20" s="477" t="s">
        <v>130</v>
      </c>
      <c r="C20" s="477" t="s">
        <v>766</v>
      </c>
      <c r="D20" s="449" t="s">
        <v>92</v>
      </c>
      <c r="E20" s="449">
        <f>'Form Sh'!I57</f>
        <v>0</v>
      </c>
      <c r="F20" s="449">
        <f>'Form Sh'!Q57</f>
        <v>0</v>
      </c>
      <c r="G20" s="478"/>
    </row>
    <row r="21" spans="1:7" x14ac:dyDescent="0.3">
      <c r="A21" s="449" t="s">
        <v>314</v>
      </c>
      <c r="B21" s="477" t="s">
        <v>480</v>
      </c>
      <c r="C21" s="477"/>
      <c r="D21" s="449" t="s">
        <v>62</v>
      </c>
      <c r="E21" s="449"/>
      <c r="F21" s="449"/>
      <c r="G21" s="478"/>
    </row>
    <row r="22" spans="1:7" x14ac:dyDescent="0.3">
      <c r="A22" s="449" t="s">
        <v>315</v>
      </c>
      <c r="B22" s="477" t="s">
        <v>432</v>
      </c>
      <c r="C22" s="477" t="s">
        <v>767</v>
      </c>
      <c r="D22" s="449" t="s">
        <v>62</v>
      </c>
      <c r="E22" s="448">
        <f>'NF-3 APC PLF'!E19</f>
        <v>0</v>
      </c>
      <c r="F22" s="448">
        <f>'NF-3 APC PLF'!F19</f>
        <v>0</v>
      </c>
      <c r="G22" s="478"/>
    </row>
    <row r="23" spans="1:7" x14ac:dyDescent="0.3">
      <c r="A23" s="449" t="s">
        <v>316</v>
      </c>
      <c r="B23" s="477" t="s">
        <v>479</v>
      </c>
      <c r="C23" s="477" t="s">
        <v>768</v>
      </c>
      <c r="D23" s="449" t="s">
        <v>128</v>
      </c>
      <c r="E23" s="480">
        <f>'Form Sh'!K57</f>
        <v>0</v>
      </c>
      <c r="F23" s="480">
        <f>'Form Sh'!S57</f>
        <v>0</v>
      </c>
      <c r="G23" s="478"/>
    </row>
    <row r="24" spans="1:7" x14ac:dyDescent="0.3">
      <c r="A24" s="449" t="s">
        <v>317</v>
      </c>
      <c r="B24" s="477" t="s">
        <v>751</v>
      </c>
      <c r="C24" s="477" t="s">
        <v>769</v>
      </c>
      <c r="D24" s="449" t="s">
        <v>92</v>
      </c>
      <c r="E24" s="449">
        <f>'Form Sh'!F70</f>
        <v>0</v>
      </c>
      <c r="F24" s="449">
        <f>'Form Sh'!M70</f>
        <v>0</v>
      </c>
      <c r="G24" s="478"/>
    </row>
    <row r="25" spans="1:7" x14ac:dyDescent="0.3">
      <c r="A25" s="449" t="s">
        <v>318</v>
      </c>
      <c r="B25" s="477" t="s">
        <v>752</v>
      </c>
      <c r="C25" s="477" t="s">
        <v>770</v>
      </c>
      <c r="D25" s="449" t="s">
        <v>62</v>
      </c>
      <c r="E25" s="448">
        <f>'Form Sh'!F71</f>
        <v>0</v>
      </c>
      <c r="F25" s="448">
        <f>'Form Sh'!M71</f>
        <v>0</v>
      </c>
      <c r="G25" s="478"/>
    </row>
    <row r="26" spans="1:7" x14ac:dyDescent="0.3">
      <c r="A26" s="449"/>
      <c r="B26" s="477"/>
      <c r="C26" s="477"/>
      <c r="D26" s="449"/>
      <c r="E26" s="449"/>
      <c r="F26" s="449"/>
      <c r="G26" s="478"/>
    </row>
    <row r="27" spans="1:7" s="353" customFormat="1" x14ac:dyDescent="0.3">
      <c r="A27" s="472" t="s">
        <v>191</v>
      </c>
      <c r="B27" s="473" t="s">
        <v>578</v>
      </c>
      <c r="C27" s="473"/>
      <c r="D27" s="472"/>
      <c r="E27" s="472"/>
      <c r="F27" s="472"/>
      <c r="G27" s="475"/>
    </row>
    <row r="28" spans="1:7" x14ac:dyDescent="0.3">
      <c r="A28" s="449" t="s">
        <v>481</v>
      </c>
      <c r="B28" s="477" t="s">
        <v>737</v>
      </c>
      <c r="C28" s="477" t="s">
        <v>771</v>
      </c>
      <c r="D28" s="449" t="s">
        <v>128</v>
      </c>
      <c r="E28" s="480"/>
      <c r="F28" s="480">
        <f>F16/(1-F25/100)</f>
        <v>0</v>
      </c>
      <c r="G28" s="478"/>
    </row>
    <row r="29" spans="1:7" x14ac:dyDescent="0.3">
      <c r="A29" s="449" t="s">
        <v>482</v>
      </c>
      <c r="B29" s="477" t="s">
        <v>486</v>
      </c>
      <c r="C29" s="477" t="s">
        <v>772</v>
      </c>
      <c r="D29" s="449" t="s">
        <v>128</v>
      </c>
      <c r="E29" s="449"/>
      <c r="F29" s="480">
        <f>F23/(1-F25/100)</f>
        <v>0</v>
      </c>
      <c r="G29" s="478"/>
    </row>
    <row r="30" spans="1:7" x14ac:dyDescent="0.3">
      <c r="A30" s="449" t="s">
        <v>483</v>
      </c>
      <c r="B30" s="477" t="s">
        <v>485</v>
      </c>
      <c r="C30" s="477" t="s">
        <v>773</v>
      </c>
      <c r="D30" s="449" t="s">
        <v>128</v>
      </c>
      <c r="E30" s="449"/>
      <c r="F30" s="480">
        <f>F29-F28</f>
        <v>0</v>
      </c>
      <c r="G30" s="478"/>
    </row>
    <row r="31" spans="1:7" x14ac:dyDescent="0.3">
      <c r="A31" s="449" t="s">
        <v>484</v>
      </c>
      <c r="B31" s="477" t="s">
        <v>488</v>
      </c>
      <c r="C31" s="477" t="s">
        <v>774</v>
      </c>
      <c r="D31" s="449" t="s">
        <v>62</v>
      </c>
      <c r="E31" s="449"/>
      <c r="F31" s="448">
        <f>IFERROR(F30*100/F28,0)</f>
        <v>0</v>
      </c>
      <c r="G31" s="478"/>
    </row>
    <row r="32" spans="1:7" ht="57.6" x14ac:dyDescent="0.3">
      <c r="A32" s="449" t="s">
        <v>487</v>
      </c>
      <c r="B32" s="477" t="s">
        <v>323</v>
      </c>
      <c r="C32" s="477" t="s">
        <v>788</v>
      </c>
      <c r="D32" s="449" t="s">
        <v>62</v>
      </c>
      <c r="E32" s="449">
        <f>IF(F31&lt;=5,10,IF(AND(F31&gt;5,F31&lt;=10),17,IF(AND(F31&gt;10,F31&lt;=20),21,IF(F31&gt;20,24,0))))</f>
        <v>10</v>
      </c>
      <c r="F32" s="518">
        <f>E32</f>
        <v>10</v>
      </c>
      <c r="G32" s="478"/>
    </row>
    <row r="33" spans="1:7" x14ac:dyDescent="0.3">
      <c r="A33" s="482" t="s">
        <v>489</v>
      </c>
      <c r="B33" s="483" t="s">
        <v>238</v>
      </c>
      <c r="C33" s="483" t="s">
        <v>1085</v>
      </c>
      <c r="D33" s="482" t="s">
        <v>128</v>
      </c>
      <c r="E33" s="482"/>
      <c r="F33" s="502">
        <f>F32*F30/100</f>
        <v>0</v>
      </c>
      <c r="G33" s="484"/>
    </row>
    <row r="34" spans="1:7" x14ac:dyDescent="0.3">
      <c r="A34" s="482" t="s">
        <v>1083</v>
      </c>
      <c r="B34" s="483" t="s">
        <v>1084</v>
      </c>
      <c r="C34" s="483" t="s">
        <v>1086</v>
      </c>
      <c r="D34" s="482" t="s">
        <v>128</v>
      </c>
      <c r="E34" s="482"/>
      <c r="F34" s="502">
        <f>F29-F33-F10</f>
        <v>0</v>
      </c>
      <c r="G34" s="484"/>
    </row>
    <row r="35" spans="1:7" x14ac:dyDescent="0.3">
      <c r="A35" s="449"/>
      <c r="B35" s="477"/>
      <c r="C35" s="477"/>
      <c r="D35" s="449"/>
      <c r="E35" s="449"/>
      <c r="F35" s="449"/>
      <c r="G35" s="478"/>
    </row>
    <row r="36" spans="1:7" s="353" customFormat="1" x14ac:dyDescent="0.3">
      <c r="A36" s="472" t="s">
        <v>192</v>
      </c>
      <c r="B36" s="473" t="s">
        <v>505</v>
      </c>
      <c r="C36" s="473"/>
      <c r="D36" s="472"/>
      <c r="E36" s="472"/>
      <c r="F36" s="472"/>
      <c r="G36" s="475"/>
    </row>
    <row r="37" spans="1:7" s="353" customFormat="1" x14ac:dyDescent="0.3">
      <c r="A37" s="472" t="s">
        <v>490</v>
      </c>
      <c r="B37" s="473" t="s">
        <v>491</v>
      </c>
      <c r="C37" s="473"/>
      <c r="D37" s="472"/>
      <c r="E37" s="472"/>
      <c r="F37" s="472"/>
      <c r="G37" s="475"/>
    </row>
    <row r="38" spans="1:7" x14ac:dyDescent="0.3">
      <c r="A38" s="449" t="s">
        <v>492</v>
      </c>
      <c r="B38" s="477" t="s">
        <v>493</v>
      </c>
      <c r="C38" s="477" t="s">
        <v>775</v>
      </c>
      <c r="D38" s="449" t="s">
        <v>62</v>
      </c>
      <c r="E38" s="448">
        <f>'NF-1 Coal Quality'!E24:AH24</f>
        <v>0</v>
      </c>
      <c r="F38" s="449"/>
      <c r="G38" s="478"/>
    </row>
    <row r="39" spans="1:7" ht="28.8" x14ac:dyDescent="0.3">
      <c r="A39" s="449" t="s">
        <v>494</v>
      </c>
      <c r="B39" s="477" t="s">
        <v>497</v>
      </c>
      <c r="C39" s="477" t="s">
        <v>776</v>
      </c>
      <c r="D39" s="449" t="s">
        <v>128</v>
      </c>
      <c r="E39" s="448">
        <f>'NF-1 Coal Quality'!E22</f>
        <v>0</v>
      </c>
      <c r="F39" s="449"/>
      <c r="G39" s="478"/>
    </row>
    <row r="40" spans="1:7" x14ac:dyDescent="0.3">
      <c r="A40" s="449"/>
      <c r="B40" s="477"/>
      <c r="C40" s="477"/>
      <c r="D40" s="449"/>
      <c r="E40" s="449"/>
      <c r="F40" s="449"/>
      <c r="G40" s="478"/>
    </row>
    <row r="41" spans="1:7" s="353" customFormat="1" x14ac:dyDescent="0.3">
      <c r="A41" s="472" t="s">
        <v>498</v>
      </c>
      <c r="B41" s="473" t="s">
        <v>431</v>
      </c>
      <c r="C41" s="473"/>
      <c r="D41" s="472"/>
      <c r="E41" s="472"/>
      <c r="F41" s="472"/>
      <c r="G41" s="475"/>
    </row>
    <row r="42" spans="1:7" x14ac:dyDescent="0.3">
      <c r="A42" s="449" t="s">
        <v>501</v>
      </c>
      <c r="B42" s="485" t="s">
        <v>499</v>
      </c>
      <c r="C42" s="477" t="s">
        <v>777</v>
      </c>
      <c r="D42" s="449" t="s">
        <v>128</v>
      </c>
      <c r="E42" s="448">
        <f>'NF-2 PLF'!E30</f>
        <v>0</v>
      </c>
      <c r="F42" s="448"/>
      <c r="G42" s="478"/>
    </row>
    <row r="43" spans="1:7" ht="28.8" x14ac:dyDescent="0.3">
      <c r="A43" s="449" t="s">
        <v>502</v>
      </c>
      <c r="B43" s="485" t="s">
        <v>500</v>
      </c>
      <c r="C43" s="477" t="s">
        <v>778</v>
      </c>
      <c r="D43" s="449" t="s">
        <v>128</v>
      </c>
      <c r="E43" s="448">
        <f>'NF-2 PLF'!E31</f>
        <v>0</v>
      </c>
      <c r="F43" s="449"/>
      <c r="G43" s="478"/>
    </row>
    <row r="44" spans="1:7" ht="28.8" x14ac:dyDescent="0.3">
      <c r="A44" s="449" t="s">
        <v>503</v>
      </c>
      <c r="B44" s="485" t="s">
        <v>1205</v>
      </c>
      <c r="C44" s="477" t="s">
        <v>1053</v>
      </c>
      <c r="D44" s="449" t="s">
        <v>128</v>
      </c>
      <c r="E44" s="316">
        <f>IF('NF-2 PLF'!E33&lt;0,0,'NF-2 PLF'!E33)</f>
        <v>0</v>
      </c>
      <c r="F44" s="449"/>
      <c r="G44" s="478"/>
    </row>
    <row r="45" spans="1:7" x14ac:dyDescent="0.3">
      <c r="A45" s="449"/>
      <c r="B45" s="477"/>
      <c r="C45" s="477"/>
      <c r="D45" s="449"/>
      <c r="E45" s="449"/>
      <c r="F45" s="449"/>
      <c r="G45" s="478"/>
    </row>
    <row r="46" spans="1:7" s="353" customFormat="1" x14ac:dyDescent="0.3">
      <c r="A46" s="472" t="s">
        <v>504</v>
      </c>
      <c r="B46" s="473" t="s">
        <v>145</v>
      </c>
      <c r="C46" s="473"/>
      <c r="D46" s="472"/>
      <c r="E46" s="472"/>
      <c r="F46" s="472"/>
      <c r="G46" s="475"/>
    </row>
    <row r="47" spans="1:7" s="353" customFormat="1" x14ac:dyDescent="0.3">
      <c r="A47" s="449" t="s">
        <v>511</v>
      </c>
      <c r="B47" s="477" t="s">
        <v>559</v>
      </c>
      <c r="C47" s="477" t="s">
        <v>779</v>
      </c>
      <c r="D47" s="449" t="s">
        <v>128</v>
      </c>
      <c r="E47" s="448">
        <f>E23</f>
        <v>0</v>
      </c>
      <c r="F47" s="486"/>
      <c r="G47" s="487"/>
    </row>
    <row r="48" spans="1:7" x14ac:dyDescent="0.3">
      <c r="A48" s="449" t="s">
        <v>512</v>
      </c>
      <c r="B48" s="477" t="s">
        <v>753</v>
      </c>
      <c r="C48" s="477" t="s">
        <v>780</v>
      </c>
      <c r="D48" s="449" t="s">
        <v>62</v>
      </c>
      <c r="E48" s="448">
        <f>E25</f>
        <v>0</v>
      </c>
      <c r="F48" s="448"/>
      <c r="G48" s="478"/>
    </row>
    <row r="49" spans="1:7" x14ac:dyDescent="0.3">
      <c r="A49" s="449" t="s">
        <v>562</v>
      </c>
      <c r="B49" s="477" t="s">
        <v>560</v>
      </c>
      <c r="C49" s="477" t="s">
        <v>781</v>
      </c>
      <c r="D49" s="449" t="s">
        <v>128</v>
      </c>
      <c r="E49" s="448">
        <f>E47/(1-E48/100)</f>
        <v>0</v>
      </c>
      <c r="F49" s="448"/>
      <c r="G49" s="478"/>
    </row>
    <row r="50" spans="1:7" x14ac:dyDescent="0.3">
      <c r="A50" s="449" t="s">
        <v>563</v>
      </c>
      <c r="B50" s="477" t="s">
        <v>765</v>
      </c>
      <c r="C50" s="477" t="s">
        <v>782</v>
      </c>
      <c r="D50" s="449" t="s">
        <v>62</v>
      </c>
      <c r="E50" s="448">
        <f>'NF-3 APC PLF'!E24</f>
        <v>0</v>
      </c>
      <c r="F50" s="449"/>
      <c r="G50" s="478"/>
    </row>
    <row r="51" spans="1:7" x14ac:dyDescent="0.3">
      <c r="A51" s="449" t="s">
        <v>564</v>
      </c>
      <c r="B51" s="477" t="s">
        <v>561</v>
      </c>
      <c r="C51" s="477" t="s">
        <v>783</v>
      </c>
      <c r="D51" s="449" t="s">
        <v>128</v>
      </c>
      <c r="E51" s="448">
        <f>E47/(1-E50/100)</f>
        <v>0</v>
      </c>
      <c r="F51" s="449"/>
      <c r="G51" s="478"/>
    </row>
    <row r="52" spans="1:7" x14ac:dyDescent="0.3">
      <c r="A52" s="449" t="s">
        <v>565</v>
      </c>
      <c r="B52" s="477" t="s">
        <v>743</v>
      </c>
      <c r="C52" s="477" t="s">
        <v>784</v>
      </c>
      <c r="D52" s="449" t="s">
        <v>128</v>
      </c>
      <c r="E52" s="448">
        <f>E49-E51</f>
        <v>0</v>
      </c>
      <c r="F52" s="449"/>
      <c r="G52" s="478"/>
    </row>
    <row r="53" spans="1:7" x14ac:dyDescent="0.3">
      <c r="A53" s="472" t="s">
        <v>934</v>
      </c>
      <c r="B53" s="473" t="s">
        <v>931</v>
      </c>
      <c r="C53" s="473"/>
      <c r="D53" s="473"/>
      <c r="E53" s="473"/>
      <c r="F53" s="473"/>
      <c r="G53" s="473"/>
    </row>
    <row r="54" spans="1:7" ht="26.4" customHeight="1" x14ac:dyDescent="0.3">
      <c r="A54" s="449" t="s">
        <v>935</v>
      </c>
      <c r="B54" s="477" t="s">
        <v>932</v>
      </c>
      <c r="C54" s="488" t="s">
        <v>1057</v>
      </c>
      <c r="D54" s="449" t="s">
        <v>307</v>
      </c>
      <c r="E54" s="448">
        <f>'NF-3.1 APC CQ'!E22+'NF-3.2 APC CQ'!E20</f>
        <v>0</v>
      </c>
      <c r="F54" s="449"/>
      <c r="G54" s="478"/>
    </row>
    <row r="55" spans="1:7" x14ac:dyDescent="0.3">
      <c r="A55" s="449" t="s">
        <v>936</v>
      </c>
      <c r="B55" s="477" t="s">
        <v>933</v>
      </c>
      <c r="C55" s="477" t="s">
        <v>1055</v>
      </c>
      <c r="D55" s="449" t="s">
        <v>128</v>
      </c>
      <c r="E55" s="448">
        <f>IFERROR(E54/E20,0)</f>
        <v>0</v>
      </c>
      <c r="F55" s="449"/>
      <c r="G55" s="478"/>
    </row>
    <row r="56" spans="1:7" x14ac:dyDescent="0.3">
      <c r="A56" s="449"/>
      <c r="B56" s="477"/>
      <c r="C56" s="477"/>
      <c r="D56" s="449"/>
      <c r="E56" s="448"/>
      <c r="F56" s="449"/>
      <c r="G56" s="478"/>
    </row>
    <row r="57" spans="1:7" s="353" customFormat="1" x14ac:dyDescent="0.3">
      <c r="A57" s="472" t="s">
        <v>506</v>
      </c>
      <c r="B57" s="473" t="s">
        <v>507</v>
      </c>
      <c r="C57" s="473"/>
      <c r="D57" s="472"/>
      <c r="E57" s="472"/>
      <c r="F57" s="472"/>
      <c r="G57" s="475"/>
    </row>
    <row r="58" spans="1:7" ht="43.2" x14ac:dyDescent="0.3">
      <c r="A58" s="449" t="s">
        <v>513</v>
      </c>
      <c r="B58" s="477" t="s">
        <v>1087</v>
      </c>
      <c r="C58" s="477" t="s">
        <v>1054</v>
      </c>
      <c r="D58" s="449" t="s">
        <v>307</v>
      </c>
      <c r="E58" s="489">
        <f>'NF-7 Others'!E28</f>
        <v>0</v>
      </c>
      <c r="F58" s="449"/>
      <c r="G58" s="478"/>
    </row>
    <row r="59" spans="1:7" x14ac:dyDescent="0.3">
      <c r="A59" s="449" t="s">
        <v>518</v>
      </c>
      <c r="B59" s="477" t="s">
        <v>519</v>
      </c>
      <c r="C59" s="477" t="s">
        <v>1199</v>
      </c>
      <c r="D59" s="449" t="s">
        <v>128</v>
      </c>
      <c r="E59" s="448">
        <f>IFERROR(E58/(E20-E24),0)</f>
        <v>0</v>
      </c>
      <c r="F59" s="449"/>
      <c r="G59" s="478"/>
    </row>
    <row r="60" spans="1:7" s="353" customFormat="1" x14ac:dyDescent="0.3">
      <c r="A60" s="472" t="s">
        <v>508</v>
      </c>
      <c r="B60" s="473" t="s">
        <v>509</v>
      </c>
      <c r="C60" s="473"/>
      <c r="D60" s="472"/>
      <c r="E60" s="472"/>
      <c r="F60" s="472"/>
      <c r="G60" s="475"/>
    </row>
    <row r="61" spans="1:7" x14ac:dyDescent="0.3">
      <c r="A61" s="449" t="s">
        <v>510</v>
      </c>
      <c r="B61" s="477" t="s">
        <v>452</v>
      </c>
      <c r="C61" s="477" t="s">
        <v>789</v>
      </c>
      <c r="D61" s="449" t="s">
        <v>307</v>
      </c>
      <c r="E61" s="448">
        <f>'NF-4 Gas Fuel Mix'!E19:F19</f>
        <v>0</v>
      </c>
      <c r="F61" s="449"/>
      <c r="G61" s="478"/>
    </row>
    <row r="62" spans="1:7" x14ac:dyDescent="0.3">
      <c r="A62" s="449" t="s">
        <v>520</v>
      </c>
      <c r="B62" s="477" t="s">
        <v>521</v>
      </c>
      <c r="C62" s="477" t="s">
        <v>785</v>
      </c>
      <c r="D62" s="449" t="s">
        <v>128</v>
      </c>
      <c r="E62" s="448">
        <f>IFERROR(E61/E20,0)</f>
        <v>0</v>
      </c>
      <c r="F62" s="449"/>
      <c r="G62" s="478"/>
    </row>
    <row r="63" spans="1:7" s="353" customFormat="1" x14ac:dyDescent="0.3">
      <c r="A63" s="472" t="s">
        <v>514</v>
      </c>
      <c r="B63" s="473" t="s">
        <v>937</v>
      </c>
      <c r="C63" s="473"/>
      <c r="D63" s="472"/>
      <c r="E63" s="472"/>
      <c r="F63" s="472"/>
      <c r="G63" s="475"/>
    </row>
    <row r="64" spans="1:7" ht="28.8" x14ac:dyDescent="0.3">
      <c r="A64" s="449" t="s">
        <v>515</v>
      </c>
      <c r="B64" s="477" t="s">
        <v>1038</v>
      </c>
      <c r="C64" s="477" t="s">
        <v>786</v>
      </c>
      <c r="D64" s="449" t="s">
        <v>307</v>
      </c>
      <c r="E64" s="448">
        <f>'NF-5 Gas OC Cycle'!E19:F19</f>
        <v>0</v>
      </c>
      <c r="F64" s="449"/>
      <c r="G64" s="478"/>
    </row>
    <row r="65" spans="1:7" x14ac:dyDescent="0.3">
      <c r="A65" s="449" t="s">
        <v>522</v>
      </c>
      <c r="B65" s="477" t="s">
        <v>523</v>
      </c>
      <c r="C65" s="477" t="s">
        <v>787</v>
      </c>
      <c r="D65" s="449" t="s">
        <v>128</v>
      </c>
      <c r="E65" s="448">
        <f>IFERROR(E64/E20,0)</f>
        <v>0</v>
      </c>
      <c r="F65" s="449"/>
      <c r="G65" s="478"/>
    </row>
    <row r="66" spans="1:7" s="353" customFormat="1" x14ac:dyDescent="0.3">
      <c r="A66" s="472" t="s">
        <v>940</v>
      </c>
      <c r="B66" s="473" t="s">
        <v>938</v>
      </c>
      <c r="C66" s="473"/>
      <c r="D66" s="472"/>
      <c r="E66" s="472"/>
      <c r="F66" s="472"/>
      <c r="G66" s="475"/>
    </row>
    <row r="67" spans="1:7" ht="28.8" x14ac:dyDescent="0.3">
      <c r="A67" s="449" t="s">
        <v>941</v>
      </c>
      <c r="B67" s="477" t="s">
        <v>1039</v>
      </c>
      <c r="C67" s="477" t="s">
        <v>1056</v>
      </c>
      <c r="D67" s="449" t="s">
        <v>307</v>
      </c>
      <c r="E67" s="448">
        <f>'NF-6 Gas NCV '!E13</f>
        <v>0</v>
      </c>
      <c r="F67" s="449"/>
      <c r="G67" s="478"/>
    </row>
    <row r="68" spans="1:7" x14ac:dyDescent="0.3">
      <c r="A68" s="449" t="s">
        <v>942</v>
      </c>
      <c r="B68" s="477" t="s">
        <v>939</v>
      </c>
      <c r="C68" s="477" t="s">
        <v>1058</v>
      </c>
      <c r="D68" s="449" t="s">
        <v>128</v>
      </c>
      <c r="E68" s="448">
        <f>IFERROR(E67/E23,0)</f>
        <v>0</v>
      </c>
      <c r="F68" s="449"/>
      <c r="G68" s="478"/>
    </row>
    <row r="69" spans="1:7" x14ac:dyDescent="0.3">
      <c r="A69" s="449"/>
      <c r="B69" s="477"/>
      <c r="C69" s="477"/>
      <c r="D69" s="449"/>
      <c r="E69" s="449"/>
      <c r="F69" s="449"/>
      <c r="G69" s="478"/>
    </row>
    <row r="70" spans="1:7" ht="28.8" x14ac:dyDescent="0.3">
      <c r="A70" s="472" t="s">
        <v>193</v>
      </c>
      <c r="B70" s="473" t="s">
        <v>969</v>
      </c>
      <c r="C70" s="473"/>
      <c r="D70" s="472"/>
      <c r="E70" s="472"/>
      <c r="F70" s="472"/>
      <c r="G70" s="475"/>
    </row>
    <row r="71" spans="1:7" x14ac:dyDescent="0.3">
      <c r="A71" s="472" t="s">
        <v>524</v>
      </c>
      <c r="B71" s="473" t="s">
        <v>533</v>
      </c>
      <c r="C71" s="473"/>
      <c r="D71" s="472"/>
      <c r="E71" s="472"/>
      <c r="F71" s="472"/>
      <c r="G71" s="475"/>
    </row>
    <row r="72" spans="1:7" ht="43.2" x14ac:dyDescent="0.3">
      <c r="A72" s="449" t="s">
        <v>531</v>
      </c>
      <c r="B72" s="477" t="s">
        <v>876</v>
      </c>
      <c r="C72" s="477" t="s">
        <v>1035</v>
      </c>
      <c r="D72" s="449" t="s">
        <v>128</v>
      </c>
      <c r="E72" s="448">
        <f>IF(D3="Coal/Lignite/Oil/Gas Fired",E23,"Not Applicable")</f>
        <v>0</v>
      </c>
      <c r="F72" s="449"/>
      <c r="G72" s="478"/>
    </row>
    <row r="73" spans="1:7" s="353" customFormat="1" ht="43.2" x14ac:dyDescent="0.3">
      <c r="A73" s="490" t="s">
        <v>532</v>
      </c>
      <c r="B73" s="491" t="s">
        <v>877</v>
      </c>
      <c r="C73" s="491" t="s">
        <v>1036</v>
      </c>
      <c r="D73" s="490" t="s">
        <v>128</v>
      </c>
      <c r="E73" s="492">
        <f>IF(D3="Coal/Lignite/Oil/Gas Fired",E72/(1-E25/100),"Not Applicable")</f>
        <v>0</v>
      </c>
      <c r="F73" s="490"/>
      <c r="G73" s="493"/>
    </row>
    <row r="74" spans="1:7" x14ac:dyDescent="0.3">
      <c r="A74" s="472" t="s">
        <v>529</v>
      </c>
      <c r="B74" s="473" t="s">
        <v>222</v>
      </c>
      <c r="C74" s="473"/>
      <c r="D74" s="472"/>
      <c r="E74" s="479"/>
      <c r="F74" s="472"/>
      <c r="G74" s="475"/>
    </row>
    <row r="75" spans="1:7" x14ac:dyDescent="0.3">
      <c r="A75" s="449" t="s">
        <v>534</v>
      </c>
      <c r="B75" s="477" t="s">
        <v>526</v>
      </c>
      <c r="C75" s="477" t="s">
        <v>494</v>
      </c>
      <c r="D75" s="449" t="s">
        <v>128</v>
      </c>
      <c r="E75" s="448">
        <f>E39</f>
        <v>0</v>
      </c>
      <c r="F75" s="449"/>
      <c r="G75" s="478"/>
    </row>
    <row r="76" spans="1:7" x14ac:dyDescent="0.3">
      <c r="A76" s="449" t="s">
        <v>535</v>
      </c>
      <c r="B76" s="477" t="s">
        <v>527</v>
      </c>
      <c r="C76" s="477" t="s">
        <v>791</v>
      </c>
      <c r="D76" s="449" t="s">
        <v>128</v>
      </c>
      <c r="E76" s="448">
        <f>E44</f>
        <v>0</v>
      </c>
      <c r="F76" s="449"/>
      <c r="G76" s="478"/>
    </row>
    <row r="77" spans="1:7" x14ac:dyDescent="0.3">
      <c r="A77" s="449" t="s">
        <v>536</v>
      </c>
      <c r="B77" s="477" t="s">
        <v>566</v>
      </c>
      <c r="C77" s="477" t="s">
        <v>945</v>
      </c>
      <c r="D77" s="449" t="s">
        <v>128</v>
      </c>
      <c r="E77" s="448">
        <f>E52+E55</f>
        <v>0</v>
      </c>
      <c r="F77" s="449"/>
      <c r="G77" s="478"/>
    </row>
    <row r="78" spans="1:7" x14ac:dyDescent="0.3">
      <c r="A78" s="449" t="s">
        <v>537</v>
      </c>
      <c r="B78" s="477" t="s">
        <v>528</v>
      </c>
      <c r="C78" s="477" t="s">
        <v>518</v>
      </c>
      <c r="D78" s="449" t="s">
        <v>128</v>
      </c>
      <c r="E78" s="448">
        <f>E59</f>
        <v>0</v>
      </c>
      <c r="F78" s="449"/>
      <c r="G78" s="478"/>
    </row>
    <row r="79" spans="1:7" ht="57.6" x14ac:dyDescent="0.3">
      <c r="A79" s="490" t="s">
        <v>530</v>
      </c>
      <c r="B79" s="491" t="s">
        <v>878</v>
      </c>
      <c r="C79" s="491" t="s">
        <v>1220</v>
      </c>
      <c r="D79" s="490" t="s">
        <v>128</v>
      </c>
      <c r="E79" s="492">
        <f>IF(D3="Coal/Lignite/Oil/Gas Fired",E73-E75-E76-E77-E78-F34,"Not Applicable")</f>
        <v>0</v>
      </c>
      <c r="F79" s="492"/>
      <c r="G79" s="494"/>
    </row>
    <row r="80" spans="1:7" x14ac:dyDescent="0.3">
      <c r="A80" s="449"/>
      <c r="B80" s="477"/>
      <c r="C80" s="477"/>
      <c r="D80" s="449"/>
      <c r="E80" s="449"/>
      <c r="F80" s="449"/>
      <c r="G80" s="478"/>
    </row>
    <row r="81" spans="1:7" ht="28.8" x14ac:dyDescent="0.3">
      <c r="A81" s="472" t="s">
        <v>194</v>
      </c>
      <c r="B81" s="473" t="s">
        <v>538</v>
      </c>
      <c r="C81" s="473"/>
      <c r="D81" s="472"/>
      <c r="E81" s="472"/>
      <c r="F81" s="472"/>
      <c r="G81" s="475"/>
    </row>
    <row r="82" spans="1:7" x14ac:dyDescent="0.3">
      <c r="A82" s="472" t="s">
        <v>557</v>
      </c>
      <c r="B82" s="473" t="s">
        <v>1212</v>
      </c>
      <c r="C82" s="473"/>
      <c r="D82" s="472"/>
      <c r="E82" s="472"/>
      <c r="F82" s="472"/>
      <c r="G82" s="475"/>
    </row>
    <row r="83" spans="1:7" ht="72" x14ac:dyDescent="0.3">
      <c r="A83" s="449" t="s">
        <v>1211</v>
      </c>
      <c r="B83" s="477" t="s">
        <v>525</v>
      </c>
      <c r="C83" s="477" t="s">
        <v>790</v>
      </c>
      <c r="D83" s="449" t="s">
        <v>128</v>
      </c>
      <c r="E83" s="480" t="str">
        <f>IF(OR(D3="Gas Turbine (Open Cycle)",D3="Combined Cycle Gas Turbine (CCGT)"),E23,"Not Applicable")</f>
        <v>Not Applicable</v>
      </c>
      <c r="F83" s="449"/>
      <c r="G83" s="478"/>
    </row>
    <row r="84" spans="1:7" s="353" customFormat="1" ht="72" x14ac:dyDescent="0.3">
      <c r="A84" s="490" t="s">
        <v>558</v>
      </c>
      <c r="B84" s="491" t="s">
        <v>569</v>
      </c>
      <c r="C84" s="491" t="s">
        <v>1213</v>
      </c>
      <c r="D84" s="490" t="s">
        <v>128</v>
      </c>
      <c r="E84" s="495" t="str">
        <f>IF(OR(D3="Gas Turbine (Open Cycle)",D3="Combined Cycle Gas Turbine (CCGT)"),(E83/(1-E25/100)),"Not Applicable")</f>
        <v>Not Applicable</v>
      </c>
      <c r="F84" s="490"/>
      <c r="G84" s="494"/>
    </row>
    <row r="85" spans="1:7" s="498" customFormat="1" x14ac:dyDescent="0.3">
      <c r="A85" s="486" t="s">
        <v>572</v>
      </c>
      <c r="B85" s="496" t="s">
        <v>222</v>
      </c>
      <c r="C85" s="496"/>
      <c r="D85" s="486"/>
      <c r="E85" s="497"/>
      <c r="F85" s="486"/>
      <c r="G85" s="487"/>
    </row>
    <row r="86" spans="1:7" s="498" customFormat="1" x14ac:dyDescent="0.3">
      <c r="A86" s="449" t="s">
        <v>573</v>
      </c>
      <c r="B86" s="477" t="s">
        <v>527</v>
      </c>
      <c r="C86" s="499" t="s">
        <v>503</v>
      </c>
      <c r="D86" s="449" t="s">
        <v>128</v>
      </c>
      <c r="E86" s="316">
        <f>E44</f>
        <v>0</v>
      </c>
      <c r="F86" s="486"/>
      <c r="G86" s="487"/>
    </row>
    <row r="87" spans="1:7" x14ac:dyDescent="0.3">
      <c r="A87" s="449" t="s">
        <v>574</v>
      </c>
      <c r="B87" s="477" t="s">
        <v>570</v>
      </c>
      <c r="C87" s="477" t="s">
        <v>520</v>
      </c>
      <c r="D87" s="449" t="s">
        <v>128</v>
      </c>
      <c r="E87" s="448">
        <f>E62</f>
        <v>0</v>
      </c>
      <c r="F87" s="449"/>
      <c r="G87" s="478"/>
    </row>
    <row r="88" spans="1:7" x14ac:dyDescent="0.3">
      <c r="A88" s="449" t="s">
        <v>575</v>
      </c>
      <c r="B88" s="477" t="s">
        <v>571</v>
      </c>
      <c r="C88" s="477" t="s">
        <v>522</v>
      </c>
      <c r="D88" s="449" t="s">
        <v>128</v>
      </c>
      <c r="E88" s="448">
        <f>E65</f>
        <v>0</v>
      </c>
      <c r="F88" s="449"/>
      <c r="G88" s="478"/>
    </row>
    <row r="89" spans="1:7" x14ac:dyDescent="0.3">
      <c r="A89" s="449" t="s">
        <v>576</v>
      </c>
      <c r="B89" s="477" t="s">
        <v>566</v>
      </c>
      <c r="C89" s="477" t="s">
        <v>565</v>
      </c>
      <c r="D89" s="449" t="s">
        <v>128</v>
      </c>
      <c r="E89" s="448">
        <f>E52</f>
        <v>0</v>
      </c>
      <c r="F89" s="449"/>
      <c r="G89" s="478"/>
    </row>
    <row r="90" spans="1:7" x14ac:dyDescent="0.3">
      <c r="A90" s="449" t="s">
        <v>879</v>
      </c>
      <c r="B90" s="477" t="s">
        <v>944</v>
      </c>
      <c r="C90" s="477" t="s">
        <v>946</v>
      </c>
      <c r="D90" s="449" t="s">
        <v>128</v>
      </c>
      <c r="E90" s="448">
        <f>E68</f>
        <v>0</v>
      </c>
      <c r="F90" s="449"/>
      <c r="G90" s="478"/>
    </row>
    <row r="91" spans="1:7" x14ac:dyDescent="0.3">
      <c r="A91" s="449" t="s">
        <v>943</v>
      </c>
      <c r="B91" s="477" t="s">
        <v>528</v>
      </c>
      <c r="C91" s="477" t="s">
        <v>518</v>
      </c>
      <c r="D91" s="449" t="s">
        <v>128</v>
      </c>
      <c r="E91" s="448">
        <f>E59</f>
        <v>0</v>
      </c>
      <c r="F91" s="449"/>
      <c r="G91" s="478"/>
    </row>
    <row r="92" spans="1:7" ht="86.4" x14ac:dyDescent="0.3">
      <c r="A92" s="490" t="s">
        <v>577</v>
      </c>
      <c r="B92" s="491" t="s">
        <v>1218</v>
      </c>
      <c r="C92" s="491" t="s">
        <v>1221</v>
      </c>
      <c r="D92" s="490" t="s">
        <v>128</v>
      </c>
      <c r="E92" s="492" t="str">
        <f>IF(OR(D3="Gas Turbine (Open Cycle)",D3="Combined Cycle Gas Turbine (CCGT)"),E84-E86-E87-E88-E89-E90-E91-F34,"Not Applicable")</f>
        <v>Not Applicable</v>
      </c>
      <c r="F92" s="492"/>
      <c r="G92" s="494"/>
    </row>
    <row r="93" spans="1:7" x14ac:dyDescent="0.3">
      <c r="A93" s="449"/>
      <c r="B93" s="477"/>
      <c r="C93" s="477"/>
      <c r="D93" s="449"/>
      <c r="E93" s="449"/>
      <c r="F93" s="449"/>
      <c r="G93" s="478"/>
    </row>
    <row r="94" spans="1:7" s="353" customFormat="1" ht="28.8" x14ac:dyDescent="0.3">
      <c r="A94" s="350" t="s">
        <v>195</v>
      </c>
      <c r="B94" s="450" t="s">
        <v>1209</v>
      </c>
      <c r="C94" s="450"/>
      <c r="D94" s="350"/>
      <c r="E94" s="350"/>
      <c r="F94" s="350"/>
      <c r="G94" s="351"/>
    </row>
    <row r="95" spans="1:7" s="353" customFormat="1" x14ac:dyDescent="0.3">
      <c r="A95" s="350" t="s">
        <v>686</v>
      </c>
      <c r="B95" s="450" t="s">
        <v>533</v>
      </c>
      <c r="C95" s="450"/>
      <c r="D95" s="350"/>
      <c r="E95" s="350"/>
      <c r="F95" s="350"/>
      <c r="G95" s="351"/>
    </row>
    <row r="96" spans="1:7" x14ac:dyDescent="0.3">
      <c r="A96" s="449" t="s">
        <v>687</v>
      </c>
      <c r="B96" s="477" t="s">
        <v>525</v>
      </c>
      <c r="C96" s="477" t="s">
        <v>1210</v>
      </c>
      <c r="D96" s="449" t="s">
        <v>128</v>
      </c>
      <c r="E96" s="449" t="str">
        <f>IF(D3="DG Set",E23,"Not Applicable")</f>
        <v>Not Applicable</v>
      </c>
      <c r="F96" s="449"/>
      <c r="G96" s="478"/>
    </row>
    <row r="97" spans="1:7" s="476" customFormat="1" ht="28.8" x14ac:dyDescent="0.3">
      <c r="A97" s="490" t="s">
        <v>1207</v>
      </c>
      <c r="B97" s="491" t="s">
        <v>1206</v>
      </c>
      <c r="C97" s="491" t="s">
        <v>754</v>
      </c>
      <c r="D97" s="490" t="s">
        <v>128</v>
      </c>
      <c r="E97" s="492" t="str">
        <f>IF(D3="DG Set",E23/(1-E25/100),"Not Applicable")</f>
        <v>Not Applicable</v>
      </c>
      <c r="F97" s="492"/>
      <c r="G97" s="494"/>
    </row>
    <row r="98" spans="1:7" x14ac:dyDescent="0.3">
      <c r="A98" s="472" t="s">
        <v>1214</v>
      </c>
      <c r="B98" s="473" t="s">
        <v>222</v>
      </c>
      <c r="C98" s="473"/>
      <c r="D98" s="472"/>
      <c r="E98" s="472"/>
      <c r="F98" s="472"/>
      <c r="G98" s="475"/>
    </row>
    <row r="99" spans="1:7" s="476" customFormat="1" x14ac:dyDescent="0.3">
      <c r="A99" s="341" t="s">
        <v>1215</v>
      </c>
      <c r="B99" s="477" t="s">
        <v>527</v>
      </c>
      <c r="C99" s="499" t="s">
        <v>503</v>
      </c>
      <c r="D99" s="449" t="s">
        <v>128</v>
      </c>
      <c r="E99" s="316">
        <f>E44</f>
        <v>0</v>
      </c>
      <c r="F99" s="486"/>
      <c r="G99" s="487"/>
    </row>
    <row r="100" spans="1:7" s="476" customFormat="1" x14ac:dyDescent="0.3">
      <c r="A100" s="341" t="s">
        <v>1216</v>
      </c>
      <c r="B100" s="477" t="s">
        <v>528</v>
      </c>
      <c r="C100" s="499" t="s">
        <v>1208</v>
      </c>
      <c r="D100" s="449" t="s">
        <v>128</v>
      </c>
      <c r="E100" s="316">
        <f>E59</f>
        <v>0</v>
      </c>
      <c r="F100" s="486"/>
      <c r="G100" s="487"/>
    </row>
    <row r="101" spans="1:7" ht="43.2" x14ac:dyDescent="0.3">
      <c r="A101" s="490" t="s">
        <v>1217</v>
      </c>
      <c r="B101" s="491" t="s">
        <v>1219</v>
      </c>
      <c r="C101" s="491" t="s">
        <v>1222</v>
      </c>
      <c r="D101" s="490" t="s">
        <v>128</v>
      </c>
      <c r="E101" s="492" t="str">
        <f>IF(D3="DG Set",E97-E99-E100-F34,"Not Applicable")</f>
        <v>Not Applicable</v>
      </c>
      <c r="F101" s="492"/>
      <c r="G101" s="494"/>
    </row>
  </sheetData>
  <sheetProtection password="EC3B" sheet="1" objects="1" scenarios="1"/>
  <mergeCells count="4">
    <mergeCell ref="A1:G1"/>
    <mergeCell ref="A2:B2"/>
    <mergeCell ref="D2:G2"/>
    <mergeCell ref="D3:G3"/>
  </mergeCells>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8"/>
  <sheetViews>
    <sheetView zoomScale="70" zoomScaleNormal="70" workbookViewId="0">
      <pane xSplit="2" ySplit="5" topLeftCell="E6" activePane="bottomRight" state="frozen"/>
      <selection pane="topRight" activeCell="C1" sqref="C1"/>
      <selection pane="bottomLeft" activeCell="A5" sqref="A5"/>
      <selection pane="bottomRight" activeCell="N26" sqref="N26"/>
    </sheetView>
  </sheetViews>
  <sheetFormatPr defaultColWidth="8.88671875" defaultRowHeight="14.4" x14ac:dyDescent="0.3"/>
  <cols>
    <col min="1" max="1" width="7.33203125" style="28" customWidth="1"/>
    <col min="2" max="2" width="39.6640625" style="118" customWidth="1"/>
    <col min="3" max="3" width="37.109375" style="240" customWidth="1"/>
    <col min="4" max="4" width="13.6640625" style="18" customWidth="1"/>
    <col min="5" max="5" width="13.33203125" style="18" customWidth="1"/>
    <col min="6" max="6" width="13" style="18" customWidth="1"/>
    <col min="7" max="7" width="11" style="18" customWidth="1"/>
    <col min="8" max="8" width="12.6640625" style="18" customWidth="1"/>
    <col min="9" max="9" width="13.44140625" style="18" customWidth="1"/>
    <col min="10" max="10" width="10.109375" style="18" customWidth="1"/>
    <col min="11" max="11" width="13.33203125" style="18" customWidth="1"/>
    <col min="12" max="12" width="15.44140625" style="18" customWidth="1"/>
    <col min="13" max="13" width="11" style="18" customWidth="1"/>
    <col min="14" max="15" width="14.6640625" style="18" customWidth="1"/>
    <col min="16" max="16" width="12" style="57" customWidth="1"/>
    <col min="17" max="18" width="14.6640625" style="18" customWidth="1"/>
    <col min="19" max="19" width="10.33203125" style="18" customWidth="1"/>
    <col min="20" max="21" width="14.33203125" style="18" customWidth="1"/>
    <col min="22" max="22" width="12.33203125" style="18" customWidth="1"/>
    <col min="23" max="24" width="13.44140625" style="18" customWidth="1"/>
    <col min="25" max="25" width="11.88671875" style="18" customWidth="1"/>
    <col min="26" max="27" width="14" style="18" customWidth="1"/>
    <col min="28" max="28" width="12.109375" style="18" customWidth="1"/>
    <col min="29" max="30" width="14.109375" style="18" customWidth="1"/>
    <col min="31" max="31" width="11" style="18" customWidth="1"/>
    <col min="32" max="33" width="13.33203125" style="18" customWidth="1"/>
    <col min="34" max="34" width="11" style="18" customWidth="1"/>
    <col min="35" max="16384" width="8.88671875" style="18"/>
  </cols>
  <sheetData>
    <row r="1" spans="1:34" ht="23.4" x14ac:dyDescent="0.45">
      <c r="A1" s="731" t="s">
        <v>161</v>
      </c>
      <c r="B1" s="732"/>
      <c r="C1" s="732"/>
      <c r="D1" s="732"/>
      <c r="E1" s="732"/>
      <c r="F1" s="732"/>
      <c r="G1" s="732"/>
      <c r="H1" s="732"/>
      <c r="I1" s="732"/>
      <c r="J1" s="732"/>
      <c r="K1" s="732"/>
      <c r="L1" s="732"/>
      <c r="M1" s="732"/>
      <c r="N1" s="732"/>
      <c r="O1" s="732"/>
      <c r="P1" s="732"/>
      <c r="Q1" s="732"/>
      <c r="R1" s="732"/>
      <c r="S1" s="732"/>
      <c r="T1" s="732"/>
      <c r="U1" s="732"/>
      <c r="V1" s="732"/>
      <c r="W1" s="732"/>
      <c r="X1" s="732"/>
      <c r="Y1" s="732"/>
      <c r="Z1" s="732"/>
      <c r="AA1" s="732"/>
      <c r="AB1" s="732"/>
      <c r="AC1" s="732"/>
      <c r="AD1" s="732"/>
      <c r="AE1" s="732"/>
      <c r="AF1" s="732"/>
      <c r="AG1" s="732"/>
      <c r="AH1" s="732"/>
    </row>
    <row r="2" spans="1:34" ht="32.25" customHeight="1" x14ac:dyDescent="0.3">
      <c r="A2" s="741" t="s">
        <v>163</v>
      </c>
      <c r="B2" s="742"/>
      <c r="C2" s="742"/>
      <c r="D2" s="742"/>
      <c r="E2" s="739">
        <f>'General Information'!C3</f>
        <v>0</v>
      </c>
      <c r="F2" s="739"/>
      <c r="G2" s="739"/>
      <c r="H2" s="739"/>
      <c r="I2" s="739"/>
      <c r="J2" s="739"/>
      <c r="K2" s="739"/>
      <c r="L2" s="739"/>
      <c r="M2" s="739"/>
      <c r="N2" s="739"/>
      <c r="O2" s="739"/>
      <c r="P2" s="739"/>
      <c r="Q2" s="739"/>
      <c r="R2" s="739"/>
      <c r="S2" s="739"/>
      <c r="T2" s="739"/>
      <c r="U2" s="739"/>
      <c r="V2" s="739"/>
      <c r="W2" s="739"/>
      <c r="X2" s="739"/>
      <c r="Y2" s="739"/>
      <c r="Z2" s="739"/>
      <c r="AA2" s="739"/>
      <c r="AB2" s="739"/>
      <c r="AC2" s="739"/>
      <c r="AD2" s="739"/>
      <c r="AE2" s="739"/>
      <c r="AF2" s="739"/>
      <c r="AG2" s="739"/>
      <c r="AH2" s="740"/>
    </row>
    <row r="3" spans="1:34" ht="18" x14ac:dyDescent="0.3">
      <c r="A3" s="741" t="s">
        <v>1051</v>
      </c>
      <c r="B3" s="742"/>
      <c r="C3" s="742"/>
      <c r="D3" s="742"/>
      <c r="E3" s="284" t="str">
        <f>'Form Sh'!F479</f>
        <v>Yes</v>
      </c>
      <c r="F3" s="284" t="str">
        <f>'Form Sh'!S479</f>
        <v>Yes</v>
      </c>
      <c r="G3" s="743"/>
      <c r="H3" s="743"/>
      <c r="I3" s="743"/>
      <c r="J3" s="743"/>
      <c r="K3" s="743"/>
      <c r="L3" s="743"/>
      <c r="M3" s="743"/>
      <c r="N3" s="743"/>
      <c r="O3" s="743"/>
      <c r="P3" s="743"/>
      <c r="Q3" s="743"/>
      <c r="R3" s="743"/>
      <c r="S3" s="743"/>
      <c r="T3" s="743"/>
      <c r="U3" s="743"/>
      <c r="V3" s="743"/>
      <c r="W3" s="743"/>
      <c r="X3" s="743"/>
      <c r="Y3" s="743"/>
      <c r="Z3" s="743"/>
      <c r="AA3" s="743"/>
      <c r="AB3" s="743"/>
      <c r="AC3" s="743"/>
      <c r="AD3" s="743"/>
      <c r="AE3" s="743"/>
      <c r="AF3" s="743"/>
      <c r="AG3" s="743"/>
      <c r="AH3" s="744"/>
    </row>
    <row r="4" spans="1:34" s="367" customFormat="1" ht="20.25" customHeight="1" x14ac:dyDescent="0.3">
      <c r="A4" s="745" t="s">
        <v>146</v>
      </c>
      <c r="B4" s="733" t="s">
        <v>132</v>
      </c>
      <c r="C4" s="734" t="s">
        <v>162</v>
      </c>
      <c r="D4" s="735" t="s">
        <v>154</v>
      </c>
      <c r="E4" s="736" t="s">
        <v>167</v>
      </c>
      <c r="F4" s="737"/>
      <c r="G4" s="738"/>
      <c r="H4" s="736" t="s">
        <v>170</v>
      </c>
      <c r="I4" s="737"/>
      <c r="J4" s="738"/>
      <c r="K4" s="736" t="s">
        <v>172</v>
      </c>
      <c r="L4" s="737"/>
      <c r="M4" s="738"/>
      <c r="N4" s="736" t="s">
        <v>173</v>
      </c>
      <c r="O4" s="737"/>
      <c r="P4" s="738"/>
      <c r="Q4" s="736" t="s">
        <v>174</v>
      </c>
      <c r="R4" s="737"/>
      <c r="S4" s="738"/>
      <c r="T4" s="736" t="s">
        <v>175</v>
      </c>
      <c r="U4" s="737"/>
      <c r="V4" s="738"/>
      <c r="W4" s="736" t="s">
        <v>176</v>
      </c>
      <c r="X4" s="737"/>
      <c r="Y4" s="738"/>
      <c r="Z4" s="736" t="s">
        <v>177</v>
      </c>
      <c r="AA4" s="737"/>
      <c r="AB4" s="738"/>
      <c r="AC4" s="736" t="s">
        <v>178</v>
      </c>
      <c r="AD4" s="737"/>
      <c r="AE4" s="738"/>
      <c r="AF4" s="736" t="s">
        <v>179</v>
      </c>
      <c r="AG4" s="737"/>
      <c r="AH4" s="738"/>
    </row>
    <row r="5" spans="1:34" s="367" customFormat="1" ht="45.75" customHeight="1" x14ac:dyDescent="0.3">
      <c r="A5" s="746"/>
      <c r="B5" s="733"/>
      <c r="C5" s="734"/>
      <c r="D5" s="735"/>
      <c r="E5" s="368" t="s">
        <v>331</v>
      </c>
      <c r="F5" s="368" t="s">
        <v>332</v>
      </c>
      <c r="G5" s="368" t="s">
        <v>335</v>
      </c>
      <c r="H5" s="368" t="s">
        <v>331</v>
      </c>
      <c r="I5" s="368" t="s">
        <v>332</v>
      </c>
      <c r="J5" s="368" t="s">
        <v>335</v>
      </c>
      <c r="K5" s="368" t="s">
        <v>331</v>
      </c>
      <c r="L5" s="368" t="s">
        <v>332</v>
      </c>
      <c r="M5" s="368" t="s">
        <v>335</v>
      </c>
      <c r="N5" s="368" t="s">
        <v>331</v>
      </c>
      <c r="O5" s="368" t="s">
        <v>332</v>
      </c>
      <c r="P5" s="368" t="s">
        <v>335</v>
      </c>
      <c r="Q5" s="368" t="s">
        <v>331</v>
      </c>
      <c r="R5" s="368" t="s">
        <v>332</v>
      </c>
      <c r="S5" s="368" t="s">
        <v>335</v>
      </c>
      <c r="T5" s="368" t="s">
        <v>331</v>
      </c>
      <c r="U5" s="368" t="s">
        <v>332</v>
      </c>
      <c r="V5" s="368" t="s">
        <v>335</v>
      </c>
      <c r="W5" s="368" t="s">
        <v>331</v>
      </c>
      <c r="X5" s="368" t="s">
        <v>332</v>
      </c>
      <c r="Y5" s="368" t="s">
        <v>335</v>
      </c>
      <c r="Z5" s="368" t="s">
        <v>331</v>
      </c>
      <c r="AA5" s="368" t="s">
        <v>332</v>
      </c>
      <c r="AB5" s="368" t="s">
        <v>335</v>
      </c>
      <c r="AC5" s="368" t="s">
        <v>331</v>
      </c>
      <c r="AD5" s="368" t="s">
        <v>332</v>
      </c>
      <c r="AE5" s="368" t="s">
        <v>335</v>
      </c>
      <c r="AF5" s="368" t="s">
        <v>331</v>
      </c>
      <c r="AG5" s="368" t="s">
        <v>332</v>
      </c>
      <c r="AH5" s="368" t="s">
        <v>335</v>
      </c>
    </row>
    <row r="6" spans="1:34" s="35" customFormat="1" ht="27" customHeight="1" x14ac:dyDescent="0.3">
      <c r="A6" s="34">
        <v>1</v>
      </c>
      <c r="B6" s="115" t="s">
        <v>168</v>
      </c>
      <c r="C6" s="237" t="s">
        <v>795</v>
      </c>
      <c r="D6" s="511" t="s">
        <v>28</v>
      </c>
      <c r="E6" s="511">
        <f>IF(E8=0,0,'Form Sh'!E18)</f>
        <v>0</v>
      </c>
      <c r="F6" s="511">
        <f>IF('Form Sh'!D18&gt;DATEVALUE("31/03/2010"),0,'Form Sh'!E18)</f>
        <v>0</v>
      </c>
      <c r="G6" s="511">
        <f>'Form Sh'!E18</f>
        <v>0</v>
      </c>
      <c r="H6" s="511">
        <f>IF(H8=0,0,'Form Sh'!E19)</f>
        <v>0</v>
      </c>
      <c r="I6" s="511">
        <f>IF('Form Sh'!D19&gt;DATEVALUE("31/03/2010"),0,'Form Sh'!E19)</f>
        <v>0</v>
      </c>
      <c r="J6" s="511">
        <f>'Form Sh'!E19</f>
        <v>0</v>
      </c>
      <c r="K6" s="511">
        <f>IF(K8=0,0,'Form Sh'!E20)</f>
        <v>0</v>
      </c>
      <c r="L6" s="511">
        <f>IF('Form Sh'!D20&gt;DATEVALUE("31/03/2010"),0,'Form Sh'!E20)</f>
        <v>0</v>
      </c>
      <c r="M6" s="511">
        <f>'Form Sh'!E20</f>
        <v>0</v>
      </c>
      <c r="N6" s="511">
        <f>IF(N8=0,0,'Form Sh'!E21)</f>
        <v>0</v>
      </c>
      <c r="O6" s="511">
        <f>IF('Form Sh'!D21&gt;DATEVALUE("31/03/2010"),0,'Form Sh'!E21)</f>
        <v>0</v>
      </c>
      <c r="P6" s="511">
        <f>'Form Sh'!E21</f>
        <v>0</v>
      </c>
      <c r="Q6" s="511">
        <f>IF(Q8=0,0,'Form Sh'!E22)</f>
        <v>0</v>
      </c>
      <c r="R6" s="511">
        <f>IF('Form Sh'!D22&gt;DATEVALUE("31/03/2010"),0,'Form Sh'!E22)</f>
        <v>0</v>
      </c>
      <c r="S6" s="511">
        <f>'Form Sh'!E22</f>
        <v>0</v>
      </c>
      <c r="T6" s="511">
        <f>IF(T8=0,0,'Form Sh'!E23)</f>
        <v>0</v>
      </c>
      <c r="U6" s="511">
        <f>IF('Form Sh'!D23&gt;DATEVALUE("31/03/2010"),0,'Form Sh'!E23)</f>
        <v>0</v>
      </c>
      <c r="V6" s="511">
        <f>'Form Sh'!E23</f>
        <v>0</v>
      </c>
      <c r="W6" s="511">
        <f>IF(W8=0,0,'Form Sh'!E24)</f>
        <v>0</v>
      </c>
      <c r="X6" s="511">
        <f>IF('Form Sh'!D24&gt;DATEVALUE("31/03/2010"),0,'Form Sh'!E24)</f>
        <v>0</v>
      </c>
      <c r="Y6" s="511">
        <f>'Form Sh'!E24</f>
        <v>0</v>
      </c>
      <c r="Z6" s="511">
        <f>IF(Z8=0,0,'Form Sh'!E25)</f>
        <v>0</v>
      </c>
      <c r="AA6" s="511">
        <f>IF('Form Sh'!D25&gt;DATEVALUE("31/03/2010"),0,'Form Sh'!E25)</f>
        <v>0</v>
      </c>
      <c r="AB6" s="511">
        <f>'Form Sh'!E25</f>
        <v>0</v>
      </c>
      <c r="AC6" s="511">
        <f>IF(AC8=0,0,'Form Sh'!E26)</f>
        <v>0</v>
      </c>
      <c r="AD6" s="511">
        <f>IF('Form Sh'!D26&gt;DATEVALUE("31/03/2010"),0,'Form Sh'!E26)</f>
        <v>0</v>
      </c>
      <c r="AE6" s="511">
        <f>'Form Sh'!E26</f>
        <v>0</v>
      </c>
      <c r="AF6" s="511">
        <f>IF(AF8=0,0,'Form Sh'!E27)</f>
        <v>0</v>
      </c>
      <c r="AG6" s="511">
        <f>IF('Form Sh'!D27&gt;DATEVALUE("31/03/2010"),0,'Form Sh'!E27)</f>
        <v>0</v>
      </c>
      <c r="AH6" s="511">
        <f>'Form Sh'!E27</f>
        <v>0</v>
      </c>
    </row>
    <row r="7" spans="1:34" s="35" customFormat="1" ht="28.8" x14ac:dyDescent="0.3">
      <c r="A7" s="34">
        <v>2</v>
      </c>
      <c r="B7" s="115" t="s">
        <v>430</v>
      </c>
      <c r="C7" s="237" t="s">
        <v>802</v>
      </c>
      <c r="D7" s="511" t="s">
        <v>110</v>
      </c>
      <c r="E7" s="511">
        <f>G7</f>
        <v>0</v>
      </c>
      <c r="F7" s="511">
        <f>G7</f>
        <v>0</v>
      </c>
      <c r="G7" s="511">
        <f>IF('Form Sh'!G18=0,'Form Sh'!J18,'Form Sh'!G18)</f>
        <v>0</v>
      </c>
      <c r="H7" s="511">
        <f>J7</f>
        <v>0</v>
      </c>
      <c r="I7" s="511">
        <f>J7</f>
        <v>0</v>
      </c>
      <c r="J7" s="511">
        <f>IF('Form Sh'!G19=0,'Form Sh'!J19,'Form Sh'!G19)</f>
        <v>0</v>
      </c>
      <c r="K7" s="511">
        <f>M7</f>
        <v>0</v>
      </c>
      <c r="L7" s="511">
        <f>M7</f>
        <v>0</v>
      </c>
      <c r="M7" s="511">
        <f>IF('Form Sh'!G20=0,'Form Sh'!J20,'Form Sh'!G20)</f>
        <v>0</v>
      </c>
      <c r="N7" s="511">
        <f>P7</f>
        <v>0</v>
      </c>
      <c r="O7" s="511">
        <f>P7</f>
        <v>0</v>
      </c>
      <c r="P7" s="511">
        <f>IF('Form Sh'!G21=0,'Form Sh'!J21,'Form Sh'!G21)</f>
        <v>0</v>
      </c>
      <c r="Q7" s="511">
        <f>S7</f>
        <v>0</v>
      </c>
      <c r="R7" s="511">
        <f>S7</f>
        <v>0</v>
      </c>
      <c r="S7" s="511">
        <f>IF('Form Sh'!G22=0,'Form Sh'!J22,'Form Sh'!G22)</f>
        <v>0</v>
      </c>
      <c r="T7" s="511">
        <f>V7</f>
        <v>0</v>
      </c>
      <c r="U7" s="511">
        <f>V7</f>
        <v>0</v>
      </c>
      <c r="V7" s="511">
        <f>IF('Form Sh'!G23=0,'Form Sh'!J23,'Form Sh'!G23)</f>
        <v>0</v>
      </c>
      <c r="W7" s="511">
        <f>Y7</f>
        <v>0</v>
      </c>
      <c r="X7" s="511">
        <f>Y7</f>
        <v>0</v>
      </c>
      <c r="Y7" s="511">
        <f>IF('Form Sh'!G24=0,'Form Sh'!J24,'Form Sh'!G24)</f>
        <v>0</v>
      </c>
      <c r="Z7" s="511">
        <f>AB7</f>
        <v>0</v>
      </c>
      <c r="AA7" s="511">
        <f>AB7</f>
        <v>0</v>
      </c>
      <c r="AB7" s="511">
        <f>IF('Form Sh'!G25=0,'Form Sh'!J25,'Form Sh'!G25)</f>
        <v>0</v>
      </c>
      <c r="AC7" s="511">
        <f>AE7</f>
        <v>0</v>
      </c>
      <c r="AD7" s="511">
        <f>AE7</f>
        <v>0</v>
      </c>
      <c r="AE7" s="511">
        <f>IF('Form Sh'!G26=0,'Form Sh'!J26,'Form Sh'!G26)</f>
        <v>0</v>
      </c>
      <c r="AF7" s="511">
        <f>AH7</f>
        <v>0</v>
      </c>
      <c r="AG7" s="511">
        <f>AH7</f>
        <v>0</v>
      </c>
      <c r="AH7" s="511">
        <f>IF('Form Sh'!G27=0,'Form Sh'!J27,'Form Sh'!G27)</f>
        <v>0</v>
      </c>
    </row>
    <row r="8" spans="1:34" s="35" customFormat="1" x14ac:dyDescent="0.3">
      <c r="A8" s="34">
        <v>3</v>
      </c>
      <c r="B8" s="115" t="s">
        <v>495</v>
      </c>
      <c r="C8" s="237" t="s">
        <v>803</v>
      </c>
      <c r="D8" s="511" t="s">
        <v>92</v>
      </c>
      <c r="E8" s="511">
        <f>'Form Sh'!I47</f>
        <v>0</v>
      </c>
      <c r="F8" s="511">
        <f>'Form Sh'!Q47</f>
        <v>0</v>
      </c>
      <c r="G8" s="511"/>
      <c r="H8" s="511">
        <f>'Form Sh'!I48</f>
        <v>0</v>
      </c>
      <c r="I8" s="511">
        <f>'Form Sh'!Q48</f>
        <v>0</v>
      </c>
      <c r="J8" s="511"/>
      <c r="K8" s="511">
        <f>'Form Sh'!I49</f>
        <v>0</v>
      </c>
      <c r="L8" s="511">
        <f>'Form Sh'!Q49</f>
        <v>0</v>
      </c>
      <c r="M8" s="511"/>
      <c r="N8" s="511">
        <f>'Form Sh'!I50</f>
        <v>0</v>
      </c>
      <c r="O8" s="511">
        <f>'Form Sh'!Q50</f>
        <v>0</v>
      </c>
      <c r="P8" s="511"/>
      <c r="Q8" s="511">
        <f>'Form Sh'!I51</f>
        <v>0</v>
      </c>
      <c r="R8" s="511">
        <f>'Form Sh'!Q51</f>
        <v>0</v>
      </c>
      <c r="S8" s="511"/>
      <c r="T8" s="511">
        <f>'Form Sh'!I52</f>
        <v>0</v>
      </c>
      <c r="U8" s="511">
        <f>'Form Sh'!Q52</f>
        <v>0</v>
      </c>
      <c r="V8" s="511"/>
      <c r="W8" s="511">
        <f>'Form Sh'!I53</f>
        <v>0</v>
      </c>
      <c r="X8" s="511">
        <f>'Form Sh'!Q53</f>
        <v>0</v>
      </c>
      <c r="Y8" s="511"/>
      <c r="Z8" s="511">
        <f>'Form Sh'!I54</f>
        <v>0</v>
      </c>
      <c r="AA8" s="511">
        <f>'Form Sh'!Q54</f>
        <v>0</v>
      </c>
      <c r="AB8" s="511"/>
      <c r="AC8" s="511">
        <f>'Form Sh'!I55</f>
        <v>0</v>
      </c>
      <c r="AD8" s="511">
        <f>'Form Sh'!Q55</f>
        <v>0</v>
      </c>
      <c r="AE8" s="511"/>
      <c r="AF8" s="511">
        <f>'Form Sh'!I56</f>
        <v>0</v>
      </c>
      <c r="AG8" s="511">
        <f>'Form Sh'!Q56</f>
        <v>0</v>
      </c>
      <c r="AH8" s="511"/>
    </row>
    <row r="9" spans="1:34" s="520" customFormat="1" x14ac:dyDescent="0.3">
      <c r="A9" s="34">
        <v>4</v>
      </c>
      <c r="B9" s="114" t="s">
        <v>65</v>
      </c>
      <c r="C9" s="237" t="s">
        <v>796</v>
      </c>
      <c r="D9" s="511" t="s">
        <v>62</v>
      </c>
      <c r="E9" s="511">
        <f>'Form Sh'!H128</f>
        <v>0</v>
      </c>
      <c r="F9" s="511">
        <f>'Form Sh'!S128</f>
        <v>0</v>
      </c>
      <c r="G9" s="511">
        <f>'Form Sh'!F128</f>
        <v>0</v>
      </c>
      <c r="H9" s="511">
        <f>'Form Sh'!H145</f>
        <v>0</v>
      </c>
      <c r="I9" s="511">
        <f>'Form Sh'!S145</f>
        <v>0</v>
      </c>
      <c r="J9" s="511">
        <f>'Form Sh'!F145</f>
        <v>0</v>
      </c>
      <c r="K9" s="511">
        <f>'Form Sh'!H162</f>
        <v>0</v>
      </c>
      <c r="L9" s="511">
        <f>'Form Sh'!S162</f>
        <v>0</v>
      </c>
      <c r="M9" s="511">
        <f>'Form Sh'!F162</f>
        <v>0</v>
      </c>
      <c r="N9" s="511">
        <f>'Form Sh'!H179</f>
        <v>0</v>
      </c>
      <c r="O9" s="511">
        <f>'Form Sh'!S179</f>
        <v>0</v>
      </c>
      <c r="P9" s="519">
        <f>'Form Sh'!F179</f>
        <v>0</v>
      </c>
      <c r="Q9" s="519">
        <f>'Form Sh'!H196</f>
        <v>0</v>
      </c>
      <c r="R9" s="519">
        <f>'Form Sh'!S196</f>
        <v>0</v>
      </c>
      <c r="S9" s="519">
        <f>'Form Sh'!F196</f>
        <v>0</v>
      </c>
      <c r="T9" s="519">
        <f>'Form Sh'!H213</f>
        <v>0</v>
      </c>
      <c r="U9" s="519">
        <f>'Form Sh'!S213</f>
        <v>0</v>
      </c>
      <c r="V9" s="519">
        <f>'Form Sh'!F213</f>
        <v>0</v>
      </c>
      <c r="W9" s="519">
        <f>'Form Sh'!H230</f>
        <v>0</v>
      </c>
      <c r="X9" s="519">
        <f>'Form Sh'!S230</f>
        <v>0</v>
      </c>
      <c r="Y9" s="519">
        <f>'Form Sh'!F230</f>
        <v>0</v>
      </c>
      <c r="Z9" s="519">
        <f>'Form Sh'!H247</f>
        <v>0</v>
      </c>
      <c r="AA9" s="519">
        <f>'Form Sh'!S247</f>
        <v>0</v>
      </c>
      <c r="AB9" s="519">
        <f>'Form Sh'!F247</f>
        <v>0</v>
      </c>
      <c r="AC9" s="519">
        <f>'Form Sh'!H264</f>
        <v>0</v>
      </c>
      <c r="AD9" s="519">
        <f>'Form Sh'!S264</f>
        <v>0</v>
      </c>
      <c r="AE9" s="519">
        <f>'Form Sh'!F264</f>
        <v>0</v>
      </c>
      <c r="AF9" s="519">
        <f>'Form Sh'!H281</f>
        <v>0</v>
      </c>
      <c r="AG9" s="519">
        <f>'Form Sh'!S281</f>
        <v>0</v>
      </c>
      <c r="AH9" s="519">
        <f>'Form Sh'!F281</f>
        <v>0</v>
      </c>
    </row>
    <row r="10" spans="1:34" s="520" customFormat="1" x14ac:dyDescent="0.3">
      <c r="A10" s="34">
        <v>5</v>
      </c>
      <c r="B10" s="114" t="s">
        <v>66</v>
      </c>
      <c r="C10" s="237" t="s">
        <v>793</v>
      </c>
      <c r="D10" s="511" t="s">
        <v>62</v>
      </c>
      <c r="E10" s="511">
        <f>'Form Sh'!H129</f>
        <v>0</v>
      </c>
      <c r="F10" s="511">
        <f>'Form Sh'!S129</f>
        <v>0</v>
      </c>
      <c r="G10" s="511">
        <f>'Form Sh'!F129</f>
        <v>0</v>
      </c>
      <c r="H10" s="511">
        <f>'Form Sh'!H146</f>
        <v>0</v>
      </c>
      <c r="I10" s="511">
        <f>'Form Sh'!S146</f>
        <v>0</v>
      </c>
      <c r="J10" s="511">
        <f>'Form Sh'!F146</f>
        <v>0</v>
      </c>
      <c r="K10" s="511">
        <f>'Form Sh'!H163</f>
        <v>0</v>
      </c>
      <c r="L10" s="511">
        <f>'Form Sh'!S163</f>
        <v>0</v>
      </c>
      <c r="M10" s="511">
        <f>'Form Sh'!F163</f>
        <v>0</v>
      </c>
      <c r="N10" s="511">
        <f>'Form Sh'!H180</f>
        <v>0</v>
      </c>
      <c r="O10" s="511">
        <f>'Form Sh'!S180</f>
        <v>0</v>
      </c>
      <c r="P10" s="519">
        <f>'Form Sh'!F180</f>
        <v>0</v>
      </c>
      <c r="Q10" s="519">
        <f>'Form Sh'!H197</f>
        <v>0</v>
      </c>
      <c r="R10" s="519">
        <f>'Form Sh'!S197</f>
        <v>0</v>
      </c>
      <c r="S10" s="519">
        <f>'Form Sh'!F197</f>
        <v>0</v>
      </c>
      <c r="T10" s="519">
        <f>'Form Sh'!H214</f>
        <v>0</v>
      </c>
      <c r="U10" s="519">
        <f>'Form Sh'!S214</f>
        <v>0</v>
      </c>
      <c r="V10" s="519">
        <f>'Form Sh'!F214</f>
        <v>0</v>
      </c>
      <c r="W10" s="519">
        <f>'Form Sh'!H231</f>
        <v>0</v>
      </c>
      <c r="X10" s="519">
        <f>'Form Sh'!S231</f>
        <v>0</v>
      </c>
      <c r="Y10" s="519">
        <f>'Form Sh'!F231</f>
        <v>0</v>
      </c>
      <c r="Z10" s="519">
        <f>'Form Sh'!H248</f>
        <v>0</v>
      </c>
      <c r="AA10" s="519">
        <f>'Form Sh'!S248</f>
        <v>0</v>
      </c>
      <c r="AB10" s="519">
        <f>'Form Sh'!F248</f>
        <v>0</v>
      </c>
      <c r="AC10" s="519">
        <f>'Form Sh'!H265</f>
        <v>0</v>
      </c>
      <c r="AD10" s="519">
        <f>'Form Sh'!S265</f>
        <v>0</v>
      </c>
      <c r="AE10" s="519">
        <f>'Form Sh'!F265</f>
        <v>0</v>
      </c>
      <c r="AF10" s="519">
        <f>'Form Sh'!H282</f>
        <v>0</v>
      </c>
      <c r="AG10" s="519">
        <f>'Form Sh'!S282</f>
        <v>0</v>
      </c>
      <c r="AH10" s="519">
        <f>'Form Sh'!F282</f>
        <v>0</v>
      </c>
    </row>
    <row r="11" spans="1:34" s="520" customFormat="1" x14ac:dyDescent="0.3">
      <c r="A11" s="34">
        <v>6</v>
      </c>
      <c r="B11" s="114" t="s">
        <v>68</v>
      </c>
      <c r="C11" s="237" t="s">
        <v>792</v>
      </c>
      <c r="D11" s="511" t="s">
        <v>880</v>
      </c>
      <c r="E11" s="511">
        <f>'Form Sh'!H130</f>
        <v>0</v>
      </c>
      <c r="F11" s="511">
        <f>'Form Sh'!S130</f>
        <v>0</v>
      </c>
      <c r="G11" s="511">
        <f>'Form Sh'!F130</f>
        <v>0</v>
      </c>
      <c r="H11" s="511">
        <f>'Form Sh'!H147</f>
        <v>0</v>
      </c>
      <c r="I11" s="511">
        <f>'Form Sh'!S147</f>
        <v>0</v>
      </c>
      <c r="J11" s="511">
        <f>'Form Sh'!F147</f>
        <v>0</v>
      </c>
      <c r="K11" s="511">
        <f>'Form Sh'!H164</f>
        <v>0</v>
      </c>
      <c r="L11" s="511">
        <f>'Form Sh'!S164</f>
        <v>0</v>
      </c>
      <c r="M11" s="511">
        <f>'Form Sh'!F164</f>
        <v>0</v>
      </c>
      <c r="N11" s="511">
        <f>'Form Sh'!H181</f>
        <v>0</v>
      </c>
      <c r="O11" s="511">
        <f>'Form Sh'!S181</f>
        <v>0</v>
      </c>
      <c r="P11" s="519">
        <f>'Form Sh'!F181</f>
        <v>0</v>
      </c>
      <c r="Q11" s="519">
        <f>'Form Sh'!H198</f>
        <v>0</v>
      </c>
      <c r="R11" s="519">
        <f>'Form Sh'!S198</f>
        <v>0</v>
      </c>
      <c r="S11" s="519">
        <f>'Form Sh'!F198</f>
        <v>0</v>
      </c>
      <c r="T11" s="519">
        <f>'Form Sh'!H215</f>
        <v>0</v>
      </c>
      <c r="U11" s="519">
        <f>'Form Sh'!S215</f>
        <v>0</v>
      </c>
      <c r="V11" s="519">
        <f>'Form Sh'!F215</f>
        <v>0</v>
      </c>
      <c r="W11" s="519">
        <f>'Form Sh'!H232</f>
        <v>0</v>
      </c>
      <c r="X11" s="519">
        <f>'Form Sh'!S232</f>
        <v>0</v>
      </c>
      <c r="Y11" s="519">
        <f>'Form Sh'!F232</f>
        <v>0</v>
      </c>
      <c r="Z11" s="519">
        <f>'Form Sh'!H249</f>
        <v>0</v>
      </c>
      <c r="AA11" s="519">
        <f>'Form Sh'!S249</f>
        <v>0</v>
      </c>
      <c r="AB11" s="519">
        <f>'Form Sh'!F249</f>
        <v>0</v>
      </c>
      <c r="AC11" s="519">
        <f>'Form Sh'!H266</f>
        <v>0</v>
      </c>
      <c r="AD11" s="519">
        <f>'Form Sh'!S266</f>
        <v>0</v>
      </c>
      <c r="AE11" s="519">
        <f>'Form Sh'!F266</f>
        <v>0</v>
      </c>
      <c r="AF11" s="519">
        <f>'Form Sh'!H283</f>
        <v>0</v>
      </c>
      <c r="AG11" s="519">
        <f>'Form Sh'!S283</f>
        <v>0</v>
      </c>
      <c r="AH11" s="519">
        <f>'Form Sh'!F283</f>
        <v>0</v>
      </c>
    </row>
    <row r="12" spans="1:34" s="520" customFormat="1" x14ac:dyDescent="0.3">
      <c r="A12" s="34">
        <v>7</v>
      </c>
      <c r="B12" s="114" t="s">
        <v>72</v>
      </c>
      <c r="C12" s="237" t="s">
        <v>794</v>
      </c>
      <c r="D12" s="511" t="s">
        <v>62</v>
      </c>
      <c r="E12" s="511">
        <f>'Form Sh'!H133</f>
        <v>0</v>
      </c>
      <c r="F12" s="511">
        <f>'Form Sh'!S133</f>
        <v>0</v>
      </c>
      <c r="G12" s="511">
        <f>'Form Sh'!F133</f>
        <v>0</v>
      </c>
      <c r="H12" s="511">
        <f>'Form Sh'!H150</f>
        <v>0</v>
      </c>
      <c r="I12" s="511">
        <f>'Form Sh'!S150</f>
        <v>0</v>
      </c>
      <c r="J12" s="511">
        <f>'Form Sh'!F150</f>
        <v>0</v>
      </c>
      <c r="K12" s="511">
        <f>'Form Sh'!H167</f>
        <v>0</v>
      </c>
      <c r="L12" s="511">
        <f>'Form Sh'!S167</f>
        <v>0</v>
      </c>
      <c r="M12" s="511">
        <f>'Form Sh'!F167</f>
        <v>0</v>
      </c>
      <c r="N12" s="511">
        <f>'Form Sh'!H184</f>
        <v>0</v>
      </c>
      <c r="O12" s="511">
        <f>'Form Sh'!S184</f>
        <v>0</v>
      </c>
      <c r="P12" s="519">
        <f>'Form Sh'!F184</f>
        <v>0</v>
      </c>
      <c r="Q12" s="519">
        <f>'Form Sh'!H201</f>
        <v>0</v>
      </c>
      <c r="R12" s="519">
        <f>'Form Sh'!S201</f>
        <v>0</v>
      </c>
      <c r="S12" s="519">
        <f>'Form Sh'!F201</f>
        <v>0</v>
      </c>
      <c r="T12" s="519">
        <f>'Form Sh'!H218</f>
        <v>0</v>
      </c>
      <c r="U12" s="519">
        <f>'Form Sh'!S218</f>
        <v>0</v>
      </c>
      <c r="V12" s="519">
        <f>'Form Sh'!F218</f>
        <v>0</v>
      </c>
      <c r="W12" s="519">
        <f>'Form Sh'!H235</f>
        <v>0</v>
      </c>
      <c r="X12" s="519">
        <f>'Form Sh'!S235</f>
        <v>0</v>
      </c>
      <c r="Y12" s="519">
        <f>'Form Sh'!F235</f>
        <v>0</v>
      </c>
      <c r="Z12" s="519">
        <f>'Form Sh'!H252</f>
        <v>0</v>
      </c>
      <c r="AA12" s="519">
        <f>'Form Sh'!S252</f>
        <v>0</v>
      </c>
      <c r="AB12" s="519">
        <f>'Form Sh'!F252</f>
        <v>0</v>
      </c>
      <c r="AC12" s="519">
        <f>'Form Sh'!H269</f>
        <v>0</v>
      </c>
      <c r="AD12" s="519">
        <f>'Form Sh'!S269</f>
        <v>0</v>
      </c>
      <c r="AE12" s="519">
        <f>'Form Sh'!F269</f>
        <v>0</v>
      </c>
      <c r="AF12" s="519">
        <f>'Form Sh'!H286</f>
        <v>0</v>
      </c>
      <c r="AG12" s="519">
        <f>'Form Sh'!S286</f>
        <v>0</v>
      </c>
      <c r="AH12" s="519">
        <f>'Form Sh'!F286</f>
        <v>0</v>
      </c>
    </row>
    <row r="13" spans="1:34" s="520" customFormat="1" ht="30" customHeight="1" x14ac:dyDescent="0.3">
      <c r="A13" s="34">
        <v>8</v>
      </c>
      <c r="B13" s="115" t="s">
        <v>237</v>
      </c>
      <c r="C13" s="237" t="s">
        <v>423</v>
      </c>
      <c r="D13" s="511" t="s">
        <v>62</v>
      </c>
      <c r="E13" s="510">
        <f>IFERROR(92.5-(50*E10+630*(E9+9*E12))/E11,0)</f>
        <v>0</v>
      </c>
      <c r="F13" s="510">
        <f>IFERROR(92.5-(50*F10+630*(F9+9*F12))/F11,0)</f>
        <v>0</v>
      </c>
      <c r="G13" s="510">
        <f t="shared" ref="G13:AH13" si="0">IFERROR(92.5-(50*G10+630*(G9+9*G12))/G11,0)</f>
        <v>0</v>
      </c>
      <c r="H13" s="510">
        <f t="shared" si="0"/>
        <v>0</v>
      </c>
      <c r="I13" s="510">
        <f t="shared" si="0"/>
        <v>0</v>
      </c>
      <c r="J13" s="510">
        <f t="shared" si="0"/>
        <v>0</v>
      </c>
      <c r="K13" s="510">
        <f t="shared" si="0"/>
        <v>0</v>
      </c>
      <c r="L13" s="510">
        <f t="shared" si="0"/>
        <v>0</v>
      </c>
      <c r="M13" s="510">
        <f t="shared" si="0"/>
        <v>0</v>
      </c>
      <c r="N13" s="510">
        <f t="shared" si="0"/>
        <v>0</v>
      </c>
      <c r="O13" s="510">
        <f t="shared" si="0"/>
        <v>0</v>
      </c>
      <c r="P13" s="510">
        <f t="shared" si="0"/>
        <v>0</v>
      </c>
      <c r="Q13" s="510">
        <f t="shared" si="0"/>
        <v>0</v>
      </c>
      <c r="R13" s="510">
        <f t="shared" si="0"/>
        <v>0</v>
      </c>
      <c r="S13" s="510">
        <f t="shared" si="0"/>
        <v>0</v>
      </c>
      <c r="T13" s="510">
        <f t="shared" si="0"/>
        <v>0</v>
      </c>
      <c r="U13" s="510">
        <f t="shared" si="0"/>
        <v>0</v>
      </c>
      <c r="V13" s="510">
        <f t="shared" si="0"/>
        <v>0</v>
      </c>
      <c r="W13" s="510">
        <f t="shared" si="0"/>
        <v>0</v>
      </c>
      <c r="X13" s="510">
        <f t="shared" si="0"/>
        <v>0</v>
      </c>
      <c r="Y13" s="510">
        <f t="shared" si="0"/>
        <v>0</v>
      </c>
      <c r="Z13" s="510">
        <f t="shared" si="0"/>
        <v>0</v>
      </c>
      <c r="AA13" s="510">
        <f t="shared" si="0"/>
        <v>0</v>
      </c>
      <c r="AB13" s="510">
        <f t="shared" si="0"/>
        <v>0</v>
      </c>
      <c r="AC13" s="510">
        <f t="shared" si="0"/>
        <v>0</v>
      </c>
      <c r="AD13" s="510">
        <f t="shared" si="0"/>
        <v>0</v>
      </c>
      <c r="AE13" s="510">
        <f t="shared" si="0"/>
        <v>0</v>
      </c>
      <c r="AF13" s="510">
        <f t="shared" si="0"/>
        <v>0</v>
      </c>
      <c r="AG13" s="510">
        <f t="shared" si="0"/>
        <v>0</v>
      </c>
      <c r="AH13" s="510">
        <f t="shared" si="0"/>
        <v>0</v>
      </c>
    </row>
    <row r="14" spans="1:34" s="521" customFormat="1" ht="28.8" x14ac:dyDescent="0.3">
      <c r="A14" s="34">
        <v>9</v>
      </c>
      <c r="B14" s="114" t="s">
        <v>160</v>
      </c>
      <c r="C14" s="237" t="s">
        <v>797</v>
      </c>
      <c r="D14" s="511" t="s">
        <v>62</v>
      </c>
      <c r="E14" s="511">
        <f>G14</f>
        <v>0</v>
      </c>
      <c r="F14" s="511">
        <f>G14</f>
        <v>0</v>
      </c>
      <c r="G14" s="511">
        <f>IF('Form Sh'!F18=0,'Form Sh'!I18,'Form Sh'!F18)</f>
        <v>0</v>
      </c>
      <c r="H14" s="511">
        <f>J14</f>
        <v>0</v>
      </c>
      <c r="I14" s="511">
        <f>J14</f>
        <v>0</v>
      </c>
      <c r="J14" s="511">
        <f>IF('Form Sh'!F19=0,'Form Sh'!I19,'Form Sh'!F19)</f>
        <v>0</v>
      </c>
      <c r="K14" s="511">
        <f>M14</f>
        <v>0</v>
      </c>
      <c r="L14" s="511">
        <f>M14</f>
        <v>0</v>
      </c>
      <c r="M14" s="511">
        <f>IF('Form Sh'!F20=0,'Form Sh'!I20,'Form Sh'!F20)</f>
        <v>0</v>
      </c>
      <c r="N14" s="339">
        <f>P14</f>
        <v>0</v>
      </c>
      <c r="O14" s="339">
        <f>P14</f>
        <v>0</v>
      </c>
      <c r="P14" s="341">
        <f>IF('Form Sh'!F21=0,'Form Sh'!I21,'Form Sh'!F21)</f>
        <v>0</v>
      </c>
      <c r="Q14" s="341">
        <f>S14</f>
        <v>0</v>
      </c>
      <c r="R14" s="341">
        <f>S14</f>
        <v>0</v>
      </c>
      <c r="S14" s="341">
        <f>IF('Form Sh'!F22=0,'Form Sh'!I22,'Form Sh'!F22)</f>
        <v>0</v>
      </c>
      <c r="T14" s="341">
        <f>V14</f>
        <v>0</v>
      </c>
      <c r="U14" s="341">
        <f>V14</f>
        <v>0</v>
      </c>
      <c r="V14" s="341">
        <f>IF('Form Sh'!F23=0,'Form Sh'!I23,'Form Sh'!F23)</f>
        <v>0</v>
      </c>
      <c r="W14" s="341">
        <f>Y14</f>
        <v>0</v>
      </c>
      <c r="X14" s="341">
        <f>Y14</f>
        <v>0</v>
      </c>
      <c r="Y14" s="341">
        <f>IF('Form Sh'!F24=0,'Form Sh'!I24,'Form Sh'!F24)</f>
        <v>0</v>
      </c>
      <c r="Z14" s="341">
        <f>AB14</f>
        <v>0</v>
      </c>
      <c r="AA14" s="341">
        <f>AB14</f>
        <v>0</v>
      </c>
      <c r="AB14" s="341">
        <f>IF('Form Sh'!F25=0,'Form Sh'!I25,'Form Sh'!F25)</f>
        <v>0</v>
      </c>
      <c r="AC14" s="341">
        <f>AE14</f>
        <v>0</v>
      </c>
      <c r="AD14" s="341">
        <f>AE14</f>
        <v>0</v>
      </c>
      <c r="AE14" s="341">
        <f>IF('Form Sh'!F26=0,'Form Sh'!I26,'Form Sh'!F26)</f>
        <v>0</v>
      </c>
      <c r="AF14" s="341">
        <f>AH14</f>
        <v>0</v>
      </c>
      <c r="AG14" s="341">
        <f>AH14</f>
        <v>0</v>
      </c>
      <c r="AH14" s="341">
        <f>IF('Form Sh'!F27=0,'Form Sh'!I27,'Form Sh'!F27)</f>
        <v>0</v>
      </c>
    </row>
    <row r="15" spans="1:34" s="521" customFormat="1" x14ac:dyDescent="0.3">
      <c r="A15" s="34"/>
      <c r="B15" s="114"/>
      <c r="C15" s="237"/>
      <c r="D15" s="511"/>
      <c r="E15" s="511"/>
      <c r="F15" s="510"/>
      <c r="G15" s="510"/>
      <c r="H15" s="510"/>
      <c r="I15" s="510"/>
      <c r="J15" s="510"/>
      <c r="K15" s="510"/>
      <c r="L15" s="510"/>
      <c r="M15" s="510"/>
      <c r="N15" s="511"/>
      <c r="O15" s="511"/>
      <c r="P15" s="316"/>
      <c r="Q15" s="341"/>
      <c r="R15" s="341"/>
      <c r="S15" s="316"/>
      <c r="T15" s="341"/>
      <c r="U15" s="341"/>
      <c r="V15" s="316"/>
      <c r="W15" s="341"/>
      <c r="X15" s="341"/>
      <c r="Y15" s="316"/>
      <c r="Z15" s="341"/>
      <c r="AA15" s="341"/>
      <c r="AB15" s="316"/>
      <c r="AC15" s="341"/>
      <c r="AD15" s="341"/>
      <c r="AE15" s="316"/>
      <c r="AF15" s="341"/>
      <c r="AG15" s="341"/>
      <c r="AH15" s="316"/>
    </row>
    <row r="16" spans="1:34" s="520" customFormat="1" ht="43.2" x14ac:dyDescent="0.3">
      <c r="A16" s="34">
        <v>10</v>
      </c>
      <c r="B16" s="114" t="s">
        <v>421</v>
      </c>
      <c r="C16" s="237" t="s">
        <v>805</v>
      </c>
      <c r="D16" s="511" t="s">
        <v>62</v>
      </c>
      <c r="E16" s="510">
        <f>IFERROR((G13-E13)*100/G13,0)</f>
        <v>0</v>
      </c>
      <c r="F16" s="510">
        <f>IFERROR((G13-F13)*100/G13,0)</f>
        <v>0</v>
      </c>
      <c r="G16" s="522"/>
      <c r="H16" s="510">
        <f>IFERROR((J13-H13)*100/J13,0)</f>
        <v>0</v>
      </c>
      <c r="I16" s="510">
        <f>IFERROR((J13-I13)*100/J13,0)</f>
        <v>0</v>
      </c>
      <c r="J16" s="523"/>
      <c r="K16" s="510">
        <f>IFERROR((M13-K13)*100/M13,0)</f>
        <v>0</v>
      </c>
      <c r="L16" s="510">
        <f>IFERROR((M13-L13)*100/M13,0)</f>
        <v>0</v>
      </c>
      <c r="M16" s="523"/>
      <c r="N16" s="510">
        <f>IFERROR((P13-N13)*100/P13,0)</f>
        <v>0</v>
      </c>
      <c r="O16" s="510">
        <f>IFERROR((P13-O13)*100/P13,0)</f>
        <v>0</v>
      </c>
      <c r="P16" s="510"/>
      <c r="Q16" s="510">
        <f>IFERROR((S13-Q13)*100/S13,0)</f>
        <v>0</v>
      </c>
      <c r="R16" s="510">
        <f>IFERROR((S13-R13)*100/S13,0)</f>
        <v>0</v>
      </c>
      <c r="S16" s="510"/>
      <c r="T16" s="510">
        <f>IFERROR((V13-T13)*100/V13,0)</f>
        <v>0</v>
      </c>
      <c r="U16" s="510">
        <f>IFERROR((V13-U13)*100/V13,0)</f>
        <v>0</v>
      </c>
      <c r="V16" s="510"/>
      <c r="W16" s="510">
        <f>IFERROR((Y13-W13)*100/Y13,0)</f>
        <v>0</v>
      </c>
      <c r="X16" s="510">
        <f>IFERROR((Y13-X13)*100/Y13,0)</f>
        <v>0</v>
      </c>
      <c r="Y16" s="510"/>
      <c r="Z16" s="510">
        <f>IFERROR((AB13-Z13)*100/AB13,0)</f>
        <v>0</v>
      </c>
      <c r="AA16" s="510">
        <f>IFERROR((AB13-AA13)*100/AB13,0)</f>
        <v>0</v>
      </c>
      <c r="AB16" s="510"/>
      <c r="AC16" s="510">
        <f>IFERROR((AE13-AC13)*100/AE13,0)</f>
        <v>0</v>
      </c>
      <c r="AD16" s="510">
        <f>IFERROR((AE13-AD13)*100/AE13,0)</f>
        <v>0</v>
      </c>
      <c r="AE16" s="510"/>
      <c r="AF16" s="510">
        <f>IFERROR((AH13-AF13)*100/AH13,0)</f>
        <v>0</v>
      </c>
      <c r="AG16" s="510">
        <f>IFERROR((AH13-AG13)*100/AH13,0)</f>
        <v>0</v>
      </c>
      <c r="AH16" s="510"/>
    </row>
    <row r="17" spans="1:34" s="520" customFormat="1" ht="29.4" customHeight="1" x14ac:dyDescent="0.3">
      <c r="A17" s="34">
        <v>11</v>
      </c>
      <c r="B17" s="114" t="s">
        <v>181</v>
      </c>
      <c r="C17" s="237" t="s">
        <v>804</v>
      </c>
      <c r="D17" s="511" t="s">
        <v>62</v>
      </c>
      <c r="E17" s="510">
        <f>G14*E16/100</f>
        <v>0</v>
      </c>
      <c r="F17" s="510">
        <f>G14*F16/100</f>
        <v>0</v>
      </c>
      <c r="G17" s="522"/>
      <c r="H17" s="510">
        <f>J14*H16/100</f>
        <v>0</v>
      </c>
      <c r="I17" s="510">
        <f>I14*I16/100</f>
        <v>0</v>
      </c>
      <c r="J17" s="523"/>
      <c r="K17" s="510">
        <f>M14*K16/100</f>
        <v>0</v>
      </c>
      <c r="L17" s="510">
        <f>L14*L16/100</f>
        <v>0</v>
      </c>
      <c r="M17" s="523"/>
      <c r="N17" s="370">
        <f xml:space="preserve"> P14*N16/100</f>
        <v>0</v>
      </c>
      <c r="O17" s="511">
        <f>P14*O16/100</f>
        <v>0</v>
      </c>
      <c r="P17" s="510"/>
      <c r="Q17" s="370">
        <f xml:space="preserve"> S14*Q16/100</f>
        <v>0</v>
      </c>
      <c r="R17" s="511">
        <f>S14*R16/100</f>
        <v>0</v>
      </c>
      <c r="S17" s="510"/>
      <c r="T17" s="370">
        <f xml:space="preserve"> V14*T16/100</f>
        <v>0</v>
      </c>
      <c r="U17" s="511">
        <f>V14*U16/100</f>
        <v>0</v>
      </c>
      <c r="V17" s="510"/>
      <c r="W17" s="370">
        <f xml:space="preserve"> Y14*W16/100</f>
        <v>0</v>
      </c>
      <c r="X17" s="511">
        <f>Y14*X16/100</f>
        <v>0</v>
      </c>
      <c r="Y17" s="510"/>
      <c r="Z17" s="370">
        <f xml:space="preserve"> AB14*Z16/100</f>
        <v>0</v>
      </c>
      <c r="AA17" s="511">
        <f>AB14*AA16/100</f>
        <v>0</v>
      </c>
      <c r="AB17" s="510"/>
      <c r="AC17" s="370">
        <f xml:space="preserve"> AE14*AC16/100</f>
        <v>0</v>
      </c>
      <c r="AD17" s="511">
        <f>AE14*AD16/100</f>
        <v>0</v>
      </c>
      <c r="AE17" s="510"/>
      <c r="AF17" s="370">
        <f xml:space="preserve"> AH14*AF16/100</f>
        <v>0</v>
      </c>
      <c r="AG17" s="511">
        <f>AH14*AG16/100</f>
        <v>0</v>
      </c>
      <c r="AH17" s="510"/>
    </row>
    <row r="18" spans="1:34" s="520" customFormat="1" x14ac:dyDescent="0.3">
      <c r="A18" s="34">
        <v>12</v>
      </c>
      <c r="B18" s="114" t="s">
        <v>875</v>
      </c>
      <c r="C18" s="237" t="s">
        <v>806</v>
      </c>
      <c r="D18" s="511" t="s">
        <v>62</v>
      </c>
      <c r="E18" s="509">
        <f>IFERROR(G14-E17,0)</f>
        <v>0</v>
      </c>
      <c r="F18" s="509">
        <f>IFERROR(F14-F17,0)</f>
        <v>0</v>
      </c>
      <c r="G18" s="522"/>
      <c r="H18" s="509">
        <f>IFERROR(J14-H17,0)</f>
        <v>0</v>
      </c>
      <c r="I18" s="509">
        <f>IFERROR(I14-I17,0)</f>
        <v>0</v>
      </c>
      <c r="J18" s="523"/>
      <c r="K18" s="509">
        <f>IFERROR(M14-K17,0)</f>
        <v>0</v>
      </c>
      <c r="L18" s="509">
        <f>IFERROR(L14-L17,0)</f>
        <v>0</v>
      </c>
      <c r="M18" s="523"/>
      <c r="N18" s="509">
        <f>IFERROR(P14-N17,0)</f>
        <v>0</v>
      </c>
      <c r="O18" s="509">
        <f>IFERROR(P14-O17,0)</f>
        <v>0</v>
      </c>
      <c r="P18" s="509"/>
      <c r="Q18" s="509">
        <f>IFERROR(S14-Q17,0)</f>
        <v>0</v>
      </c>
      <c r="R18" s="509">
        <f>IFERROR(S14-R17,0)</f>
        <v>0</v>
      </c>
      <c r="S18" s="509"/>
      <c r="T18" s="509">
        <f>IFERROR(V14-T17,0)</f>
        <v>0</v>
      </c>
      <c r="U18" s="509">
        <f>IFERROR(V14-U17,0)</f>
        <v>0</v>
      </c>
      <c r="V18" s="509"/>
      <c r="W18" s="509">
        <f>IFERROR(Y14-W17,0)</f>
        <v>0</v>
      </c>
      <c r="X18" s="509">
        <f>IFERROR(Y14-X17,0)</f>
        <v>0</v>
      </c>
      <c r="Y18" s="509"/>
      <c r="Z18" s="509">
        <f>IFERROR(AB14-Z17,0)</f>
        <v>0</v>
      </c>
      <c r="AA18" s="509">
        <f>IFERROR(AB14-AA17,0)</f>
        <v>0</v>
      </c>
      <c r="AB18" s="509"/>
      <c r="AC18" s="509">
        <f>IFERROR(AE14-AC17,0)</f>
        <v>0</v>
      </c>
      <c r="AD18" s="509">
        <f>IFERROR(AE14-AD17,0)</f>
        <v>0</v>
      </c>
      <c r="AE18" s="509"/>
      <c r="AF18" s="509">
        <f>IFERROR(AH14-AF17,0)</f>
        <v>0</v>
      </c>
      <c r="AG18" s="509">
        <f>IFERROR(AH14-AG17,0)</f>
        <v>0</v>
      </c>
      <c r="AH18" s="509"/>
    </row>
    <row r="19" spans="1:34" s="521" customFormat="1" ht="30.6" customHeight="1" x14ac:dyDescent="0.3">
      <c r="A19" s="34">
        <v>13</v>
      </c>
      <c r="B19" s="114" t="s">
        <v>420</v>
      </c>
      <c r="C19" s="237" t="s">
        <v>798</v>
      </c>
      <c r="D19" s="511" t="s">
        <v>62</v>
      </c>
      <c r="E19" s="724">
        <f>F18-E18</f>
        <v>0</v>
      </c>
      <c r="F19" s="724"/>
      <c r="G19" s="724"/>
      <c r="H19" s="724">
        <f>I18-H18</f>
        <v>0</v>
      </c>
      <c r="I19" s="724"/>
      <c r="J19" s="724"/>
      <c r="K19" s="724">
        <f>L18-K18</f>
        <v>0</v>
      </c>
      <c r="L19" s="724"/>
      <c r="M19" s="724"/>
      <c r="N19" s="726">
        <f>O18-N18</f>
        <v>0</v>
      </c>
      <c r="O19" s="727"/>
      <c r="P19" s="727"/>
      <c r="Q19" s="747">
        <f>R18-Q18</f>
        <v>0</v>
      </c>
      <c r="R19" s="748"/>
      <c r="S19" s="748"/>
      <c r="T19" s="728">
        <f>U18-T18</f>
        <v>0</v>
      </c>
      <c r="U19" s="729"/>
      <c r="V19" s="730"/>
      <c r="W19" s="728">
        <f>X18-W18</f>
        <v>0</v>
      </c>
      <c r="X19" s="729"/>
      <c r="Y19" s="730"/>
      <c r="Z19" s="728">
        <f>AA18-Z18</f>
        <v>0</v>
      </c>
      <c r="AA19" s="729"/>
      <c r="AB19" s="730"/>
      <c r="AC19" s="728">
        <f>AD18-AC18</f>
        <v>0</v>
      </c>
      <c r="AD19" s="729"/>
      <c r="AE19" s="730"/>
      <c r="AF19" s="728">
        <f>AG18-AF18</f>
        <v>0</v>
      </c>
      <c r="AG19" s="729"/>
      <c r="AH19" s="730"/>
    </row>
    <row r="20" spans="1:34" s="520" customFormat="1" x14ac:dyDescent="0.3">
      <c r="A20" s="34">
        <v>14</v>
      </c>
      <c r="B20" s="114" t="s">
        <v>1239</v>
      </c>
      <c r="C20" s="237" t="s">
        <v>1231</v>
      </c>
      <c r="D20" s="511" t="s">
        <v>110</v>
      </c>
      <c r="E20" s="724">
        <f>IFERROR((G7*100/E18),0)</f>
        <v>0</v>
      </c>
      <c r="F20" s="724"/>
      <c r="G20" s="724"/>
      <c r="H20" s="724">
        <f>IFERROR((J7*100/H18),0)</f>
        <v>0</v>
      </c>
      <c r="I20" s="724"/>
      <c r="J20" s="724"/>
      <c r="K20" s="724">
        <f>IFERROR((M7*100/K18),0)</f>
        <v>0</v>
      </c>
      <c r="L20" s="724"/>
      <c r="M20" s="724"/>
      <c r="N20" s="724">
        <f t="shared" ref="N20" si="1">IFERROR((P7*100/N18),0)</f>
        <v>0</v>
      </c>
      <c r="O20" s="724"/>
      <c r="P20" s="724"/>
      <c r="Q20" s="724">
        <f t="shared" ref="Q20" si="2">IFERROR((S7*100/Q18),0)</f>
        <v>0</v>
      </c>
      <c r="R20" s="724"/>
      <c r="S20" s="724"/>
      <c r="T20" s="724">
        <f t="shared" ref="T20" si="3">IFERROR((V7*100/T18),0)</f>
        <v>0</v>
      </c>
      <c r="U20" s="724"/>
      <c r="V20" s="724"/>
      <c r="W20" s="724">
        <f t="shared" ref="W20" si="4">IFERROR((Y7*100/W18),0)</f>
        <v>0</v>
      </c>
      <c r="X20" s="724"/>
      <c r="Y20" s="724"/>
      <c r="Z20" s="724">
        <f t="shared" ref="Z20" si="5">IFERROR((AB7*100/Z18),0)</f>
        <v>0</v>
      </c>
      <c r="AA20" s="724"/>
      <c r="AB20" s="724"/>
      <c r="AC20" s="724">
        <f t="shared" ref="AC20" si="6">IFERROR((AE7*100/AC18),0)</f>
        <v>0</v>
      </c>
      <c r="AD20" s="724"/>
      <c r="AE20" s="724"/>
      <c r="AF20" s="724">
        <f t="shared" ref="AF20" si="7">IFERROR((AH7*100/AF18),0)</f>
        <v>0</v>
      </c>
      <c r="AG20" s="724"/>
      <c r="AH20" s="724"/>
    </row>
    <row r="21" spans="1:34" s="520" customFormat="1" ht="28.8" x14ac:dyDescent="0.3">
      <c r="A21" s="34">
        <v>15</v>
      </c>
      <c r="B21" s="114" t="s">
        <v>870</v>
      </c>
      <c r="C21" s="237" t="s">
        <v>1230</v>
      </c>
      <c r="D21" s="511" t="s">
        <v>110</v>
      </c>
      <c r="E21" s="724">
        <f>IF(E8=0,0,IF(E19&lt;0,0,E20-IFERROR((G7*100/F18),0)))</f>
        <v>0</v>
      </c>
      <c r="F21" s="724"/>
      <c r="G21" s="724"/>
      <c r="H21" s="724">
        <f>IF(H8=0,0,IF(H19&lt;0,0,H20-IFERROR((J7*100/I18),0)))</f>
        <v>0</v>
      </c>
      <c r="I21" s="724"/>
      <c r="J21" s="724"/>
      <c r="K21" s="724">
        <f>IF(K8=0,0,IF(K19&lt;0,0,K20-IFERROR((M7*100/L18),0)))</f>
        <v>0</v>
      </c>
      <c r="L21" s="724"/>
      <c r="M21" s="724"/>
      <c r="N21" s="724">
        <f>IF(N8=0,0,IF(N19&lt;0,0,N20-IFERROR((P7*100/O18),0)))</f>
        <v>0</v>
      </c>
      <c r="O21" s="724"/>
      <c r="P21" s="724"/>
      <c r="Q21" s="724">
        <f>IF(Q8=0,0,IF(Q19&lt;0,0,Q20-IFERROR((S7*100/R18),0)))</f>
        <v>0</v>
      </c>
      <c r="R21" s="724"/>
      <c r="S21" s="724"/>
      <c r="T21" s="724">
        <f>IF(T8=0,0,IF(T19&lt;0,0,T20-IFERROR((V7*100/U18),0)))</f>
        <v>0</v>
      </c>
      <c r="U21" s="724"/>
      <c r="V21" s="724"/>
      <c r="W21" s="724">
        <f>IF(W8=0,0,IF(W19&lt;0,0,W20-IFERROR((Y7*100/X18),0)))</f>
        <v>0</v>
      </c>
      <c r="X21" s="724"/>
      <c r="Y21" s="724"/>
      <c r="Z21" s="724">
        <f>IF(Z8=0,0,IF(Z19&lt;0,0,Z20-IFERROR((AB7*100/AA18),0)))</f>
        <v>0</v>
      </c>
      <c r="AA21" s="724"/>
      <c r="AB21" s="724"/>
      <c r="AC21" s="724">
        <f>IF(AC8=0,0,IF(AC19&lt;0,0,AC20-IFERROR((AE7*100/AD18),0)))</f>
        <v>0</v>
      </c>
      <c r="AD21" s="724"/>
      <c r="AE21" s="724"/>
      <c r="AF21" s="724">
        <f>IF(AF8=0,0,IF(AF19&lt;0,0,AF20-IFERROR((AH7*100/AG18),0)))</f>
        <v>0</v>
      </c>
      <c r="AG21" s="724"/>
      <c r="AH21" s="724"/>
    </row>
    <row r="22" spans="1:34" s="50" customFormat="1" ht="28.8" x14ac:dyDescent="0.3">
      <c r="A22" s="109">
        <v>16</v>
      </c>
      <c r="B22" s="116" t="s">
        <v>496</v>
      </c>
      <c r="C22" s="241" t="s">
        <v>799</v>
      </c>
      <c r="D22" s="371" t="s">
        <v>110</v>
      </c>
      <c r="E22" s="725">
        <f>IF(AND(E3="Yes", F3="Yes"),IFERROR((E21*F8+H21*I8+K21*L8+N21*O8+Q21*R8+T21*U8+W21*X8+Z21*AA8+AC21*AD8+AF21*AG8)/(F8+I8+L8+O8+R8+U8+X8+AA8+AD8+AG8),0),0)</f>
        <v>0</v>
      </c>
      <c r="F22" s="725"/>
      <c r="G22" s="725"/>
      <c r="H22" s="725"/>
      <c r="I22" s="725"/>
      <c r="J22" s="725"/>
      <c r="K22" s="725"/>
      <c r="L22" s="725"/>
      <c r="M22" s="725"/>
      <c r="N22" s="725"/>
      <c r="O22" s="725"/>
      <c r="P22" s="725"/>
      <c r="Q22" s="725"/>
      <c r="R22" s="725"/>
      <c r="S22" s="725"/>
      <c r="T22" s="725"/>
      <c r="U22" s="725"/>
      <c r="V22" s="725"/>
      <c r="W22" s="725"/>
      <c r="X22" s="725"/>
      <c r="Y22" s="725"/>
      <c r="Z22" s="725"/>
      <c r="AA22" s="725"/>
      <c r="AB22" s="725"/>
      <c r="AC22" s="725"/>
      <c r="AD22" s="725"/>
      <c r="AE22" s="725"/>
      <c r="AF22" s="725"/>
      <c r="AG22" s="725"/>
      <c r="AH22" s="725"/>
    </row>
    <row r="23" spans="1:34" ht="28.8" x14ac:dyDescent="0.3">
      <c r="A23" s="34">
        <v>17</v>
      </c>
      <c r="B23" s="114" t="s">
        <v>336</v>
      </c>
      <c r="C23" s="237" t="s">
        <v>800</v>
      </c>
      <c r="D23" s="305" t="s">
        <v>62</v>
      </c>
      <c r="E23" s="724">
        <f>IFERROR(IF(E19&lt;=0,F14,G14-E19),0)</f>
        <v>0</v>
      </c>
      <c r="F23" s="724"/>
      <c r="G23" s="724"/>
      <c r="H23" s="724">
        <f>IFERROR(IF(H19&lt;=0,I14,J14-H19),0)</f>
        <v>0</v>
      </c>
      <c r="I23" s="724"/>
      <c r="J23" s="724"/>
      <c r="K23" s="724">
        <f>IFERROR(IF(K19&lt;=0,L14,M14-K19),0)</f>
        <v>0</v>
      </c>
      <c r="L23" s="724"/>
      <c r="M23" s="724"/>
      <c r="N23" s="724">
        <f>IFERROR(IF(N19&lt;=0,O14,P14-N19),0)</f>
        <v>0</v>
      </c>
      <c r="O23" s="724"/>
      <c r="P23" s="724"/>
      <c r="Q23" s="724">
        <f>IFERROR(IF(Q19&lt;=0,R14,S14-Q19),0)</f>
        <v>0</v>
      </c>
      <c r="R23" s="724"/>
      <c r="S23" s="724"/>
      <c r="T23" s="724">
        <f>IFERROR(IF(T19&lt;=0,U14,V14-T19),0)</f>
        <v>0</v>
      </c>
      <c r="U23" s="724"/>
      <c r="V23" s="724"/>
      <c r="W23" s="724">
        <f>IFERROR(IF(W19&lt;=0,X14,Y14-W19),0)</f>
        <v>0</v>
      </c>
      <c r="X23" s="724"/>
      <c r="Y23" s="724"/>
      <c r="Z23" s="724">
        <f>IFERROR(IF(Z19&lt;=0,AA14,AB14-Z19),0)</f>
        <v>0</v>
      </c>
      <c r="AA23" s="724"/>
      <c r="AB23" s="724"/>
      <c r="AC23" s="724">
        <f>IFERROR(IF(AC19&lt;=0,AD14,AE14-AC19),0)</f>
        <v>0</v>
      </c>
      <c r="AD23" s="724"/>
      <c r="AE23" s="724"/>
      <c r="AF23" s="724">
        <f>IFERROR(IF(AF19&lt;=0,AG14,AH14-AF19),0)</f>
        <v>0</v>
      </c>
      <c r="AG23" s="724"/>
      <c r="AH23" s="724"/>
    </row>
    <row r="24" spans="1:34" s="50" customFormat="1" ht="28.8" x14ac:dyDescent="0.3">
      <c r="A24" s="34">
        <v>18</v>
      </c>
      <c r="B24" s="117" t="s">
        <v>206</v>
      </c>
      <c r="C24" s="242" t="s">
        <v>801</v>
      </c>
      <c r="D24" s="372" t="s">
        <v>62</v>
      </c>
      <c r="E24" s="723">
        <f>IFERROR((E23*G6+H23*J6+K23*M6+N23*P6+Q23*S6+T23*V6+W23*Y6+Z23*AB6+AC23*AE6+AF23*AH6)/(G6+J6+M6+P6+S6+V6+Y6+AB6+AE6+AH6),0)</f>
        <v>0</v>
      </c>
      <c r="F24" s="723"/>
      <c r="G24" s="723"/>
      <c r="H24" s="723"/>
      <c r="I24" s="723"/>
      <c r="J24" s="723"/>
      <c r="K24" s="723"/>
      <c r="L24" s="723"/>
      <c r="M24" s="723"/>
      <c r="N24" s="723"/>
      <c r="O24" s="723"/>
      <c r="P24" s="723"/>
      <c r="Q24" s="723"/>
      <c r="R24" s="723"/>
      <c r="S24" s="723"/>
      <c r="T24" s="723"/>
      <c r="U24" s="723"/>
      <c r="V24" s="723"/>
      <c r="W24" s="723"/>
      <c r="X24" s="723"/>
      <c r="Y24" s="723"/>
      <c r="Z24" s="723"/>
      <c r="AA24" s="723"/>
      <c r="AB24" s="723"/>
      <c r="AC24" s="723"/>
      <c r="AD24" s="723"/>
      <c r="AE24" s="723"/>
      <c r="AF24" s="723"/>
      <c r="AG24" s="723"/>
      <c r="AH24" s="723"/>
    </row>
    <row r="25" spans="1:34" s="520" customFormat="1" x14ac:dyDescent="0.3">
      <c r="A25" s="34">
        <v>19</v>
      </c>
      <c r="B25" s="115" t="s">
        <v>1232</v>
      </c>
      <c r="C25" s="524"/>
      <c r="D25" s="511" t="s">
        <v>110</v>
      </c>
      <c r="E25" s="504">
        <f>IF(OR('Summary Sheet'!$D$3="Gas Turbine (Open Cycle)",'Summary Sheet'!$D$3="Combined Cycle Gas Turbine (CCGT)"),IFERROR(860*100/E14,0),IFERROR(E7*100/E14,0))</f>
        <v>0</v>
      </c>
      <c r="F25" s="504">
        <f>IF(OR('Summary Sheet'!$D$3="Gas Turbine (Open Cycle)",'Summary Sheet'!$D$3="Combined Cycle Gas Turbine (CCGT)"),IFERROR(860*100/F14,0),IFERROR(F7*100/F14,0))</f>
        <v>0</v>
      </c>
      <c r="G25" s="504">
        <f>IF(OR('Summary Sheet'!$D$3="Gas Turbine (Open Cycle)",'Summary Sheet'!$D$3="Combined Cycle Gas Turbine (CCGT)"),IFERROR(860*100/G14,0),IFERROR(G7*100/G14,0))</f>
        <v>0</v>
      </c>
      <c r="H25" s="504">
        <f>IF(OR('Summary Sheet'!$D$3="Gas Turbine (Open Cycle)",'Summary Sheet'!$D$3="Combined Cycle Gas Turbine (CCGT)"),IFERROR(860*100/H14,0),IFERROR(H7*100/H14,0))</f>
        <v>0</v>
      </c>
      <c r="I25" s="504">
        <f>IF(OR('Summary Sheet'!$D$3="Gas Turbine (Open Cycle)",'Summary Sheet'!$D$3="Combined Cycle Gas Turbine (CCGT)"),IFERROR(860*100/I14,0),IFERROR(I7*100/I14,0))</f>
        <v>0</v>
      </c>
      <c r="J25" s="504">
        <f>IF(OR('Summary Sheet'!$D$3="Gas Turbine (Open Cycle)",'Summary Sheet'!$D$3="Combined Cycle Gas Turbine (CCGT)"),IFERROR(860*100/J14,0),IFERROR(J7*100/J14,0))</f>
        <v>0</v>
      </c>
      <c r="K25" s="504">
        <f>IF(OR('Summary Sheet'!$D$3="Gas Turbine (Open Cycle)",'Summary Sheet'!$D$3="Combined Cycle Gas Turbine (CCGT)"),IFERROR(860*100/K14,0),IFERROR(K7*100/K14,0))</f>
        <v>0</v>
      </c>
      <c r="L25" s="504">
        <f>IF(OR('Summary Sheet'!$D$3="Gas Turbine (Open Cycle)",'Summary Sheet'!$D$3="Combined Cycle Gas Turbine (CCGT)"),IFERROR(860*100/L14,0),IFERROR(L7*100/L14,0))</f>
        <v>0</v>
      </c>
      <c r="M25" s="504">
        <f>IF(OR('Summary Sheet'!$D$3="Gas Turbine (Open Cycle)",'Summary Sheet'!$D$3="Combined Cycle Gas Turbine (CCGT)"),IFERROR(860*100/M14,0),IFERROR(M7*100/M14,0))</f>
        <v>0</v>
      </c>
      <c r="N25" s="504">
        <f>IF(OR('Summary Sheet'!$D$3="Gas Turbine (Open Cycle)",'Summary Sheet'!$D$3="Combined Cycle Gas Turbine (CCGT)"),IFERROR(860*100/N14,0),IFERROR(N7*100/N14,0))</f>
        <v>0</v>
      </c>
      <c r="O25" s="504">
        <f>IF(OR('Summary Sheet'!$D$3="Gas Turbine (Open Cycle)",'Summary Sheet'!$D$3="Combined Cycle Gas Turbine (CCGT)"),IFERROR(860*100/O14,0),IFERROR(O7*100/O14,0))</f>
        <v>0</v>
      </c>
      <c r="P25" s="504">
        <f>IF(OR('Summary Sheet'!$D$3="Gas Turbine (Open Cycle)",'Summary Sheet'!$D$3="Combined Cycle Gas Turbine (CCGT)"),IFERROR(860*100/P14,0),IFERROR(P7*100/P14,0))</f>
        <v>0</v>
      </c>
      <c r="Q25" s="504">
        <f>IF(OR('Summary Sheet'!$D$3="Gas Turbine (Open Cycle)",'Summary Sheet'!$D$3="Combined Cycle Gas Turbine (CCGT)"),IFERROR(860*100/Q14,0),IFERROR(Q7*100/Q14,0))</f>
        <v>0</v>
      </c>
      <c r="R25" s="504">
        <f>IF(OR('Summary Sheet'!$D$3="Gas Turbine (Open Cycle)",'Summary Sheet'!$D$3="Combined Cycle Gas Turbine (CCGT)"),IFERROR(860*100/R14,0),IFERROR(R7*100/R14,0))</f>
        <v>0</v>
      </c>
      <c r="S25" s="504">
        <f>IF(OR('Summary Sheet'!$D$3="Gas Turbine (Open Cycle)",'Summary Sheet'!$D$3="Combined Cycle Gas Turbine (CCGT)"),IFERROR(860*100/S14,0),IFERROR(S7*100/S14,0))</f>
        <v>0</v>
      </c>
      <c r="T25" s="504">
        <f>IF(OR('Summary Sheet'!$D$3="Gas Turbine (Open Cycle)",'Summary Sheet'!$D$3="Combined Cycle Gas Turbine (CCGT)"),IFERROR(860*100/T14,0),IFERROR(T7*100/T14,0))</f>
        <v>0</v>
      </c>
      <c r="U25" s="504">
        <f>IF(OR('Summary Sheet'!$D$3="Gas Turbine (Open Cycle)",'Summary Sheet'!$D$3="Combined Cycle Gas Turbine (CCGT)"),IFERROR(860*100/U14,0),IFERROR(U7*100/U14,0))</f>
        <v>0</v>
      </c>
      <c r="V25" s="504">
        <f>IF(OR('Summary Sheet'!$D$3="Gas Turbine (Open Cycle)",'Summary Sheet'!$D$3="Combined Cycle Gas Turbine (CCGT)"),IFERROR(860*100/V14,0),IFERROR(V7*100/V14,0))</f>
        <v>0</v>
      </c>
      <c r="W25" s="504">
        <f>IF(OR('Summary Sheet'!$D$3="Gas Turbine (Open Cycle)",'Summary Sheet'!$D$3="Combined Cycle Gas Turbine (CCGT)"),IFERROR(860*100/W14,0),IFERROR(W7*100/W14,0))</f>
        <v>0</v>
      </c>
      <c r="X25" s="504">
        <f>IF(OR('Summary Sheet'!$D$3="Gas Turbine (Open Cycle)",'Summary Sheet'!$D$3="Combined Cycle Gas Turbine (CCGT)"),IFERROR(860*100/X14,0),IFERROR(X7*100/X14,0))</f>
        <v>0</v>
      </c>
      <c r="Y25" s="504">
        <f>IF(OR('Summary Sheet'!$D$3="Gas Turbine (Open Cycle)",'Summary Sheet'!$D$3="Combined Cycle Gas Turbine (CCGT)"),IFERROR(860*100/Y14,0),IFERROR(Y7*100/Y14,0))</f>
        <v>0</v>
      </c>
      <c r="Z25" s="504">
        <f>IF(OR('Summary Sheet'!$D$3="Gas Turbine (Open Cycle)",'Summary Sheet'!$D$3="Combined Cycle Gas Turbine (CCGT)"),IFERROR(860*100/Z14,0),IFERROR(Z7*100/Z14,0))</f>
        <v>0</v>
      </c>
      <c r="AA25" s="504">
        <f>IF(OR('Summary Sheet'!$D$3="Gas Turbine (Open Cycle)",'Summary Sheet'!$D$3="Combined Cycle Gas Turbine (CCGT)"),IFERROR(860*100/AA14,0),IFERROR(AA7*100/AA14,0))</f>
        <v>0</v>
      </c>
      <c r="AB25" s="504">
        <f>IF(OR('Summary Sheet'!$D$3="Gas Turbine (Open Cycle)",'Summary Sheet'!$D$3="Combined Cycle Gas Turbine (CCGT)"),IFERROR(860*100/AB14,0),IFERROR(AB7*100/AB14,0))</f>
        <v>0</v>
      </c>
      <c r="AC25" s="504">
        <f>IF(OR('Summary Sheet'!$D$3="Gas Turbine (Open Cycle)",'Summary Sheet'!$D$3="Combined Cycle Gas Turbine (CCGT)"),IFERROR(860*100/AC14,0),IFERROR(AC7*100/AC14,0))</f>
        <v>0</v>
      </c>
      <c r="AD25" s="504">
        <f>IF(OR('Summary Sheet'!$D$3="Gas Turbine (Open Cycle)",'Summary Sheet'!$D$3="Combined Cycle Gas Turbine (CCGT)"),IFERROR(860*100/AD14,0),IFERROR(AD7*100/AD14,0))</f>
        <v>0</v>
      </c>
      <c r="AE25" s="504">
        <f>IF(OR('Summary Sheet'!$D$3="Gas Turbine (Open Cycle)",'Summary Sheet'!$D$3="Combined Cycle Gas Turbine (CCGT)"),IFERROR(860*100/AE14,0),IFERROR(AE7*100/AE14,0))</f>
        <v>0</v>
      </c>
      <c r="AF25" s="504">
        <f>IF(OR('Summary Sheet'!$D$3="Gas Turbine (Open Cycle)",'Summary Sheet'!$D$3="Combined Cycle Gas Turbine (CCGT)"),IFERROR(860*100/AF14,0),IFERROR(AF7*100/AF14,0))</f>
        <v>0</v>
      </c>
      <c r="AG25" s="504">
        <f>IF(OR('Summary Sheet'!$D$3="Gas Turbine (Open Cycle)",'Summary Sheet'!$D$3="Combined Cycle Gas Turbine (CCGT)"),IFERROR(860*100/AG14,0),IFERROR(AG7*100/AG14,0))</f>
        <v>0</v>
      </c>
      <c r="AH25" s="504">
        <f>IF(OR('Summary Sheet'!$D$3="Gas Turbine (Open Cycle)",'Summary Sheet'!$D$3="Combined Cycle Gas Turbine (CCGT)"),IFERROR(860*100/AH14,0),IFERROR(AH7*100/AH14,0))</f>
        <v>0</v>
      </c>
    </row>
    <row r="26" spans="1:34" s="520" customFormat="1" x14ac:dyDescent="0.3">
      <c r="A26" s="34">
        <v>20</v>
      </c>
      <c r="B26" s="115" t="s">
        <v>1233</v>
      </c>
      <c r="C26" s="524"/>
      <c r="D26" s="511" t="s">
        <v>110</v>
      </c>
      <c r="E26" s="525">
        <f>IFERROR((E25*E6+H6*H25+K25*K6+N6*N25+Q25*Q6+T6*T25+W25*W6+Z6*Z25+AC25*AC6+AF6*AF25)/(E6+H6+K6+N6+Q6+T6+W6+Z6+AC6+AF6),0)</f>
        <v>0</v>
      </c>
      <c r="F26" s="525">
        <f t="shared" ref="F26:G26" si="8">IFERROR((F25*F6+I6*I25+L25*L6+O6*O25+R25*R6+U6*U25+X25*X6+AA6*AA25+AD25*AD6+AG6*AG25)/(F6+I6+L6+O6+R6+U6+X6+AA6+AD6+AG6),0)</f>
        <v>0</v>
      </c>
      <c r="G26" s="525">
        <f t="shared" si="8"/>
        <v>0</v>
      </c>
      <c r="H26" s="503"/>
      <c r="I26" s="503"/>
      <c r="J26" s="503"/>
      <c r="K26" s="503"/>
      <c r="L26" s="503"/>
      <c r="M26" s="503"/>
      <c r="N26" s="503"/>
      <c r="O26" s="503"/>
      <c r="P26" s="505"/>
      <c r="Q26" s="503"/>
      <c r="R26" s="503"/>
      <c r="S26" s="503"/>
      <c r="T26" s="503"/>
      <c r="U26" s="503"/>
      <c r="V26" s="503"/>
      <c r="W26" s="503"/>
      <c r="X26" s="503"/>
      <c r="Y26" s="503"/>
      <c r="Z26" s="503"/>
      <c r="AA26" s="503"/>
      <c r="AB26" s="503"/>
      <c r="AC26" s="503"/>
      <c r="AD26" s="503"/>
      <c r="AE26" s="503"/>
      <c r="AF26" s="503"/>
      <c r="AG26" s="503"/>
      <c r="AH26" s="503"/>
    </row>
    <row r="27" spans="1:34" s="520" customFormat="1" x14ac:dyDescent="0.3">
      <c r="A27" s="34">
        <v>21</v>
      </c>
      <c r="B27" s="115" t="s">
        <v>1234</v>
      </c>
      <c r="C27" s="524"/>
      <c r="D27" s="505" t="s">
        <v>62</v>
      </c>
      <c r="E27" s="525">
        <f>IFERROR((E14*E6+H14*H6+K14*K6+N14*N6+Q14*Q6+T14*T6+W14*W6+Z14*Z6+AC14*AC6+AF14*AF6)/(E6+H6+K6+N6+Q6+T6+W6+Z6+AC6+AF6),0)</f>
        <v>0</v>
      </c>
      <c r="F27" s="525">
        <f t="shared" ref="F27:G27" si="9">IFERROR((F14*F6+I14*I6+L14*L6+O14*O6+R14*R6+U14*U6+X14*X6+AA14*AA6+AD14*AD6+AG14*AG6)/(F6+I6+L6+O6+R6+U6+X6+AA6+AD6+AG6),0)</f>
        <v>0</v>
      </c>
      <c r="G27" s="525">
        <f t="shared" si="9"/>
        <v>0</v>
      </c>
      <c r="H27" s="526"/>
      <c r="I27" s="503"/>
      <c r="J27" s="503"/>
      <c r="K27" s="503"/>
      <c r="L27" s="503"/>
      <c r="M27" s="503"/>
      <c r="N27" s="526"/>
      <c r="O27" s="503"/>
      <c r="P27" s="505"/>
      <c r="Q27" s="503"/>
      <c r="R27" s="503"/>
      <c r="S27" s="503"/>
      <c r="T27" s="503"/>
      <c r="U27" s="503"/>
      <c r="V27" s="503"/>
      <c r="W27" s="503"/>
      <c r="X27" s="503"/>
      <c r="Y27" s="503"/>
      <c r="Z27" s="503"/>
      <c r="AA27" s="503"/>
      <c r="AB27" s="503"/>
      <c r="AC27" s="503"/>
      <c r="AD27" s="503"/>
      <c r="AE27" s="503"/>
      <c r="AF27" s="503"/>
      <c r="AG27" s="503"/>
      <c r="AH27" s="503"/>
    </row>
    <row r="28" spans="1:34" x14ac:dyDescent="0.3">
      <c r="H28" s="99"/>
      <c r="N28" s="99"/>
    </row>
  </sheetData>
  <sheetProtection password="EC3B" sheet="1" objects="1" scenarios="1"/>
  <mergeCells count="61">
    <mergeCell ref="H23:J23"/>
    <mergeCell ref="K23:M23"/>
    <mergeCell ref="AC23:AE23"/>
    <mergeCell ref="AF23:AH23"/>
    <mergeCell ref="N23:P23"/>
    <mergeCell ref="Q23:S23"/>
    <mergeCell ref="T23:V23"/>
    <mergeCell ref="W23:Y23"/>
    <mergeCell ref="Z23:AB23"/>
    <mergeCell ref="AC21:AE21"/>
    <mergeCell ref="AF21:AH21"/>
    <mergeCell ref="N21:P21"/>
    <mergeCell ref="Q21:S21"/>
    <mergeCell ref="T21:V21"/>
    <mergeCell ref="W21:Y21"/>
    <mergeCell ref="Z21:AB21"/>
    <mergeCell ref="AF19:AH19"/>
    <mergeCell ref="G3:AH3"/>
    <mergeCell ref="A4:A5"/>
    <mergeCell ref="Q20:S20"/>
    <mergeCell ref="T20:V20"/>
    <mergeCell ref="W20:Y20"/>
    <mergeCell ref="Z20:AB20"/>
    <mergeCell ref="AC20:AE20"/>
    <mergeCell ref="A3:D3"/>
    <mergeCell ref="Q19:S19"/>
    <mergeCell ref="T19:V19"/>
    <mergeCell ref="W19:Y19"/>
    <mergeCell ref="Z19:AB19"/>
    <mergeCell ref="A1:AH1"/>
    <mergeCell ref="B4:B5"/>
    <mergeCell ref="C4:C5"/>
    <mergeCell ref="D4:D5"/>
    <mergeCell ref="E4:G4"/>
    <mergeCell ref="H4:J4"/>
    <mergeCell ref="K4:M4"/>
    <mergeCell ref="N4:P4"/>
    <mergeCell ref="Q4:S4"/>
    <mergeCell ref="T4:V4"/>
    <mergeCell ref="W4:Y4"/>
    <mergeCell ref="Z4:AB4"/>
    <mergeCell ref="AC4:AE4"/>
    <mergeCell ref="E2:AH2"/>
    <mergeCell ref="AF4:AH4"/>
    <mergeCell ref="A2:D2"/>
    <mergeCell ref="E24:AH24"/>
    <mergeCell ref="E19:G19"/>
    <mergeCell ref="E20:G20"/>
    <mergeCell ref="E21:G21"/>
    <mergeCell ref="H19:J19"/>
    <mergeCell ref="H20:J20"/>
    <mergeCell ref="H21:J21"/>
    <mergeCell ref="K19:M19"/>
    <mergeCell ref="K20:M20"/>
    <mergeCell ref="K21:M21"/>
    <mergeCell ref="E22:AH22"/>
    <mergeCell ref="E23:G23"/>
    <mergeCell ref="N19:P19"/>
    <mergeCell ref="N20:P20"/>
    <mergeCell ref="AF20:AH20"/>
    <mergeCell ref="AC19:AE19"/>
  </mergeCells>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4"/>
  <sheetViews>
    <sheetView zoomScale="70" zoomScaleNormal="70" workbookViewId="0">
      <pane xSplit="4" ySplit="6" topLeftCell="E25" activePane="bottomRight" state="frozen"/>
      <selection pane="topRight" activeCell="E1" sqref="E1"/>
      <selection pane="bottomLeft" activeCell="A4" sqref="A4"/>
      <selection pane="bottomRight" activeCell="E30" sqref="E30"/>
    </sheetView>
  </sheetViews>
  <sheetFormatPr defaultColWidth="8.88671875" defaultRowHeight="14.4" x14ac:dyDescent="0.3"/>
  <cols>
    <col min="1" max="1" width="7" style="26" customWidth="1"/>
    <col min="2" max="2" width="34.88671875" style="27" customWidth="1"/>
    <col min="3" max="3" width="42" style="232" customWidth="1"/>
    <col min="4" max="4" width="10.109375" style="26" bestFit="1" customWidth="1"/>
    <col min="5" max="6" width="14.88671875" style="26" customWidth="1"/>
    <col min="7" max="8" width="15.109375" style="26" customWidth="1"/>
    <col min="9" max="10" width="14" style="26" customWidth="1"/>
    <col min="11" max="12" width="14.5546875" style="26" customWidth="1"/>
    <col min="13" max="14" width="13.6640625" style="26" customWidth="1"/>
    <col min="15" max="16" width="13.33203125" style="26" customWidth="1"/>
    <col min="17" max="18" width="13" style="26" customWidth="1"/>
    <col min="19" max="20" width="12.88671875" style="26" customWidth="1"/>
    <col min="21" max="22" width="12" style="26" customWidth="1"/>
    <col min="23" max="24" width="12.6640625" style="26" customWidth="1"/>
    <col min="25" max="25" width="18.88671875" style="26" customWidth="1"/>
    <col min="26" max="16384" width="8.88671875" style="26"/>
  </cols>
  <sheetData>
    <row r="1" spans="1:25" ht="25.8" x14ac:dyDescent="0.5">
      <c r="A1" s="752" t="s">
        <v>378</v>
      </c>
      <c r="B1" s="753"/>
      <c r="C1" s="753"/>
      <c r="D1" s="753"/>
      <c r="E1" s="753"/>
      <c r="F1" s="753"/>
      <c r="G1" s="753"/>
      <c r="H1" s="753"/>
      <c r="I1" s="753"/>
      <c r="J1" s="753"/>
      <c r="K1" s="753"/>
      <c r="L1" s="753"/>
      <c r="M1" s="753"/>
      <c r="N1" s="753"/>
      <c r="O1" s="753"/>
      <c r="P1" s="753"/>
      <c r="Q1" s="753"/>
      <c r="R1" s="753"/>
      <c r="S1" s="753"/>
      <c r="T1" s="753"/>
      <c r="U1" s="753"/>
      <c r="V1" s="753"/>
      <c r="W1" s="753"/>
      <c r="X1" s="753"/>
      <c r="Y1" s="753"/>
    </row>
    <row r="2" spans="1:25" ht="18" x14ac:dyDescent="0.35">
      <c r="A2" s="749" t="s">
        <v>163</v>
      </c>
      <c r="B2" s="739"/>
      <c r="C2" s="739"/>
      <c r="D2" s="740"/>
      <c r="E2" s="757">
        <f>'General Information'!C3</f>
        <v>0</v>
      </c>
      <c r="F2" s="758"/>
      <c r="G2" s="758"/>
      <c r="H2" s="758"/>
      <c r="I2" s="758"/>
      <c r="J2" s="758"/>
      <c r="K2" s="758"/>
      <c r="L2" s="758"/>
      <c r="M2" s="758"/>
      <c r="N2" s="758"/>
      <c r="O2" s="758"/>
      <c r="P2" s="758"/>
      <c r="Q2" s="758"/>
      <c r="R2" s="758"/>
      <c r="S2" s="758"/>
      <c r="T2" s="758"/>
      <c r="U2" s="758"/>
      <c r="V2" s="758"/>
      <c r="W2" s="758"/>
      <c r="X2" s="758"/>
      <c r="Y2" s="759"/>
    </row>
    <row r="3" spans="1:25" ht="18" x14ac:dyDescent="0.35">
      <c r="A3" s="749" t="s">
        <v>1052</v>
      </c>
      <c r="B3" s="739"/>
      <c r="C3" s="739"/>
      <c r="D3" s="740"/>
      <c r="E3" s="285" t="str">
        <f>'Form Sh'!F480</f>
        <v>Yes</v>
      </c>
      <c r="F3" s="285" t="str">
        <f>'Form Sh'!S480</f>
        <v>Yes</v>
      </c>
      <c r="G3" s="750"/>
      <c r="H3" s="750"/>
      <c r="I3" s="750"/>
      <c r="J3" s="750"/>
      <c r="K3" s="750"/>
      <c r="L3" s="750"/>
      <c r="M3" s="750"/>
      <c r="N3" s="750"/>
      <c r="O3" s="750"/>
      <c r="P3" s="750"/>
      <c r="Q3" s="750"/>
      <c r="R3" s="750"/>
      <c r="S3" s="750"/>
      <c r="T3" s="750"/>
      <c r="U3" s="750"/>
      <c r="V3" s="750"/>
      <c r="W3" s="750"/>
      <c r="X3" s="750"/>
      <c r="Y3" s="751"/>
    </row>
    <row r="4" spans="1:25" ht="18" x14ac:dyDescent="0.35">
      <c r="A4" s="749" t="s">
        <v>2</v>
      </c>
      <c r="B4" s="739"/>
      <c r="C4" s="740"/>
      <c r="D4" s="763" t="str">
        <f>'General Information'!D6:E6</f>
        <v>Coal/Lignite/Oil/Gas Fired</v>
      </c>
      <c r="E4" s="743"/>
      <c r="F4" s="743"/>
      <c r="G4" s="743"/>
      <c r="H4" s="743"/>
      <c r="I4" s="119"/>
      <c r="J4" s="119"/>
      <c r="K4" s="119"/>
      <c r="L4" s="119"/>
      <c r="M4" s="119"/>
      <c r="N4" s="119"/>
      <c r="O4" s="119"/>
      <c r="P4" s="119"/>
      <c r="Q4" s="119"/>
      <c r="R4" s="119"/>
      <c r="S4" s="119"/>
      <c r="T4" s="119"/>
      <c r="U4" s="119"/>
      <c r="V4" s="119"/>
      <c r="W4" s="119"/>
      <c r="X4" s="119"/>
      <c r="Y4" s="120"/>
    </row>
    <row r="5" spans="1:25" s="336" customFormat="1" ht="14.4" customHeight="1" x14ac:dyDescent="0.3">
      <c r="A5" s="764" t="s">
        <v>146</v>
      </c>
      <c r="B5" s="764" t="s">
        <v>132</v>
      </c>
      <c r="C5" s="766" t="s">
        <v>180</v>
      </c>
      <c r="D5" s="764" t="s">
        <v>154</v>
      </c>
      <c r="E5" s="755" t="s">
        <v>31</v>
      </c>
      <c r="F5" s="756"/>
      <c r="G5" s="755" t="s">
        <v>33</v>
      </c>
      <c r="H5" s="756"/>
      <c r="I5" s="755" t="s">
        <v>35</v>
      </c>
      <c r="J5" s="756"/>
      <c r="K5" s="755" t="s">
        <v>37</v>
      </c>
      <c r="L5" s="756"/>
      <c r="M5" s="755" t="s">
        <v>39</v>
      </c>
      <c r="N5" s="756"/>
      <c r="O5" s="755" t="s">
        <v>41</v>
      </c>
      <c r="P5" s="756"/>
      <c r="Q5" s="755" t="s">
        <v>43</v>
      </c>
      <c r="R5" s="756"/>
      <c r="S5" s="755" t="s">
        <v>45</v>
      </c>
      <c r="T5" s="756"/>
      <c r="U5" s="755" t="s">
        <v>47</v>
      </c>
      <c r="V5" s="756"/>
      <c r="W5" s="755" t="s">
        <v>49</v>
      </c>
      <c r="X5" s="756"/>
      <c r="Y5" s="354"/>
    </row>
    <row r="6" spans="1:25" s="336" customFormat="1" ht="29.4" customHeight="1" x14ac:dyDescent="0.3">
      <c r="A6" s="765"/>
      <c r="B6" s="765"/>
      <c r="C6" s="767"/>
      <c r="D6" s="765"/>
      <c r="E6" s="350" t="s">
        <v>325</v>
      </c>
      <c r="F6" s="355" t="s">
        <v>326</v>
      </c>
      <c r="G6" s="350" t="s">
        <v>325</v>
      </c>
      <c r="H6" s="355" t="s">
        <v>326</v>
      </c>
      <c r="I6" s="350" t="s">
        <v>325</v>
      </c>
      <c r="J6" s="355" t="s">
        <v>326</v>
      </c>
      <c r="K6" s="350" t="s">
        <v>325</v>
      </c>
      <c r="L6" s="355" t="s">
        <v>326</v>
      </c>
      <c r="M6" s="350" t="s">
        <v>325</v>
      </c>
      <c r="N6" s="355" t="s">
        <v>326</v>
      </c>
      <c r="O6" s="350" t="s">
        <v>325</v>
      </c>
      <c r="P6" s="355" t="s">
        <v>326</v>
      </c>
      <c r="Q6" s="350" t="s">
        <v>325</v>
      </c>
      <c r="R6" s="355" t="s">
        <v>326</v>
      </c>
      <c r="S6" s="350" t="s">
        <v>325</v>
      </c>
      <c r="T6" s="355" t="s">
        <v>326</v>
      </c>
      <c r="U6" s="350" t="s">
        <v>325</v>
      </c>
      <c r="V6" s="355" t="s">
        <v>326</v>
      </c>
      <c r="W6" s="350" t="s">
        <v>325</v>
      </c>
      <c r="X6" s="355" t="s">
        <v>326</v>
      </c>
      <c r="Y6" s="335" t="s">
        <v>52</v>
      </c>
    </row>
    <row r="7" spans="1:25" s="108" customFormat="1" ht="69.75" customHeight="1" x14ac:dyDescent="0.3">
      <c r="A7" s="106">
        <v>1</v>
      </c>
      <c r="B7" s="107" t="str">
        <f>IF(OR($D$4="Gas Turbine (Open Cycle)",$D$4="Combined Cycle Gas Turbine (CCGT)"),"Module Capacity","Unit Capacity")</f>
        <v>Unit Capacity</v>
      </c>
      <c r="C7" s="527" t="s">
        <v>1235</v>
      </c>
      <c r="D7" s="106" t="s">
        <v>28</v>
      </c>
      <c r="E7" s="339">
        <f>'NF-1 Coal Quality'!E6</f>
        <v>0</v>
      </c>
      <c r="F7" s="339">
        <f>'NF-1 Coal Quality'!F6</f>
        <v>0</v>
      </c>
      <c r="G7" s="339">
        <f>'NF-1 Coal Quality'!H6</f>
        <v>0</v>
      </c>
      <c r="H7" s="339">
        <f>'NF-1 Coal Quality'!I6</f>
        <v>0</v>
      </c>
      <c r="I7" s="339">
        <f>'NF-1 Coal Quality'!K6</f>
        <v>0</v>
      </c>
      <c r="J7" s="339">
        <f>'NF-1 Coal Quality'!L6</f>
        <v>0</v>
      </c>
      <c r="K7" s="339">
        <f>'NF-1 Coal Quality'!N6</f>
        <v>0</v>
      </c>
      <c r="L7" s="339">
        <f>'NF-1 Coal Quality'!O6</f>
        <v>0</v>
      </c>
      <c r="M7" s="339">
        <f>'NF-1 Coal Quality'!Q6</f>
        <v>0</v>
      </c>
      <c r="N7" s="339">
        <f>'NF-1 Coal Quality'!R6</f>
        <v>0</v>
      </c>
      <c r="O7" s="339">
        <f>'NF-1 Coal Quality'!T6</f>
        <v>0</v>
      </c>
      <c r="P7" s="339">
        <f>'NF-1 Coal Quality'!U6</f>
        <v>0</v>
      </c>
      <c r="Q7" s="339">
        <f>'NF-1 Coal Quality'!W6</f>
        <v>0</v>
      </c>
      <c r="R7" s="339">
        <f>'NF-1 Coal Quality'!X6</f>
        <v>0</v>
      </c>
      <c r="S7" s="339">
        <f>'NF-1 Coal Quality'!Z6</f>
        <v>0</v>
      </c>
      <c r="T7" s="339">
        <f>'NF-1 Coal Quality'!AA6</f>
        <v>0</v>
      </c>
      <c r="U7" s="339">
        <f>'NF-1 Coal Quality'!AC6</f>
        <v>0</v>
      </c>
      <c r="V7" s="339">
        <f>'NF-1 Coal Quality'!AD6</f>
        <v>0</v>
      </c>
      <c r="W7" s="339">
        <f>'NF-1 Coal Quality'!AF6</f>
        <v>0</v>
      </c>
      <c r="X7" s="339">
        <f>'NF-1 Coal Quality'!AG6</f>
        <v>0</v>
      </c>
      <c r="Y7" s="339"/>
    </row>
    <row r="8" spans="1:25" s="108" customFormat="1" ht="63.75" customHeight="1" x14ac:dyDescent="0.3">
      <c r="A8" s="106">
        <v>2</v>
      </c>
      <c r="B8" s="107" t="s">
        <v>376</v>
      </c>
      <c r="C8" s="237" t="s">
        <v>1037</v>
      </c>
      <c r="D8" s="106" t="s">
        <v>110</v>
      </c>
      <c r="E8" s="314">
        <f>IFERROR(IF(OR(D4="Coal/Lignite/Oil/Gas Fired",D4="DG Set"),IF('Form Sh'!G18=0,'Form Sh'!J18,'Form Sh'!G18),860*100/E9),0)</f>
        <v>0</v>
      </c>
      <c r="F8" s="314">
        <f>IFERROR(IF(OR(D4="Coal/Lignite/Oil/Gas Fired",D4="DG Set"),IF('Form Sh'!G18=0,'Form Sh'!J18,'Form Sh'!G18),860*100/F9),0)</f>
        <v>0</v>
      </c>
      <c r="G8" s="314">
        <f>IFERROR(IF(OR(D4="Coal/Lignite/Oil/Gas Fired",D4="DG Set"),IF('Form Sh'!G19=0,'Form Sh'!J19,'Form Sh'!G19),860*100/G9),0)</f>
        <v>0</v>
      </c>
      <c r="H8" s="314">
        <f>IFERROR(IF(OR(D4="Coal/Lignite/Oil/Gas Fired",D4="DG Set"),IF('Form Sh'!G19=0,'Form Sh'!J19,'Form Sh'!G19),860*100/H9),0)</f>
        <v>0</v>
      </c>
      <c r="I8" s="314">
        <f>IFERROR(IF(OR(D4="Coal/Lignite/Oil/Gas Fired",D4="DG Set"),IF('Form Sh'!G20=0,'Form Sh'!J20,'Form Sh'!G20),860*100/I9),0)</f>
        <v>0</v>
      </c>
      <c r="J8" s="314">
        <f>IFERROR(IF(OR(D4="Coal/Lignite/Oil/Gas Fired",D4="DG Set"),IF('Form Sh'!G20=0,'Form Sh'!J20,'Form Sh'!G20),860*100/J9),0)</f>
        <v>0</v>
      </c>
      <c r="K8" s="314">
        <f>IFERROR(IF(OR(D4="Coal/Lignite/Oil/Gas Fired",D4="DG Set"),IF('Form Sh'!G21=0,'Form Sh'!J21,'Form Sh'!G21),860*100/K9),0)</f>
        <v>0</v>
      </c>
      <c r="L8" s="314">
        <f>IFERROR(IF(OR(D4="Coal/Lignite/Oil/Gas Fired",D4="DG Set"),IF('Form Sh'!G21=0,'Form Sh'!J21,'Form Sh'!G21),860*100/L9),0)</f>
        <v>0</v>
      </c>
      <c r="M8" s="314">
        <f>IFERROR(IF(OR(D4="Coal/Lignite/Oil/Gas Fired",D4="DG Set"),IF('Form Sh'!G22=0,'Form Sh'!J22,'Form Sh'!G22),860*100/M9),0)</f>
        <v>0</v>
      </c>
      <c r="N8" s="314">
        <f>IFERROR(IF(OR(D4="Coal/Lignite/Oil/Gas Fired",D4="DG Set"),IF('Form Sh'!G22=0,'Form Sh'!J22,'Form Sh'!G22),860*100/N9),0)</f>
        <v>0</v>
      </c>
      <c r="O8" s="339">
        <f>IFERROR(IF(OR(D4="Coal/Lignite/Oil/Gas Fired",D4="DG Set"),IF('Form Sh'!G23=0,'Form Sh'!J23,'Form Sh'!G23),860*100/O9),0)</f>
        <v>0</v>
      </c>
      <c r="P8" s="339">
        <f>IFERROR(IF(OR(D4="Coal/Lignite/Oil/Gas Fired",D4="DG Set"),IF('Form Sh'!G23=0,'Form Sh'!J23,'Form Sh'!G23),860*100/P9),0)</f>
        <v>0</v>
      </c>
      <c r="Q8" s="339">
        <f>IFERROR(IF(OR(D4="Coal/Lignite/Oil/Gas Fired",D4="DG Set"),IF('Form Sh'!G24=0,'Form Sh'!J24,'Form Sh'!G24),860*100/Q9),0)</f>
        <v>0</v>
      </c>
      <c r="R8" s="339">
        <f>IFERROR(IF(OR(D4="Coal/Lignite/Oil/Gas Fired",D4="DG Set"),IF('Form Sh'!G24=0,'Form Sh'!J24,'Form Sh'!G24),860*100/R9),0)</f>
        <v>0</v>
      </c>
      <c r="S8" s="339">
        <f>IFERROR(IF(OR(D4="Coal/Lignite/Oil/Gas Fired",D4="DG Set"),IF('Form Sh'!G25=0,'Form Sh'!J25,'Form Sh'!G25),860*100/S9),0)</f>
        <v>0</v>
      </c>
      <c r="T8" s="339">
        <f>IFERROR(IF(OR(D4="Coal/Lignite/Oil/Gas Fired",D4="DG Set"),IF('Form Sh'!G25=0,'Form Sh'!J25,'Form Sh'!G25),860*100/T9),0)</f>
        <v>0</v>
      </c>
      <c r="U8" s="339">
        <f>IFERROR(IF(OR(D4="Coal/Lignite/Oil/Gas Fired",D4="DG Set"),IF('Form Sh'!G26=0,'Form Sh'!J26,'Form Sh'!G26),860*100/U9),0)</f>
        <v>0</v>
      </c>
      <c r="V8" s="339">
        <f>IFERROR(IF(OR(D4="Coal/Lignite/Oil/Gas Fired",D4="DG Set"),IF('Form Sh'!G26=0,'Form Sh'!J26,'Form Sh'!G26),860*100/V9),0)</f>
        <v>0</v>
      </c>
      <c r="W8" s="339">
        <f>IFERROR(IF(OR(D4="Coal/Lignite/Oil/Gas Fired",D4="DG Set"),IF('Form Sh'!G27=0,'Form Sh'!J27,'Form Sh'!G27),860*100/W9),0)</f>
        <v>0</v>
      </c>
      <c r="X8" s="339">
        <f>IFERROR(IF(OR(D4="Coal/Lignite/Oil/Gas Fired",D4="DG Set"),IF('Form Sh'!G27=0,'Form Sh'!J27,'Form Sh'!G27),860*100/X9),0)</f>
        <v>0</v>
      </c>
      <c r="Y8" s="339"/>
    </row>
    <row r="9" spans="1:25" ht="40.5" customHeight="1" x14ac:dyDescent="0.3">
      <c r="A9" s="24">
        <v>3</v>
      </c>
      <c r="B9" s="25" t="str">
        <f>IF(OR(D4="Gas Turbine (Open Cycle)",D4="Combined Cycle Gas Turbine (CCGT)"),"Module Design Efficiency","Boiler Design Efficiency")</f>
        <v>Boiler Design Efficiency</v>
      </c>
      <c r="C9" s="228" t="s">
        <v>807</v>
      </c>
      <c r="D9" s="24" t="s">
        <v>62</v>
      </c>
      <c r="E9" s="313">
        <f>IF('Form Sh'!F18=0,'Form Sh'!I18,'Form Sh'!F18)</f>
        <v>0</v>
      </c>
      <c r="F9" s="313">
        <f>IF('Form Sh'!F18=0,'Form Sh'!I18,'Form Sh'!F18)</f>
        <v>0</v>
      </c>
      <c r="G9" s="313">
        <f>IF('Form Sh'!F19=0,'Form Sh'!I19,'Form Sh'!F19)</f>
        <v>0</v>
      </c>
      <c r="H9" s="313">
        <f>IF('Form Sh'!F19=0,'Form Sh'!I19,'Form Sh'!F19)</f>
        <v>0</v>
      </c>
      <c r="I9" s="313">
        <f>IF('Form Sh'!F20=0,'Form Sh'!I20,'Form Sh'!F20)</f>
        <v>0</v>
      </c>
      <c r="J9" s="313">
        <f>IF('Form Sh'!F20=0,'Form Sh'!I20,'Form Sh'!F20)</f>
        <v>0</v>
      </c>
      <c r="K9" s="313">
        <f>IF('Form Sh'!F21=0,'Form Sh'!I21,'Form Sh'!F21)</f>
        <v>0</v>
      </c>
      <c r="L9" s="313">
        <f>IF('Form Sh'!F21=0,'Form Sh'!I21,'Form Sh'!F21)</f>
        <v>0</v>
      </c>
      <c r="M9" s="313">
        <f>IF('Form Sh'!F22=0,'Form Sh'!I22,'Form Sh'!F22)</f>
        <v>0</v>
      </c>
      <c r="N9" s="313">
        <f>IF('Form Sh'!F22=0,'Form Sh'!I22,'Form Sh'!F22)</f>
        <v>0</v>
      </c>
      <c r="O9" s="313">
        <f>IF('Form Sh'!F23=0,'Form Sh'!I23,'Form Sh'!F23)</f>
        <v>0</v>
      </c>
      <c r="P9" s="313">
        <f>IF('Form Sh'!F23=0,'Form Sh'!I23,'Form Sh'!F23)</f>
        <v>0</v>
      </c>
      <c r="Q9" s="313">
        <f>IF('Form Sh'!F24=0,'Form Sh'!J24,'Form Sh'!F24)</f>
        <v>0</v>
      </c>
      <c r="R9" s="313">
        <f>IF('Form Sh'!F24=0,'Form Sh'!J24,'Form Sh'!F24)</f>
        <v>0</v>
      </c>
      <c r="S9" s="313">
        <f>IF('Form Sh'!F25=0,'Form Sh'!J25,'Form Sh'!F25)</f>
        <v>0</v>
      </c>
      <c r="T9" s="313">
        <f>IF('Form Sh'!F25=0,'Form Sh'!J25,'Form Sh'!F25)</f>
        <v>0</v>
      </c>
      <c r="U9" s="313">
        <f>IF('Form Sh'!F26=0,'Form Sh'!J26,'Form Sh'!F26)</f>
        <v>0</v>
      </c>
      <c r="V9" s="313">
        <f>IF('Form Sh'!F26=0,'Form Sh'!J26,'Form Sh'!F26)</f>
        <v>0</v>
      </c>
      <c r="W9" s="313">
        <f>IF('Form Sh'!F27=0,'Form Sh'!J27,'Form Sh'!F27)</f>
        <v>0</v>
      </c>
      <c r="X9" s="313">
        <f>IF('Form Sh'!F27=0,'Form Sh'!J27,'Form Sh'!F27)</f>
        <v>0</v>
      </c>
      <c r="Y9" s="313"/>
    </row>
    <row r="10" spans="1:25" ht="45" customHeight="1" x14ac:dyDescent="0.3">
      <c r="A10" s="24">
        <v>4</v>
      </c>
      <c r="B10" s="25" t="str">
        <f>IF(OR($D$4="Gas Turbine (Open Cycle)",$D$4="Combined Cycle Gas Turbine (CCGT)"),"Design Module Heat Rate@100 Load (Curve or HBD)","Design Turbine Heat Rate @ 100% Load (Curve or HBD) ")</f>
        <v xml:space="preserve">Design Turbine Heat Rate @ 100% Load (Curve or HBD) </v>
      </c>
      <c r="C10" s="228" t="s">
        <v>808</v>
      </c>
      <c r="D10" s="24" t="s">
        <v>110</v>
      </c>
      <c r="E10" s="313">
        <f>'Form Sh'!Q18</f>
        <v>0</v>
      </c>
      <c r="F10" s="313">
        <f>'Form Sh'!Q18</f>
        <v>0</v>
      </c>
      <c r="G10" s="313">
        <f>'Form Sh'!Q19</f>
        <v>0</v>
      </c>
      <c r="H10" s="313">
        <f>'Form Sh'!Q19</f>
        <v>0</v>
      </c>
      <c r="I10" s="313">
        <f>'Form Sh'!Q20</f>
        <v>0</v>
      </c>
      <c r="J10" s="313">
        <f>'Form Sh'!Q20</f>
        <v>0</v>
      </c>
      <c r="K10" s="313">
        <f>'Form Sh'!Q21</f>
        <v>0</v>
      </c>
      <c r="L10" s="313">
        <f>'Form Sh'!Q21</f>
        <v>0</v>
      </c>
      <c r="M10" s="313">
        <f>'Form Sh'!Q22</f>
        <v>0</v>
      </c>
      <c r="N10" s="313">
        <f>'Form Sh'!Q22</f>
        <v>0</v>
      </c>
      <c r="O10" s="313">
        <f>'Form Sh'!Q23</f>
        <v>0</v>
      </c>
      <c r="P10" s="313">
        <f>'Form Sh'!Q23</f>
        <v>0</v>
      </c>
      <c r="Q10" s="313">
        <f>'Form Sh'!Q24</f>
        <v>0</v>
      </c>
      <c r="R10" s="313">
        <f>'Form Sh'!Q24</f>
        <v>0</v>
      </c>
      <c r="S10" s="313">
        <f>'Form Sh'!Q25</f>
        <v>0</v>
      </c>
      <c r="T10" s="313">
        <f>'Form Sh'!Q25</f>
        <v>0</v>
      </c>
      <c r="U10" s="313">
        <f>'Form Sh'!Q26</f>
        <v>0</v>
      </c>
      <c r="V10" s="313">
        <f>'Form Sh'!Q26</f>
        <v>0</v>
      </c>
      <c r="W10" s="313">
        <f>'Form Sh'!Q27</f>
        <v>0</v>
      </c>
      <c r="X10" s="313">
        <f>'Form Sh'!Q27</f>
        <v>0</v>
      </c>
      <c r="Y10" s="313"/>
    </row>
    <row r="11" spans="1:25" ht="43.2" x14ac:dyDescent="0.3">
      <c r="A11" s="24">
        <v>5</v>
      </c>
      <c r="B11" s="25" t="s">
        <v>377</v>
      </c>
      <c r="C11" s="228" t="s">
        <v>809</v>
      </c>
      <c r="D11" s="24" t="s">
        <v>62</v>
      </c>
      <c r="E11" s="356">
        <f t="shared" ref="E11:H11" si="0">IFERROR((E8-E10)*100/E8,0)</f>
        <v>0</v>
      </c>
      <c r="F11" s="356">
        <f t="shared" si="0"/>
        <v>0</v>
      </c>
      <c r="G11" s="356">
        <f t="shared" si="0"/>
        <v>0</v>
      </c>
      <c r="H11" s="356">
        <f t="shared" si="0"/>
        <v>0</v>
      </c>
      <c r="I11" s="357">
        <f>IFERROR((I8-I10)*100/I8,0)</f>
        <v>0</v>
      </c>
      <c r="J11" s="357">
        <f>IFERROR((J8-J10)*100/J8,0)</f>
        <v>0</v>
      </c>
      <c r="K11" s="357">
        <f t="shared" ref="K11:X11" si="1">IFERROR((K8-K10)*100/K8,0)</f>
        <v>0</v>
      </c>
      <c r="L11" s="357">
        <f t="shared" si="1"/>
        <v>0</v>
      </c>
      <c r="M11" s="357">
        <f t="shared" si="1"/>
        <v>0</v>
      </c>
      <c r="N11" s="357">
        <f t="shared" si="1"/>
        <v>0</v>
      </c>
      <c r="O11" s="357">
        <f t="shared" si="1"/>
        <v>0</v>
      </c>
      <c r="P11" s="357">
        <f t="shared" si="1"/>
        <v>0</v>
      </c>
      <c r="Q11" s="357">
        <f t="shared" si="1"/>
        <v>0</v>
      </c>
      <c r="R11" s="357">
        <f t="shared" si="1"/>
        <v>0</v>
      </c>
      <c r="S11" s="357">
        <f t="shared" si="1"/>
        <v>0</v>
      </c>
      <c r="T11" s="357">
        <f t="shared" si="1"/>
        <v>0</v>
      </c>
      <c r="U11" s="357">
        <f t="shared" si="1"/>
        <v>0</v>
      </c>
      <c r="V11" s="357">
        <f t="shared" si="1"/>
        <v>0</v>
      </c>
      <c r="W11" s="357">
        <f t="shared" si="1"/>
        <v>0</v>
      </c>
      <c r="X11" s="357">
        <f t="shared" si="1"/>
        <v>0</v>
      </c>
      <c r="Y11" s="313"/>
    </row>
    <row r="12" spans="1:25" x14ac:dyDescent="0.3">
      <c r="A12" s="24">
        <v>6</v>
      </c>
      <c r="B12" s="25" t="s">
        <v>123</v>
      </c>
      <c r="C12" s="227" t="s">
        <v>810</v>
      </c>
      <c r="D12" s="24" t="s">
        <v>327</v>
      </c>
      <c r="E12" s="315">
        <f>'Form Sh'!H404</f>
        <v>1</v>
      </c>
      <c r="F12" s="315">
        <f>'Form Sh'!P404</f>
        <v>1</v>
      </c>
      <c r="G12" s="315">
        <f>'Form Sh'!H405</f>
        <v>1</v>
      </c>
      <c r="H12" s="315">
        <f>'Form Sh'!P405</f>
        <v>1</v>
      </c>
      <c r="I12" s="315">
        <f>'Form Sh'!H406</f>
        <v>1</v>
      </c>
      <c r="J12" s="315">
        <f>'Form Sh'!P406</f>
        <v>1</v>
      </c>
      <c r="K12" s="315">
        <f>'Form Sh'!H407</f>
        <v>1</v>
      </c>
      <c r="L12" s="315">
        <f>'Form Sh'!P407</f>
        <v>1</v>
      </c>
      <c r="M12" s="315">
        <f>'Form Sh'!H408</f>
        <v>1</v>
      </c>
      <c r="N12" s="315">
        <f>'Form Sh'!P408</f>
        <v>1</v>
      </c>
      <c r="O12" s="315">
        <f>'Form Sh'!H409</f>
        <v>1</v>
      </c>
      <c r="P12" s="315">
        <f>'Form Sh'!P409</f>
        <v>1</v>
      </c>
      <c r="Q12" s="315">
        <f>'Form Sh'!H410</f>
        <v>1</v>
      </c>
      <c r="R12" s="315">
        <f>'Form Sh'!P410</f>
        <v>1</v>
      </c>
      <c r="S12" s="315">
        <f>'Form Sh'!H411</f>
        <v>1</v>
      </c>
      <c r="T12" s="315">
        <f>'Form Sh'!P411</f>
        <v>1</v>
      </c>
      <c r="U12" s="315">
        <f>'Form Sh'!H412</f>
        <v>1</v>
      </c>
      <c r="V12" s="315">
        <f>'Form Sh'!P412</f>
        <v>1</v>
      </c>
      <c r="W12" s="315">
        <f>'Form Sh'!H413</f>
        <v>1</v>
      </c>
      <c r="X12" s="315">
        <f>'Form Sh'!P413</f>
        <v>1</v>
      </c>
      <c r="Y12" s="313"/>
    </row>
    <row r="13" spans="1:25" ht="28.8" x14ac:dyDescent="0.3">
      <c r="A13" s="24">
        <v>7</v>
      </c>
      <c r="B13" s="25" t="s">
        <v>375</v>
      </c>
      <c r="C13" s="227" t="s">
        <v>810</v>
      </c>
      <c r="D13" s="24" t="s">
        <v>28</v>
      </c>
      <c r="E13" s="315">
        <f>'Form Sh'!K404</f>
        <v>0</v>
      </c>
      <c r="F13" s="315">
        <f>'Form Sh'!S404</f>
        <v>0</v>
      </c>
      <c r="G13" s="315">
        <f>'Form Sh'!K405</f>
        <v>0</v>
      </c>
      <c r="H13" s="315">
        <f>'Form Sh'!S405</f>
        <v>0</v>
      </c>
      <c r="I13" s="315">
        <f>'Form Sh'!K406</f>
        <v>0</v>
      </c>
      <c r="J13" s="315">
        <f>'Form Sh'!S406</f>
        <v>0</v>
      </c>
      <c r="K13" s="313">
        <f>'Form Sh'!K407</f>
        <v>0</v>
      </c>
      <c r="L13" s="315">
        <f>'Form Sh'!S407</f>
        <v>0</v>
      </c>
      <c r="M13" s="313">
        <f>'Form Sh'!K408</f>
        <v>0</v>
      </c>
      <c r="N13" s="315">
        <f>'Form Sh'!S408</f>
        <v>0</v>
      </c>
      <c r="O13" s="313">
        <f>'Form Sh'!K409</f>
        <v>0</v>
      </c>
      <c r="P13" s="315">
        <f>'Form Sh'!S409</f>
        <v>0</v>
      </c>
      <c r="Q13" s="313">
        <f>'Form Sh'!K410</f>
        <v>0</v>
      </c>
      <c r="R13" s="315">
        <f>'Form Sh'!S410</f>
        <v>0</v>
      </c>
      <c r="S13" s="313">
        <f>'Form Sh'!K411</f>
        <v>0</v>
      </c>
      <c r="T13" s="315">
        <f>'Form Sh'!S411</f>
        <v>0</v>
      </c>
      <c r="U13" s="313">
        <f>'Form Sh'!K412</f>
        <v>0</v>
      </c>
      <c r="V13" s="315">
        <f>'Form Sh'!S412</f>
        <v>0</v>
      </c>
      <c r="W13" s="313">
        <f>'Form Sh'!K413</f>
        <v>0</v>
      </c>
      <c r="X13" s="315">
        <f>'Form Sh'!S413</f>
        <v>0</v>
      </c>
      <c r="Y13" s="313"/>
    </row>
    <row r="14" spans="1:25" ht="28.8" x14ac:dyDescent="0.3">
      <c r="A14" s="24">
        <v>8</v>
      </c>
      <c r="B14" s="25" t="s">
        <v>369</v>
      </c>
      <c r="C14" s="227" t="s">
        <v>810</v>
      </c>
      <c r="D14" s="24" t="s">
        <v>171</v>
      </c>
      <c r="E14" s="315">
        <f>'Form Sh'!L404</f>
        <v>0</v>
      </c>
      <c r="F14" s="315">
        <f>'Form Sh'!T404</f>
        <v>0</v>
      </c>
      <c r="G14" s="315">
        <f>'Form Sh'!L405</f>
        <v>0</v>
      </c>
      <c r="H14" s="315">
        <f>'Form Sh'!T405</f>
        <v>0</v>
      </c>
      <c r="I14" s="315">
        <f>'Form Sh'!L406</f>
        <v>0</v>
      </c>
      <c r="J14" s="315">
        <f>'Form Sh'!T406</f>
        <v>0</v>
      </c>
      <c r="K14" s="315">
        <f>'Form Sh'!L407</f>
        <v>0</v>
      </c>
      <c r="L14" s="315">
        <f>'Form Sh'!T407</f>
        <v>0</v>
      </c>
      <c r="M14" s="315">
        <f>'Form Sh'!L408</f>
        <v>0</v>
      </c>
      <c r="N14" s="315">
        <f>'Form Sh'!T408</f>
        <v>0</v>
      </c>
      <c r="O14" s="315">
        <f>'Form Sh'!L409</f>
        <v>0</v>
      </c>
      <c r="P14" s="315">
        <f>'Form Sh'!T409</f>
        <v>0</v>
      </c>
      <c r="Q14" s="315">
        <f>'Form Sh'!L410</f>
        <v>0</v>
      </c>
      <c r="R14" s="315">
        <f>'Form Sh'!T410</f>
        <v>0</v>
      </c>
      <c r="S14" s="315">
        <f>'Form Sh'!L411</f>
        <v>0</v>
      </c>
      <c r="T14" s="315">
        <f>'Form Sh'!T411</f>
        <v>0</v>
      </c>
      <c r="U14" s="315">
        <f>'Form Sh'!L412</f>
        <v>0</v>
      </c>
      <c r="V14" s="315">
        <f>'Form Sh'!T412</f>
        <v>0</v>
      </c>
      <c r="W14" s="315">
        <f>'Form Sh'!L413</f>
        <v>0</v>
      </c>
      <c r="X14" s="315">
        <f>'Form Sh'!T413</f>
        <v>0</v>
      </c>
      <c r="Y14" s="313"/>
    </row>
    <row r="15" spans="1:25" ht="28.8" x14ac:dyDescent="0.3">
      <c r="A15" s="24">
        <v>9</v>
      </c>
      <c r="B15" s="25" t="s">
        <v>224</v>
      </c>
      <c r="C15" s="228" t="s">
        <v>811</v>
      </c>
      <c r="D15" s="24" t="s">
        <v>171</v>
      </c>
      <c r="E15" s="315">
        <f>8760*E12</f>
        <v>8760</v>
      </c>
      <c r="F15" s="315">
        <f>8760*F12</f>
        <v>8760</v>
      </c>
      <c r="G15" s="315">
        <f>8760*G12</f>
        <v>8760</v>
      </c>
      <c r="H15" s="315">
        <f>8760*H12</f>
        <v>8760</v>
      </c>
      <c r="I15" s="315">
        <f t="shared" ref="I15:X15" si="2">8760*I12</f>
        <v>8760</v>
      </c>
      <c r="J15" s="315">
        <f t="shared" si="2"/>
        <v>8760</v>
      </c>
      <c r="K15" s="315">
        <f t="shared" si="2"/>
        <v>8760</v>
      </c>
      <c r="L15" s="315">
        <f t="shared" si="2"/>
        <v>8760</v>
      </c>
      <c r="M15" s="315">
        <f t="shared" si="2"/>
        <v>8760</v>
      </c>
      <c r="N15" s="315">
        <f t="shared" si="2"/>
        <v>8760</v>
      </c>
      <c r="O15" s="315">
        <f t="shared" si="2"/>
        <v>8760</v>
      </c>
      <c r="P15" s="315">
        <f t="shared" si="2"/>
        <v>8760</v>
      </c>
      <c r="Q15" s="315">
        <f t="shared" si="2"/>
        <v>8760</v>
      </c>
      <c r="R15" s="315">
        <f t="shared" si="2"/>
        <v>8760</v>
      </c>
      <c r="S15" s="315">
        <f t="shared" si="2"/>
        <v>8760</v>
      </c>
      <c r="T15" s="315">
        <f t="shared" si="2"/>
        <v>8760</v>
      </c>
      <c r="U15" s="315">
        <f t="shared" si="2"/>
        <v>8760</v>
      </c>
      <c r="V15" s="315">
        <f t="shared" si="2"/>
        <v>8760</v>
      </c>
      <c r="W15" s="315">
        <f t="shared" si="2"/>
        <v>8760</v>
      </c>
      <c r="X15" s="315">
        <f t="shared" si="2"/>
        <v>8760</v>
      </c>
      <c r="Y15" s="313"/>
    </row>
    <row r="16" spans="1:25" x14ac:dyDescent="0.3">
      <c r="A16" s="24">
        <v>10</v>
      </c>
      <c r="B16" s="25" t="s">
        <v>225</v>
      </c>
      <c r="C16" s="228" t="s">
        <v>812</v>
      </c>
      <c r="D16" s="24" t="s">
        <v>171</v>
      </c>
      <c r="E16" s="315">
        <f>E15-E14</f>
        <v>8760</v>
      </c>
      <c r="F16" s="315">
        <f>F15-F14</f>
        <v>8760</v>
      </c>
      <c r="G16" s="315">
        <f>G15-G14</f>
        <v>8760</v>
      </c>
      <c r="H16" s="315">
        <f>H15-H14</f>
        <v>8760</v>
      </c>
      <c r="I16" s="315">
        <f t="shared" ref="I16:X16" si="3">I15-I14</f>
        <v>8760</v>
      </c>
      <c r="J16" s="315">
        <f t="shared" si="3"/>
        <v>8760</v>
      </c>
      <c r="K16" s="315">
        <f t="shared" si="3"/>
        <v>8760</v>
      </c>
      <c r="L16" s="315">
        <f t="shared" si="3"/>
        <v>8760</v>
      </c>
      <c r="M16" s="315">
        <f t="shared" si="3"/>
        <v>8760</v>
      </c>
      <c r="N16" s="315">
        <f t="shared" si="3"/>
        <v>8760</v>
      </c>
      <c r="O16" s="315">
        <f t="shared" si="3"/>
        <v>8760</v>
      </c>
      <c r="P16" s="315">
        <f t="shared" si="3"/>
        <v>8760</v>
      </c>
      <c r="Q16" s="315">
        <f t="shared" si="3"/>
        <v>8760</v>
      </c>
      <c r="R16" s="315">
        <f t="shared" si="3"/>
        <v>8760</v>
      </c>
      <c r="S16" s="315">
        <f t="shared" si="3"/>
        <v>8760</v>
      </c>
      <c r="T16" s="315">
        <f t="shared" si="3"/>
        <v>8760</v>
      </c>
      <c r="U16" s="315">
        <f t="shared" si="3"/>
        <v>8760</v>
      </c>
      <c r="V16" s="315">
        <f t="shared" si="3"/>
        <v>8760</v>
      </c>
      <c r="W16" s="315">
        <f t="shared" si="3"/>
        <v>8760</v>
      </c>
      <c r="X16" s="315">
        <f t="shared" si="3"/>
        <v>8760</v>
      </c>
      <c r="Y16" s="313"/>
    </row>
    <row r="17" spans="1:27" x14ac:dyDescent="0.3">
      <c r="A17" s="76"/>
      <c r="B17" s="77"/>
      <c r="C17" s="229"/>
      <c r="D17" s="76"/>
      <c r="E17" s="319"/>
      <c r="F17" s="319"/>
      <c r="G17" s="319"/>
      <c r="H17" s="319"/>
      <c r="I17" s="358"/>
      <c r="J17" s="358"/>
      <c r="K17" s="342"/>
      <c r="L17" s="342"/>
      <c r="M17" s="342"/>
      <c r="N17" s="342"/>
      <c r="O17" s="342"/>
      <c r="P17" s="342"/>
      <c r="Q17" s="342"/>
      <c r="R17" s="342"/>
      <c r="S17" s="342"/>
      <c r="T17" s="342"/>
      <c r="U17" s="342"/>
      <c r="V17" s="342"/>
      <c r="W17" s="342"/>
      <c r="X17" s="342"/>
      <c r="Y17" s="342"/>
    </row>
    <row r="18" spans="1:27" ht="28.8" x14ac:dyDescent="0.3">
      <c r="A18" s="24">
        <v>11</v>
      </c>
      <c r="B18" s="25" t="s">
        <v>425</v>
      </c>
      <c r="C18" s="227" t="s">
        <v>813</v>
      </c>
      <c r="D18" s="24" t="s">
        <v>184</v>
      </c>
      <c r="E18" s="359">
        <f>'Form Sh'!L18</f>
        <v>0</v>
      </c>
      <c r="F18" s="359">
        <f>'Form Sh'!L18</f>
        <v>0</v>
      </c>
      <c r="G18" s="359">
        <f>'Form Sh'!L19</f>
        <v>0</v>
      </c>
      <c r="H18" s="359">
        <f>'Form Sh'!L19</f>
        <v>0</v>
      </c>
      <c r="I18" s="315">
        <f>'Form Sh'!L20</f>
        <v>0</v>
      </c>
      <c r="J18" s="315">
        <f>'Form Sh'!L20</f>
        <v>0</v>
      </c>
      <c r="K18" s="313">
        <f>'Form Sh'!L21</f>
        <v>0</v>
      </c>
      <c r="L18" s="313">
        <f>'Form Sh'!L21</f>
        <v>0</v>
      </c>
      <c r="M18" s="313">
        <f>'Form Sh'!L22</f>
        <v>0</v>
      </c>
      <c r="N18" s="313">
        <f>'Form Sh'!L22</f>
        <v>0</v>
      </c>
      <c r="O18" s="313">
        <f>'Form Sh'!L23</f>
        <v>0</v>
      </c>
      <c r="P18" s="313">
        <f>'Form Sh'!L23</f>
        <v>0</v>
      </c>
      <c r="Q18" s="313">
        <f>'Form Sh'!L24</f>
        <v>0</v>
      </c>
      <c r="R18" s="313">
        <f>'Form Sh'!L24</f>
        <v>0</v>
      </c>
      <c r="S18" s="313">
        <f>'Form Sh'!L25</f>
        <v>0</v>
      </c>
      <c r="T18" s="313">
        <f>'Form Sh'!L25</f>
        <v>0</v>
      </c>
      <c r="U18" s="313">
        <f>'Form Sh'!L26</f>
        <v>0</v>
      </c>
      <c r="V18" s="313">
        <f>'Form Sh'!L26</f>
        <v>0</v>
      </c>
      <c r="W18" s="313">
        <f>'Form Sh'!L27</f>
        <v>0</v>
      </c>
      <c r="X18" s="313">
        <f>'Form Sh'!L27</f>
        <v>0</v>
      </c>
      <c r="Y18" s="313"/>
    </row>
    <row r="19" spans="1:27" x14ac:dyDescent="0.3">
      <c r="A19" s="24">
        <v>12</v>
      </c>
      <c r="B19" s="25" t="s">
        <v>203</v>
      </c>
      <c r="C19" s="227" t="s">
        <v>813</v>
      </c>
      <c r="D19" s="24" t="s">
        <v>4</v>
      </c>
      <c r="E19" s="359">
        <f>'Form Sh'!N18</f>
        <v>0</v>
      </c>
      <c r="F19" s="359">
        <f>'Form Sh'!N18</f>
        <v>0</v>
      </c>
      <c r="G19" s="359">
        <f>'Form Sh'!N19</f>
        <v>0</v>
      </c>
      <c r="H19" s="359">
        <f>'Form Sh'!N19</f>
        <v>0</v>
      </c>
      <c r="I19" s="359">
        <f>'Form Sh'!N20</f>
        <v>0</v>
      </c>
      <c r="J19" s="359">
        <f>'Form Sh'!N20</f>
        <v>0</v>
      </c>
      <c r="K19" s="359">
        <f>'Form Sh'!N21</f>
        <v>0</v>
      </c>
      <c r="L19" s="359">
        <f>'Form Sh'!N21</f>
        <v>0</v>
      </c>
      <c r="M19" s="359">
        <f>'Form Sh'!N22</f>
        <v>0</v>
      </c>
      <c r="N19" s="359">
        <f>'Form Sh'!N22</f>
        <v>0</v>
      </c>
      <c r="O19" s="313">
        <f>'Form Sh'!N23</f>
        <v>0</v>
      </c>
      <c r="P19" s="313">
        <f>'Form Sh'!N23</f>
        <v>0</v>
      </c>
      <c r="Q19" s="313">
        <f>'Form Sh'!N24</f>
        <v>0</v>
      </c>
      <c r="R19" s="313">
        <f>'Form Sh'!N24</f>
        <v>0</v>
      </c>
      <c r="S19" s="313">
        <f>'Form Sh'!N25</f>
        <v>0</v>
      </c>
      <c r="T19" s="313">
        <f>'Form Sh'!N25</f>
        <v>0</v>
      </c>
      <c r="U19" s="313">
        <f>'Form Sh'!N26</f>
        <v>0</v>
      </c>
      <c r="V19" s="313">
        <f>'Form Sh'!N26</f>
        <v>0</v>
      </c>
      <c r="W19" s="313">
        <f>'Form Sh'!N27</f>
        <v>0</v>
      </c>
      <c r="X19" s="313">
        <f>'Form Sh'!N27</f>
        <v>0</v>
      </c>
      <c r="Y19" s="313"/>
    </row>
    <row r="20" spans="1:27" x14ac:dyDescent="0.3">
      <c r="A20" s="24">
        <v>13</v>
      </c>
      <c r="B20" s="25" t="s">
        <v>204</v>
      </c>
      <c r="C20" s="227" t="s">
        <v>813</v>
      </c>
      <c r="D20" s="24" t="s">
        <v>12</v>
      </c>
      <c r="E20" s="359">
        <f>'Form Sh'!O18</f>
        <v>0</v>
      </c>
      <c r="F20" s="359">
        <f>'Form Sh'!O18</f>
        <v>0</v>
      </c>
      <c r="G20" s="359">
        <f>'Form Sh'!O19</f>
        <v>0</v>
      </c>
      <c r="H20" s="359">
        <f>'Form Sh'!O19</f>
        <v>0</v>
      </c>
      <c r="I20" s="359">
        <f>'Form Sh'!O20</f>
        <v>0</v>
      </c>
      <c r="J20" s="359">
        <f>'Form Sh'!O20</f>
        <v>0</v>
      </c>
      <c r="K20" s="313">
        <f>'Form Sh'!O21</f>
        <v>0</v>
      </c>
      <c r="L20" s="313">
        <f>'Form Sh'!O21</f>
        <v>0</v>
      </c>
      <c r="M20" s="313">
        <f>'Form Sh'!O22</f>
        <v>0</v>
      </c>
      <c r="N20" s="313">
        <f>'Form Sh'!O22</f>
        <v>0</v>
      </c>
      <c r="O20" s="313">
        <f>'Form Sh'!O23</f>
        <v>0</v>
      </c>
      <c r="P20" s="313">
        <f>'Form Sh'!O23</f>
        <v>0</v>
      </c>
      <c r="Q20" s="313">
        <f>'Form Sh'!O24</f>
        <v>0</v>
      </c>
      <c r="R20" s="313">
        <f>'Form Sh'!O24</f>
        <v>0</v>
      </c>
      <c r="S20" s="313">
        <f>'Form Sh'!O25</f>
        <v>0</v>
      </c>
      <c r="T20" s="313">
        <f>'Form Sh'!O25</f>
        <v>0</v>
      </c>
      <c r="U20" s="313">
        <f>'Form Sh'!O26</f>
        <v>0</v>
      </c>
      <c r="V20" s="313">
        <f>'Form Sh'!O26</f>
        <v>0</v>
      </c>
      <c r="W20" s="313">
        <f>'Form Sh'!O27</f>
        <v>0</v>
      </c>
      <c r="X20" s="313">
        <f>'Form Sh'!O27</f>
        <v>0</v>
      </c>
      <c r="Y20" s="313"/>
    </row>
    <row r="21" spans="1:27" x14ac:dyDescent="0.3">
      <c r="A21" s="24">
        <v>14</v>
      </c>
      <c r="B21" s="25" t="s">
        <v>205</v>
      </c>
      <c r="C21" s="227" t="s">
        <v>813</v>
      </c>
      <c r="D21" s="24" t="s">
        <v>50</v>
      </c>
      <c r="E21" s="359">
        <f>'Form Sh'!P18</f>
        <v>0</v>
      </c>
      <c r="F21" s="359">
        <f>'Form Sh'!P18</f>
        <v>0</v>
      </c>
      <c r="G21" s="359">
        <f>'Form Sh'!P19</f>
        <v>0</v>
      </c>
      <c r="H21" s="359">
        <f>'Form Sh'!P19</f>
        <v>0</v>
      </c>
      <c r="I21" s="359">
        <f>'Form Sh'!P20</f>
        <v>0</v>
      </c>
      <c r="J21" s="359">
        <f>'Form Sh'!P20</f>
        <v>0</v>
      </c>
      <c r="K21" s="313">
        <f>'Form Sh'!P21</f>
        <v>0</v>
      </c>
      <c r="L21" s="313">
        <f>'Form Sh'!P21</f>
        <v>0</v>
      </c>
      <c r="M21" s="313">
        <f>'Form Sh'!P22</f>
        <v>0</v>
      </c>
      <c r="N21" s="313">
        <f>'Form Sh'!P22</f>
        <v>0</v>
      </c>
      <c r="O21" s="313">
        <f>'Form Sh'!P23</f>
        <v>0</v>
      </c>
      <c r="P21" s="313">
        <f>'Form Sh'!P23</f>
        <v>0</v>
      </c>
      <c r="Q21" s="313">
        <f>'Form Sh'!P24</f>
        <v>0</v>
      </c>
      <c r="R21" s="313">
        <f>'Form Sh'!P24</f>
        <v>0</v>
      </c>
      <c r="S21" s="313">
        <f>'Form Sh'!P25</f>
        <v>0</v>
      </c>
      <c r="T21" s="313">
        <f>'Form Sh'!P25</f>
        <v>0</v>
      </c>
      <c r="U21" s="313">
        <f>'Form Sh'!P26</f>
        <v>0</v>
      </c>
      <c r="V21" s="313">
        <f>'Form Sh'!P26</f>
        <v>0</v>
      </c>
      <c r="W21" s="313">
        <f>'Form Sh'!P27</f>
        <v>0</v>
      </c>
      <c r="X21" s="313">
        <f>'Form Sh'!P27</f>
        <v>0</v>
      </c>
      <c r="Y21" s="313"/>
    </row>
    <row r="22" spans="1:27" x14ac:dyDescent="0.3">
      <c r="A22" s="76"/>
      <c r="B22" s="77"/>
      <c r="C22" s="229"/>
      <c r="D22" s="76"/>
      <c r="E22" s="319"/>
      <c r="F22" s="319"/>
      <c r="G22" s="319"/>
      <c r="H22" s="319"/>
      <c r="I22" s="319"/>
      <c r="J22" s="319"/>
      <c r="K22" s="342"/>
      <c r="L22" s="342"/>
      <c r="M22" s="342"/>
      <c r="N22" s="342"/>
      <c r="O22" s="342"/>
      <c r="P22" s="342"/>
      <c r="Q22" s="342"/>
      <c r="R22" s="342"/>
      <c r="S22" s="342"/>
      <c r="T22" s="342"/>
      <c r="U22" s="342"/>
      <c r="V22" s="342"/>
      <c r="W22" s="342"/>
      <c r="X22" s="342"/>
      <c r="Y22" s="342"/>
    </row>
    <row r="23" spans="1:27" ht="28.8" x14ac:dyDescent="0.3">
      <c r="A23" s="24">
        <v>15</v>
      </c>
      <c r="B23" s="25" t="s">
        <v>182</v>
      </c>
      <c r="C23" s="228" t="s">
        <v>814</v>
      </c>
      <c r="D23" s="24" t="s">
        <v>110</v>
      </c>
      <c r="E23" s="360">
        <f t="shared" ref="E23:L23" si="4">E19*E13^2-E20*E13+E21</f>
        <v>0</v>
      </c>
      <c r="F23" s="360">
        <f t="shared" si="4"/>
        <v>0</v>
      </c>
      <c r="G23" s="360">
        <f t="shared" si="4"/>
        <v>0</v>
      </c>
      <c r="H23" s="360">
        <f t="shared" si="4"/>
        <v>0</v>
      </c>
      <c r="I23" s="360">
        <f t="shared" si="4"/>
        <v>0</v>
      </c>
      <c r="J23" s="360">
        <f t="shared" si="4"/>
        <v>0</v>
      </c>
      <c r="K23" s="360">
        <f t="shared" si="4"/>
        <v>0</v>
      </c>
      <c r="L23" s="360">
        <f t="shared" si="4"/>
        <v>0</v>
      </c>
      <c r="M23" s="360">
        <f t="shared" ref="M23:X23" si="5">M19*M13^2-M20*M13+M21</f>
        <v>0</v>
      </c>
      <c r="N23" s="360">
        <f t="shared" si="5"/>
        <v>0</v>
      </c>
      <c r="O23" s="360">
        <f t="shared" si="5"/>
        <v>0</v>
      </c>
      <c r="P23" s="360">
        <f t="shared" si="5"/>
        <v>0</v>
      </c>
      <c r="Q23" s="360">
        <f t="shared" si="5"/>
        <v>0</v>
      </c>
      <c r="R23" s="360">
        <f t="shared" si="5"/>
        <v>0</v>
      </c>
      <c r="S23" s="360">
        <f t="shared" si="5"/>
        <v>0</v>
      </c>
      <c r="T23" s="360">
        <f t="shared" si="5"/>
        <v>0</v>
      </c>
      <c r="U23" s="360">
        <f t="shared" si="5"/>
        <v>0</v>
      </c>
      <c r="V23" s="360">
        <f t="shared" si="5"/>
        <v>0</v>
      </c>
      <c r="W23" s="360">
        <f t="shared" si="5"/>
        <v>0</v>
      </c>
      <c r="X23" s="360">
        <f t="shared" si="5"/>
        <v>0</v>
      </c>
      <c r="Y23" s="313"/>
    </row>
    <row r="24" spans="1:27" ht="43.2" x14ac:dyDescent="0.3">
      <c r="A24" s="24">
        <v>16</v>
      </c>
      <c r="B24" s="25" t="s">
        <v>185</v>
      </c>
      <c r="C24" s="228" t="s">
        <v>815</v>
      </c>
      <c r="D24" s="24" t="s">
        <v>110</v>
      </c>
      <c r="E24" s="315">
        <f t="shared" ref="E24:L24" si="6">E23*(1+E11/100)</f>
        <v>0</v>
      </c>
      <c r="F24" s="315">
        <f t="shared" si="6"/>
        <v>0</v>
      </c>
      <c r="G24" s="315">
        <f t="shared" si="6"/>
        <v>0</v>
      </c>
      <c r="H24" s="315">
        <f t="shared" si="6"/>
        <v>0</v>
      </c>
      <c r="I24" s="315">
        <f t="shared" si="6"/>
        <v>0</v>
      </c>
      <c r="J24" s="315">
        <f t="shared" si="6"/>
        <v>0</v>
      </c>
      <c r="K24" s="315">
        <f t="shared" si="6"/>
        <v>0</v>
      </c>
      <c r="L24" s="315">
        <f t="shared" si="6"/>
        <v>0</v>
      </c>
      <c r="M24" s="315">
        <f>M23*(1+M11/100)</f>
        <v>0</v>
      </c>
      <c r="N24" s="315">
        <f>N23*(1+N11/100)</f>
        <v>0</v>
      </c>
      <c r="O24" s="315">
        <f>O23*(1+O11/100)</f>
        <v>0</v>
      </c>
      <c r="P24" s="315">
        <f t="shared" ref="P24:X24" si="7">P23*(1+P11/100)</f>
        <v>0</v>
      </c>
      <c r="Q24" s="315">
        <f t="shared" si="7"/>
        <v>0</v>
      </c>
      <c r="R24" s="315">
        <f t="shared" si="7"/>
        <v>0</v>
      </c>
      <c r="S24" s="315">
        <f t="shared" si="7"/>
        <v>0</v>
      </c>
      <c r="T24" s="315">
        <f t="shared" si="7"/>
        <v>0</v>
      </c>
      <c r="U24" s="315">
        <f t="shared" si="7"/>
        <v>0</v>
      </c>
      <c r="V24" s="315">
        <f t="shared" si="7"/>
        <v>0</v>
      </c>
      <c r="W24" s="315">
        <f t="shared" si="7"/>
        <v>0</v>
      </c>
      <c r="X24" s="315">
        <f t="shared" si="7"/>
        <v>0</v>
      </c>
      <c r="Y24" s="313"/>
    </row>
    <row r="25" spans="1:27" ht="28.8" x14ac:dyDescent="0.3">
      <c r="A25" s="24">
        <v>17</v>
      </c>
      <c r="B25" s="25" t="s">
        <v>183</v>
      </c>
      <c r="C25" s="228" t="s">
        <v>816</v>
      </c>
      <c r="D25" s="24" t="s">
        <v>110</v>
      </c>
      <c r="E25" s="315">
        <f t="shared" ref="E25:L25" si="8">IFERROR((E8*E16+E24*E14)/(E15),0)</f>
        <v>0</v>
      </c>
      <c r="F25" s="315">
        <f t="shared" si="8"/>
        <v>0</v>
      </c>
      <c r="G25" s="315">
        <f t="shared" si="8"/>
        <v>0</v>
      </c>
      <c r="H25" s="315">
        <f t="shared" si="8"/>
        <v>0</v>
      </c>
      <c r="I25" s="315">
        <f t="shared" si="8"/>
        <v>0</v>
      </c>
      <c r="J25" s="315">
        <f t="shared" si="8"/>
        <v>0</v>
      </c>
      <c r="K25" s="315">
        <f t="shared" si="8"/>
        <v>0</v>
      </c>
      <c r="L25" s="315">
        <f t="shared" si="8"/>
        <v>0</v>
      </c>
      <c r="M25" s="315">
        <f t="shared" ref="M25:X25" si="9">IFERROR((M8*M16+M24*M14)/(M15),0)</f>
        <v>0</v>
      </c>
      <c r="N25" s="315">
        <f t="shared" si="9"/>
        <v>0</v>
      </c>
      <c r="O25" s="315">
        <f t="shared" si="9"/>
        <v>0</v>
      </c>
      <c r="P25" s="315">
        <f t="shared" si="9"/>
        <v>0</v>
      </c>
      <c r="Q25" s="315">
        <f t="shared" si="9"/>
        <v>0</v>
      </c>
      <c r="R25" s="315">
        <f t="shared" si="9"/>
        <v>0</v>
      </c>
      <c r="S25" s="315">
        <f t="shared" si="9"/>
        <v>0</v>
      </c>
      <c r="T25" s="315">
        <f t="shared" si="9"/>
        <v>0</v>
      </c>
      <c r="U25" s="315">
        <f t="shared" si="9"/>
        <v>0</v>
      </c>
      <c r="V25" s="315">
        <f t="shared" si="9"/>
        <v>0</v>
      </c>
      <c r="W25" s="315">
        <f t="shared" si="9"/>
        <v>0</v>
      </c>
      <c r="X25" s="315">
        <f t="shared" si="9"/>
        <v>0</v>
      </c>
      <c r="Y25" s="313"/>
    </row>
    <row r="26" spans="1:27" ht="28.8" x14ac:dyDescent="0.3">
      <c r="A26" s="24">
        <v>18</v>
      </c>
      <c r="B26" s="25" t="s">
        <v>328</v>
      </c>
      <c r="C26" s="228" t="s">
        <v>819</v>
      </c>
      <c r="D26" s="24" t="s">
        <v>110</v>
      </c>
      <c r="E26" s="754">
        <f>E25-F25</f>
        <v>0</v>
      </c>
      <c r="F26" s="754"/>
      <c r="G26" s="754">
        <f>G25-H25</f>
        <v>0</v>
      </c>
      <c r="H26" s="754"/>
      <c r="I26" s="754">
        <f>I25-J25</f>
        <v>0</v>
      </c>
      <c r="J26" s="754"/>
      <c r="K26" s="754">
        <f>K25-L25</f>
        <v>0</v>
      </c>
      <c r="L26" s="754"/>
      <c r="M26" s="754">
        <f>M25-N25</f>
        <v>0</v>
      </c>
      <c r="N26" s="754"/>
      <c r="O26" s="754">
        <f>O25-P25</f>
        <v>0</v>
      </c>
      <c r="P26" s="754"/>
      <c r="Q26" s="754">
        <f>Q25-R25</f>
        <v>0</v>
      </c>
      <c r="R26" s="754"/>
      <c r="S26" s="754">
        <f>S25-T25</f>
        <v>0</v>
      </c>
      <c r="T26" s="754"/>
      <c r="U26" s="754">
        <f>U25-V25</f>
        <v>0</v>
      </c>
      <c r="V26" s="754"/>
      <c r="W26" s="754">
        <f>W25-X25</f>
        <v>0</v>
      </c>
      <c r="X26" s="754"/>
      <c r="Y26" s="313"/>
    </row>
    <row r="27" spans="1:27" ht="28.8" x14ac:dyDescent="0.3">
      <c r="A27" s="24">
        <v>19</v>
      </c>
      <c r="B27" s="25" t="s">
        <v>329</v>
      </c>
      <c r="C27" s="228" t="s">
        <v>818</v>
      </c>
      <c r="D27" s="24" t="s">
        <v>110</v>
      </c>
      <c r="E27" s="754">
        <f>E8+E26</f>
        <v>0</v>
      </c>
      <c r="F27" s="754"/>
      <c r="G27" s="754">
        <f>G8+G26</f>
        <v>0</v>
      </c>
      <c r="H27" s="754"/>
      <c r="I27" s="754">
        <f>I8+I26</f>
        <v>0</v>
      </c>
      <c r="J27" s="754"/>
      <c r="K27" s="754">
        <f>K8+K26</f>
        <v>0</v>
      </c>
      <c r="L27" s="754"/>
      <c r="M27" s="754">
        <f t="shared" ref="M27" si="10">M8+M26</f>
        <v>0</v>
      </c>
      <c r="N27" s="754"/>
      <c r="O27" s="754">
        <f t="shared" ref="O27" si="11">O8+O26</f>
        <v>0</v>
      </c>
      <c r="P27" s="754"/>
      <c r="Q27" s="754">
        <f t="shared" ref="Q27" si="12">Q8+Q26</f>
        <v>0</v>
      </c>
      <c r="R27" s="754"/>
      <c r="S27" s="754">
        <f t="shared" ref="S27" si="13">S8+S26</f>
        <v>0</v>
      </c>
      <c r="T27" s="754"/>
      <c r="U27" s="754">
        <f t="shared" ref="U27" si="14">U8+U26</f>
        <v>0</v>
      </c>
      <c r="V27" s="754"/>
      <c r="W27" s="754">
        <f t="shared" ref="W27" si="15">W8+W26</f>
        <v>0</v>
      </c>
      <c r="X27" s="754"/>
      <c r="Y27" s="313"/>
    </row>
    <row r="28" spans="1:27" s="49" customFormat="1" ht="55.5" customHeight="1" x14ac:dyDescent="0.3">
      <c r="A28" s="48">
        <v>20</v>
      </c>
      <c r="B28" s="43" t="s">
        <v>330</v>
      </c>
      <c r="C28" s="230"/>
      <c r="D28" s="48" t="s">
        <v>110</v>
      </c>
      <c r="E28" s="760">
        <f>IFERROR((E27*F7+G27*H7+I27*J7+K27*L7+M27*N7+O27*P7+Q27*R7+S27*T7+U27*V7+W27*X7)/(F7+H7+J7+L7+N7+P7+R7+T7+V7+X7),0)</f>
        <v>0</v>
      </c>
      <c r="F28" s="761"/>
      <c r="G28" s="761"/>
      <c r="H28" s="761"/>
      <c r="I28" s="761"/>
      <c r="J28" s="761"/>
      <c r="K28" s="761"/>
      <c r="L28" s="761"/>
      <c r="M28" s="761"/>
      <c r="N28" s="761"/>
      <c r="O28" s="761"/>
      <c r="P28" s="761"/>
      <c r="Q28" s="761"/>
      <c r="R28" s="761"/>
      <c r="S28" s="761"/>
      <c r="T28" s="761"/>
      <c r="U28" s="761"/>
      <c r="V28" s="761"/>
      <c r="W28" s="761"/>
      <c r="X28" s="761"/>
      <c r="Y28" s="762"/>
      <c r="AA28" s="26"/>
    </row>
    <row r="29" spans="1:27" s="49" customFormat="1" ht="28.8" x14ac:dyDescent="0.3">
      <c r="A29" s="102" t="s">
        <v>223</v>
      </c>
      <c r="B29" s="103" t="s">
        <v>132</v>
      </c>
      <c r="C29" s="231" t="s">
        <v>426</v>
      </c>
      <c r="D29" s="102" t="s">
        <v>154</v>
      </c>
      <c r="E29" s="361" t="s">
        <v>427</v>
      </c>
      <c r="F29" s="361" t="s">
        <v>428</v>
      </c>
      <c r="G29" s="362" t="s">
        <v>52</v>
      </c>
      <c r="H29" s="363"/>
      <c r="I29" s="364"/>
      <c r="J29" s="364"/>
      <c r="K29" s="364"/>
      <c r="L29" s="364"/>
      <c r="M29" s="364"/>
      <c r="N29" s="364"/>
      <c r="O29" s="364"/>
      <c r="P29" s="364"/>
      <c r="Q29" s="364"/>
      <c r="R29" s="364"/>
      <c r="S29" s="364"/>
      <c r="T29" s="364"/>
      <c r="U29" s="364"/>
      <c r="V29" s="364"/>
      <c r="W29" s="364"/>
      <c r="X29" s="364"/>
      <c r="Y29" s="364"/>
      <c r="AA29" s="26"/>
    </row>
    <row r="30" spans="1:27" ht="52.5" customHeight="1" x14ac:dyDescent="0.3">
      <c r="A30" s="126">
        <v>21</v>
      </c>
      <c r="B30" s="25" t="s">
        <v>690</v>
      </c>
      <c r="C30" s="306"/>
      <c r="D30" s="24" t="s">
        <v>110</v>
      </c>
      <c r="E30" s="315">
        <f>IFERROR((E8*IF(AND(E7&gt;0,F7&gt;0),(E7+F7)/2,0)+G8*IF(AND(G7&gt;0,H7&gt;0),(G7+H7)/2,0)+I8*IF(AND(I7&gt;0,J7&gt;0),(I7+J7)/2,0)+K8*IF(AND(K7&gt;0,L7&gt;0),(K7+L7)/2,0)+M8*IF(AND(M7&gt;0,N7&gt;0),(M7+N7)/2,0)+O8*IF(AND(O7&gt;0,P7&gt;0),(O7+P7)/2,0)+Q8*IF(AND(Q7&gt;0,R7&gt;0),(Q7+R7)/2,0)+S8*IF(AND(S7&gt;0,T7&gt;0),(S7+T7)/2,0)+U8*IF(AND(U7&gt;0,V7&gt;0),(U7+V7)/2,0)+W8*IF(AND(W7&gt;0,X7&gt;0),(W7+X7)/2,0))/(IF(AND(E7&gt;0,F7&gt;0),(E7+F7)/2,0)+IF(AND(G7&gt;0,H7&gt;0),(G7+H7)/2,0)+IF(AND(I7&gt;0,J7&gt;0),(I7+J7)/2,0)+IF(AND(K7&gt;0,L7&gt;0),(K7+L7)/2,0)+IF(AND(M7&gt;0,N7&gt;0),(M7+N7)/2,0)+IF(AND(O7&gt;0,P7&gt;0),(O7+P7)/2,0)+IF(AND(Q7&gt;0,R7&gt;0),(Q7+R7)/2,0) + IF(AND(S7&gt;0,T7&gt;0),(S7+T7)/2,0)+IF(AND(U7&gt;0,V7&gt;0),(U7+V7)/2,0)+IF(AND(W7&gt;0,X7&gt;0),(W7+X7)/2,0)),0)</f>
        <v>0</v>
      </c>
      <c r="F30" s="315">
        <f>IFERROR((F8*F7+H8*H7+J8*J7+L8*L7+N8*N7+P8*P7+R8*R7+T8*T7+V8*V7+X8*X7)/(F7+H7+J7+L7+N7+P7+R7+T7+V7+X7),0)</f>
        <v>0</v>
      </c>
      <c r="G30" s="365"/>
      <c r="H30" s="366"/>
      <c r="I30" s="366"/>
      <c r="J30" s="366"/>
      <c r="K30" s="366"/>
      <c r="L30" s="366"/>
      <c r="M30" s="366"/>
      <c r="N30" s="366"/>
      <c r="O30" s="366"/>
      <c r="P30" s="366"/>
      <c r="Q30" s="366"/>
      <c r="R30" s="366"/>
      <c r="S30" s="366"/>
      <c r="T30" s="366"/>
      <c r="U30" s="366"/>
      <c r="V30" s="366"/>
      <c r="W30" s="366"/>
      <c r="X30" s="366"/>
      <c r="Y30" s="366"/>
    </row>
    <row r="31" spans="1:27" ht="28.8" x14ac:dyDescent="0.3">
      <c r="A31" s="126">
        <v>22</v>
      </c>
      <c r="B31" s="25" t="s">
        <v>429</v>
      </c>
      <c r="C31" s="228" t="s">
        <v>817</v>
      </c>
      <c r="D31" s="24" t="s">
        <v>110</v>
      </c>
      <c r="E31" s="315">
        <f>E28</f>
        <v>0</v>
      </c>
      <c r="F31" s="315"/>
      <c r="G31" s="365"/>
      <c r="H31" s="366"/>
      <c r="I31" s="366"/>
      <c r="J31" s="366"/>
      <c r="K31" s="366"/>
      <c r="L31" s="366"/>
      <c r="M31" s="366"/>
      <c r="N31" s="366"/>
      <c r="O31" s="366"/>
      <c r="P31" s="366"/>
      <c r="Q31" s="366"/>
      <c r="R31" s="366"/>
      <c r="S31" s="366"/>
      <c r="T31" s="366"/>
      <c r="U31" s="366"/>
      <c r="V31" s="366"/>
      <c r="W31" s="366"/>
      <c r="X31" s="366"/>
      <c r="Y31" s="366"/>
    </row>
    <row r="32" spans="1:27" s="108" customFormat="1" ht="45.6" customHeight="1" x14ac:dyDescent="0.3">
      <c r="A32" s="528">
        <v>23</v>
      </c>
      <c r="B32" s="107" t="s">
        <v>1227</v>
      </c>
      <c r="C32" s="529"/>
      <c r="D32" s="106" t="s">
        <v>62</v>
      </c>
      <c r="E32" s="314">
        <f>IFERROR((F9*F7+H9*H7+J9*J7+L9*L7+N9*N7+P9*P7+R9*R7+T9*T7+V9*V7+X9*X7)/(F7+H7+J7+L7+N7+P7+R7+T7+V7+X7),0)</f>
        <v>0</v>
      </c>
      <c r="F32" s="314"/>
      <c r="G32" s="530"/>
      <c r="H32" s="531"/>
      <c r="I32" s="531"/>
      <c r="J32" s="531"/>
      <c r="K32" s="531"/>
      <c r="L32" s="531"/>
      <c r="M32" s="531"/>
      <c r="N32" s="531"/>
      <c r="O32" s="531"/>
      <c r="P32" s="531"/>
      <c r="Q32" s="531"/>
      <c r="R32" s="531"/>
      <c r="S32" s="531"/>
      <c r="T32" s="531"/>
      <c r="U32" s="531"/>
      <c r="V32" s="531"/>
      <c r="W32" s="531"/>
      <c r="X32" s="531"/>
      <c r="Y32" s="531"/>
    </row>
    <row r="33" spans="1:25" s="538" customFormat="1" ht="28.8" x14ac:dyDescent="0.3">
      <c r="A33" s="532">
        <v>24</v>
      </c>
      <c r="B33" s="533" t="s">
        <v>1229</v>
      </c>
      <c r="C33" s="534" t="s">
        <v>1228</v>
      </c>
      <c r="D33" s="535" t="s">
        <v>110</v>
      </c>
      <c r="E33" s="506">
        <f>IF(AND(E3="Yes",F3="Yes"),IF(D4="Coal/Lignite/Oil/Gas Fired",IFERROR((E31-E30)*100/E32,0),(E31-E30)),0)</f>
        <v>0</v>
      </c>
      <c r="F33" s="506"/>
      <c r="G33" s="536"/>
      <c r="H33" s="537"/>
      <c r="I33" s="537"/>
      <c r="J33" s="537"/>
      <c r="K33" s="537"/>
      <c r="L33" s="537"/>
      <c r="M33" s="537"/>
      <c r="N33" s="537"/>
      <c r="O33" s="537"/>
      <c r="P33" s="537"/>
      <c r="Q33" s="537"/>
      <c r="R33" s="537"/>
      <c r="S33" s="537"/>
      <c r="T33" s="537"/>
      <c r="U33" s="537"/>
      <c r="V33" s="537"/>
      <c r="W33" s="537"/>
      <c r="X33" s="537"/>
      <c r="Y33" s="537"/>
    </row>
    <row r="34" spans="1:25" ht="21" x14ac:dyDescent="0.3">
      <c r="A34" s="24"/>
      <c r="B34" s="25"/>
      <c r="C34" s="228"/>
      <c r="D34" s="24"/>
      <c r="E34" s="315"/>
      <c r="F34" s="315"/>
      <c r="G34" s="365"/>
      <c r="H34" s="366"/>
      <c r="I34" s="366"/>
      <c r="J34" s="366"/>
      <c r="K34" s="366"/>
      <c r="L34" s="366"/>
      <c r="M34" s="366"/>
      <c r="N34" s="366"/>
      <c r="O34" s="366"/>
      <c r="P34" s="366"/>
      <c r="Q34" s="366"/>
      <c r="R34" s="366"/>
      <c r="S34" s="366"/>
      <c r="T34" s="366"/>
      <c r="U34" s="366"/>
      <c r="V34" s="366"/>
      <c r="W34" s="366"/>
      <c r="X34" s="366"/>
      <c r="Y34" s="366"/>
    </row>
    <row r="35" spans="1:25" ht="21" x14ac:dyDescent="0.3">
      <c r="A35" s="24"/>
      <c r="B35" s="25"/>
      <c r="C35" s="228"/>
      <c r="D35" s="24"/>
      <c r="E35" s="315"/>
      <c r="F35" s="315"/>
      <c r="G35" s="365"/>
      <c r="H35" s="366"/>
      <c r="I35" s="366"/>
      <c r="J35" s="366"/>
      <c r="K35" s="366"/>
      <c r="L35" s="366"/>
      <c r="M35" s="366"/>
      <c r="N35" s="366"/>
      <c r="O35" s="366"/>
      <c r="P35" s="366"/>
      <c r="Q35" s="366"/>
      <c r="R35" s="366"/>
      <c r="S35" s="366"/>
      <c r="T35" s="366"/>
      <c r="U35" s="366"/>
      <c r="V35" s="366"/>
      <c r="W35" s="366"/>
      <c r="X35" s="366"/>
      <c r="Y35" s="366"/>
    </row>
    <row r="36" spans="1:25" ht="21" x14ac:dyDescent="0.3">
      <c r="A36" s="24"/>
      <c r="B36" s="25"/>
      <c r="C36" s="228"/>
      <c r="D36" s="24"/>
      <c r="E36" s="315"/>
      <c r="F36" s="315"/>
      <c r="G36" s="365"/>
      <c r="H36" s="366"/>
      <c r="I36" s="366"/>
      <c r="J36" s="366"/>
      <c r="K36" s="366"/>
      <c r="L36" s="366"/>
      <c r="M36" s="366"/>
      <c r="N36" s="366"/>
      <c r="O36" s="366"/>
      <c r="P36" s="366"/>
      <c r="Q36" s="366"/>
      <c r="R36" s="366"/>
      <c r="S36" s="366"/>
      <c r="T36" s="366"/>
      <c r="U36" s="366"/>
      <c r="V36" s="366"/>
      <c r="W36" s="366"/>
      <c r="X36" s="366"/>
      <c r="Y36" s="366"/>
    </row>
    <row r="37" spans="1:25" x14ac:dyDescent="0.3">
      <c r="Q37" s="507"/>
    </row>
    <row r="42" spans="1:25" x14ac:dyDescent="0.3">
      <c r="E42" s="100"/>
      <c r="F42" s="100"/>
      <c r="G42" s="100"/>
      <c r="H42" s="100"/>
    </row>
    <row r="44" spans="1:25" x14ac:dyDescent="0.3">
      <c r="H44" s="127"/>
    </row>
  </sheetData>
  <sheetProtection password="EC3B" sheet="1" objects="1" scenarios="1"/>
  <mergeCells count="42">
    <mergeCell ref="E28:Y28"/>
    <mergeCell ref="W27:X27"/>
    <mergeCell ref="A4:C4"/>
    <mergeCell ref="D4:H4"/>
    <mergeCell ref="Q27:R27"/>
    <mergeCell ref="S26:T26"/>
    <mergeCell ref="S27:T27"/>
    <mergeCell ref="U26:V26"/>
    <mergeCell ref="U27:V27"/>
    <mergeCell ref="A5:A6"/>
    <mergeCell ref="B5:B6"/>
    <mergeCell ref="C5:C6"/>
    <mergeCell ref="D5:D6"/>
    <mergeCell ref="E5:F5"/>
    <mergeCell ref="G5:H5"/>
    <mergeCell ref="I5:J5"/>
    <mergeCell ref="E27:F27"/>
    <mergeCell ref="E2:Y2"/>
    <mergeCell ref="G26:H26"/>
    <mergeCell ref="G27:H27"/>
    <mergeCell ref="I26:J26"/>
    <mergeCell ref="I27:J27"/>
    <mergeCell ref="K26:L26"/>
    <mergeCell ref="K27:L27"/>
    <mergeCell ref="M26:N26"/>
    <mergeCell ref="M27:N27"/>
    <mergeCell ref="O26:P26"/>
    <mergeCell ref="O27:P27"/>
    <mergeCell ref="Q26:R26"/>
    <mergeCell ref="W26:X26"/>
    <mergeCell ref="U5:V5"/>
    <mergeCell ref="W5:X5"/>
    <mergeCell ref="A2:D2"/>
    <mergeCell ref="A3:D3"/>
    <mergeCell ref="G3:Y3"/>
    <mergeCell ref="A1:Y1"/>
    <mergeCell ref="E26:F26"/>
    <mergeCell ref="K5:L5"/>
    <mergeCell ref="M5:N5"/>
    <mergeCell ref="O5:P5"/>
    <mergeCell ref="Q5:R5"/>
    <mergeCell ref="S5:T5"/>
  </mergeCells>
  <pageMargins left="0.7" right="0.7" top="0.75" bottom="0.75" header="0.3" footer="0.3"/>
  <pageSetup paperSize="9" orientation="portrait" horizontalDpi="4294967295" verticalDpi="4294967295"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85" zoomScaleNormal="85" workbookViewId="0">
      <selection activeCell="E23" sqref="E23"/>
    </sheetView>
  </sheetViews>
  <sheetFormatPr defaultColWidth="8.88671875" defaultRowHeight="14.4" x14ac:dyDescent="0.3"/>
  <cols>
    <col min="1" max="1" width="5.44140625" style="30" bestFit="1" customWidth="1"/>
    <col min="2" max="2" width="38.109375" style="29" customWidth="1"/>
    <col min="3" max="3" width="38.6640625" style="236" bestFit="1" customWidth="1"/>
    <col min="4" max="4" width="7.6640625" style="30" customWidth="1"/>
    <col min="5" max="5" width="17.109375" style="30" customWidth="1"/>
    <col min="6" max="6" width="15.88671875" style="30" customWidth="1"/>
    <col min="7" max="7" width="22.33203125" style="29" customWidth="1"/>
    <col min="8" max="16384" width="8.88671875" style="29"/>
  </cols>
  <sheetData>
    <row r="1" spans="1:7" ht="25.8" x14ac:dyDescent="0.5">
      <c r="A1" s="770" t="s">
        <v>235</v>
      </c>
      <c r="B1" s="771"/>
      <c r="C1" s="771"/>
      <c r="D1" s="771"/>
      <c r="E1" s="771"/>
      <c r="F1" s="771"/>
      <c r="G1" s="771"/>
    </row>
    <row r="2" spans="1:7" ht="18" x14ac:dyDescent="0.3">
      <c r="A2" s="768" t="s">
        <v>163</v>
      </c>
      <c r="B2" s="769"/>
      <c r="C2" s="763">
        <f>'General Information'!C3</f>
        <v>0</v>
      </c>
      <c r="D2" s="743"/>
      <c r="E2" s="743"/>
      <c r="F2" s="743"/>
      <c r="G2" s="744"/>
    </row>
    <row r="3" spans="1:7" ht="18" x14ac:dyDescent="0.3">
      <c r="A3" s="768" t="s">
        <v>1052</v>
      </c>
      <c r="B3" s="772"/>
      <c r="C3" s="772"/>
      <c r="D3" s="772"/>
      <c r="E3" s="282" t="str">
        <f>'Form Sh'!F481</f>
        <v>Yes</v>
      </c>
      <c r="F3" s="282" t="str">
        <f>'Form Sh'!S481</f>
        <v>Yes</v>
      </c>
      <c r="G3" s="283"/>
    </row>
    <row r="4" spans="1:7" s="353" customFormat="1" ht="35.25" customHeight="1" x14ac:dyDescent="0.3">
      <c r="A4" s="350" t="s">
        <v>146</v>
      </c>
      <c r="B4" s="351" t="s">
        <v>132</v>
      </c>
      <c r="C4" s="352" t="s">
        <v>180</v>
      </c>
      <c r="D4" s="350" t="s">
        <v>154</v>
      </c>
      <c r="E4" s="335" t="s">
        <v>187</v>
      </c>
      <c r="F4" s="335" t="s">
        <v>186</v>
      </c>
      <c r="G4" s="351" t="s">
        <v>52</v>
      </c>
    </row>
    <row r="5" spans="1:7" s="40" customFormat="1" ht="27" customHeight="1" x14ac:dyDescent="0.3">
      <c r="A5" s="22">
        <v>1</v>
      </c>
      <c r="B5" s="38" t="s">
        <v>213</v>
      </c>
      <c r="C5" s="243" t="s">
        <v>820</v>
      </c>
      <c r="D5" s="22" t="s">
        <v>28</v>
      </c>
      <c r="E5" s="39">
        <f>'Form Sh'!F66</f>
        <v>0</v>
      </c>
      <c r="F5" s="39">
        <f>'Form Sh'!M8</f>
        <v>0</v>
      </c>
      <c r="G5" s="38"/>
    </row>
    <row r="6" spans="1:7" x14ac:dyDescent="0.3">
      <c r="A6" s="22">
        <v>2</v>
      </c>
      <c r="B6" s="19" t="s">
        <v>145</v>
      </c>
      <c r="C6" s="243" t="s">
        <v>821</v>
      </c>
      <c r="D6" s="17" t="s">
        <v>62</v>
      </c>
      <c r="E6" s="41">
        <f>'Form Sh'!F71</f>
        <v>0</v>
      </c>
      <c r="F6" s="22">
        <f>'Form Sh'!B425</f>
        <v>0</v>
      </c>
      <c r="G6" s="19"/>
    </row>
    <row r="7" spans="1:7" x14ac:dyDescent="0.3">
      <c r="A7" s="22">
        <v>3</v>
      </c>
      <c r="B7" s="19" t="s">
        <v>764</v>
      </c>
      <c r="C7" s="234" t="s">
        <v>822</v>
      </c>
      <c r="D7" s="17"/>
      <c r="E7" s="20">
        <f>'Form Sh'!E425</f>
        <v>0</v>
      </c>
      <c r="F7" s="20">
        <f>'Form Sh'!E425</f>
        <v>0</v>
      </c>
      <c r="G7" s="19"/>
    </row>
    <row r="8" spans="1:7" x14ac:dyDescent="0.3">
      <c r="A8" s="22">
        <v>4</v>
      </c>
      <c r="B8" s="19" t="s">
        <v>201</v>
      </c>
      <c r="C8" s="234" t="s">
        <v>822</v>
      </c>
      <c r="D8" s="17" t="s">
        <v>4</v>
      </c>
      <c r="E8" s="36">
        <f>'Form Sh'!G425</f>
        <v>0</v>
      </c>
      <c r="F8" s="36">
        <f>'Form Sh'!G425</f>
        <v>0</v>
      </c>
      <c r="G8" s="19"/>
    </row>
    <row r="9" spans="1:7" x14ac:dyDescent="0.3">
      <c r="A9" s="22">
        <v>5</v>
      </c>
      <c r="B9" s="19" t="s">
        <v>202</v>
      </c>
      <c r="C9" s="234" t="s">
        <v>822</v>
      </c>
      <c r="D9" s="17" t="s">
        <v>12</v>
      </c>
      <c r="E9" s="36">
        <f>'Form Sh'!I425</f>
        <v>0</v>
      </c>
      <c r="F9" s="36">
        <f>'Form Sh'!I425</f>
        <v>0</v>
      </c>
      <c r="G9" s="19"/>
    </row>
    <row r="10" spans="1:7" x14ac:dyDescent="0.3">
      <c r="A10" s="22">
        <v>6</v>
      </c>
      <c r="B10" s="19" t="s">
        <v>210</v>
      </c>
      <c r="C10" s="234" t="s">
        <v>822</v>
      </c>
      <c r="D10" s="17" t="s">
        <v>50</v>
      </c>
      <c r="E10" s="36">
        <f>'Form Sh'!K425</f>
        <v>0</v>
      </c>
      <c r="F10" s="36">
        <f>'Form Sh'!K425</f>
        <v>0</v>
      </c>
      <c r="G10" s="19"/>
    </row>
    <row r="11" spans="1:7" x14ac:dyDescent="0.3">
      <c r="A11" s="22">
        <v>7</v>
      </c>
      <c r="B11" s="25" t="s">
        <v>123</v>
      </c>
      <c r="C11" s="234" t="s">
        <v>823</v>
      </c>
      <c r="D11" s="17"/>
      <c r="E11" s="54">
        <f>'Form Sh'!F68</f>
        <v>1</v>
      </c>
      <c r="F11" s="226">
        <f>'Form Sh'!M68</f>
        <v>1</v>
      </c>
      <c r="G11" s="225"/>
    </row>
    <row r="12" spans="1:7" ht="28.8" x14ac:dyDescent="0.3">
      <c r="A12" s="22">
        <v>8</v>
      </c>
      <c r="B12" s="51" t="s">
        <v>216</v>
      </c>
      <c r="C12" s="234" t="s">
        <v>824</v>
      </c>
      <c r="D12" s="17" t="s">
        <v>28</v>
      </c>
      <c r="E12" s="41">
        <f>'Form Sh'!K414</f>
        <v>0</v>
      </c>
      <c r="F12" s="41">
        <f>'Form Sh'!S414</f>
        <v>0</v>
      </c>
      <c r="G12" s="19"/>
    </row>
    <row r="13" spans="1:7" ht="28.8" x14ac:dyDescent="0.3">
      <c r="A13" s="22">
        <v>9</v>
      </c>
      <c r="B13" s="51" t="s">
        <v>217</v>
      </c>
      <c r="C13" s="234" t="s">
        <v>824</v>
      </c>
      <c r="D13" s="17" t="s">
        <v>212</v>
      </c>
      <c r="E13" s="41">
        <f>'Form Sh'!L414</f>
        <v>0</v>
      </c>
      <c r="F13" s="41">
        <f>'Form Sh'!T414</f>
        <v>0</v>
      </c>
      <c r="G13" s="19"/>
    </row>
    <row r="14" spans="1:7" ht="28.8" x14ac:dyDescent="0.3">
      <c r="A14" s="22">
        <v>10</v>
      </c>
      <c r="B14" s="51" t="s">
        <v>218</v>
      </c>
      <c r="C14" s="234" t="s">
        <v>824</v>
      </c>
      <c r="D14" s="17" t="s">
        <v>28</v>
      </c>
      <c r="E14" s="41">
        <f>'Form Sh'!I414</f>
        <v>0</v>
      </c>
      <c r="F14" s="41">
        <f>'Form Sh'!Q414</f>
        <v>0</v>
      </c>
      <c r="G14" s="19"/>
    </row>
    <row r="15" spans="1:7" ht="28.8" x14ac:dyDescent="0.3">
      <c r="A15" s="22">
        <v>11</v>
      </c>
      <c r="B15" s="51" t="s">
        <v>219</v>
      </c>
      <c r="C15" s="234" t="s">
        <v>824</v>
      </c>
      <c r="D15" s="17" t="s">
        <v>212</v>
      </c>
      <c r="E15" s="41">
        <f>'Form Sh'!J414</f>
        <v>0</v>
      </c>
      <c r="F15" s="41">
        <f>'Form Sh'!R414</f>
        <v>0</v>
      </c>
      <c r="G15" s="19"/>
    </row>
    <row r="16" spans="1:7" x14ac:dyDescent="0.3">
      <c r="A16" s="31"/>
      <c r="B16" s="71"/>
      <c r="C16" s="233"/>
      <c r="D16" s="31"/>
      <c r="E16" s="72"/>
      <c r="F16" s="31"/>
      <c r="G16" s="32"/>
    </row>
    <row r="17" spans="1:9" x14ac:dyDescent="0.3">
      <c r="A17" s="22">
        <v>12</v>
      </c>
      <c r="B17" s="51" t="s">
        <v>214</v>
      </c>
      <c r="C17" s="132" t="s">
        <v>825</v>
      </c>
      <c r="D17" s="17" t="s">
        <v>212</v>
      </c>
      <c r="E17" s="41">
        <f>8760*E11-E13-E15</f>
        <v>8760</v>
      </c>
      <c r="F17" s="41">
        <f>8760*F11-F13-F15</f>
        <v>8760</v>
      </c>
      <c r="G17" s="19"/>
    </row>
    <row r="18" spans="1:9" ht="28.8" x14ac:dyDescent="0.3">
      <c r="A18" s="22">
        <v>13</v>
      </c>
      <c r="B18" s="51" t="s">
        <v>215</v>
      </c>
      <c r="C18" s="137" t="s">
        <v>826</v>
      </c>
      <c r="D18" s="17" t="s">
        <v>28</v>
      </c>
      <c r="E18" s="41">
        <f>(E5*E17+E12*E13+E14*E15)/(E13+E15+E17)</f>
        <v>0</v>
      </c>
      <c r="F18" s="41">
        <f>(F5*F17+F12*F13+F14*F15)/(F13+F15+F17)</f>
        <v>0</v>
      </c>
      <c r="G18" s="19"/>
    </row>
    <row r="19" spans="1:9" s="46" customFormat="1" x14ac:dyDescent="0.3">
      <c r="A19" s="22">
        <v>14</v>
      </c>
      <c r="B19" s="43" t="s">
        <v>568</v>
      </c>
      <c r="C19" s="235" t="s">
        <v>827</v>
      </c>
      <c r="D19" s="42" t="s">
        <v>62</v>
      </c>
      <c r="E19" s="45">
        <f>IFERROR(E18*100/E5,0)</f>
        <v>0</v>
      </c>
      <c r="F19" s="45">
        <f>IFERROR(F18*100/F5,0)</f>
        <v>0</v>
      </c>
      <c r="G19" s="44"/>
      <c r="I19" s="56"/>
    </row>
    <row r="20" spans="1:9" s="40" customFormat="1" ht="28.8" x14ac:dyDescent="0.3">
      <c r="A20" s="22">
        <v>15</v>
      </c>
      <c r="B20" s="539" t="s">
        <v>1225</v>
      </c>
      <c r="C20" s="540" t="s">
        <v>1226</v>
      </c>
      <c r="D20" s="22" t="s">
        <v>28</v>
      </c>
      <c r="E20" s="541">
        <f>(E5*E17+E12*E13+E5*E15)/(E13+E15+E17)</f>
        <v>0</v>
      </c>
      <c r="F20" s="541">
        <f>(F5*F17+F12*F13+F5*F15)/(F13+F15+F17)</f>
        <v>0</v>
      </c>
      <c r="G20" s="38"/>
    </row>
    <row r="21" spans="1:9" s="547" customFormat="1" x14ac:dyDescent="0.3">
      <c r="A21" s="22">
        <v>16</v>
      </c>
      <c r="B21" s="542" t="s">
        <v>567</v>
      </c>
      <c r="C21" s="543" t="s">
        <v>828</v>
      </c>
      <c r="D21" s="544" t="s">
        <v>62</v>
      </c>
      <c r="E21" s="545">
        <f>IFERROR(E20*100/E5,0)</f>
        <v>0</v>
      </c>
      <c r="F21" s="545">
        <f>IFERROR(F20*100/F5,0)</f>
        <v>0</v>
      </c>
      <c r="G21" s="546"/>
      <c r="I21" s="548"/>
    </row>
    <row r="22" spans="1:9" x14ac:dyDescent="0.3">
      <c r="A22" s="22">
        <v>17</v>
      </c>
      <c r="B22" s="19" t="s">
        <v>763</v>
      </c>
      <c r="C22" s="132" t="s">
        <v>829</v>
      </c>
      <c r="D22" s="17" t="s">
        <v>62</v>
      </c>
      <c r="E22" s="41">
        <f>-E8*E21^2-E9*E21+E10</f>
        <v>0</v>
      </c>
      <c r="F22" s="41">
        <f>-F8*F19^2-F9*F19+F10</f>
        <v>0</v>
      </c>
      <c r="G22" s="19"/>
    </row>
    <row r="23" spans="1:9" x14ac:dyDescent="0.3">
      <c r="A23" s="22">
        <v>18</v>
      </c>
      <c r="B23" s="19" t="s">
        <v>220</v>
      </c>
      <c r="C23" s="132" t="s">
        <v>830</v>
      </c>
      <c r="D23" s="17" t="s">
        <v>62</v>
      </c>
      <c r="E23" s="41">
        <f>IF(AND(E3="Yes",F3="Yes"),E22-F22,0)</f>
        <v>0</v>
      </c>
      <c r="F23" s="17"/>
      <c r="G23" s="19"/>
    </row>
    <row r="24" spans="1:9" s="46" customFormat="1" x14ac:dyDescent="0.3">
      <c r="A24" s="22">
        <v>19</v>
      </c>
      <c r="B24" s="44" t="s">
        <v>221</v>
      </c>
      <c r="C24" s="235" t="s">
        <v>831</v>
      </c>
      <c r="D24" s="42" t="s">
        <v>62</v>
      </c>
      <c r="E24" s="47">
        <f>IF(E23&lt;0,E6,E6-E23)</f>
        <v>0</v>
      </c>
      <c r="F24" s="42"/>
      <c r="G24" s="44"/>
    </row>
  </sheetData>
  <sheetProtection password="EC3B" sheet="1" objects="1" scenarios="1"/>
  <mergeCells count="4">
    <mergeCell ref="A2:B2"/>
    <mergeCell ref="A1:G1"/>
    <mergeCell ref="C2:G2"/>
    <mergeCell ref="A3:D3"/>
  </mergeCells>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
  <sheetViews>
    <sheetView topLeftCell="A4" zoomScale="80" zoomScaleNormal="80" workbookViewId="0">
      <selection activeCell="E22" sqref="E22:X22"/>
    </sheetView>
  </sheetViews>
  <sheetFormatPr defaultColWidth="9.109375" defaultRowHeight="14.4" x14ac:dyDescent="0.3"/>
  <cols>
    <col min="1" max="1" width="7.33203125" style="252" customWidth="1"/>
    <col min="2" max="2" width="37.88671875" style="247" customWidth="1"/>
    <col min="3" max="3" width="30.88671875" style="247" customWidth="1"/>
    <col min="4" max="4" width="15.5546875" style="247" customWidth="1"/>
    <col min="5" max="24" width="15" style="247" bestFit="1" customWidth="1"/>
    <col min="25" max="16384" width="9.109375" style="247"/>
  </cols>
  <sheetData>
    <row r="1" spans="1:25" ht="25.8" x14ac:dyDescent="0.5">
      <c r="A1" s="778" t="s">
        <v>889</v>
      </c>
      <c r="B1" s="779"/>
      <c r="C1" s="779"/>
      <c r="D1" s="779"/>
      <c r="E1" s="779"/>
      <c r="F1" s="779"/>
      <c r="G1" s="779"/>
      <c r="H1" s="779"/>
      <c r="I1" s="779"/>
      <c r="J1" s="779"/>
      <c r="K1" s="779"/>
      <c r="L1" s="779"/>
      <c r="M1" s="779"/>
      <c r="N1" s="779"/>
      <c r="O1" s="779"/>
      <c r="P1" s="779"/>
      <c r="Q1" s="779"/>
      <c r="R1" s="779"/>
      <c r="S1" s="779"/>
      <c r="T1" s="779"/>
      <c r="U1" s="779"/>
      <c r="V1" s="779"/>
      <c r="W1" s="779"/>
      <c r="X1" s="779"/>
      <c r="Y1" s="779"/>
    </row>
    <row r="2" spans="1:25" ht="18" x14ac:dyDescent="0.35">
      <c r="A2" s="789" t="s">
        <v>163</v>
      </c>
      <c r="B2" s="790"/>
      <c r="C2" s="794"/>
      <c r="D2" s="307">
        <f>'General Information'!C3</f>
        <v>0</v>
      </c>
      <c r="E2" s="308"/>
      <c r="F2" s="308"/>
      <c r="G2" s="308"/>
      <c r="H2" s="308"/>
      <c r="I2" s="308"/>
      <c r="J2" s="308"/>
      <c r="K2" s="308"/>
      <c r="L2" s="308"/>
      <c r="M2" s="308"/>
      <c r="N2" s="308"/>
      <c r="O2" s="308"/>
      <c r="P2" s="308"/>
      <c r="Q2" s="308"/>
      <c r="R2" s="308"/>
      <c r="S2" s="308"/>
      <c r="T2" s="308"/>
      <c r="U2" s="308"/>
      <c r="V2" s="308"/>
      <c r="W2" s="308"/>
      <c r="X2" s="308"/>
      <c r="Y2" s="309"/>
    </row>
    <row r="3" spans="1:25" ht="18" x14ac:dyDescent="0.35">
      <c r="A3" s="789" t="s">
        <v>1059</v>
      </c>
      <c r="B3" s="790"/>
      <c r="C3" s="790"/>
      <c r="D3" s="790"/>
      <c r="E3" s="288" t="str">
        <f>'Form Sh'!S482</f>
        <v>Yes</v>
      </c>
      <c r="F3" s="288" t="str">
        <f>'Form Sh'!F482</f>
        <v>Yes</v>
      </c>
      <c r="G3" s="791"/>
      <c r="H3" s="792"/>
      <c r="I3" s="792"/>
      <c r="J3" s="792"/>
      <c r="K3" s="792"/>
      <c r="L3" s="792"/>
      <c r="M3" s="792"/>
      <c r="N3" s="792"/>
      <c r="O3" s="792"/>
      <c r="P3" s="792"/>
      <c r="Q3" s="792"/>
      <c r="R3" s="792"/>
      <c r="S3" s="792"/>
      <c r="T3" s="792"/>
      <c r="U3" s="792"/>
      <c r="V3" s="792"/>
      <c r="W3" s="792"/>
      <c r="X3" s="792"/>
      <c r="Y3" s="793"/>
    </row>
    <row r="4" spans="1:25" ht="18" x14ac:dyDescent="0.3">
      <c r="A4" s="780" t="s">
        <v>2</v>
      </c>
      <c r="B4" s="781"/>
      <c r="C4" s="782"/>
      <c r="D4" s="310" t="str">
        <f>'General Information'!D6:E6</f>
        <v>Coal/Lignite/Oil/Gas Fired</v>
      </c>
      <c r="E4" s="311"/>
      <c r="F4" s="311"/>
      <c r="G4" s="311"/>
      <c r="H4" s="311"/>
      <c r="I4" s="311"/>
      <c r="J4" s="311"/>
      <c r="K4" s="311"/>
      <c r="L4" s="311"/>
      <c r="M4" s="311"/>
      <c r="N4" s="311"/>
      <c r="O4" s="311"/>
      <c r="P4" s="311"/>
      <c r="Q4" s="311"/>
      <c r="R4" s="311"/>
      <c r="S4" s="311"/>
      <c r="T4" s="311"/>
      <c r="U4" s="311"/>
      <c r="V4" s="311"/>
      <c r="W4" s="311"/>
      <c r="X4" s="311"/>
      <c r="Y4" s="312"/>
    </row>
    <row r="5" spans="1:25" s="347" customFormat="1" ht="22.5" customHeight="1" x14ac:dyDescent="0.3">
      <c r="A5" s="783" t="s">
        <v>146</v>
      </c>
      <c r="B5" s="785" t="s">
        <v>132</v>
      </c>
      <c r="C5" s="787" t="s">
        <v>180</v>
      </c>
      <c r="D5" s="785" t="s">
        <v>154</v>
      </c>
      <c r="E5" s="776" t="s">
        <v>31</v>
      </c>
      <c r="F5" s="777"/>
      <c r="G5" s="776" t="s">
        <v>33</v>
      </c>
      <c r="H5" s="777"/>
      <c r="I5" s="776" t="s">
        <v>35</v>
      </c>
      <c r="J5" s="777"/>
      <c r="K5" s="776" t="s">
        <v>37</v>
      </c>
      <c r="L5" s="777"/>
      <c r="M5" s="776" t="s">
        <v>39</v>
      </c>
      <c r="N5" s="777"/>
      <c r="O5" s="776" t="s">
        <v>41</v>
      </c>
      <c r="P5" s="777"/>
      <c r="Q5" s="776" t="s">
        <v>43</v>
      </c>
      <c r="R5" s="777"/>
      <c r="S5" s="776" t="s">
        <v>45</v>
      </c>
      <c r="T5" s="777"/>
      <c r="U5" s="776" t="s">
        <v>47</v>
      </c>
      <c r="V5" s="777"/>
      <c r="W5" s="776" t="s">
        <v>49</v>
      </c>
      <c r="X5" s="777"/>
      <c r="Y5" s="785" t="s">
        <v>52</v>
      </c>
    </row>
    <row r="6" spans="1:25" s="347" customFormat="1" x14ac:dyDescent="0.3">
      <c r="A6" s="784"/>
      <c r="B6" s="786"/>
      <c r="C6" s="788"/>
      <c r="D6" s="786"/>
      <c r="E6" s="348" t="s">
        <v>325</v>
      </c>
      <c r="F6" s="349" t="s">
        <v>326</v>
      </c>
      <c r="G6" s="348" t="s">
        <v>325</v>
      </c>
      <c r="H6" s="349" t="s">
        <v>326</v>
      </c>
      <c r="I6" s="348" t="s">
        <v>325</v>
      </c>
      <c r="J6" s="349" t="s">
        <v>326</v>
      </c>
      <c r="K6" s="348" t="s">
        <v>325</v>
      </c>
      <c r="L6" s="349" t="s">
        <v>326</v>
      </c>
      <c r="M6" s="348" t="s">
        <v>325</v>
      </c>
      <c r="N6" s="349" t="s">
        <v>326</v>
      </c>
      <c r="O6" s="348" t="s">
        <v>325</v>
      </c>
      <c r="P6" s="349" t="s">
        <v>326</v>
      </c>
      <c r="Q6" s="348" t="s">
        <v>325</v>
      </c>
      <c r="R6" s="349" t="s">
        <v>326</v>
      </c>
      <c r="S6" s="348" t="s">
        <v>325</v>
      </c>
      <c r="T6" s="349" t="s">
        <v>326</v>
      </c>
      <c r="U6" s="348" t="s">
        <v>325</v>
      </c>
      <c r="V6" s="349" t="s">
        <v>326</v>
      </c>
      <c r="W6" s="348" t="s">
        <v>325</v>
      </c>
      <c r="X6" s="349" t="s">
        <v>326</v>
      </c>
      <c r="Y6" s="786"/>
    </row>
    <row r="7" spans="1:25" x14ac:dyDescent="0.3">
      <c r="A7" s="55">
        <v>1</v>
      </c>
      <c r="B7" s="248" t="s">
        <v>888</v>
      </c>
      <c r="C7" s="253" t="s">
        <v>896</v>
      </c>
      <c r="D7" s="260" t="s">
        <v>110</v>
      </c>
      <c r="E7" s="248">
        <f>'Form Sh'!K47</f>
        <v>0</v>
      </c>
      <c r="F7" s="248">
        <f>'Form Sh'!S47</f>
        <v>0</v>
      </c>
      <c r="G7" s="248">
        <f>'Form Sh'!K48</f>
        <v>0</v>
      </c>
      <c r="H7" s="248">
        <f>'Form Sh'!S48</f>
        <v>0</v>
      </c>
      <c r="I7" s="248">
        <f>'Form Sh'!K49</f>
        <v>0</v>
      </c>
      <c r="J7" s="248">
        <f>'Form Sh'!S49</f>
        <v>0</v>
      </c>
      <c r="K7" s="248">
        <f>'Form Sh'!K50</f>
        <v>0</v>
      </c>
      <c r="L7" s="248">
        <f>'Form Sh'!S50</f>
        <v>0</v>
      </c>
      <c r="M7" s="248">
        <f>'Form Sh'!K51</f>
        <v>0</v>
      </c>
      <c r="N7" s="248">
        <f>'Form Sh'!S51</f>
        <v>0</v>
      </c>
      <c r="O7" s="248">
        <f>'Form Sh'!K52</f>
        <v>0</v>
      </c>
      <c r="P7" s="248">
        <f>'Form Sh'!S52</f>
        <v>0</v>
      </c>
      <c r="Q7" s="248">
        <f>'Form Sh'!K53</f>
        <v>0</v>
      </c>
      <c r="R7" s="248">
        <f>'Form Sh'!S53</f>
        <v>0</v>
      </c>
      <c r="S7" s="248">
        <f>'Form Sh'!K54</f>
        <v>0</v>
      </c>
      <c r="T7" s="248">
        <f>'Form Sh'!S54</f>
        <v>0</v>
      </c>
      <c r="U7" s="248">
        <f>'Form Sh'!K55</f>
        <v>0</v>
      </c>
      <c r="V7" s="248">
        <f>'Form Sh'!S55</f>
        <v>0</v>
      </c>
      <c r="W7" s="248">
        <f>'Form Sh'!K56</f>
        <v>0</v>
      </c>
      <c r="X7" s="248">
        <f>'Form Sh'!S56</f>
        <v>0</v>
      </c>
      <c r="Y7" s="248"/>
    </row>
    <row r="8" spans="1:25" x14ac:dyDescent="0.3">
      <c r="A8" s="55">
        <v>2</v>
      </c>
      <c r="B8" s="248" t="s">
        <v>890</v>
      </c>
      <c r="C8" s="253" t="s">
        <v>897</v>
      </c>
      <c r="D8" s="260" t="s">
        <v>28</v>
      </c>
      <c r="E8" s="248">
        <f>'Form Sh'!E47</f>
        <v>0</v>
      </c>
      <c r="F8" s="248">
        <f>'Form Sh'!M47</f>
        <v>0</v>
      </c>
      <c r="G8" s="248">
        <f>'Form Sh'!E48</f>
        <v>0</v>
      </c>
      <c r="H8" s="248">
        <f>'Form Sh'!M48</f>
        <v>0</v>
      </c>
      <c r="I8" s="248">
        <f>'Form Sh'!E49</f>
        <v>0</v>
      </c>
      <c r="J8" s="248">
        <f>'Form Sh'!M49</f>
        <v>0</v>
      </c>
      <c r="K8" s="248">
        <f>'Form Sh'!E50</f>
        <v>0</v>
      </c>
      <c r="L8" s="248">
        <f>'Form Sh'!M50</f>
        <v>0</v>
      </c>
      <c r="M8" s="248">
        <f>'Form Sh'!E51</f>
        <v>0</v>
      </c>
      <c r="N8" s="248">
        <f>'Form Sh'!M51</f>
        <v>0</v>
      </c>
      <c r="O8" s="248">
        <f>'Form Sh'!E52</f>
        <v>0</v>
      </c>
      <c r="P8" s="248">
        <f>'Form Sh'!M52</f>
        <v>0</v>
      </c>
      <c r="Q8" s="248">
        <f>'Form Sh'!E53</f>
        <v>0</v>
      </c>
      <c r="R8" s="248">
        <f>'Form Sh'!M53</f>
        <v>0</v>
      </c>
      <c r="S8" s="248">
        <f>'Form Sh'!E54</f>
        <v>0</v>
      </c>
      <c r="T8" s="248">
        <f>'Form Sh'!M54</f>
        <v>0</v>
      </c>
      <c r="U8" s="248">
        <f>'Form Sh'!E55</f>
        <v>0</v>
      </c>
      <c r="V8" s="248">
        <f>'Form Sh'!M55</f>
        <v>0</v>
      </c>
      <c r="W8" s="248">
        <f>'Form Sh'!E56</f>
        <v>0</v>
      </c>
      <c r="X8" s="248">
        <f>'Form Sh'!M56</f>
        <v>0</v>
      </c>
      <c r="Y8" s="248"/>
    </row>
    <row r="9" spans="1:25" x14ac:dyDescent="0.3">
      <c r="A9" s="55">
        <v>3</v>
      </c>
      <c r="B9" s="248" t="s">
        <v>130</v>
      </c>
      <c r="C9" s="253" t="s">
        <v>898</v>
      </c>
      <c r="D9" s="260" t="s">
        <v>891</v>
      </c>
      <c r="E9" s="248">
        <f>'Form Sh'!I47</f>
        <v>0</v>
      </c>
      <c r="F9" s="248">
        <f>'Form Sh'!Q47</f>
        <v>0</v>
      </c>
      <c r="G9" s="248">
        <f>'Form Sh'!I48</f>
        <v>0</v>
      </c>
      <c r="H9" s="248">
        <f>'Form Sh'!Q48</f>
        <v>0</v>
      </c>
      <c r="I9" s="248">
        <f>'Form Sh'!I49</f>
        <v>0</v>
      </c>
      <c r="J9" s="248">
        <f>'Form Sh'!Q49</f>
        <v>0</v>
      </c>
      <c r="K9" s="248">
        <f>'Form Sh'!I50</f>
        <v>0</v>
      </c>
      <c r="L9" s="248">
        <f>'Form Sh'!Q50</f>
        <v>0</v>
      </c>
      <c r="M9" s="248">
        <f>'Form Sh'!I51</f>
        <v>0</v>
      </c>
      <c r="N9" s="248">
        <f>'Form Sh'!Q51</f>
        <v>0</v>
      </c>
      <c r="O9" s="248">
        <f>'Form Sh'!I52</f>
        <v>0</v>
      </c>
      <c r="P9" s="248">
        <f>'Form Sh'!Q52</f>
        <v>0</v>
      </c>
      <c r="Q9" s="248">
        <f>'Form Sh'!I53</f>
        <v>0</v>
      </c>
      <c r="R9" s="248">
        <f>'Form Sh'!Q53</f>
        <v>0</v>
      </c>
      <c r="S9" s="248">
        <f>'Form Sh'!I54</f>
        <v>0</v>
      </c>
      <c r="T9" s="248">
        <f>'Form Sh'!Q54</f>
        <v>0</v>
      </c>
      <c r="U9" s="248">
        <f>'Form Sh'!I55</f>
        <v>0</v>
      </c>
      <c r="V9" s="248">
        <f>'Form Sh'!Q55</f>
        <v>0</v>
      </c>
      <c r="W9" s="248">
        <f>'Form Sh'!I56</f>
        <v>0</v>
      </c>
      <c r="X9" s="248">
        <f>'Form Sh'!Q56</f>
        <v>0</v>
      </c>
      <c r="Y9" s="248"/>
    </row>
    <row r="10" spans="1:25" x14ac:dyDescent="0.3">
      <c r="A10" s="55">
        <v>4</v>
      </c>
      <c r="B10" s="248" t="s">
        <v>199</v>
      </c>
      <c r="C10" s="254" t="s">
        <v>899</v>
      </c>
      <c r="D10" s="260" t="s">
        <v>212</v>
      </c>
      <c r="E10" s="248">
        <f>IFERROR(E9*1000/E8,0)</f>
        <v>0</v>
      </c>
      <c r="F10" s="248">
        <f t="shared" ref="F10:J10" si="0">IFERROR(F9*1000/F8,0)</f>
        <v>0</v>
      </c>
      <c r="G10" s="248">
        <f t="shared" si="0"/>
        <v>0</v>
      </c>
      <c r="H10" s="248">
        <f t="shared" si="0"/>
        <v>0</v>
      </c>
      <c r="I10" s="248">
        <f t="shared" si="0"/>
        <v>0</v>
      </c>
      <c r="J10" s="248">
        <f t="shared" si="0"/>
        <v>0</v>
      </c>
      <c r="K10" s="248">
        <f t="shared" ref="K10:X10" si="1">IFERROR(K9*1000/K8,0)</f>
        <v>0</v>
      </c>
      <c r="L10" s="248">
        <f t="shared" si="1"/>
        <v>0</v>
      </c>
      <c r="M10" s="248">
        <f t="shared" si="1"/>
        <v>0</v>
      </c>
      <c r="N10" s="248">
        <f t="shared" si="1"/>
        <v>0</v>
      </c>
      <c r="O10" s="248">
        <f t="shared" si="1"/>
        <v>0</v>
      </c>
      <c r="P10" s="248">
        <f t="shared" si="1"/>
        <v>0</v>
      </c>
      <c r="Q10" s="248">
        <f t="shared" si="1"/>
        <v>0</v>
      </c>
      <c r="R10" s="248">
        <f t="shared" si="1"/>
        <v>0</v>
      </c>
      <c r="S10" s="248">
        <f t="shared" si="1"/>
        <v>0</v>
      </c>
      <c r="T10" s="248">
        <f t="shared" si="1"/>
        <v>0</v>
      </c>
      <c r="U10" s="248">
        <f t="shared" si="1"/>
        <v>0</v>
      </c>
      <c r="V10" s="248">
        <f t="shared" si="1"/>
        <v>0</v>
      </c>
      <c r="W10" s="248">
        <f t="shared" si="1"/>
        <v>0</v>
      </c>
      <c r="X10" s="248">
        <f t="shared" si="1"/>
        <v>0</v>
      </c>
      <c r="Y10" s="248"/>
    </row>
    <row r="11" spans="1:25" x14ac:dyDescent="0.3">
      <c r="A11" s="55">
        <v>5</v>
      </c>
      <c r="B11" s="248" t="s">
        <v>882</v>
      </c>
      <c r="C11" s="253" t="s">
        <v>900</v>
      </c>
      <c r="D11" s="260" t="s">
        <v>880</v>
      </c>
      <c r="E11" s="248">
        <f>'Form Sh'!H130</f>
        <v>0</v>
      </c>
      <c r="F11" s="248">
        <f>'Form Sh'!S130</f>
        <v>0</v>
      </c>
      <c r="G11" s="248">
        <f>'Form Sh'!H147</f>
        <v>0</v>
      </c>
      <c r="H11" s="248">
        <f>'Form Sh'!S147</f>
        <v>0</v>
      </c>
      <c r="I11" s="248">
        <f>'Form Sh'!H164</f>
        <v>0</v>
      </c>
      <c r="J11" s="248">
        <f>'Form Sh'!S164</f>
        <v>0</v>
      </c>
      <c r="K11" s="248">
        <f>'Form Sh'!H181</f>
        <v>0</v>
      </c>
      <c r="L11" s="248">
        <f>'Form Sh'!S181</f>
        <v>0</v>
      </c>
      <c r="M11" s="248">
        <f>'Form Sh'!H198</f>
        <v>0</v>
      </c>
      <c r="N11" s="248">
        <f>'Form Sh'!S198</f>
        <v>0</v>
      </c>
      <c r="O11" s="248">
        <f>'Form Sh'!H215</f>
        <v>0</v>
      </c>
      <c r="P11" s="248">
        <f>'Form Sh'!S215</f>
        <v>0</v>
      </c>
      <c r="Q11" s="248">
        <f>'Form Sh'!H232</f>
        <v>0</v>
      </c>
      <c r="R11" s="248">
        <f>'Form Sh'!S232</f>
        <v>0</v>
      </c>
      <c r="S11" s="248">
        <f>'Form Sh'!H249</f>
        <v>0</v>
      </c>
      <c r="T11" s="248">
        <f>'Form Sh'!S249</f>
        <v>0</v>
      </c>
      <c r="U11" s="248">
        <f>'Form Sh'!H266</f>
        <v>0</v>
      </c>
      <c r="V11" s="248">
        <f>'Form Sh'!S266</f>
        <v>0</v>
      </c>
      <c r="W11" s="248">
        <f>'Form Sh'!H283</f>
        <v>0</v>
      </c>
      <c r="X11" s="248">
        <f>'Form Sh'!S283</f>
        <v>0</v>
      </c>
      <c r="Y11" s="248"/>
    </row>
    <row r="12" spans="1:25" x14ac:dyDescent="0.3">
      <c r="A12" s="55">
        <v>6</v>
      </c>
      <c r="B12" s="248" t="s">
        <v>468</v>
      </c>
      <c r="C12" s="254" t="s">
        <v>901</v>
      </c>
      <c r="D12" s="260" t="s">
        <v>892</v>
      </c>
      <c r="E12" s="248">
        <f>IFERROR(E7*E8/E11,0)</f>
        <v>0</v>
      </c>
      <c r="F12" s="248">
        <f t="shared" ref="F12:J12" si="2">IFERROR(F7*F8/F11,0)</f>
        <v>0</v>
      </c>
      <c r="G12" s="248">
        <f t="shared" si="2"/>
        <v>0</v>
      </c>
      <c r="H12" s="248">
        <f t="shared" si="2"/>
        <v>0</v>
      </c>
      <c r="I12" s="248">
        <f t="shared" si="2"/>
        <v>0</v>
      </c>
      <c r="J12" s="248">
        <f t="shared" si="2"/>
        <v>0</v>
      </c>
      <c r="K12" s="248">
        <f t="shared" ref="K12:X12" si="3">IFERROR(K7*K8/K11,0)</f>
        <v>0</v>
      </c>
      <c r="L12" s="248">
        <f t="shared" si="3"/>
        <v>0</v>
      </c>
      <c r="M12" s="248">
        <f t="shared" si="3"/>
        <v>0</v>
      </c>
      <c r="N12" s="248">
        <f t="shared" si="3"/>
        <v>0</v>
      </c>
      <c r="O12" s="248">
        <f t="shared" si="3"/>
        <v>0</v>
      </c>
      <c r="P12" s="248">
        <f t="shared" si="3"/>
        <v>0</v>
      </c>
      <c r="Q12" s="248">
        <f t="shared" si="3"/>
        <v>0</v>
      </c>
      <c r="R12" s="248">
        <f t="shared" si="3"/>
        <v>0</v>
      </c>
      <c r="S12" s="248">
        <f t="shared" si="3"/>
        <v>0</v>
      </c>
      <c r="T12" s="248">
        <f t="shared" si="3"/>
        <v>0</v>
      </c>
      <c r="U12" s="248">
        <f t="shared" si="3"/>
        <v>0</v>
      </c>
      <c r="V12" s="248">
        <f t="shared" si="3"/>
        <v>0</v>
      </c>
      <c r="W12" s="248">
        <f t="shared" si="3"/>
        <v>0</v>
      </c>
      <c r="X12" s="248">
        <f t="shared" si="3"/>
        <v>0</v>
      </c>
      <c r="Y12" s="248"/>
    </row>
    <row r="13" spans="1:25" x14ac:dyDescent="0.3">
      <c r="A13" s="55">
        <v>7</v>
      </c>
      <c r="B13" s="248" t="s">
        <v>923</v>
      </c>
      <c r="C13" s="254" t="s">
        <v>955</v>
      </c>
      <c r="D13" s="260" t="s">
        <v>892</v>
      </c>
      <c r="E13" s="248">
        <f>IFERROR(F12*F11/E11,0)</f>
        <v>0</v>
      </c>
      <c r="F13" s="248"/>
      <c r="G13" s="248">
        <f t="shared" ref="G13" si="4">IFERROR(H12*H11/G11,0)</f>
        <v>0</v>
      </c>
      <c r="H13" s="248"/>
      <c r="I13" s="248">
        <f t="shared" ref="I13" si="5">IFERROR(J12*J11/I11,0)</f>
        <v>0</v>
      </c>
      <c r="J13" s="248"/>
      <c r="K13" s="248">
        <f t="shared" ref="K13" si="6">IFERROR(L12*L11/K11,0)</f>
        <v>0</v>
      </c>
      <c r="L13" s="248"/>
      <c r="M13" s="248">
        <f t="shared" ref="M13" si="7">IFERROR(N12*N11/M11,0)</f>
        <v>0</v>
      </c>
      <c r="N13" s="248"/>
      <c r="O13" s="248">
        <f t="shared" ref="O13" si="8">IFERROR(P12*P11/O11,0)</f>
        <v>0</v>
      </c>
      <c r="P13" s="248"/>
      <c r="Q13" s="248">
        <f t="shared" ref="Q13" si="9">IFERROR(R12*R11/Q11,0)</f>
        <v>0</v>
      </c>
      <c r="R13" s="248"/>
      <c r="S13" s="248">
        <f t="shared" ref="S13" si="10">IFERROR(T12*T11/S11,0)</f>
        <v>0</v>
      </c>
      <c r="T13" s="248"/>
      <c r="U13" s="248">
        <f t="shared" ref="U13" si="11">IFERROR(V12*V11/U11,0)</f>
        <v>0</v>
      </c>
      <c r="V13" s="248"/>
      <c r="W13" s="248">
        <f t="shared" ref="W13" si="12">IFERROR(X12*X11/W11,0)</f>
        <v>0</v>
      </c>
      <c r="X13" s="248"/>
      <c r="Y13" s="248"/>
    </row>
    <row r="14" spans="1:25" ht="28.8" x14ac:dyDescent="0.3">
      <c r="A14" s="55">
        <v>8</v>
      </c>
      <c r="B14" s="251" t="s">
        <v>919</v>
      </c>
      <c r="C14" s="254" t="s">
        <v>956</v>
      </c>
      <c r="D14" s="260" t="s">
        <v>892</v>
      </c>
      <c r="E14" s="248">
        <f>IFERROR(E13-F12,0)</f>
        <v>0</v>
      </c>
      <c r="F14" s="248"/>
      <c r="G14" s="248">
        <f t="shared" ref="G14" si="13">IFERROR(G13-H12,0)</f>
        <v>0</v>
      </c>
      <c r="H14" s="248"/>
      <c r="I14" s="248">
        <f t="shared" ref="I14" si="14">IFERROR(I13-J12,0)</f>
        <v>0</v>
      </c>
      <c r="J14" s="248"/>
      <c r="K14" s="248">
        <f t="shared" ref="K14" si="15">IFERROR(K13-L12,0)</f>
        <v>0</v>
      </c>
      <c r="L14" s="248"/>
      <c r="M14" s="248">
        <f t="shared" ref="M14" si="16">IFERROR(M13-N12,0)</f>
        <v>0</v>
      </c>
      <c r="N14" s="248"/>
      <c r="O14" s="248">
        <f t="shared" ref="O14" si="17">IFERROR(O13-P12,0)</f>
        <v>0</v>
      </c>
      <c r="P14" s="248"/>
      <c r="Q14" s="248">
        <f t="shared" ref="Q14" si="18">IFERROR(Q13-R12,0)</f>
        <v>0</v>
      </c>
      <c r="R14" s="248"/>
      <c r="S14" s="248">
        <f t="shared" ref="S14" si="19">IFERROR(S13-T12,0)</f>
        <v>0</v>
      </c>
      <c r="T14" s="248"/>
      <c r="U14" s="248">
        <f t="shared" ref="U14" si="20">IFERROR(U13-V12,0)</f>
        <v>0</v>
      </c>
      <c r="V14" s="248"/>
      <c r="W14" s="248">
        <f t="shared" ref="W14" si="21">IFERROR(W13-X12,0)</f>
        <v>0</v>
      </c>
      <c r="X14" s="248"/>
      <c r="Y14" s="248"/>
    </row>
    <row r="15" spans="1:25" s="261" customFormat="1" ht="38.25" customHeight="1" x14ac:dyDescent="0.3">
      <c r="A15" s="55">
        <v>9</v>
      </c>
      <c r="B15" s="258" t="s">
        <v>893</v>
      </c>
      <c r="C15" s="290" t="s">
        <v>903</v>
      </c>
      <c r="D15" s="260" t="s">
        <v>883</v>
      </c>
      <c r="E15" s="38"/>
      <c r="F15" s="19" t="s">
        <v>884</v>
      </c>
      <c r="G15" s="38"/>
      <c r="H15" s="19" t="s">
        <v>884</v>
      </c>
      <c r="I15" s="38"/>
      <c r="J15" s="19" t="s">
        <v>884</v>
      </c>
      <c r="K15" s="38"/>
      <c r="L15" s="19" t="s">
        <v>884</v>
      </c>
      <c r="M15" s="38"/>
      <c r="N15" s="19" t="s">
        <v>884</v>
      </c>
      <c r="O15" s="38"/>
      <c r="P15" s="19" t="s">
        <v>884</v>
      </c>
      <c r="Q15" s="38"/>
      <c r="R15" s="19" t="s">
        <v>884</v>
      </c>
      <c r="S15" s="38"/>
      <c r="T15" s="19" t="s">
        <v>884</v>
      </c>
      <c r="U15" s="38"/>
      <c r="V15" s="19" t="s">
        <v>884</v>
      </c>
      <c r="W15" s="38"/>
      <c r="X15" s="19" t="s">
        <v>884</v>
      </c>
      <c r="Y15" s="260"/>
    </row>
    <row r="16" spans="1:25" s="261" customFormat="1" ht="42.6" customHeight="1" x14ac:dyDescent="0.3">
      <c r="A16" s="55">
        <v>10</v>
      </c>
      <c r="B16" s="258" t="s">
        <v>924</v>
      </c>
      <c r="C16" s="259" t="s">
        <v>902</v>
      </c>
      <c r="D16" s="260" t="s">
        <v>883</v>
      </c>
      <c r="E16" s="262">
        <f>F16</f>
        <v>0</v>
      </c>
      <c r="F16" s="260">
        <f>IFERROR(6.0487*F8^-0.2055,0)</f>
        <v>0</v>
      </c>
      <c r="G16" s="262">
        <f t="shared" ref="G16" si="22">H16</f>
        <v>0</v>
      </c>
      <c r="H16" s="260">
        <f t="shared" ref="H16" si="23">IFERROR(6.0487*H8^-0.2055,0)</f>
        <v>0</v>
      </c>
      <c r="I16" s="262">
        <f t="shared" ref="I16" si="24">J16</f>
        <v>0</v>
      </c>
      <c r="J16" s="260">
        <f t="shared" ref="J16" si="25">IFERROR(6.0487*J8^-0.2055,0)</f>
        <v>0</v>
      </c>
      <c r="K16" s="262">
        <f t="shared" ref="K16" si="26">L16</f>
        <v>0</v>
      </c>
      <c r="L16" s="260">
        <f t="shared" ref="L16" si="27">IFERROR(6.0487*L8^-0.2055,0)</f>
        <v>0</v>
      </c>
      <c r="M16" s="262">
        <f t="shared" ref="M16" si="28">N16</f>
        <v>0</v>
      </c>
      <c r="N16" s="260">
        <f t="shared" ref="N16" si="29">IFERROR(6.0487*N8^-0.2055,0)</f>
        <v>0</v>
      </c>
      <c r="O16" s="262">
        <f t="shared" ref="O16" si="30">P16</f>
        <v>0</v>
      </c>
      <c r="P16" s="260">
        <f t="shared" ref="P16" si="31">IFERROR(6.0487*P8^-0.2055,0)</f>
        <v>0</v>
      </c>
      <c r="Q16" s="262">
        <f t="shared" ref="Q16" si="32">R16</f>
        <v>0</v>
      </c>
      <c r="R16" s="260">
        <f t="shared" ref="R16" si="33">IFERROR(6.0487*R8^-0.2055,0)</f>
        <v>0</v>
      </c>
      <c r="S16" s="262">
        <f t="shared" ref="S16" si="34">T16</f>
        <v>0</v>
      </c>
      <c r="T16" s="260">
        <f t="shared" ref="T16" si="35">IFERROR(6.0487*T8^-0.2055,0)</f>
        <v>0</v>
      </c>
      <c r="U16" s="262">
        <f t="shared" ref="U16" si="36">V16</f>
        <v>0</v>
      </c>
      <c r="V16" s="260">
        <f t="shared" ref="V16" si="37">IFERROR(6.0487*V8^-0.2055,0)</f>
        <v>0</v>
      </c>
      <c r="W16" s="262">
        <f t="shared" ref="W16" si="38">X16</f>
        <v>0</v>
      </c>
      <c r="X16" s="260">
        <f t="shared" ref="X16" si="39">IFERROR(6.0487*X8^-0.2055,0)</f>
        <v>0</v>
      </c>
      <c r="Y16" s="260"/>
    </row>
    <row r="17" spans="1:25" ht="30.75" customHeight="1" x14ac:dyDescent="0.3">
      <c r="A17" s="55">
        <v>11</v>
      </c>
      <c r="B17" s="251" t="s">
        <v>895</v>
      </c>
      <c r="C17" s="255" t="s">
        <v>957</v>
      </c>
      <c r="D17" s="260" t="s">
        <v>892</v>
      </c>
      <c r="E17" s="263">
        <f>IFERROR(E13*E16,0)</f>
        <v>0</v>
      </c>
      <c r="F17" s="248">
        <f>IFERROR(F12*F16,0)</f>
        <v>0</v>
      </c>
      <c r="G17" s="263">
        <f t="shared" ref="G17" si="40">IFERROR(G13*G16,0)</f>
        <v>0</v>
      </c>
      <c r="H17" s="248">
        <f t="shared" ref="H17" si="41">IFERROR(H12*H16,0)</f>
        <v>0</v>
      </c>
      <c r="I17" s="263">
        <f t="shared" ref="I17" si="42">IFERROR(I13*I16,0)</f>
        <v>0</v>
      </c>
      <c r="J17" s="248">
        <f t="shared" ref="J17" si="43">IFERROR(J12*J16,0)</f>
        <v>0</v>
      </c>
      <c r="K17" s="263">
        <f t="shared" ref="K17" si="44">IFERROR(K13*K16,0)</f>
        <v>0</v>
      </c>
      <c r="L17" s="248">
        <f t="shared" ref="L17" si="45">IFERROR(L12*L16,0)</f>
        <v>0</v>
      </c>
      <c r="M17" s="263">
        <f t="shared" ref="M17" si="46">IFERROR(M13*M16,0)</f>
        <v>0</v>
      </c>
      <c r="N17" s="248">
        <f t="shared" ref="N17" si="47">IFERROR(N12*N16,0)</f>
        <v>0</v>
      </c>
      <c r="O17" s="263">
        <f t="shared" ref="O17" si="48">IFERROR(O13*O16,0)</f>
        <v>0</v>
      </c>
      <c r="P17" s="248">
        <f t="shared" ref="P17" si="49">IFERROR(P12*P16,0)</f>
        <v>0</v>
      </c>
      <c r="Q17" s="263">
        <f t="shared" ref="Q17" si="50">IFERROR(Q13*Q16,0)</f>
        <v>0</v>
      </c>
      <c r="R17" s="248">
        <f t="shared" ref="R17" si="51">IFERROR(R12*R16,0)</f>
        <v>0</v>
      </c>
      <c r="S17" s="263">
        <f t="shared" ref="S17" si="52">IFERROR(S13*S16,0)</f>
        <v>0</v>
      </c>
      <c r="T17" s="248">
        <f t="shared" ref="T17" si="53">IFERROR(T12*T16,0)</f>
        <v>0</v>
      </c>
      <c r="U17" s="263">
        <f t="shared" ref="U17" si="54">IFERROR(U13*U16,0)</f>
        <v>0</v>
      </c>
      <c r="V17" s="248">
        <f t="shared" ref="V17" si="55">IFERROR(V12*V16,0)</f>
        <v>0</v>
      </c>
      <c r="W17" s="263">
        <f t="shared" ref="W17" si="56">IFERROR(W13*W16,0)</f>
        <v>0</v>
      </c>
      <c r="X17" s="248">
        <f t="shared" ref="X17" si="57">IFERROR(X12*X16,0)</f>
        <v>0</v>
      </c>
      <c r="Y17" s="248"/>
    </row>
    <row r="18" spans="1:25" x14ac:dyDescent="0.3">
      <c r="A18" s="55">
        <v>12</v>
      </c>
      <c r="B18" s="249" t="s">
        <v>885</v>
      </c>
      <c r="C18" s="254" t="s">
        <v>958</v>
      </c>
      <c r="D18" s="260" t="s">
        <v>894</v>
      </c>
      <c r="E18" s="263">
        <f>IFERROR(E17*1000/1.2333,0)</f>
        <v>0</v>
      </c>
      <c r="F18" s="248">
        <f>IFERROR(F17*1000/1.2333,0)</f>
        <v>0</v>
      </c>
      <c r="G18" s="263">
        <f t="shared" ref="G18:X18" si="58">IFERROR(G17*1000/1.2333,0)</f>
        <v>0</v>
      </c>
      <c r="H18" s="248">
        <f t="shared" si="58"/>
        <v>0</v>
      </c>
      <c r="I18" s="263">
        <f t="shared" si="58"/>
        <v>0</v>
      </c>
      <c r="J18" s="248">
        <f t="shared" si="58"/>
        <v>0</v>
      </c>
      <c r="K18" s="263">
        <f t="shared" si="58"/>
        <v>0</v>
      </c>
      <c r="L18" s="248">
        <f t="shared" si="58"/>
        <v>0</v>
      </c>
      <c r="M18" s="263">
        <f t="shared" si="58"/>
        <v>0</v>
      </c>
      <c r="N18" s="248">
        <f t="shared" si="58"/>
        <v>0</v>
      </c>
      <c r="O18" s="263">
        <f t="shared" si="58"/>
        <v>0</v>
      </c>
      <c r="P18" s="248">
        <f t="shared" si="58"/>
        <v>0</v>
      </c>
      <c r="Q18" s="263">
        <f t="shared" si="58"/>
        <v>0</v>
      </c>
      <c r="R18" s="248">
        <f t="shared" si="58"/>
        <v>0</v>
      </c>
      <c r="S18" s="263">
        <f t="shared" si="58"/>
        <v>0</v>
      </c>
      <c r="T18" s="248">
        <f t="shared" si="58"/>
        <v>0</v>
      </c>
      <c r="U18" s="263">
        <f t="shared" si="58"/>
        <v>0</v>
      </c>
      <c r="V18" s="248">
        <f t="shared" si="58"/>
        <v>0</v>
      </c>
      <c r="W18" s="263">
        <f t="shared" si="58"/>
        <v>0</v>
      </c>
      <c r="X18" s="248">
        <f t="shared" si="58"/>
        <v>0</v>
      </c>
      <c r="Y18" s="248"/>
    </row>
    <row r="19" spans="1:25" ht="18.75" customHeight="1" x14ac:dyDescent="0.3">
      <c r="A19" s="55">
        <v>13</v>
      </c>
      <c r="B19" s="250" t="s">
        <v>925</v>
      </c>
      <c r="C19" s="254" t="s">
        <v>959</v>
      </c>
      <c r="D19" s="260" t="s">
        <v>887</v>
      </c>
      <c r="E19" s="263">
        <f>IFERROR(2.725*E18*1000/(0.95*0.8*10^6),0)</f>
        <v>0</v>
      </c>
      <c r="F19" s="248">
        <f>IFERROR(2.725*F18*1000/(0.95*0.8*10^6),0)</f>
        <v>0</v>
      </c>
      <c r="G19" s="263">
        <f t="shared" ref="G19:X19" si="59">IFERROR(2.725*G18*1000/(0.95*0.8*10^6),0)</f>
        <v>0</v>
      </c>
      <c r="H19" s="248">
        <f t="shared" si="59"/>
        <v>0</v>
      </c>
      <c r="I19" s="263">
        <f t="shared" si="59"/>
        <v>0</v>
      </c>
      <c r="J19" s="248">
        <f t="shared" si="59"/>
        <v>0</v>
      </c>
      <c r="K19" s="263">
        <f t="shared" si="59"/>
        <v>0</v>
      </c>
      <c r="L19" s="248">
        <f t="shared" si="59"/>
        <v>0</v>
      </c>
      <c r="M19" s="263">
        <f t="shared" si="59"/>
        <v>0</v>
      </c>
      <c r="N19" s="248">
        <f t="shared" si="59"/>
        <v>0</v>
      </c>
      <c r="O19" s="263">
        <f t="shared" si="59"/>
        <v>0</v>
      </c>
      <c r="P19" s="248">
        <f t="shared" si="59"/>
        <v>0</v>
      </c>
      <c r="Q19" s="263">
        <f t="shared" si="59"/>
        <v>0</v>
      </c>
      <c r="R19" s="248">
        <f t="shared" si="59"/>
        <v>0</v>
      </c>
      <c r="S19" s="263">
        <f t="shared" si="59"/>
        <v>0</v>
      </c>
      <c r="T19" s="248">
        <f t="shared" si="59"/>
        <v>0</v>
      </c>
      <c r="U19" s="263">
        <f t="shared" si="59"/>
        <v>0</v>
      </c>
      <c r="V19" s="248">
        <f t="shared" si="59"/>
        <v>0</v>
      </c>
      <c r="W19" s="263">
        <f t="shared" si="59"/>
        <v>0</v>
      </c>
      <c r="X19" s="248">
        <f t="shared" si="59"/>
        <v>0</v>
      </c>
      <c r="Y19" s="248"/>
    </row>
    <row r="20" spans="1:25" ht="28.8" x14ac:dyDescent="0.3">
      <c r="A20" s="55">
        <v>14</v>
      </c>
      <c r="B20" s="251" t="s">
        <v>920</v>
      </c>
      <c r="C20" s="254" t="s">
        <v>960</v>
      </c>
      <c r="D20" s="260" t="s">
        <v>927</v>
      </c>
      <c r="E20" s="248">
        <f>IFERROR(E19-F19,0)</f>
        <v>0</v>
      </c>
      <c r="F20" s="248"/>
      <c r="G20" s="248">
        <f t="shared" ref="G20" si="60">IFERROR(G19-H19,0)</f>
        <v>0</v>
      </c>
      <c r="H20" s="248"/>
      <c r="I20" s="248">
        <f t="shared" ref="I20" si="61">IFERROR(I19-J19,0)</f>
        <v>0</v>
      </c>
      <c r="J20" s="248"/>
      <c r="K20" s="248">
        <f t="shared" ref="K20" si="62">IFERROR(K19-L19,0)</f>
        <v>0</v>
      </c>
      <c r="L20" s="248"/>
      <c r="M20" s="248">
        <f t="shared" ref="M20" si="63">IFERROR(M19-N19,0)</f>
        <v>0</v>
      </c>
      <c r="N20" s="248"/>
      <c r="O20" s="248">
        <f t="shared" ref="O20" si="64">IFERROR(O19-P19,0)</f>
        <v>0</v>
      </c>
      <c r="P20" s="248"/>
      <c r="Q20" s="248">
        <f t="shared" ref="Q20" si="65">IFERROR(Q19-R19,0)</f>
        <v>0</v>
      </c>
      <c r="R20" s="248"/>
      <c r="S20" s="248">
        <f t="shared" ref="S20" si="66">IFERROR(S19-T19,0)</f>
        <v>0</v>
      </c>
      <c r="T20" s="248"/>
      <c r="U20" s="248">
        <f t="shared" ref="U20" si="67">IFERROR(U19-V19,0)</f>
        <v>0</v>
      </c>
      <c r="V20" s="248"/>
      <c r="W20" s="248">
        <f t="shared" ref="W20" si="68">IFERROR(W19-X19,0)</f>
        <v>0</v>
      </c>
      <c r="X20" s="248"/>
      <c r="Y20" s="248"/>
    </row>
    <row r="21" spans="1:25" ht="28.8" x14ac:dyDescent="0.3">
      <c r="A21" s="55">
        <v>15</v>
      </c>
      <c r="B21" s="251" t="s">
        <v>926</v>
      </c>
      <c r="C21" s="254" t="s">
        <v>961</v>
      </c>
      <c r="D21" s="260" t="s">
        <v>307</v>
      </c>
      <c r="E21" s="248">
        <f>IFERROR(E20*E7*E10/10^6,0)</f>
        <v>0</v>
      </c>
      <c r="F21" s="248"/>
      <c r="G21" s="248">
        <f t="shared" ref="G21" si="69">IFERROR(G20*G7*G10/10^6,0)</f>
        <v>0</v>
      </c>
      <c r="H21" s="248"/>
      <c r="I21" s="248">
        <f t="shared" ref="I21" si="70">IFERROR(I20*I7*I10/10^6,0)</f>
        <v>0</v>
      </c>
      <c r="J21" s="248"/>
      <c r="K21" s="248">
        <f t="shared" ref="K21" si="71">IFERROR(K20*K7*K10/10^6,0)</f>
        <v>0</v>
      </c>
      <c r="L21" s="248"/>
      <c r="M21" s="248">
        <f t="shared" ref="M21" si="72">IFERROR(M20*M7*M10/10^6,0)</f>
        <v>0</v>
      </c>
      <c r="N21" s="248"/>
      <c r="O21" s="248">
        <f t="shared" ref="O21" si="73">IFERROR(O20*O7*O10/10^6,0)</f>
        <v>0</v>
      </c>
      <c r="P21" s="248"/>
      <c r="Q21" s="248">
        <f t="shared" ref="Q21" si="74">IFERROR(Q20*Q7*Q10/10^6,0)</f>
        <v>0</v>
      </c>
      <c r="R21" s="248"/>
      <c r="S21" s="248">
        <f t="shared" ref="S21" si="75">IFERROR(S20*S7*S10/10^6,0)</f>
        <v>0</v>
      </c>
      <c r="T21" s="248"/>
      <c r="U21" s="248">
        <f t="shared" ref="U21" si="76">IFERROR(U20*U7*U10/10^6,0)</f>
        <v>0</v>
      </c>
      <c r="V21" s="248"/>
      <c r="W21" s="248">
        <f t="shared" ref="W21" si="77">IFERROR(W20*W7*W10/10^6,0)</f>
        <v>0</v>
      </c>
      <c r="X21" s="248"/>
      <c r="Y21" s="248"/>
    </row>
    <row r="22" spans="1:25" ht="48.75" customHeight="1" x14ac:dyDescent="0.3">
      <c r="A22" s="55">
        <v>16</v>
      </c>
      <c r="B22" s="258" t="s">
        <v>922</v>
      </c>
      <c r="C22" s="256" t="s">
        <v>962</v>
      </c>
      <c r="D22" s="260" t="s">
        <v>307</v>
      </c>
      <c r="E22" s="773">
        <f>IF(AND(E3="Yes", F3="Yes"),IF(SUM(E21:X21)&lt;0,0,SUM(E21:X21)),0)</f>
        <v>0</v>
      </c>
      <c r="F22" s="774"/>
      <c r="G22" s="774"/>
      <c r="H22" s="774"/>
      <c r="I22" s="774"/>
      <c r="J22" s="774"/>
      <c r="K22" s="774"/>
      <c r="L22" s="774"/>
      <c r="M22" s="774"/>
      <c r="N22" s="774"/>
      <c r="O22" s="774"/>
      <c r="P22" s="774"/>
      <c r="Q22" s="774"/>
      <c r="R22" s="774"/>
      <c r="S22" s="774"/>
      <c r="T22" s="774"/>
      <c r="U22" s="774"/>
      <c r="V22" s="774"/>
      <c r="W22" s="774"/>
      <c r="X22" s="775"/>
      <c r="Y22" s="248"/>
    </row>
    <row r="24" spans="1:25" x14ac:dyDescent="0.3">
      <c r="E24"/>
    </row>
  </sheetData>
  <sheetProtection password="EC3B" sheet="1" objects="1" scenarios="1"/>
  <mergeCells count="21">
    <mergeCell ref="A1:Y1"/>
    <mergeCell ref="A4:C4"/>
    <mergeCell ref="A5:A6"/>
    <mergeCell ref="B5:B6"/>
    <mergeCell ref="C5:C6"/>
    <mergeCell ref="D5:D6"/>
    <mergeCell ref="E5:F5"/>
    <mergeCell ref="G5:H5"/>
    <mergeCell ref="A3:D3"/>
    <mergeCell ref="G3:Y3"/>
    <mergeCell ref="A2:C2"/>
    <mergeCell ref="Y5:Y6"/>
    <mergeCell ref="E22:X22"/>
    <mergeCell ref="I5:J5"/>
    <mergeCell ref="K5:L5"/>
    <mergeCell ref="M5:N5"/>
    <mergeCell ref="O5:P5"/>
    <mergeCell ref="Q5:R5"/>
    <mergeCell ref="S5:T5"/>
    <mergeCell ref="U5:V5"/>
    <mergeCell ref="W5:X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 Sheet</vt:lpstr>
      <vt:lpstr>Form-1</vt:lpstr>
      <vt:lpstr>General Information</vt:lpstr>
      <vt:lpstr>Form Sh</vt:lpstr>
      <vt:lpstr>Summary Sheet</vt:lpstr>
      <vt:lpstr>NF-1 Coal Quality</vt:lpstr>
      <vt:lpstr>NF-2 PLF</vt:lpstr>
      <vt:lpstr>NF-3 APC PLF</vt:lpstr>
      <vt:lpstr>NF-3.1 APC CQ</vt:lpstr>
      <vt:lpstr>NF-3.2 APC CQ</vt:lpstr>
      <vt:lpstr>NF-4 Gas Fuel Mix</vt:lpstr>
      <vt:lpstr>NF-5 Gas OC Cycle</vt:lpstr>
      <vt:lpstr>NF-6 Gas NCV </vt:lpstr>
      <vt:lpstr>NF-7 Others</vt:lpstr>
      <vt:lpstr>Annex PLF</vt:lpstr>
      <vt:lpstr>Annex APC </vt:lpstr>
      <vt:lpstr>NF-8 Fuel Mix for TPP</vt:lpstr>
      <vt:lpstr>'Form Sh'!Print_Area</vt:lpstr>
      <vt:lpstr>'General Information'!Print_Area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2015-09-15T07:51:23Z</dcterms:modified>
</cp:coreProperties>
</file>