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<sst xmlns="http://schemas.openxmlformats.org/spreadsheetml/2006/main" count="22" uniqueCount="22">
  <si>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Company</t>
  </si>
  <si>
    <t>Price</t>
  </si>
  <si>
    <t>Market Cap</t>
  </si>
  <si>
    <t>EV</t>
  </si>
  <si>
    <t>Sales</t>
  </si>
  <si>
    <t>EBIDTA</t>
  </si>
  <si>
    <t>EBIT</t>
  </si>
  <si>
    <t>Earnings</t>
  </si>
  <si>
    <t>EV/Sales</t>
  </si>
  <si>
    <t>EV/EBITDA</t>
  </si>
  <si>
    <t>EV/EBIT</t>
  </si>
  <si>
    <t>P/E</t>
  </si>
  <si>
    <t>GM</t>
  </si>
  <si>
    <t>Ford</t>
  </si>
  <si>
    <t>Toyota</t>
  </si>
  <si>
    <t>Volkswagen</t>
  </si>
  <si>
    <t xml:space="preserve">Damler </t>
  </si>
  <si>
    <t>Honda</t>
  </si>
  <si>
    <t>Tesla</t>
  </si>
  <si>
    <t xml:space="preserve">Average </t>
  </si>
  <si>
    <t>Difference</t>
  </si>
  <si>
    <t>Strong Sell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</si>
</sst>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3" xfId="0" applyAlignment="1" applyFont="1" applyNumberFormat="1">
      <alignment readingOrder="0"/>
    </xf>
    <xf borderId="0" fillId="0" fontId="2" numFmtId="164" xfId="0" applyFont="1" applyNumberFormat="1"/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164" xfId="0" applyFont="1" applyNumberFormat="1"/>
    <xf borderId="0" fillId="0" fontId="3" numFmtId="164" xfId="0" applyFont="1" applyNumberFormat="1"/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  <col customWidth="1" min="6" max="6" width="15.75"/>
    <col customWidth="1" min="7" max="7" width="14.2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>
      <c r="B3" s="2" t="s">
        <v>12</v>
      </c>
      <c r="C3" s="3">
        <f>IFERROR(__xludf.DUMMYFUNCTION("GOOGLEFINANCE(""NYSE:GM"",""PRICE"")"),33.12)</f>
        <v>33.12</v>
      </c>
      <c r="D3" s="3">
        <f>IFERROR(__xludf.DUMMYFUNCTION("GOOGLEFINANCE(""NYSE:GM"",""marketcap"")"),4.556997213E10)</f>
        <v>45569972130</v>
      </c>
      <c r="E3" s="4">
        <f>D3+94969000000</f>
        <v>140538972130</v>
      </c>
      <c r="F3" s="4">
        <v>1.56735E11</v>
      </c>
      <c r="G3" s="4">
        <v>2.3874E10</v>
      </c>
      <c r="H3" s="4">
        <v>1.2584E10</v>
      </c>
      <c r="I3" s="4">
        <v>9.934E9</v>
      </c>
      <c r="J3" s="5">
        <f t="shared" ref="J3:J9" si="1">E3/F3</f>
        <v>0.8966661698</v>
      </c>
      <c r="K3" s="5">
        <f t="shared" ref="K3:K9" si="2">E3/G3</f>
        <v>5.886695658</v>
      </c>
      <c r="L3" s="5">
        <f t="shared" ref="L3:L9" si="3">E3/H3</f>
        <v>11.16806835</v>
      </c>
      <c r="M3" s="5">
        <f>D3/I3</f>
        <v>4.587273216</v>
      </c>
    </row>
    <row r="4">
      <c r="B4" s="2" t="s">
        <v>13</v>
      </c>
      <c r="C4" s="3">
        <f>IFERROR(__xludf.DUMMYFUNCTION("GOOGLEFINANCE(""NYSE:F"",""PRICE"")"),11.96)</f>
        <v>11.96</v>
      </c>
      <c r="D4" s="3">
        <f>IFERROR(__xludf.DUMMYFUNCTION("GOOGLEFINANCE(""NYSE:F"",""marketcap"")"),4.7866623112E10)</f>
        <v>47866623112</v>
      </c>
      <c r="E4" s="4">
        <f>D4+116830000000</f>
        <v>164696623112</v>
      </c>
      <c r="F4" s="4">
        <v>1.58057E11</v>
      </c>
      <c r="G4" s="4">
        <v>1.1255E10</v>
      </c>
      <c r="H4" s="4">
        <v>4.762E9</v>
      </c>
      <c r="I4" s="4">
        <v>-1.981E9</v>
      </c>
      <c r="J4" s="5">
        <f t="shared" si="1"/>
        <v>1.042007776</v>
      </c>
      <c r="K4" s="5">
        <f t="shared" si="2"/>
        <v>14.63319619</v>
      </c>
      <c r="L4" s="5">
        <f t="shared" si="3"/>
        <v>34.58559914</v>
      </c>
      <c r="M4" s="5"/>
    </row>
    <row r="5">
      <c r="B5" s="2" t="s">
        <v>14</v>
      </c>
      <c r="C5" s="3">
        <f>IFERROR(__xludf.DUMMYFUNCTION("GOOGLEFINANCE(""NYSE:TM"",""PRICE"")"),161.87)</f>
        <v>161.87</v>
      </c>
      <c r="D5" s="3">
        <f>IFERROR(__xludf.DUMMYFUNCTION("GOOGLEFINANCE(""NYSE:TM"",""marketcap"")"),2.65071505464E11)</f>
        <v>265071505464</v>
      </c>
      <c r="E5" s="4">
        <f>IFERROR(__xludf.DUMMYFUNCTION("D5+24863307000000/(GOOGLEFINANCE(""CURRENCY:USDJPY""))"),4.3605322674447314E11)</f>
        <v>436053226744</v>
      </c>
      <c r="F5" s="4">
        <f>IFERROR(__xludf.DUMMYFUNCTION("35576499000000/GOOGLEFINANCE(""CURRENCY:USDJPY"")"),2.4465494618849496E11)</f>
        <v>244654946188</v>
      </c>
      <c r="G5" s="4">
        <f>IFERROR(__xludf.DUMMYFUNCTION("5751578000000/GOOGLEFINANCE(""CURRENCY:USDJPY"")"),3.955285218168689E10)</f>
        <v>39552852182</v>
      </c>
      <c r="H5" s="4">
        <f>IFERROR(__xludf.DUMMYFUNCTION("373742000000/GOOGLEFINANCE(""CURRENCY:USDJPY"")"),2.570175016332565E9)</f>
        <v>2570175016</v>
      </c>
      <c r="I5" s="4">
        <f>IFERROR(__xludf.DUMMYFUNCTION("2432914000000/GOOGLEFINANCE(""CURRENCY:USDJPY"")"),1.6730832445071001E10)</f>
        <v>16730832445</v>
      </c>
      <c r="J5" s="5">
        <f t="shared" si="1"/>
        <v>1.782319277</v>
      </c>
      <c r="K5" s="5">
        <f t="shared" si="2"/>
        <v>11.02457099</v>
      </c>
      <c r="L5" s="5">
        <f t="shared" si="3"/>
        <v>169.6589625</v>
      </c>
      <c r="M5" s="5">
        <f t="shared" ref="M5:M9" si="4">D5/I5</f>
        <v>15.84329449</v>
      </c>
    </row>
    <row r="6">
      <c r="B6" s="2" t="s">
        <v>15</v>
      </c>
      <c r="C6" s="3">
        <f>IFERROR(__xludf.DUMMYFUNCTION("GOOGLEFINANCE(""ETR:VOW3"",""PRICE"")*GOOGLEFINANCE(""CURRENCY:EURUSD"")"),124.66410899999997)</f>
        <v>124.664109</v>
      </c>
      <c r="D6" s="3">
        <f>IFERROR(__xludf.DUMMYFUNCTION("GOOGLEFINANCE(""ETR:VOW3"",""marketcap"")*GOOGLEFINANCE(""CURRENCY:EURUSD"")"),6.902211421323494E10)</f>
        <v>69022114213</v>
      </c>
      <c r="E6" s="4">
        <f>IFERROR(__xludf.DUMMYFUNCTION("D6+139158000000*GOOGLEFINANCE(""CURRENCY:EURUSD"")"),2.2058604991323492E11)</f>
        <v>220586049913</v>
      </c>
      <c r="F6" s="4">
        <f>IFERROR(__xludf.DUMMYFUNCTION("266598000000*GOOGLEFINANCE(""CURRENCY:EURUSD"")"),2.9036521169999994E11)</f>
        <v>290365211700</v>
      </c>
      <c r="G6" s="4">
        <f>IFERROR(__xludf.DUMMYFUNCTION("55595000000*GOOGLEFINANCE(""CURRENCY:EURUSD"")"),6.055129424999999E10)</f>
        <v>60551294250</v>
      </c>
      <c r="H6" s="4">
        <f>IFERROR(__xludf.DUMMYFUNCTION("25243000000*GOOGLEFINANCE(""CURRENCY:EURUSD"")"),2.7493413449999996E10)</f>
        <v>27493413450</v>
      </c>
      <c r="I6" s="4">
        <f>IFERROR(__xludf.DUMMYFUNCTION("16231000000*GOOGLEFINANCE(""CURRENCY:EURUSD"")"),1.7677993649999996E10)</f>
        <v>17677993650</v>
      </c>
      <c r="J6" s="5">
        <f t="shared" si="1"/>
        <v>0.7596848418</v>
      </c>
      <c r="K6" s="5">
        <f t="shared" si="2"/>
        <v>3.642961767</v>
      </c>
      <c r="L6" s="5">
        <f t="shared" si="3"/>
        <v>8.023232558</v>
      </c>
      <c r="M6" s="5">
        <f t="shared" si="4"/>
        <v>3.904408814</v>
      </c>
    </row>
    <row r="7">
      <c r="B7" s="2" t="s">
        <v>16</v>
      </c>
      <c r="C7" s="3">
        <f>IFERROR(__xludf.DUMMYFUNCTION("67.02*GOOGLEFINANCE(""CURRENCY:EURUSD"")"),72.99483299999999)</f>
        <v>72.994833</v>
      </c>
      <c r="D7" s="3">
        <f>IFERROR(__xludf.DUMMYFUNCTION("71701000000*GOOGLEFINANCE(""CURRENCY:EURUSD"")"),7.809314414999998E10)</f>
        <v>78093144150</v>
      </c>
      <c r="E7" s="4">
        <f>IFERROR(__xludf.DUMMYFUNCTION("D7+66391000000*GOOGLEFINANCE(""CURRENCY:EURUSD"")"),1.5040290179999997E11)</f>
        <v>150402901800</v>
      </c>
      <c r="F7" s="4">
        <f>IFERROR(__xludf.DUMMYFUNCTION("144254000000*GOOGLEFINANCE(""CURRENCY:EURUSD"")"),1.5711424409999997E11)</f>
        <v>157114244100</v>
      </c>
      <c r="G7" s="4">
        <f>IFERROR(__xludf.DUMMYFUNCTION("25858000000*GOOGLEFINANCE(""CURRENCY:EURUSD"")"),2.8163240699999996E10)</f>
        <v>28163240700</v>
      </c>
      <c r="H7" s="4">
        <f>IFERROR(__xludf.DUMMYFUNCTION("19345000000*GOOGLEFINANCE(""CURRENCY:EURUSD"")"),2.1069606749999996E10)</f>
        <v>21069606750</v>
      </c>
      <c r="I7" s="4">
        <f>IFERROR(__xludf.DUMMYFUNCTION("23168000000*GOOGLEFINANCE(""CURRENCY:EURUSD"")"),2.5233427199999996E10)</f>
        <v>25233427200</v>
      </c>
      <c r="J7" s="5">
        <f t="shared" si="1"/>
        <v>0.9572836802</v>
      </c>
      <c r="K7" s="5">
        <f t="shared" si="2"/>
        <v>5.340397556</v>
      </c>
      <c r="L7" s="5">
        <f t="shared" si="3"/>
        <v>7.138382011</v>
      </c>
      <c r="M7" s="5">
        <f t="shared" si="4"/>
        <v>3.094829075</v>
      </c>
    </row>
    <row r="8">
      <c r="B8" s="2" t="s">
        <v>17</v>
      </c>
      <c r="C8" s="3">
        <f>IFERROR(__xludf.DUMMYFUNCTION("GOOGLEFINANCE(""NYSE:HMC"",""PRICE"")"),30.35)</f>
        <v>30.35</v>
      </c>
      <c r="D8" s="3">
        <f>IFERROR(__xludf.DUMMYFUNCTION("GOOGLEFINANCE(""NYSE:HMC"",""marketcap"")"),5.5224284044E10)</f>
        <v>55224284044</v>
      </c>
      <c r="E8" s="4">
        <f>IFERROR(__xludf.DUMMYFUNCTION("D8+4361609000000/(GOOGLEFINANCE(""CURRENCY:USDJPY""))"),8.521850059662524E10)</f>
        <v>85218500597</v>
      </c>
      <c r="F8" s="4">
        <f>IFERROR(__xludf.DUMMYFUNCTION("16399173000000/GOOGLEFINANCE(""CURRENCY:USDJPY"")"),1.127749750713475E11)</f>
        <v>112774975071</v>
      </c>
      <c r="G8" s="4">
        <f>IFERROR(__xludf.DUMMYFUNCTION("1806705000000/GOOGLEFINANCE(""CURRENCY:USDJPY"")"),1.242447477908056E10)</f>
        <v>12424474779</v>
      </c>
      <c r="H8" s="4">
        <f>IFERROR(__xludf.DUMMYFUNCTION("1116741000000/GOOGLEFINANCE(""CURRENCY:USDJPY"")"),7.679682288622218E9)</f>
        <v>7679682289</v>
      </c>
      <c r="I8" s="4">
        <f>IFERROR(__xludf.DUMMYFUNCTION("708067000000/GOOGLEFINANCE(""CURRENCY:USDJPY"")"),4.869284461713028E9)</f>
        <v>4869284462</v>
      </c>
      <c r="J8" s="5">
        <f t="shared" si="1"/>
        <v>0.7556508041</v>
      </c>
      <c r="K8" s="5">
        <f t="shared" si="2"/>
        <v>6.858921774</v>
      </c>
      <c r="L8" s="5">
        <f t="shared" si="3"/>
        <v>11.09661798</v>
      </c>
      <c r="M8" s="5">
        <f t="shared" si="4"/>
        <v>11.34135508</v>
      </c>
    </row>
    <row r="9">
      <c r="B9" s="1" t="s">
        <v>18</v>
      </c>
      <c r="C9" s="6">
        <f>IFERROR(__xludf.DUMMYFUNCTION("GOOGLEFINANCE(""NASDAQ:TSLA"",""PRICE"")"),215.49)</f>
        <v>215.49</v>
      </c>
      <c r="D9" s="6">
        <f>IFERROR(__xludf.DUMMYFUNCTION("GOOGLEFINANCE(""NASDAQ:TSLA"",""marketcap"")"),6.75231467512E11)</f>
        <v>675231467512</v>
      </c>
      <c r="E9" s="1">
        <f>2331000000+675231467512</f>
        <v>677562467512</v>
      </c>
      <c r="F9" s="7">
        <v>8.1462E10</v>
      </c>
      <c r="G9" s="7">
        <v>1.7657E10</v>
      </c>
      <c r="H9" s="7">
        <v>1.391E10</v>
      </c>
      <c r="I9" s="7">
        <v>1.2583E10</v>
      </c>
      <c r="J9" s="8">
        <f t="shared" si="1"/>
        <v>8.317528019</v>
      </c>
      <c r="K9" s="8">
        <f t="shared" si="2"/>
        <v>38.37358937</v>
      </c>
      <c r="L9" s="8">
        <f t="shared" si="3"/>
        <v>48.71045777</v>
      </c>
      <c r="M9" s="8">
        <f t="shared" si="4"/>
        <v>53.66220039</v>
      </c>
    </row>
    <row r="11">
      <c r="B11" s="2" t="s">
        <v>19</v>
      </c>
      <c r="J11" s="5">
        <f t="shared" ref="J11:M11" si="5">AVERAGE(J3:J8)</f>
        <v>1.032268758</v>
      </c>
      <c r="K11" s="5">
        <f t="shared" si="5"/>
        <v>7.897790656</v>
      </c>
      <c r="L11" s="5">
        <f t="shared" si="5"/>
        <v>40.27847709</v>
      </c>
      <c r="M11" s="5">
        <f t="shared" si="5"/>
        <v>7.754232134</v>
      </c>
    </row>
    <row r="12">
      <c r="B12" s="2" t="s">
        <v>20</v>
      </c>
      <c r="J12" s="5">
        <f t="shared" ref="J12:M12" si="6">J9/J11</f>
        <v>8.057521797</v>
      </c>
      <c r="K12" s="5">
        <f t="shared" si="6"/>
        <v>4.8587752</v>
      </c>
      <c r="L12" s="5">
        <f t="shared" si="6"/>
        <v>1.209342092</v>
      </c>
      <c r="M12" s="5">
        <f t="shared" si="6"/>
        <v>6.920375798</v>
      </c>
    </row>
    <row r="13">
      <c r="J13" s="5">
        <f t="shared" ref="J13:M13" si="7">215.49/J12</f>
        <v>26.74395496</v>
      </c>
      <c r="K13" s="5">
        <f t="shared" si="7"/>
        <v>44.35068328</v>
      </c>
      <c r="L13" s="5">
        <f t="shared" si="7"/>
        <v>178.1877943</v>
      </c>
      <c r="M13" s="5">
        <f t="shared" si="7"/>
        <v>31.1384824</v>
      </c>
    </row>
    <row r="14">
      <c r="N14" s="2"/>
    </row>
    <row r="15">
      <c r="M15" s="9">
        <f>AVERAGE(J13:M13)</f>
        <v>70.10522874</v>
      </c>
      <c r="N15" s="3">
        <f>IFERROR(__xludf.DUMMYFUNCTION("70.105*GOOGLEFINANCE(""NASDAQ:TSLA"",""SHARES"")"),2.2251284937E11)</f>
        <v>222512849370</v>
      </c>
    </row>
    <row r="16">
      <c r="M16" s="10">
        <v>-0.675</v>
      </c>
    </row>
    <row r="17">
      <c r="M17" s="1" t="s">
        <v>21</v>
      </c>
    </row>
  </sheetData>
  <drawing r:id="rId1"/>
</worksheet>
</file>