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H402\Lesson6\"/>
    </mc:Choice>
  </mc:AlternateContent>
  <xr:revisionPtr revIDLastSave="0" documentId="13_ncr:1_{203FC383-E880-468F-80B2-CD67F2F6C1CF}" xr6:coauthVersionLast="47" xr6:coauthVersionMax="47" xr10:uidLastSave="{00000000-0000-0000-0000-000000000000}"/>
  <bookViews>
    <workbookView xWindow="57480" yWindow="-120" windowWidth="16440" windowHeight="28440" xr2:uid="{00000000-000D-0000-FFFF-FFFF00000000}"/>
  </bookViews>
  <sheets>
    <sheet name="calcs" sheetId="1" r:id="rId1"/>
    <sheet name="v_min" sheetId="2" r:id="rId2"/>
  </sheets>
  <definedNames>
    <definedName name="A">calcs!$E$6</definedName>
    <definedName name="alpha">calcs!$E$34</definedName>
    <definedName name="area_ratio">calcs!$E$32</definedName>
    <definedName name="D">calcs!$E$5</definedName>
    <definedName name="DPcalc">calcs!$E$53</definedName>
    <definedName name="DPest">calcs!$E$15</definedName>
    <definedName name="DZ">calcs!$E$45</definedName>
    <definedName name="eta">calcs!$E$56</definedName>
    <definedName name="f">calcs!$E$37</definedName>
    <definedName name="Fc">calcs!$E$31</definedName>
    <definedName name="Fe">calcs!$E$35</definedName>
    <definedName name="fs">calcs!$E$48</definedName>
    <definedName name="g">calcs!$E$46</definedName>
    <definedName name="k">calcs!$E$28</definedName>
    <definedName name="Kc">calcs!$E$33</definedName>
    <definedName name="L">calcs!$E$40</definedName>
    <definedName name="Le">calcs!$E$38</definedName>
    <definedName name="Leq">calcs!$E$41</definedName>
    <definedName name="ma">calcs!$E$9</definedName>
    <definedName name="ms">calcs!$E$21</definedName>
    <definedName name="mv">calcs!$E$7</definedName>
    <definedName name="MW">calcs!$E$13</definedName>
    <definedName name="Nel">calcs!$E$39</definedName>
    <definedName name="Pa">calcs!$E$14</definedName>
    <definedName name="Pavg">calcs!$E$17</definedName>
    <definedName name="Pb">calcs!$E$16</definedName>
    <definedName name="Pc">calcs!$E$29</definedName>
    <definedName name="Pf">calcs!$E$51</definedName>
    <definedName name="Pfeed">calcs!$E$10</definedName>
    <definedName name="Pfric">calcs!$E$42</definedName>
    <definedName name="Rgas">calcs!$E$18</definedName>
    <definedName name="rho_air">calcs!$E$19</definedName>
    <definedName name="rho_in">calcs!$E$8</definedName>
    <definedName name="rho_mix">calcs!$E$22</definedName>
    <definedName name="rho_s">calcs!$E$20</definedName>
    <definedName name="solver_adj" localSheetId="0" hidden="1">calcs!$E$15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calcs!$E$54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Tfeed">calcs!$E$11</definedName>
    <definedName name="Tfeed_K">calcs!$E$12</definedName>
    <definedName name="vavg">calcs!$E$23</definedName>
    <definedName name="vfeed">calcs!$E$4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E6" i="1" l="1"/>
  <c r="E7" i="1" s="1"/>
  <c r="E9" i="1" s="1"/>
  <c r="E44" i="1"/>
  <c r="E38" i="1"/>
  <c r="E41" i="1" s="1"/>
  <c r="E33" i="1"/>
  <c r="M5" i="2"/>
  <c r="M6" i="2" s="1"/>
  <c r="E24" i="1" s="1"/>
  <c r="E16" i="1"/>
  <c r="E17" i="1" s="1"/>
  <c r="C38" i="2"/>
  <c r="C37" i="2"/>
  <c r="C36" i="2"/>
  <c r="C35" i="2"/>
  <c r="C34" i="2"/>
  <c r="C33" i="2"/>
  <c r="C32" i="2"/>
  <c r="C31" i="2"/>
  <c r="C30" i="2"/>
  <c r="C29" i="2"/>
  <c r="E19" i="1" l="1"/>
  <c r="E22" i="1" s="1"/>
  <c r="E23" i="1"/>
  <c r="E31" i="1" s="1"/>
  <c r="E26" i="1"/>
  <c r="E27" i="1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6" i="2"/>
  <c r="E49" i="1" l="1"/>
  <c r="E43" i="1"/>
  <c r="E50" i="1" s="1"/>
  <c r="E28" i="1"/>
  <c r="E29" i="1" s="1"/>
  <c r="E36" i="1"/>
  <c r="E35" i="1"/>
  <c r="E42" i="1" l="1"/>
  <c r="E51" i="1" s="1"/>
  <c r="E53" i="1" l="1"/>
  <c r="E54" i="1" s="1"/>
  <c r="E57" i="1"/>
</calcChain>
</file>

<file path=xl/sharedStrings.xml><?xml version="1.0" encoding="utf-8"?>
<sst xmlns="http://schemas.openxmlformats.org/spreadsheetml/2006/main" count="187" uniqueCount="147">
  <si>
    <t>Quantity</t>
  </si>
  <si>
    <t>symbol</t>
  </si>
  <si>
    <t>units</t>
  </si>
  <si>
    <t>Design tool for pneumatic conveyor</t>
  </si>
  <si>
    <t>entering air velocity</t>
  </si>
  <si>
    <t>m/s</t>
  </si>
  <si>
    <t>pipe diameter</t>
  </si>
  <si>
    <t>D</t>
  </si>
  <si>
    <t>m</t>
  </si>
  <si>
    <t>kPa</t>
  </si>
  <si>
    <t>pipe cross-sectional area</t>
  </si>
  <si>
    <t>A</t>
  </si>
  <si>
    <t>K</t>
  </si>
  <si>
    <t>C</t>
  </si>
  <si>
    <t>air volumetric flow rate</t>
  </si>
  <si>
    <t>air entering density</t>
  </si>
  <si>
    <t>kg/m3</t>
  </si>
  <si>
    <t>air mass flow rate</t>
  </si>
  <si>
    <t>kg/s</t>
  </si>
  <si>
    <t>molecular weight of air</t>
  </si>
  <si>
    <t>g/mol</t>
  </si>
  <si>
    <t>MW</t>
  </si>
  <si>
    <t>gas constant</t>
  </si>
  <si>
    <t>J/molK</t>
  </si>
  <si>
    <t>density of air in pipe (estimate)</t>
  </si>
  <si>
    <t>density of solid</t>
  </si>
  <si>
    <t>mass flow rate of solid</t>
  </si>
  <si>
    <t>Bulk Density</t>
  </si>
  <si>
    <t>Air Velocity</t>
  </si>
  <si>
    <t>m/min</t>
  </si>
  <si>
    <r>
      <t>m</t>
    </r>
    <r>
      <rPr>
        <vertAlign val="subscript"/>
        <sz val="11"/>
        <color theme="1"/>
        <rFont val="Calibri"/>
        <family val="2"/>
        <scheme val="minor"/>
      </rPr>
      <t>v</t>
    </r>
  </si>
  <si>
    <r>
      <t>r</t>
    </r>
    <r>
      <rPr>
        <vertAlign val="subscript"/>
        <sz val="11"/>
        <color theme="1"/>
        <rFont val="Calibri"/>
        <family val="2"/>
        <scheme val="minor"/>
      </rPr>
      <t>in</t>
    </r>
  </si>
  <si>
    <r>
      <t>m</t>
    </r>
    <r>
      <rPr>
        <vertAlign val="subscript"/>
        <sz val="11"/>
        <color theme="1"/>
        <rFont val="Calibri"/>
        <family val="2"/>
        <scheme val="minor"/>
      </rPr>
      <t>a</t>
    </r>
  </si>
  <si>
    <t>density of mixture</t>
  </si>
  <si>
    <r>
      <t>P</t>
    </r>
    <r>
      <rPr>
        <vertAlign val="subscript"/>
        <sz val="11"/>
        <color theme="1"/>
        <rFont val="Calibri"/>
        <family val="2"/>
        <scheme val="minor"/>
      </rPr>
      <t>avg</t>
    </r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</si>
  <si>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scheme val="minor"/>
      </rPr>
      <t>avg</t>
    </r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</si>
  <si>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scheme val="minor"/>
      </rPr>
      <t>solid</t>
    </r>
  </si>
  <si>
    <r>
      <t>m</t>
    </r>
    <r>
      <rPr>
        <vertAlign val="subscript"/>
        <sz val="11"/>
        <color theme="1"/>
        <rFont val="Calibri"/>
        <family val="2"/>
        <scheme val="minor"/>
      </rPr>
      <t>s</t>
    </r>
  </si>
  <si>
    <t>average velocity of air in conveyor</t>
  </si>
  <si>
    <r>
      <t>P</t>
    </r>
    <r>
      <rPr>
        <vertAlign val="subscript"/>
        <sz val="11"/>
        <color theme="1"/>
        <rFont val="Calibri"/>
        <family val="2"/>
        <scheme val="minor"/>
      </rPr>
      <t>a</t>
    </r>
  </si>
  <si>
    <r>
      <t>P</t>
    </r>
    <r>
      <rPr>
        <vertAlign val="subscript"/>
        <sz val="11"/>
        <color theme="1"/>
        <rFont val="Calibri"/>
        <family val="2"/>
        <scheme val="minor"/>
      </rPr>
      <t>b</t>
    </r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</si>
  <si>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scheme val="minor"/>
      </rPr>
      <t>mix</t>
    </r>
  </si>
  <si>
    <r>
      <t>v</t>
    </r>
    <r>
      <rPr>
        <vertAlign val="subscript"/>
        <sz val="11"/>
        <color theme="1"/>
        <rFont val="Calibri"/>
        <family val="2"/>
        <scheme val="minor"/>
      </rPr>
      <t>avg</t>
    </r>
  </si>
  <si>
    <r>
      <t>v</t>
    </r>
    <r>
      <rPr>
        <vertAlign val="subscript"/>
        <sz val="11"/>
        <color theme="1"/>
        <rFont val="Calibri"/>
        <family val="2"/>
        <scheme val="minor"/>
      </rPr>
      <t>feed</t>
    </r>
  </si>
  <si>
    <r>
      <t>T</t>
    </r>
    <r>
      <rPr>
        <vertAlign val="subscript"/>
        <sz val="11"/>
        <color theme="1"/>
        <rFont val="Calibri"/>
        <family val="2"/>
        <scheme val="minor"/>
      </rPr>
      <t>feed</t>
    </r>
  </si>
  <si>
    <r>
      <t>T</t>
    </r>
    <r>
      <rPr>
        <vertAlign val="subscript"/>
        <sz val="11"/>
        <color theme="1"/>
        <rFont val="Calibri"/>
        <family val="2"/>
        <scheme val="minor"/>
      </rPr>
      <t>feed_K</t>
    </r>
  </si>
  <si>
    <t>air pressure at exit of conveyor (estimate)</t>
  </si>
  <si>
    <t>feed air pressure</t>
  </si>
  <si>
    <r>
      <t>P</t>
    </r>
    <r>
      <rPr>
        <vertAlign val="subscript"/>
        <sz val="11"/>
        <color theme="1"/>
        <rFont val="Calibri"/>
        <family val="2"/>
        <scheme val="minor"/>
      </rPr>
      <t>feed</t>
    </r>
  </si>
  <si>
    <r>
      <t>v</t>
    </r>
    <r>
      <rPr>
        <vertAlign val="subscript"/>
        <sz val="11"/>
        <color theme="1"/>
        <rFont val="Calibri"/>
        <family val="2"/>
        <scheme val="minor"/>
      </rPr>
      <t>min</t>
    </r>
  </si>
  <si>
    <t>heat capacity at constant pressure</t>
  </si>
  <si>
    <t>heat capacity at constant volume</t>
  </si>
  <si>
    <t>heat capacity ratio</t>
  </si>
  <si>
    <t>k</t>
  </si>
  <si>
    <t>dimensionless</t>
  </si>
  <si>
    <t>kW</t>
  </si>
  <si>
    <t>from Eq 12-22a</t>
  </si>
  <si>
    <t>area ratio, assumed</t>
  </si>
  <si>
    <t xml:space="preserve">constriction coefficient </t>
  </si>
  <si>
    <t>a</t>
  </si>
  <si>
    <t>frictional loss due to sudden constriction</t>
  </si>
  <si>
    <t>frictional loss due to expansion</t>
  </si>
  <si>
    <t>frictional loss due to straight pipe</t>
  </si>
  <si>
    <t>friction factor</t>
  </si>
  <si>
    <t>f</t>
  </si>
  <si>
    <t>given on page 569</t>
  </si>
  <si>
    <t>equivalent length of elbows</t>
  </si>
  <si>
    <t>length of stright run pipe</t>
  </si>
  <si>
    <t>L</t>
  </si>
  <si>
    <t>equivalent length of conveyor</t>
  </si>
  <si>
    <t>assumed</t>
  </si>
  <si>
    <t>ideal gas</t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</si>
  <si>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1</t>
    </r>
  </si>
  <si>
    <r>
      <t>K</t>
    </r>
    <r>
      <rPr>
        <vertAlign val="subscript"/>
        <sz val="11"/>
        <color theme="1"/>
        <rFont val="Calibri"/>
        <family val="2"/>
        <scheme val="minor"/>
      </rPr>
      <t>c</t>
    </r>
  </si>
  <si>
    <r>
      <t>L</t>
    </r>
    <r>
      <rPr>
        <vertAlign val="subscript"/>
        <sz val="11"/>
        <color theme="1"/>
        <rFont val="Calibri"/>
        <family val="2"/>
        <scheme val="minor"/>
      </rPr>
      <t>e</t>
    </r>
  </si>
  <si>
    <r>
      <t>L+L</t>
    </r>
    <r>
      <rPr>
        <vertAlign val="subscript"/>
        <sz val="11"/>
        <color theme="1"/>
        <rFont val="Calibri"/>
        <family val="2"/>
        <scheme val="minor"/>
      </rPr>
      <t>e</t>
    </r>
  </si>
  <si>
    <t>total frictional contributions due to air</t>
  </si>
  <si>
    <r>
      <t>F</t>
    </r>
    <r>
      <rPr>
        <i/>
        <vertAlign val="subscript"/>
        <sz val="11"/>
        <color theme="1"/>
        <rFont val="Calibri"/>
        <family val="2"/>
        <scheme val="minor"/>
      </rPr>
      <t>c</t>
    </r>
  </si>
  <si>
    <r>
      <t>F</t>
    </r>
    <r>
      <rPr>
        <i/>
        <vertAlign val="subscript"/>
        <sz val="11"/>
        <color theme="1"/>
        <rFont val="Calibri"/>
        <family val="2"/>
        <scheme val="minor"/>
      </rPr>
      <t>e</t>
    </r>
  </si>
  <si>
    <r>
      <rPr>
        <i/>
        <sz val="11"/>
        <color theme="1"/>
        <rFont val="Symbol"/>
        <family val="1"/>
        <charset val="2"/>
      </rPr>
      <t>S</t>
    </r>
    <r>
      <rPr>
        <i/>
        <sz val="11"/>
        <color theme="1"/>
        <rFont val="Calibri"/>
        <family val="2"/>
        <scheme val="minor"/>
      </rPr>
      <t>F</t>
    </r>
  </si>
  <si>
    <t>frictional contributions due to solid</t>
  </si>
  <si>
    <t>kinetic energy term</t>
  </si>
  <si>
    <t>gravitational term</t>
  </si>
  <si>
    <t>coefficient of sliding friction</t>
  </si>
  <si>
    <t>number of elbows</t>
  </si>
  <si>
    <r>
      <t>N</t>
    </r>
    <r>
      <rPr>
        <vertAlign val="subscript"/>
        <sz val="11"/>
        <color theme="1"/>
        <rFont val="Calibri"/>
        <family val="2"/>
        <scheme val="minor"/>
      </rPr>
      <t>el</t>
    </r>
  </si>
  <si>
    <r>
      <t>f</t>
    </r>
    <r>
      <rPr>
        <vertAlign val="subscript"/>
        <sz val="11"/>
        <color theme="1"/>
        <rFont val="Calibri"/>
        <family val="2"/>
        <scheme val="minor"/>
      </rPr>
      <t>s</t>
    </r>
  </si>
  <si>
    <t>elevation (rise)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</si>
  <si>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Z</t>
    </r>
  </si>
  <si>
    <t>gravitational constant</t>
  </si>
  <si>
    <t>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</si>
  <si>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</si>
  <si>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W</t>
    </r>
    <r>
      <rPr>
        <i/>
        <vertAlign val="subscript"/>
        <sz val="11"/>
        <color theme="1"/>
        <rFont val="Calibri"/>
        <family val="2"/>
        <scheme val="minor"/>
      </rPr>
      <t>KE</t>
    </r>
  </si>
  <si>
    <r>
      <t>W</t>
    </r>
    <r>
      <rPr>
        <i/>
        <vertAlign val="subscript"/>
        <sz val="11"/>
        <color theme="1"/>
        <rFont val="Calibri"/>
        <family val="2"/>
        <scheme val="minor"/>
      </rPr>
      <t>L</t>
    </r>
  </si>
  <si>
    <r>
      <t>W</t>
    </r>
    <r>
      <rPr>
        <i/>
        <vertAlign val="subscript"/>
        <sz val="11"/>
        <color theme="1"/>
        <rFont val="Calibri"/>
        <family val="2"/>
        <scheme val="minor"/>
      </rPr>
      <t>sf</t>
    </r>
  </si>
  <si>
    <r>
      <t>W</t>
    </r>
    <r>
      <rPr>
        <i/>
        <vertAlign val="subscript"/>
        <sz val="11"/>
        <color theme="1"/>
        <rFont val="Calibri"/>
        <family val="2"/>
        <scheme val="minor"/>
      </rPr>
      <t>el</t>
    </r>
  </si>
  <si>
    <t>centrifugal term due to elbows</t>
  </si>
  <si>
    <t>sliding friction term</t>
  </si>
  <si>
    <t>given in problem</t>
  </si>
  <si>
    <t>total power requirement</t>
  </si>
  <si>
    <r>
      <t>F</t>
    </r>
    <r>
      <rPr>
        <i/>
        <vertAlign val="subscript"/>
        <sz val="11"/>
        <rFont val="Calibri"/>
        <family val="2"/>
        <scheme val="minor"/>
      </rPr>
      <t>c</t>
    </r>
    <r>
      <rPr>
        <i/>
        <sz val="11"/>
        <rFont val="Calibri"/>
        <family val="2"/>
        <scheme val="minor"/>
      </rPr>
      <t>+F</t>
    </r>
    <r>
      <rPr>
        <i/>
        <vertAlign val="subscript"/>
        <sz val="11"/>
        <rFont val="Calibri"/>
        <family val="2"/>
        <scheme val="minor"/>
      </rPr>
      <t>e</t>
    </r>
    <r>
      <rPr>
        <i/>
        <sz val="11"/>
        <rFont val="Calibri"/>
        <family val="2"/>
        <scheme val="minor"/>
      </rPr>
      <t>+</t>
    </r>
    <r>
      <rPr>
        <i/>
        <sz val="11"/>
        <rFont val="Symbol"/>
        <family val="1"/>
        <charset val="2"/>
      </rPr>
      <t>S</t>
    </r>
    <r>
      <rPr>
        <i/>
        <sz val="11"/>
        <rFont val="Calibri"/>
        <family val="2"/>
        <scheme val="minor"/>
      </rPr>
      <t>F</t>
    </r>
  </si>
  <si>
    <r>
      <t>W</t>
    </r>
    <r>
      <rPr>
        <i/>
        <vertAlign val="subscript"/>
        <sz val="11"/>
        <rFont val="Calibri"/>
        <family val="2"/>
        <scheme val="minor"/>
      </rPr>
      <t>KE</t>
    </r>
    <r>
      <rPr>
        <i/>
        <sz val="11"/>
        <rFont val="Calibri"/>
        <family val="2"/>
        <scheme val="minor"/>
      </rPr>
      <t>+W</t>
    </r>
    <r>
      <rPr>
        <i/>
        <vertAlign val="subscript"/>
        <sz val="11"/>
        <rFont val="Calibri"/>
        <family val="2"/>
        <scheme val="minor"/>
      </rPr>
      <t>L</t>
    </r>
    <r>
      <rPr>
        <i/>
        <sz val="11"/>
        <rFont val="Calibri"/>
        <family val="2"/>
        <scheme val="minor"/>
      </rPr>
      <t>+W</t>
    </r>
    <r>
      <rPr>
        <i/>
        <vertAlign val="subscript"/>
        <sz val="11"/>
        <rFont val="Calibri"/>
        <family val="2"/>
        <scheme val="minor"/>
      </rPr>
      <t>sf</t>
    </r>
    <r>
      <rPr>
        <i/>
        <sz val="11"/>
        <rFont val="Calibri"/>
        <family val="2"/>
        <scheme val="minor"/>
      </rPr>
      <t>+W</t>
    </r>
    <r>
      <rPr>
        <i/>
        <vertAlign val="subscript"/>
        <sz val="11"/>
        <rFont val="Calibri"/>
        <family val="2"/>
        <scheme val="minor"/>
      </rPr>
      <t>el</t>
    </r>
  </si>
  <si>
    <t>calculated pressure drop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</si>
  <si>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</si>
  <si>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</si>
  <si>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</si>
  <si>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P</t>
    </r>
    <r>
      <rPr>
        <i/>
        <vertAlign val="subscript"/>
        <sz val="11"/>
        <color rgb="FFFF0000"/>
        <rFont val="Calibri"/>
        <family val="2"/>
        <scheme val="minor"/>
      </rPr>
      <t>f</t>
    </r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</si>
  <si>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</si>
  <si>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vertAlign val="subscript"/>
        <sz val="11"/>
        <color theme="1"/>
        <rFont val="Calibri"/>
        <family val="2"/>
        <scheme val="minor"/>
      </rPr>
      <t>v</t>
    </r>
  </si>
  <si>
    <r>
      <t>P</t>
    </r>
    <r>
      <rPr>
        <i/>
        <vertAlign val="subscript"/>
        <sz val="11"/>
        <color rgb="FFFF0000"/>
        <rFont val="Calibri"/>
        <family val="2"/>
        <scheme val="minor"/>
      </rPr>
      <t>c</t>
    </r>
  </si>
  <si>
    <t>assume isothermal</t>
  </si>
  <si>
    <t>Example 12-8</t>
  </si>
  <si>
    <t>total frictional losses</t>
  </si>
  <si>
    <t>delivered compressor power</t>
  </si>
  <si>
    <t>compressor efficiency</t>
  </si>
  <si>
    <t>h</t>
  </si>
  <si>
    <t>Cells in gray are assumed</t>
  </si>
  <si>
    <t>Perry's Table 21-13 - Air Velocities Needed to Convey Solids at Various Bulk Densities, Page 21-27, 7th edition</t>
  </si>
  <si>
    <r>
      <t>P=P</t>
    </r>
    <r>
      <rPr>
        <vertAlign val="subscript"/>
        <sz val="11"/>
        <color rgb="FFFF0000"/>
        <rFont val="Calibri"/>
        <family val="2"/>
        <scheme val="minor"/>
      </rPr>
      <t>f</t>
    </r>
    <r>
      <rPr>
        <sz val="11"/>
        <color rgb="FFFF0000"/>
        <rFont val="Calibri"/>
        <family val="2"/>
        <scheme val="minor"/>
      </rPr>
      <t>+P</t>
    </r>
    <r>
      <rPr>
        <vertAlign val="subscript"/>
        <sz val="11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>/</t>
    </r>
    <r>
      <rPr>
        <sz val="11"/>
        <color rgb="FFFF0000"/>
        <rFont val="Symbol"/>
        <family val="1"/>
        <charset val="2"/>
      </rPr>
      <t>h</t>
    </r>
  </si>
  <si>
    <t>input</t>
  </si>
  <si>
    <r>
      <t>R</t>
    </r>
    <r>
      <rPr>
        <vertAlign val="subscript"/>
        <sz val="11"/>
        <color theme="1"/>
        <rFont val="Calibri"/>
        <family val="2"/>
        <scheme val="minor"/>
      </rPr>
      <t>gas</t>
    </r>
  </si>
  <si>
    <t>Linear Interpolation Calculator:</t>
  </si>
  <si>
    <t>lift velocity is fed back to "calcs"</t>
  </si>
  <si>
    <t>minimum air velocity (lift velocity)</t>
  </si>
  <si>
    <r>
      <t>interp from v_min; must be &lt; v</t>
    </r>
    <r>
      <rPr>
        <vertAlign val="subscript"/>
        <sz val="11"/>
        <color theme="0" tint="-0.34998626667073579"/>
        <rFont val="Calibri"/>
        <family val="2"/>
        <scheme val="minor"/>
      </rPr>
      <t>avg</t>
    </r>
  </si>
  <si>
    <t>looked up in fig D-3, page 957; replace if not using air</t>
  </si>
  <si>
    <t>feed air temperature in deg C</t>
  </si>
  <si>
    <t>feed air temperature in K</t>
  </si>
  <si>
    <t>before compressor</t>
  </si>
  <si>
    <t>=(Pfeed*MW/(Rgas*Tfeed_K))*(275/101.325)</t>
  </si>
  <si>
    <t>Problem 12-15: cell E8</t>
  </si>
  <si>
    <r>
      <t>D</t>
    </r>
    <r>
      <rPr>
        <sz val="11"/>
        <color rgb="FF0070C0"/>
        <rFont val="Calibri"/>
        <family val="2"/>
        <scheme val="minor"/>
      </rPr>
      <t>P</t>
    </r>
    <r>
      <rPr>
        <vertAlign val="subscript"/>
        <sz val="11"/>
        <color rgb="FF0070C0"/>
        <rFont val="Calibri"/>
        <family val="2"/>
        <scheme val="minor"/>
      </rPr>
      <t>est</t>
    </r>
  </si>
  <si>
    <r>
      <rPr>
        <sz val="11"/>
        <color rgb="FF0070C0"/>
        <rFont val="Symbol"/>
        <family val="1"/>
        <charset val="2"/>
      </rPr>
      <t>D</t>
    </r>
    <r>
      <rPr>
        <sz val="11"/>
        <color rgb="FF0070C0"/>
        <rFont val="Calibri"/>
        <family val="2"/>
        <scheme val="minor"/>
      </rPr>
      <t>p</t>
    </r>
    <r>
      <rPr>
        <vertAlign val="subscript"/>
        <sz val="11"/>
        <color rgb="FF0070C0"/>
        <rFont val="Calibri"/>
        <family val="2"/>
        <scheme val="minor"/>
      </rPr>
      <t>calc</t>
    </r>
  </si>
  <si>
    <t>at beginning of conveyor</t>
  </si>
  <si>
    <t>air pressure after compressor</t>
  </si>
  <si>
    <t>presure drop (assume a value)</t>
  </si>
  <si>
    <t>inlet P - P-drop</t>
  </si>
  <si>
    <t>average pressure in pipe (calculate)</t>
  </si>
  <si>
    <t>=Cp-R</t>
  </si>
  <si>
    <t>=Cp/Cv</t>
  </si>
  <si>
    <t>Refer to Table 12-1 on page 490, section on sudden constriction</t>
  </si>
  <si>
    <t>use if/then statement because two formulas are given for Kc</t>
  </si>
  <si>
    <t>correction factor for turbulent flow</t>
  </si>
  <si>
    <r>
      <t xml:space="preserve">difference between </t>
    </r>
    <r>
      <rPr>
        <sz val="11"/>
        <color rgb="FF0070C0"/>
        <rFont val="Symbol"/>
        <family val="1"/>
        <charset val="2"/>
      </rPr>
      <t>D</t>
    </r>
    <r>
      <rPr>
        <sz val="11"/>
        <color rgb="FF0070C0"/>
        <rFont val="Calibri"/>
        <family val="2"/>
        <scheme val="minor"/>
      </rPr>
      <t>P</t>
    </r>
    <r>
      <rPr>
        <vertAlign val="subscript"/>
        <sz val="11"/>
        <color rgb="FF0070C0"/>
        <rFont val="Calibri"/>
        <family val="2"/>
        <scheme val="minor"/>
      </rPr>
      <t>est</t>
    </r>
    <r>
      <rPr>
        <sz val="11"/>
        <color rgb="FF0070C0"/>
        <rFont val="Calibri"/>
        <family val="2"/>
        <scheme val="minor"/>
      </rPr>
      <t xml:space="preserve"> and </t>
    </r>
    <r>
      <rPr>
        <sz val="11"/>
        <color rgb="FF0070C0"/>
        <rFont val="Symbol"/>
        <family val="1"/>
        <charset val="2"/>
      </rPr>
      <t>D</t>
    </r>
    <r>
      <rPr>
        <sz val="11"/>
        <color rgb="FF0070C0"/>
        <rFont val="Calibri"/>
        <family val="2"/>
        <scheme val="minor"/>
      </rPr>
      <t>P</t>
    </r>
    <r>
      <rPr>
        <vertAlign val="subscript"/>
        <sz val="11"/>
        <color rgb="FF0070C0"/>
        <rFont val="Calibri"/>
        <family val="2"/>
        <scheme val="minor"/>
      </rPr>
      <t>calc</t>
    </r>
  </si>
  <si>
    <r>
      <t>|</t>
    </r>
    <r>
      <rPr>
        <sz val="11"/>
        <color rgb="FF0070C0"/>
        <rFont val="Symbol"/>
        <family val="1"/>
        <charset val="2"/>
      </rPr>
      <t>D</t>
    </r>
    <r>
      <rPr>
        <sz val="11"/>
        <color rgb="FF0070C0"/>
        <rFont val="Calibri"/>
        <family val="2"/>
        <scheme val="minor"/>
      </rPr>
      <t>p</t>
    </r>
    <r>
      <rPr>
        <vertAlign val="subscript"/>
        <sz val="11"/>
        <color rgb="FF0070C0"/>
        <rFont val="Calibri"/>
        <family val="2"/>
        <scheme val="minor"/>
      </rPr>
      <t>est</t>
    </r>
    <r>
      <rPr>
        <sz val="11"/>
        <color rgb="FF0070C0"/>
        <rFont val="Calibri"/>
        <family val="2"/>
        <scheme val="minor"/>
      </rPr>
      <t>-</t>
    </r>
    <r>
      <rPr>
        <sz val="11"/>
        <color rgb="FF0070C0"/>
        <rFont val="Symbol"/>
        <family val="1"/>
        <charset val="2"/>
      </rPr>
      <t>D</t>
    </r>
    <r>
      <rPr>
        <sz val="11"/>
        <color rgb="FF0070C0"/>
        <rFont val="Calibri"/>
        <family val="2"/>
        <scheme val="minor"/>
      </rPr>
      <t>p</t>
    </r>
    <r>
      <rPr>
        <vertAlign val="subscript"/>
        <sz val="11"/>
        <color rgb="FF0070C0"/>
        <rFont val="Calibri"/>
        <family val="2"/>
        <scheme val="minor"/>
      </rPr>
      <t>calc</t>
    </r>
    <r>
      <rPr>
        <sz val="11"/>
        <color rgb="FF0070C0"/>
        <rFont val="Calibri"/>
        <family val="2"/>
        <scheme val="minor"/>
      </rPr>
      <t>|</t>
    </r>
  </si>
  <si>
    <t>given on page 569; use Moody Plot from FE manula for limiting f at high Re, commercial steel</t>
  </si>
  <si>
    <t>use 12-7, Darcy-Weisbach version, FE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</si>
</sst>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i/>
      <sz val="11"/>
      <color rgb="FFFF0000"/>
      <name val="Calibri"/>
      <family val="2"/>
      <scheme val="minor"/>
    </font>
    <font>
      <i/>
      <vertAlign val="subscript"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i/>
      <sz val="11"/>
      <name val="Symbol"/>
      <family val="1"/>
      <charset val="2"/>
    </font>
    <font>
      <b/>
      <i/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vertAlign val="subscript"/>
      <sz val="11"/>
      <color theme="0" tint="-0.34998626667073579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sz val="11"/>
      <color rgb="FFFF0000"/>
      <name val="Symbol"/>
      <family val="1"/>
      <charset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Symbol"/>
      <family val="1"/>
      <charset val="2"/>
    </font>
    <font>
      <vertAlign val="subscript"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2" borderId="0" xfId="0" applyFill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quotePrefix="1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164" fontId="15" fillId="0" borderId="0" xfId="0" applyNumberFormat="1" applyFont="1"/>
    <xf numFmtId="0" fontId="14" fillId="0" borderId="0" xfId="0" quotePrefix="1" applyFont="1"/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5" fillId="0" borderId="1" xfId="0" applyFont="1" applyBorder="1"/>
    <xf numFmtId="164" fontId="15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0" fontId="0" fillId="2" borderId="0" xfId="0" applyFill="1" applyAlignment="1">
      <alignment horizontal="center"/>
    </xf>
    <xf numFmtId="0" fontId="0" fillId="2" borderId="0" xfId="0" quotePrefix="1" applyFill="1"/>
    <xf numFmtId="0" fontId="3" fillId="2" borderId="0" xfId="0" quotePrefix="1" applyFont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2" fillId="0" borderId="0" xfId="0" applyFont="1"/>
    <xf numFmtId="0" fontId="23" fillId="2" borderId="0" xfId="0" applyFont="1" applyFill="1"/>
    <xf numFmtId="0" fontId="24" fillId="2" borderId="0" xfId="0" quotePrefix="1" applyFont="1" applyFill="1" applyAlignment="1">
      <alignment horizontal="center"/>
    </xf>
    <xf numFmtId="0" fontId="23" fillId="2" borderId="0" xfId="0" quotePrefix="1" applyFont="1" applyFill="1"/>
    <xf numFmtId="0" fontId="23" fillId="0" borderId="0" xfId="0" applyFont="1"/>
    <xf numFmtId="0" fontId="23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Minimum Lift Velocity vs. Density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v_min!$C$4:$C$5</c:f>
              <c:strCache>
                <c:ptCount val="2"/>
                <c:pt idx="0">
                  <c:v>Air Velocity</c:v>
                </c:pt>
                <c:pt idx="1">
                  <c:v>m/s</c:v>
                </c:pt>
              </c:strCache>
            </c:strRef>
          </c:tx>
          <c:spPr>
            <a:ln w="28575">
              <a:noFill/>
            </a:ln>
          </c:spPr>
          <c:xVal>
            <c:numRef>
              <c:f>v_min!$A$6:$A$38</c:f>
              <c:numCache>
                <c:formatCode>General</c:formatCode>
                <c:ptCount val="33"/>
                <c:pt idx="0">
                  <c:v>160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  <c:pt idx="4">
                  <c:v>480</c:v>
                </c:pt>
                <c:pt idx="5">
                  <c:v>560</c:v>
                </c:pt>
                <c:pt idx="6">
                  <c:v>640</c:v>
                </c:pt>
                <c:pt idx="7">
                  <c:v>720</c:v>
                </c:pt>
                <c:pt idx="8">
                  <c:v>800</c:v>
                </c:pt>
                <c:pt idx="9">
                  <c:v>880</c:v>
                </c:pt>
                <c:pt idx="10">
                  <c:v>960</c:v>
                </c:pt>
                <c:pt idx="11">
                  <c:v>1040</c:v>
                </c:pt>
                <c:pt idx="12">
                  <c:v>1120</c:v>
                </c:pt>
                <c:pt idx="13">
                  <c:v>1200</c:v>
                </c:pt>
                <c:pt idx="14">
                  <c:v>1280</c:v>
                </c:pt>
                <c:pt idx="15">
                  <c:v>1360</c:v>
                </c:pt>
                <c:pt idx="16">
                  <c:v>1440</c:v>
                </c:pt>
                <c:pt idx="17">
                  <c:v>1520</c:v>
                </c:pt>
                <c:pt idx="18">
                  <c:v>1600</c:v>
                </c:pt>
                <c:pt idx="19">
                  <c:v>1680</c:v>
                </c:pt>
                <c:pt idx="20">
                  <c:v>1760</c:v>
                </c:pt>
                <c:pt idx="21">
                  <c:v>1840</c:v>
                </c:pt>
                <c:pt idx="22">
                  <c:v>1920</c:v>
                </c:pt>
                <c:pt idx="23">
                  <c:v>2000</c:v>
                </c:pt>
                <c:pt idx="24">
                  <c:v>2080</c:v>
                </c:pt>
                <c:pt idx="25">
                  <c:v>2160</c:v>
                </c:pt>
                <c:pt idx="26">
                  <c:v>2240</c:v>
                </c:pt>
                <c:pt idx="27">
                  <c:v>2320</c:v>
                </c:pt>
                <c:pt idx="28">
                  <c:v>2400</c:v>
                </c:pt>
                <c:pt idx="29">
                  <c:v>2480</c:v>
                </c:pt>
                <c:pt idx="30">
                  <c:v>2560</c:v>
                </c:pt>
                <c:pt idx="31">
                  <c:v>2640</c:v>
                </c:pt>
                <c:pt idx="32">
                  <c:v>2720</c:v>
                </c:pt>
              </c:numCache>
            </c:numRef>
          </c:xVal>
          <c:yVal>
            <c:numRef>
              <c:f>v_min!$C$6:$C$38</c:f>
              <c:numCache>
                <c:formatCode>0.0</c:formatCode>
                <c:ptCount val="33"/>
                <c:pt idx="0">
                  <c:v>14.733333333333333</c:v>
                </c:pt>
                <c:pt idx="1">
                  <c:v>18.233333333333334</c:v>
                </c:pt>
                <c:pt idx="2">
                  <c:v>20.933333333333334</c:v>
                </c:pt>
                <c:pt idx="3">
                  <c:v>23.366666666666667</c:v>
                </c:pt>
                <c:pt idx="4">
                  <c:v>25.65</c:v>
                </c:pt>
                <c:pt idx="5">
                  <c:v>27.933333333333334</c:v>
                </c:pt>
                <c:pt idx="6">
                  <c:v>29.666666666666668</c:v>
                </c:pt>
                <c:pt idx="7">
                  <c:v>31.366666666666667</c:v>
                </c:pt>
                <c:pt idx="8">
                  <c:v>33.016666666666666</c:v>
                </c:pt>
                <c:pt idx="9">
                  <c:v>34.533333333333331</c:v>
                </c:pt>
                <c:pt idx="10">
                  <c:v>36.31666666666667</c:v>
                </c:pt>
                <c:pt idx="11">
                  <c:v>37.833333333333336</c:v>
                </c:pt>
                <c:pt idx="12">
                  <c:v>39.116666666666667</c:v>
                </c:pt>
                <c:pt idx="13">
                  <c:v>40.633333333333333</c:v>
                </c:pt>
                <c:pt idx="14">
                  <c:v>41.916666666666664</c:v>
                </c:pt>
                <c:pt idx="15">
                  <c:v>43.18333333333333</c:v>
                </c:pt>
                <c:pt idx="16">
                  <c:v>44.2</c:v>
                </c:pt>
                <c:pt idx="17">
                  <c:v>45.716666666666669</c:v>
                </c:pt>
                <c:pt idx="18">
                  <c:v>46.733333333333334</c:v>
                </c:pt>
                <c:pt idx="19">
                  <c:v>48</c:v>
                </c:pt>
                <c:pt idx="20">
                  <c:v>49.283333333333331</c:v>
                </c:pt>
                <c:pt idx="21">
                  <c:v>51.966666666666669</c:v>
                </c:pt>
                <c:pt idx="22">
                  <c:v>53.333333333333336</c:v>
                </c:pt>
                <c:pt idx="23">
                  <c:v>55</c:v>
                </c:pt>
                <c:pt idx="24">
                  <c:v>56.666666666666664</c:v>
                </c:pt>
                <c:pt idx="25">
                  <c:v>59.166666666666664</c:v>
                </c:pt>
                <c:pt idx="26">
                  <c:v>61.666666666666664</c:v>
                </c:pt>
                <c:pt idx="27">
                  <c:v>64.166666666666671</c:v>
                </c:pt>
                <c:pt idx="28">
                  <c:v>66.666666666666671</c:v>
                </c:pt>
                <c:pt idx="29">
                  <c:v>70</c:v>
                </c:pt>
                <c:pt idx="30">
                  <c:v>73.333333333333329</c:v>
                </c:pt>
                <c:pt idx="31">
                  <c:v>77.5</c:v>
                </c:pt>
                <c:pt idx="32">
                  <c:v>81.666666666666671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E-4F35-BBAA-F2C5D215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59544"/>
        <c:axId val="243640592"/>
      </c:scatterChart>
      <c:valAx>
        <c:axId val="37505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Density,</a:t>
                </a:r>
                <a:r>
                  <a:rPr lang="en-US" baseline="0"/>
                  <a:t> kg/m</a:t>
                </a:r>
                <a:r>
                  <a:rPr lang="en-US" baseline="30000"/>
                  <a:t>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640592"/>
        <c:crosses val="autoZero"/>
        <c:crossBetween val="midCat"/>
      </c:valAx>
      <c:valAx>
        <c:axId val="243640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</a:t>
                </a:r>
                <a:r>
                  <a:rPr lang="en-US" baseline="0"/>
                  <a:t> Velocity, m/s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750595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8199</xdr:colOff>
      <xdr:row>29</xdr:row>
      <xdr:rowOff>118817</xdr:rowOff>
    </xdr:from>
    <xdr:to>
      <xdr:col>8</xdr:col>
      <xdr:colOff>9525</xdr:colOff>
      <xdr:row>52</xdr:row>
      <xdr:rowOff>131781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6200000" flipH="1">
          <a:off x="5274467" y="9054324"/>
          <a:ext cx="4994539" cy="1326"/>
        </a:xfrm>
        <a:prstGeom prst="line">
          <a:avLst/>
        </a:prstGeom>
        <a:ln w="15875">
          <a:solidFill>
            <a:schemeClr val="tx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41716</xdr:colOff>
      <xdr:row>14</xdr:row>
      <xdr:rowOff>133351</xdr:rowOff>
    </xdr:from>
    <xdr:to>
      <xdr:col>8</xdr:col>
      <xdr:colOff>41716</xdr:colOff>
      <xdr:row>52</xdr:row>
      <xdr:rowOff>133350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6207566" y="2943226"/>
          <a:ext cx="1828800" cy="7734299"/>
          <a:chOff x="5975791" y="3152776"/>
          <a:chExt cx="1828800" cy="8401049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5975791" y="3152776"/>
            <a:ext cx="1828800" cy="1568"/>
          </a:xfrm>
          <a:prstGeom prst="line">
            <a:avLst/>
          </a:prstGeom>
          <a:ln w="15875">
            <a:solidFill>
              <a:schemeClr val="tx2">
                <a:lumMod val="40000"/>
                <a:lumOff val="6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5400000">
            <a:off x="6073307" y="4859828"/>
            <a:ext cx="3395535" cy="1809"/>
          </a:xfrm>
          <a:prstGeom prst="straightConnector1">
            <a:avLst/>
          </a:prstGeom>
          <a:ln w="15875">
            <a:solidFill>
              <a:schemeClr val="tx2">
                <a:lumMod val="40000"/>
                <a:lumOff val="6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>
          <a:xfrm rot="10800000">
            <a:off x="6105525" y="11552257"/>
            <a:ext cx="1671095" cy="1568"/>
          </a:xfrm>
          <a:prstGeom prst="straightConnector1">
            <a:avLst/>
          </a:prstGeom>
          <a:ln w="15875">
            <a:solidFill>
              <a:schemeClr val="tx2">
                <a:lumMod val="40000"/>
                <a:lumOff val="6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10</xdr:col>
      <xdr:colOff>333375</xdr:colOff>
      <xdr:row>0</xdr:row>
      <xdr:rowOff>9525</xdr:rowOff>
    </xdr:from>
    <xdr:to>
      <xdr:col>19</xdr:col>
      <xdr:colOff>464312</xdr:colOff>
      <xdr:row>28</xdr:row>
      <xdr:rowOff>84074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50" y="9525"/>
          <a:ext cx="5620512" cy="628802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20</xdr:col>
      <xdr:colOff>85217</xdr:colOff>
      <xdr:row>61</xdr:row>
      <xdr:rowOff>111633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1275" y="6210300"/>
          <a:ext cx="4965192" cy="715060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61</xdr:row>
      <xdr:rowOff>0</xdr:rowOff>
    </xdr:from>
    <xdr:to>
      <xdr:col>20</xdr:col>
      <xdr:colOff>0</xdr:colOff>
      <xdr:row>75</xdr:row>
      <xdr:rowOff>149352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1275" y="13249275"/>
          <a:ext cx="4876800" cy="2816352"/>
        </a:xfrm>
        <a:prstGeom prst="rect">
          <a:avLst/>
        </a:prstGeom>
      </xdr:spPr>
    </xdr:pic>
    <xdr:clientData/>
  </xdr:twoCellAnchor>
  <xdr:oneCellAnchor>
    <xdr:from>
      <xdr:col>5</xdr:col>
      <xdr:colOff>228601</xdr:colOff>
      <xdr:row>51</xdr:row>
      <xdr:rowOff>104775</xdr:rowOff>
    </xdr:from>
    <xdr:ext cx="2609850" cy="78124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6162676" y="11334750"/>
          <a:ext cx="260985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2">
                  <a:lumMod val="60000"/>
                  <a:lumOff val="40000"/>
                </a:schemeClr>
              </a:solidFill>
            </a:rPr>
            <a:t>Iterate:</a:t>
          </a:r>
        </a:p>
        <a:p>
          <a:r>
            <a:rPr lang="en-US" sz="1100">
              <a:solidFill>
                <a:schemeClr val="tx2">
                  <a:lumMod val="60000"/>
                  <a:lumOff val="40000"/>
                </a:schemeClr>
              </a:solidFill>
            </a:rPr>
            <a:t>Change guess for pressure drop in cell E15 until difference is minimized to an acceptably</a:t>
          </a:r>
          <a:r>
            <a:rPr lang="en-US" sz="1100" baseline="0">
              <a:solidFill>
                <a:schemeClr val="tx2">
                  <a:lumMod val="60000"/>
                  <a:lumOff val="40000"/>
                </a:schemeClr>
              </a:solidFill>
            </a:rPr>
            <a:t> small epsilon.</a:t>
          </a:r>
          <a:endParaRPr lang="en-US" sz="1100">
            <a:solidFill>
              <a:schemeClr val="tx2">
                <a:lumMod val="60000"/>
                <a:lumOff val="40000"/>
              </a:schemeClr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11</xdr:col>
      <xdr:colOff>28828</xdr:colOff>
      <xdr:row>15</xdr:row>
      <xdr:rowOff>19050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352425"/>
          <a:ext cx="3648328" cy="25527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38100</xdr:colOff>
      <xdr:row>15</xdr:row>
      <xdr:rowOff>123824</xdr:rowOff>
    </xdr:from>
    <xdr:to>
      <xdr:col>12</xdr:col>
      <xdr:colOff>342900</xdr:colOff>
      <xdr:row>33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7"/>
  <sheetViews>
    <sheetView tabSelected="1" topLeftCell="A18" workbookViewId="0">
      <selection activeCell="F36" sqref="F36"/>
    </sheetView>
  </sheetViews>
  <sheetFormatPr defaultRowHeight="14.5" x14ac:dyDescent="0.35"/>
  <cols>
    <col min="2" max="2" width="38.453125" customWidth="1"/>
    <col min="3" max="3" width="18.26953125" style="4" bestFit="1" customWidth="1"/>
    <col min="4" max="4" width="14" bestFit="1" customWidth="1"/>
  </cols>
  <sheetData>
    <row r="1" spans="2:10" x14ac:dyDescent="0.35">
      <c r="B1" s="1" t="s">
        <v>3</v>
      </c>
      <c r="C1" s="4" t="s">
        <v>111</v>
      </c>
      <c r="E1" s="30" t="s">
        <v>119</v>
      </c>
    </row>
    <row r="3" spans="2:10" x14ac:dyDescent="0.35">
      <c r="B3" s="1" t="s">
        <v>0</v>
      </c>
      <c r="C3" s="2" t="s">
        <v>1</v>
      </c>
      <c r="D3" s="1" t="s">
        <v>2</v>
      </c>
    </row>
    <row r="4" spans="2:10" ht="16.5" x14ac:dyDescent="0.45">
      <c r="B4" s="9" t="s">
        <v>4</v>
      </c>
      <c r="C4" s="30" t="s">
        <v>43</v>
      </c>
      <c r="D4" s="31" t="s">
        <v>5</v>
      </c>
      <c r="E4" s="9"/>
      <c r="F4" s="19"/>
    </row>
    <row r="5" spans="2:10" x14ac:dyDescent="0.35">
      <c r="B5" s="9" t="s">
        <v>6</v>
      </c>
      <c r="C5" s="30" t="s">
        <v>7</v>
      </c>
      <c r="D5" s="31" t="s">
        <v>8</v>
      </c>
      <c r="E5" s="9"/>
      <c r="F5" s="19"/>
    </row>
    <row r="6" spans="2:10" ht="16.5" x14ac:dyDescent="0.35">
      <c r="B6" t="s">
        <v>10</v>
      </c>
      <c r="C6" s="5" t="s">
        <v>11</v>
      </c>
      <c r="D6" t="s">
        <v>105</v>
      </c>
      <c r="E6">
        <f>PI()*D^2/4</f>
        <v>0</v>
      </c>
      <c r="F6" s="19"/>
      <c r="I6" s="3"/>
    </row>
    <row r="7" spans="2:10" ht="17.5" x14ac:dyDescent="0.45">
      <c r="B7" t="s">
        <v>14</v>
      </c>
      <c r="C7" s="5" t="s">
        <v>30</v>
      </c>
      <c r="D7" t="s">
        <v>103</v>
      </c>
      <c r="E7">
        <f>vfeed*A</f>
        <v>0</v>
      </c>
      <c r="F7" s="19"/>
      <c r="I7" s="3"/>
    </row>
    <row r="8" spans="2:10" ht="17.5" x14ac:dyDescent="0.45">
      <c r="B8" s="9" t="s">
        <v>15</v>
      </c>
      <c r="C8" s="32" t="s">
        <v>31</v>
      </c>
      <c r="D8" s="31" t="s">
        <v>104</v>
      </c>
      <c r="E8" s="9"/>
      <c r="F8" s="19" t="s">
        <v>128</v>
      </c>
    </row>
    <row r="9" spans="2:10" ht="16.5" x14ac:dyDescent="0.45">
      <c r="B9" t="s">
        <v>17</v>
      </c>
      <c r="C9" s="5" t="s">
        <v>32</v>
      </c>
      <c r="D9" s="3" t="s">
        <v>18</v>
      </c>
      <c r="E9">
        <f>rho_in*mv</f>
        <v>0</v>
      </c>
      <c r="F9" s="19"/>
      <c r="I9" s="3"/>
    </row>
    <row r="10" spans="2:10" ht="16.5" x14ac:dyDescent="0.45">
      <c r="B10" s="9" t="s">
        <v>47</v>
      </c>
      <c r="C10" s="30" t="s">
        <v>48</v>
      </c>
      <c r="D10" s="9" t="s">
        <v>9</v>
      </c>
      <c r="E10" s="9"/>
      <c r="F10" s="19" t="s">
        <v>128</v>
      </c>
    </row>
    <row r="11" spans="2:10" ht="16.5" x14ac:dyDescent="0.45">
      <c r="B11" s="9" t="s">
        <v>126</v>
      </c>
      <c r="C11" s="33" t="s">
        <v>44</v>
      </c>
      <c r="D11" s="31" t="s">
        <v>13</v>
      </c>
      <c r="E11" s="9">
        <v>38</v>
      </c>
      <c r="F11" s="19" t="s">
        <v>110</v>
      </c>
    </row>
    <row r="12" spans="2:10" ht="16.5" x14ac:dyDescent="0.45">
      <c r="B12" s="9" t="s">
        <v>127</v>
      </c>
      <c r="C12" s="33" t="s">
        <v>45</v>
      </c>
      <c r="D12" s="31" t="s">
        <v>12</v>
      </c>
      <c r="E12" s="9"/>
      <c r="F12" s="19"/>
      <c r="I12" s="3"/>
    </row>
    <row r="13" spans="2:10" x14ac:dyDescent="0.35">
      <c r="B13" s="34" t="s">
        <v>19</v>
      </c>
      <c r="C13" s="35" t="s">
        <v>21</v>
      </c>
      <c r="D13" s="34" t="s">
        <v>20</v>
      </c>
      <c r="E13" s="34">
        <v>28.88</v>
      </c>
      <c r="F13" s="19"/>
    </row>
    <row r="14" spans="2:10" ht="16.5" x14ac:dyDescent="0.45">
      <c r="B14" s="9" t="s">
        <v>134</v>
      </c>
      <c r="C14" s="33" t="s">
        <v>39</v>
      </c>
      <c r="D14" s="31" t="s">
        <v>9</v>
      </c>
      <c r="E14" s="9"/>
      <c r="F14" s="19" t="s">
        <v>133</v>
      </c>
    </row>
    <row r="15" spans="2:10" ht="16.5" x14ac:dyDescent="0.45">
      <c r="B15" s="37" t="s">
        <v>135</v>
      </c>
      <c r="C15" s="38" t="s">
        <v>131</v>
      </c>
      <c r="D15" s="39" t="s">
        <v>9</v>
      </c>
      <c r="E15" s="37"/>
      <c r="F15" s="22"/>
    </row>
    <row r="16" spans="2:10" ht="16.5" x14ac:dyDescent="0.45">
      <c r="B16" t="s">
        <v>46</v>
      </c>
      <c r="C16" s="5" t="s">
        <v>40</v>
      </c>
      <c r="D16" t="s">
        <v>9</v>
      </c>
      <c r="E16">
        <f>Pa-DPest</f>
        <v>0</v>
      </c>
      <c r="F16" s="22" t="s">
        <v>136</v>
      </c>
      <c r="J16" s="3"/>
    </row>
    <row r="17" spans="2:12" ht="16.5" x14ac:dyDescent="0.45">
      <c r="B17" t="s">
        <v>137</v>
      </c>
      <c r="C17" s="5" t="s">
        <v>34</v>
      </c>
      <c r="D17" t="s">
        <v>9</v>
      </c>
      <c r="E17">
        <f>(E16+E14)/2</f>
        <v>0</v>
      </c>
      <c r="F17" s="19"/>
      <c r="J17" s="3"/>
    </row>
    <row r="18" spans="2:12" ht="16.5" x14ac:dyDescent="0.45">
      <c r="B18" s="34" t="s">
        <v>22</v>
      </c>
      <c r="C18" s="35" t="s">
        <v>120</v>
      </c>
      <c r="D18" s="34" t="s">
        <v>23</v>
      </c>
      <c r="E18" s="34">
        <v>8.3143999999999991</v>
      </c>
      <c r="F18" s="19"/>
    </row>
    <row r="19" spans="2:12" ht="17.5" x14ac:dyDescent="0.45">
      <c r="B19" t="s">
        <v>24</v>
      </c>
      <c r="C19" s="4" t="s">
        <v>35</v>
      </c>
      <c r="D19" s="3" t="s">
        <v>104</v>
      </c>
      <c r="E19" t="e">
        <f>Pavg*MW/(Rgas*Tfeed_K)</f>
        <v>#DIV/0!</v>
      </c>
      <c r="F19" s="22" t="s">
        <v>71</v>
      </c>
      <c r="J19" s="3"/>
    </row>
    <row r="20" spans="2:12" ht="17.5" x14ac:dyDescent="0.45">
      <c r="B20" s="9" t="s">
        <v>25</v>
      </c>
      <c r="C20" s="33" t="s">
        <v>36</v>
      </c>
      <c r="D20" s="31" t="s">
        <v>104</v>
      </c>
      <c r="E20" s="9"/>
      <c r="F20" s="19"/>
    </row>
    <row r="21" spans="2:12" ht="16.5" x14ac:dyDescent="0.45">
      <c r="B21" s="9" t="s">
        <v>26</v>
      </c>
      <c r="C21" s="33" t="s">
        <v>37</v>
      </c>
      <c r="D21" s="9" t="s">
        <v>18</v>
      </c>
      <c r="E21" s="9"/>
      <c r="F21" s="19"/>
    </row>
    <row r="22" spans="2:12" ht="17.5" x14ac:dyDescent="0.45">
      <c r="B22" t="s">
        <v>33</v>
      </c>
      <c r="C22" s="4" t="s">
        <v>41</v>
      </c>
      <c r="D22" s="3" t="s">
        <v>104</v>
      </c>
      <c r="E22" t="e">
        <f>(ma+ms)/((ma/rho_air)+(ms/rho_s))</f>
        <v>#DIV/0!</v>
      </c>
      <c r="F22" s="19"/>
      <c r="J22" s="3"/>
    </row>
    <row r="23" spans="2:12" ht="16.5" x14ac:dyDescent="0.45">
      <c r="B23" t="s">
        <v>38</v>
      </c>
      <c r="C23" s="4" t="s">
        <v>42</v>
      </c>
      <c r="D23" t="s">
        <v>5</v>
      </c>
      <c r="E23" t="e">
        <f>vfeed*Pfeed/Pavg</f>
        <v>#DIV/0!</v>
      </c>
      <c r="F23" s="19"/>
      <c r="H23" s="10"/>
      <c r="J23" s="3"/>
      <c r="L23" t="s">
        <v>130</v>
      </c>
    </row>
    <row r="24" spans="2:12" ht="16.5" x14ac:dyDescent="0.45">
      <c r="B24" s="42" t="s">
        <v>123</v>
      </c>
      <c r="C24" s="43" t="s">
        <v>49</v>
      </c>
      <c r="D24" s="44" t="s">
        <v>5</v>
      </c>
      <c r="E24" s="44" t="e">
        <f>v_min!M6</f>
        <v>#N/A</v>
      </c>
      <c r="F24" s="22" t="s">
        <v>124</v>
      </c>
      <c r="J24" s="3"/>
      <c r="L24" s="3" t="s">
        <v>129</v>
      </c>
    </row>
    <row r="25" spans="2:12" x14ac:dyDescent="0.35">
      <c r="B25" s="42"/>
      <c r="C25" s="43"/>
      <c r="D25" s="44"/>
      <c r="E25" s="44"/>
      <c r="F25" s="22"/>
      <c r="J25" s="3"/>
      <c r="L25" s="3"/>
    </row>
    <row r="26" spans="2:12" ht="16.5" x14ac:dyDescent="0.45">
      <c r="B26" s="34" t="s">
        <v>50</v>
      </c>
      <c r="C26" s="35" t="s">
        <v>107</v>
      </c>
      <c r="D26" s="34" t="s">
        <v>23</v>
      </c>
      <c r="E26" s="34">
        <f>0.25*4.1868*MW</f>
        <v>30.228695999999999</v>
      </c>
      <c r="F26" s="19" t="s">
        <v>125</v>
      </c>
    </row>
    <row r="27" spans="2:12" ht="16.5" x14ac:dyDescent="0.45">
      <c r="B27" t="s">
        <v>51</v>
      </c>
      <c r="C27" s="4" t="s">
        <v>108</v>
      </c>
      <c r="D27" t="s">
        <v>23</v>
      </c>
      <c r="E27">
        <f>E26-Rgas</f>
        <v>21.914296</v>
      </c>
      <c r="F27" s="22" t="s">
        <v>138</v>
      </c>
      <c r="J27" s="3"/>
    </row>
    <row r="28" spans="2:12" x14ac:dyDescent="0.35">
      <c r="B28" t="s">
        <v>52</v>
      </c>
      <c r="C28" s="4" t="s">
        <v>53</v>
      </c>
      <c r="D28" t="s">
        <v>54</v>
      </c>
      <c r="E28">
        <f>E26/E27</f>
        <v>1.3794052978019462</v>
      </c>
      <c r="F28" s="22" t="s">
        <v>139</v>
      </c>
      <c r="J28" s="3"/>
    </row>
    <row r="29" spans="2:12" ht="16.5" x14ac:dyDescent="0.45">
      <c r="B29" s="45" t="s">
        <v>113</v>
      </c>
      <c r="C29" s="46" t="s">
        <v>109</v>
      </c>
      <c r="D29" s="45" t="s">
        <v>55</v>
      </c>
      <c r="E29" s="45" t="e">
        <f>Rgas*Tfeed_K*(k/(k-1))*((Pa/Pfeed)^((k-1)/k)-1)*ma/MW</f>
        <v>#DIV/0!</v>
      </c>
      <c r="F29" s="19" t="s">
        <v>56</v>
      </c>
      <c r="J29" s="3"/>
    </row>
    <row r="30" spans="2:12" x14ac:dyDescent="0.35">
      <c r="F30" s="19"/>
    </row>
    <row r="31" spans="2:12" ht="16.5" x14ac:dyDescent="0.45">
      <c r="B31" s="11" t="s">
        <v>60</v>
      </c>
      <c r="C31" s="12" t="s">
        <v>77</v>
      </c>
      <c r="D31" s="11" t="s">
        <v>55</v>
      </c>
      <c r="E31" s="11" t="e">
        <f>(Kc*vavg^2/(2*alpha))*ma/1000</f>
        <v>#DIV/0!</v>
      </c>
      <c r="F31" s="22" t="s">
        <v>140</v>
      </c>
      <c r="J31" s="3"/>
    </row>
    <row r="32" spans="2:12" ht="16.5" x14ac:dyDescent="0.45">
      <c r="B32" t="s">
        <v>57</v>
      </c>
      <c r="C32" s="4" t="s">
        <v>72</v>
      </c>
      <c r="D32" t="s">
        <v>54</v>
      </c>
      <c r="E32">
        <v>0.75</v>
      </c>
      <c r="F32" s="19" t="s">
        <v>70</v>
      </c>
      <c r="J32" s="3"/>
    </row>
    <row r="33" spans="2:10" ht="16.5" x14ac:dyDescent="0.45">
      <c r="B33" t="s">
        <v>58</v>
      </c>
      <c r="C33" s="4" t="s">
        <v>73</v>
      </c>
      <c r="D33" t="s">
        <v>54</v>
      </c>
      <c r="E33">
        <f>IF(area_ratio&lt;0.715,0.4*(1.25-area_ratio),0.75*(1-area_ratio))</f>
        <v>0.1875</v>
      </c>
      <c r="F33" s="22" t="s">
        <v>141</v>
      </c>
      <c r="J33" s="3"/>
    </row>
    <row r="34" spans="2:10" x14ac:dyDescent="0.35">
      <c r="B34" t="s">
        <v>142</v>
      </c>
      <c r="C34" s="8" t="s">
        <v>59</v>
      </c>
      <c r="D34" t="s">
        <v>54</v>
      </c>
      <c r="E34">
        <v>0.5</v>
      </c>
      <c r="F34" s="19"/>
    </row>
    <row r="35" spans="2:10" ht="16.5" x14ac:dyDescent="0.45">
      <c r="B35" s="11" t="s">
        <v>61</v>
      </c>
      <c r="C35" s="12" t="s">
        <v>78</v>
      </c>
      <c r="D35" s="11" t="s">
        <v>55</v>
      </c>
      <c r="E35" s="11" t="e">
        <f>((vavg^2)/(2*alpha))*ma/1000</f>
        <v>#DIV/0!</v>
      </c>
      <c r="F35" s="19"/>
      <c r="J35" s="3"/>
    </row>
    <row r="36" spans="2:10" x14ac:dyDescent="0.35">
      <c r="B36" s="11" t="s">
        <v>62</v>
      </c>
      <c r="C36" s="12" t="s">
        <v>79</v>
      </c>
      <c r="D36" s="11" t="s">
        <v>55</v>
      </c>
      <c r="E36" s="11" t="e">
        <f>(f*(vavg^2)*Leq/(2*D))*ma/1000</f>
        <v>#DIV/0!</v>
      </c>
      <c r="F36" s="22" t="s">
        <v>146</v>
      </c>
      <c r="J36" s="3"/>
    </row>
    <row r="37" spans="2:10" x14ac:dyDescent="0.35">
      <c r="B37" t="s">
        <v>63</v>
      </c>
      <c r="C37" s="4" t="s">
        <v>64</v>
      </c>
      <c r="D37" t="s">
        <v>54</v>
      </c>
      <c r="E37">
        <v>1.4999999999999999E-2</v>
      </c>
      <c r="F37" s="19" t="s">
        <v>145</v>
      </c>
    </row>
    <row r="38" spans="2:10" ht="16.5" x14ac:dyDescent="0.45">
      <c r="B38" t="s">
        <v>66</v>
      </c>
      <c r="C38" s="4" t="s">
        <v>74</v>
      </c>
      <c r="D38" t="s">
        <v>8</v>
      </c>
      <c r="E38">
        <f>Nel*20*D</f>
        <v>0</v>
      </c>
      <c r="F38" s="19"/>
      <c r="J38" s="3"/>
    </row>
    <row r="39" spans="2:10" ht="16.5" x14ac:dyDescent="0.45">
      <c r="B39" s="9" t="s">
        <v>84</v>
      </c>
      <c r="C39" s="30" t="s">
        <v>85</v>
      </c>
      <c r="D39" s="9" t="s">
        <v>54</v>
      </c>
      <c r="E39" s="9"/>
      <c r="F39" s="19"/>
    </row>
    <row r="40" spans="2:10" x14ac:dyDescent="0.35">
      <c r="B40" s="9" t="s">
        <v>67</v>
      </c>
      <c r="C40" s="30" t="s">
        <v>68</v>
      </c>
      <c r="D40" s="9" t="s">
        <v>8</v>
      </c>
      <c r="E40" s="9"/>
      <c r="F40" s="19"/>
    </row>
    <row r="41" spans="2:10" ht="16.5" x14ac:dyDescent="0.45">
      <c r="B41" t="s">
        <v>69</v>
      </c>
      <c r="C41" s="4" t="s">
        <v>75</v>
      </c>
      <c r="D41" t="s">
        <v>8</v>
      </c>
      <c r="E41">
        <f>E40+E38</f>
        <v>0</v>
      </c>
      <c r="F41" s="19"/>
      <c r="J41" s="3"/>
    </row>
    <row r="42" spans="2:10" ht="16.5" x14ac:dyDescent="0.45">
      <c r="B42" s="15" t="s">
        <v>76</v>
      </c>
      <c r="C42" s="16" t="s">
        <v>100</v>
      </c>
      <c r="D42" s="15" t="s">
        <v>55</v>
      </c>
      <c r="E42" s="15" t="e">
        <f>E36+Fe+Fc</f>
        <v>#DIV/0!</v>
      </c>
      <c r="F42" s="19"/>
      <c r="J42" s="3"/>
    </row>
    <row r="43" spans="2:10" ht="16.5" x14ac:dyDescent="0.45">
      <c r="B43" s="11" t="s">
        <v>81</v>
      </c>
      <c r="C43" s="12" t="s">
        <v>92</v>
      </c>
      <c r="D43" s="11" t="s">
        <v>55</v>
      </c>
      <c r="E43" s="11" t="e">
        <f>(vavg^2)*ms/2/1000</f>
        <v>#DIV/0!</v>
      </c>
      <c r="F43" s="19"/>
      <c r="J43" s="3"/>
    </row>
    <row r="44" spans="2:10" ht="16.5" x14ac:dyDescent="0.45">
      <c r="B44" s="11" t="s">
        <v>82</v>
      </c>
      <c r="C44" s="12" t="s">
        <v>93</v>
      </c>
      <c r="D44" s="11" t="s">
        <v>55</v>
      </c>
      <c r="E44" s="11">
        <f>g*DZ*ms/1000</f>
        <v>0</v>
      </c>
      <c r="F44" s="19"/>
      <c r="J44" s="3"/>
    </row>
    <row r="45" spans="2:10" x14ac:dyDescent="0.35">
      <c r="B45" s="9" t="s">
        <v>87</v>
      </c>
      <c r="C45" s="30" t="s">
        <v>88</v>
      </c>
      <c r="D45" s="9" t="s">
        <v>8</v>
      </c>
      <c r="E45" s="9"/>
      <c r="F45" s="19"/>
    </row>
    <row r="46" spans="2:10" ht="16.5" x14ac:dyDescent="0.35">
      <c r="B46" t="s">
        <v>89</v>
      </c>
      <c r="C46" s="4" t="s">
        <v>90</v>
      </c>
      <c r="D46" t="s">
        <v>91</v>
      </c>
      <c r="E46" s="34">
        <v>9.8000000000000007</v>
      </c>
      <c r="F46" s="19"/>
    </row>
    <row r="47" spans="2:10" ht="16.5" x14ac:dyDescent="0.45">
      <c r="B47" s="11" t="s">
        <v>97</v>
      </c>
      <c r="C47" s="12" t="s">
        <v>94</v>
      </c>
      <c r="D47" s="11" t="s">
        <v>55</v>
      </c>
      <c r="E47" s="11">
        <f>fs*L*g*ms/1000</f>
        <v>0</v>
      </c>
      <c r="F47" s="19" t="s">
        <v>65</v>
      </c>
      <c r="J47" s="3"/>
    </row>
    <row r="48" spans="2:10" ht="16.5" x14ac:dyDescent="0.45">
      <c r="B48" t="s">
        <v>83</v>
      </c>
      <c r="C48" s="4" t="s">
        <v>86</v>
      </c>
      <c r="D48" t="s">
        <v>55</v>
      </c>
      <c r="E48" s="34">
        <v>1</v>
      </c>
      <c r="F48" s="19" t="s">
        <v>98</v>
      </c>
    </row>
    <row r="49" spans="2:10" ht="16.5" x14ac:dyDescent="0.45">
      <c r="B49" s="11" t="s">
        <v>96</v>
      </c>
      <c r="C49" s="12" t="s">
        <v>95</v>
      </c>
      <c r="D49" s="11" t="s">
        <v>55</v>
      </c>
      <c r="E49" s="11" t="e">
        <f>Nel*1.155*fs*vavg^2*ms/1000</f>
        <v>#DIV/0!</v>
      </c>
      <c r="F49" s="19"/>
      <c r="J49" s="3"/>
    </row>
    <row r="50" spans="2:10" ht="16.5" x14ac:dyDescent="0.45">
      <c r="B50" s="15" t="s">
        <v>80</v>
      </c>
      <c r="C50" s="17" t="s">
        <v>101</v>
      </c>
      <c r="D50" s="15" t="s">
        <v>55</v>
      </c>
      <c r="E50" s="15" t="e">
        <f>E43+E44+E47+E49</f>
        <v>#DIV/0!</v>
      </c>
      <c r="F50" s="19"/>
      <c r="J50" s="3"/>
    </row>
    <row r="51" spans="2:10" ht="16.5" x14ac:dyDescent="0.45">
      <c r="B51" s="13" t="s">
        <v>112</v>
      </c>
      <c r="C51" s="14" t="s">
        <v>106</v>
      </c>
      <c r="D51" s="13" t="s">
        <v>55</v>
      </c>
      <c r="E51" s="13" t="e">
        <f>E50+Pfric</f>
        <v>#DIV/0!</v>
      </c>
      <c r="F51" s="19"/>
      <c r="J51" s="3"/>
    </row>
    <row r="52" spans="2:10" x14ac:dyDescent="0.35">
      <c r="F52" s="19"/>
    </row>
    <row r="53" spans="2:10" ht="16.5" x14ac:dyDescent="0.45">
      <c r="B53" s="40" t="s">
        <v>102</v>
      </c>
      <c r="C53" s="41" t="s">
        <v>132</v>
      </c>
      <c r="D53" s="40" t="s">
        <v>9</v>
      </c>
      <c r="E53" s="40" t="e">
        <f>(Pf*rho_mix/(ma+ms))</f>
        <v>#DIV/0!</v>
      </c>
      <c r="F53" s="19"/>
      <c r="J53" s="3"/>
    </row>
    <row r="54" spans="2:10" ht="16.5" x14ac:dyDescent="0.45">
      <c r="B54" s="40" t="s">
        <v>143</v>
      </c>
      <c r="C54" s="41" t="s">
        <v>144</v>
      </c>
      <c r="D54" s="40"/>
      <c r="E54" s="40" t="e">
        <f>ABS(DPest-DPcalc)</f>
        <v>#DIV/0!</v>
      </c>
      <c r="F54" s="19"/>
      <c r="G54" s="23"/>
      <c r="J54" s="3"/>
    </row>
    <row r="55" spans="2:10" x14ac:dyDescent="0.35">
      <c r="F55" s="19"/>
      <c r="G55" s="23"/>
    </row>
    <row r="56" spans="2:10" x14ac:dyDescent="0.35">
      <c r="B56" s="9" t="s">
        <v>114</v>
      </c>
      <c r="C56" s="47" t="s">
        <v>115</v>
      </c>
      <c r="D56" s="9" t="s">
        <v>54</v>
      </c>
      <c r="E56" s="9"/>
      <c r="F56" s="19"/>
      <c r="G56" s="23"/>
    </row>
    <row r="57" spans="2:10" ht="16.5" x14ac:dyDescent="0.45">
      <c r="B57" s="18" t="s">
        <v>99</v>
      </c>
      <c r="C57" s="24" t="s">
        <v>118</v>
      </c>
      <c r="D57" s="13" t="s">
        <v>55</v>
      </c>
      <c r="E57" s="18" t="e">
        <f>Pf+(Pc/eta)</f>
        <v>#DIV/0!</v>
      </c>
      <c r="J57" s="3"/>
    </row>
  </sheetData>
  <pageMargins left="0.7" right="0.7" top="0.75" bottom="0.75" header="0.3" footer="0.3"/>
  <pageSetup scale="65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"/>
  <sheetViews>
    <sheetView workbookViewId="0">
      <selection activeCell="N37" sqref="N37"/>
    </sheetView>
  </sheetViews>
  <sheetFormatPr defaultRowHeight="14.5" x14ac:dyDescent="0.35"/>
  <cols>
    <col min="1" max="1" width="13.453125" customWidth="1"/>
    <col min="2" max="2" width="12.7265625" customWidth="1"/>
    <col min="3" max="3" width="12.81640625" customWidth="1"/>
  </cols>
  <sheetData>
    <row r="1" spans="1:14" x14ac:dyDescent="0.35">
      <c r="A1" t="s">
        <v>117</v>
      </c>
    </row>
    <row r="4" spans="1:14" x14ac:dyDescent="0.35">
      <c r="A4" s="7" t="s">
        <v>27</v>
      </c>
      <c r="B4" s="7" t="s">
        <v>28</v>
      </c>
      <c r="C4" s="7" t="s">
        <v>28</v>
      </c>
      <c r="M4" s="36" t="s">
        <v>121</v>
      </c>
    </row>
    <row r="5" spans="1:14" ht="16.5" x14ac:dyDescent="0.35">
      <c r="A5" s="7" t="s">
        <v>16</v>
      </c>
      <c r="B5" s="7" t="s">
        <v>29</v>
      </c>
      <c r="C5" s="7" t="s">
        <v>5</v>
      </c>
      <c r="M5">
        <f>[0]!rho_s</f>
        <v>0</v>
      </c>
      <c r="N5" s="7" t="s">
        <v>104</v>
      </c>
    </row>
    <row r="6" spans="1:14" x14ac:dyDescent="0.35">
      <c r="A6" s="28">
        <v>160</v>
      </c>
      <c r="B6" s="28">
        <v>884</v>
      </c>
      <c r="C6" s="29">
        <f>B6/60</f>
        <v>14.733333333333333</v>
      </c>
      <c r="M6" t="e">
        <f>INDEX($C$6:$C$53,MATCH(M5,$A$6:$A$53))+(M5-INDEX($A$6:$A$53,MATCH(M5,$A$6:$A$53)))*(INDEX($C$6:$C$53,MATCH(M5,$A$6:$A$53)+1)-INDEX($C$6:$C$53,MATCH(M5,$A$6:$A$53)))/(INDEX($A$6:$A$53,MATCH(M5,$A$6:$A$53)+1)-INDEX($A$6:$A$53,MATCH(M5,$A$6:$A$53)))</f>
        <v>#N/A</v>
      </c>
      <c r="N6" s="7" t="s">
        <v>5</v>
      </c>
    </row>
    <row r="7" spans="1:14" x14ac:dyDescent="0.35">
      <c r="A7">
        <v>240</v>
      </c>
      <c r="B7">
        <v>1094</v>
      </c>
      <c r="C7" s="6">
        <f t="shared" ref="C7:C38" si="0">B7/60</f>
        <v>18.233333333333334</v>
      </c>
      <c r="M7" t="s">
        <v>122</v>
      </c>
    </row>
    <row r="8" spans="1:14" x14ac:dyDescent="0.35">
      <c r="A8">
        <v>320</v>
      </c>
      <c r="B8">
        <v>1256</v>
      </c>
      <c r="C8" s="6">
        <f t="shared" si="0"/>
        <v>20.933333333333334</v>
      </c>
    </row>
    <row r="9" spans="1:14" x14ac:dyDescent="0.35">
      <c r="A9">
        <v>400</v>
      </c>
      <c r="B9">
        <v>1402</v>
      </c>
      <c r="C9" s="6">
        <f t="shared" si="0"/>
        <v>23.366666666666667</v>
      </c>
    </row>
    <row r="10" spans="1:14" x14ac:dyDescent="0.35">
      <c r="A10">
        <v>480</v>
      </c>
      <c r="B10">
        <v>1539</v>
      </c>
      <c r="C10" s="6">
        <f t="shared" si="0"/>
        <v>25.65</v>
      </c>
    </row>
    <row r="11" spans="1:14" x14ac:dyDescent="0.35">
      <c r="A11">
        <v>560</v>
      </c>
      <c r="B11">
        <v>1676</v>
      </c>
      <c r="C11" s="6">
        <f t="shared" si="0"/>
        <v>27.933333333333334</v>
      </c>
    </row>
    <row r="12" spans="1:14" x14ac:dyDescent="0.35">
      <c r="A12">
        <v>640</v>
      </c>
      <c r="B12">
        <v>1780</v>
      </c>
      <c r="C12" s="6">
        <f t="shared" si="0"/>
        <v>29.666666666666668</v>
      </c>
    </row>
    <row r="13" spans="1:14" x14ac:dyDescent="0.35">
      <c r="A13">
        <v>720</v>
      </c>
      <c r="B13">
        <v>1882</v>
      </c>
      <c r="C13" s="6">
        <f t="shared" si="0"/>
        <v>31.366666666666667</v>
      </c>
    </row>
    <row r="14" spans="1:14" x14ac:dyDescent="0.35">
      <c r="A14">
        <v>800</v>
      </c>
      <c r="B14">
        <v>1981</v>
      </c>
      <c r="C14" s="6">
        <f t="shared" si="0"/>
        <v>33.016666666666666</v>
      </c>
    </row>
    <row r="15" spans="1:14" x14ac:dyDescent="0.35">
      <c r="A15">
        <v>880</v>
      </c>
      <c r="B15">
        <v>2072</v>
      </c>
      <c r="C15" s="6">
        <f t="shared" si="0"/>
        <v>34.533333333333331</v>
      </c>
    </row>
    <row r="16" spans="1:14" x14ac:dyDescent="0.35">
      <c r="A16">
        <v>960</v>
      </c>
      <c r="B16">
        <v>2179</v>
      </c>
      <c r="C16" s="6">
        <f t="shared" si="0"/>
        <v>36.31666666666667</v>
      </c>
    </row>
    <row r="17" spans="1:3" x14ac:dyDescent="0.35">
      <c r="A17">
        <v>1040</v>
      </c>
      <c r="B17">
        <v>2270</v>
      </c>
      <c r="C17" s="6">
        <f t="shared" si="0"/>
        <v>37.833333333333336</v>
      </c>
    </row>
    <row r="18" spans="1:3" x14ac:dyDescent="0.35">
      <c r="A18">
        <v>1120</v>
      </c>
      <c r="B18">
        <v>2347</v>
      </c>
      <c r="C18" s="6">
        <f t="shared" si="0"/>
        <v>39.116666666666667</v>
      </c>
    </row>
    <row r="19" spans="1:3" x14ac:dyDescent="0.35">
      <c r="A19">
        <v>1200</v>
      </c>
      <c r="B19">
        <v>2438</v>
      </c>
      <c r="C19" s="6">
        <f t="shared" si="0"/>
        <v>40.633333333333333</v>
      </c>
    </row>
    <row r="20" spans="1:3" x14ac:dyDescent="0.35">
      <c r="A20">
        <v>1280</v>
      </c>
      <c r="B20">
        <v>2515</v>
      </c>
      <c r="C20" s="6">
        <f t="shared" si="0"/>
        <v>41.916666666666664</v>
      </c>
    </row>
    <row r="21" spans="1:3" x14ac:dyDescent="0.35">
      <c r="A21">
        <v>1360</v>
      </c>
      <c r="B21">
        <v>2591</v>
      </c>
      <c r="C21" s="6">
        <f t="shared" si="0"/>
        <v>43.18333333333333</v>
      </c>
    </row>
    <row r="22" spans="1:3" x14ac:dyDescent="0.35">
      <c r="A22">
        <v>1440</v>
      </c>
      <c r="B22">
        <v>2652</v>
      </c>
      <c r="C22" s="6">
        <f t="shared" si="0"/>
        <v>44.2</v>
      </c>
    </row>
    <row r="23" spans="1:3" x14ac:dyDescent="0.35">
      <c r="A23">
        <v>1520</v>
      </c>
      <c r="B23">
        <v>2743</v>
      </c>
      <c r="C23" s="6">
        <f t="shared" si="0"/>
        <v>45.716666666666669</v>
      </c>
    </row>
    <row r="24" spans="1:3" x14ac:dyDescent="0.35">
      <c r="A24">
        <v>1600</v>
      </c>
      <c r="B24">
        <v>2804</v>
      </c>
      <c r="C24" s="6">
        <f t="shared" si="0"/>
        <v>46.733333333333334</v>
      </c>
    </row>
    <row r="25" spans="1:3" x14ac:dyDescent="0.35">
      <c r="A25">
        <v>1680</v>
      </c>
      <c r="B25">
        <v>2880</v>
      </c>
      <c r="C25" s="6">
        <f t="shared" si="0"/>
        <v>48</v>
      </c>
    </row>
    <row r="26" spans="1:3" x14ac:dyDescent="0.35">
      <c r="A26">
        <v>1760</v>
      </c>
      <c r="B26">
        <v>2957</v>
      </c>
      <c r="C26" s="6">
        <f t="shared" si="0"/>
        <v>49.283333333333331</v>
      </c>
    </row>
    <row r="27" spans="1:3" x14ac:dyDescent="0.35">
      <c r="A27">
        <v>1840</v>
      </c>
      <c r="B27">
        <v>3118</v>
      </c>
      <c r="C27" s="6">
        <f t="shared" si="0"/>
        <v>51.966666666666669</v>
      </c>
    </row>
    <row r="28" spans="1:3" x14ac:dyDescent="0.35">
      <c r="A28">
        <v>1920</v>
      </c>
      <c r="B28">
        <v>3200</v>
      </c>
      <c r="C28" s="6">
        <f t="shared" si="0"/>
        <v>53.333333333333336</v>
      </c>
    </row>
    <row r="29" spans="1:3" x14ac:dyDescent="0.35">
      <c r="A29" s="26">
        <v>2000</v>
      </c>
      <c r="B29" s="26">
        <v>3300</v>
      </c>
      <c r="C29" s="27">
        <f t="shared" si="0"/>
        <v>55</v>
      </c>
    </row>
    <row r="30" spans="1:3" x14ac:dyDescent="0.35">
      <c r="A30" s="20">
        <v>2080</v>
      </c>
      <c r="B30" s="20">
        <v>3400</v>
      </c>
      <c r="C30" s="21">
        <f t="shared" si="0"/>
        <v>56.666666666666664</v>
      </c>
    </row>
    <row r="31" spans="1:3" x14ac:dyDescent="0.35">
      <c r="A31" s="20">
        <v>2160</v>
      </c>
      <c r="B31" s="20">
        <v>3550</v>
      </c>
      <c r="C31" s="21">
        <f t="shared" si="0"/>
        <v>59.166666666666664</v>
      </c>
    </row>
    <row r="32" spans="1:3" x14ac:dyDescent="0.35">
      <c r="A32" s="20">
        <v>2240</v>
      </c>
      <c r="B32" s="20">
        <v>3700</v>
      </c>
      <c r="C32" s="21">
        <f t="shared" si="0"/>
        <v>61.666666666666664</v>
      </c>
    </row>
    <row r="33" spans="1:4" x14ac:dyDescent="0.35">
      <c r="A33" s="20">
        <v>2320</v>
      </c>
      <c r="B33" s="20">
        <v>3850</v>
      </c>
      <c r="C33" s="21">
        <f t="shared" si="0"/>
        <v>64.166666666666671</v>
      </c>
    </row>
    <row r="34" spans="1:4" x14ac:dyDescent="0.35">
      <c r="A34" s="20">
        <v>2400</v>
      </c>
      <c r="B34" s="20">
        <v>4000</v>
      </c>
      <c r="C34" s="21">
        <f t="shared" si="0"/>
        <v>66.666666666666671</v>
      </c>
    </row>
    <row r="35" spans="1:4" x14ac:dyDescent="0.35">
      <c r="A35" s="20">
        <v>2480</v>
      </c>
      <c r="B35" s="20">
        <v>4200</v>
      </c>
      <c r="C35" s="21">
        <f t="shared" si="0"/>
        <v>70</v>
      </c>
    </row>
    <row r="36" spans="1:4" x14ac:dyDescent="0.35">
      <c r="A36" s="20">
        <v>2560</v>
      </c>
      <c r="B36" s="20">
        <v>4400</v>
      </c>
      <c r="C36" s="21">
        <f t="shared" si="0"/>
        <v>73.333333333333329</v>
      </c>
    </row>
    <row r="37" spans="1:4" x14ac:dyDescent="0.35">
      <c r="A37" s="20">
        <v>2640</v>
      </c>
      <c r="B37" s="20">
        <v>4650</v>
      </c>
      <c r="C37" s="21">
        <f t="shared" si="0"/>
        <v>77.5</v>
      </c>
    </row>
    <row r="38" spans="1:4" x14ac:dyDescent="0.35">
      <c r="A38" s="20">
        <v>2720</v>
      </c>
      <c r="B38" s="20">
        <v>4900</v>
      </c>
      <c r="C38" s="21">
        <f t="shared" si="0"/>
        <v>81.666666666666671</v>
      </c>
      <c r="D38" s="25" t="s">
        <v>116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0B119A744C394FBE30F98CDB95C25F" ma:contentTypeVersion="13" ma:contentTypeDescription="Create a new document." ma:contentTypeScope="" ma:versionID="988c1e0abf1736cd87b965bac56d4ff5">
  <xsd:schema xmlns:xsd="http://www.w3.org/2001/XMLSchema" xmlns:xs="http://www.w3.org/2001/XMLSchema" xmlns:p="http://schemas.microsoft.com/office/2006/metadata/properties" xmlns:ns2="c0aeaa5f-9902-4227-943a-d50ef2f24097" xmlns:ns3="f19ba8ee-fde7-4e05-a035-587ad3022cfe" targetNamespace="http://schemas.microsoft.com/office/2006/metadata/properties" ma:root="true" ma:fieldsID="2c947f3dffba9f31b67f9a6d62fc2dbf" ns2:_="" ns3:_="">
    <xsd:import namespace="c0aeaa5f-9902-4227-943a-d50ef2f24097"/>
    <xsd:import namespace="f19ba8ee-fde7-4e05-a035-587ad3022c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aeaa5f-9902-4227-943a-d50ef2f240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ba8ee-fde7-4e05-a035-587ad3022cf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c1f8bfc-9ede-4497-8f2d-81e759cb33cd}" ma:internalName="TaxCatchAll" ma:showField="CatchAllData" ma:web="f19ba8ee-fde7-4e05-a035-587ad3022c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19ba8ee-fde7-4e05-a035-587ad3022cfe" xsi:nil="true"/>
    <lcf76f155ced4ddcb4097134ff3c332f xmlns="c0aeaa5f-9902-4227-943a-d50ef2f2409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F2EC5CE-3932-4A81-8CE5-2341E71417AA}"/>
</file>

<file path=customXml/itemProps2.xml><?xml version="1.0" encoding="utf-8"?>
<ds:datastoreItem xmlns:ds="http://schemas.openxmlformats.org/officeDocument/2006/customXml" ds:itemID="{5F8B6B13-09A6-45E2-A1F1-C13E7CB7BE45}"/>
</file>

<file path=customXml/itemProps3.xml><?xml version="1.0" encoding="utf-8"?>
<ds:datastoreItem xmlns:ds="http://schemas.openxmlformats.org/officeDocument/2006/customXml" ds:itemID="{B881E84A-A6A5-4AAD-9B2C-66ADD8573A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calcs</vt:lpstr>
      <vt:lpstr>v_min</vt:lpstr>
      <vt:lpstr>A</vt:lpstr>
      <vt:lpstr>alpha</vt:lpstr>
      <vt:lpstr>area_ratio</vt:lpstr>
      <vt:lpstr>D</vt:lpstr>
      <vt:lpstr>DPcalc</vt:lpstr>
      <vt:lpstr>DPest</vt:lpstr>
      <vt:lpstr>DZ</vt:lpstr>
      <vt:lpstr>eta</vt:lpstr>
      <vt:lpstr>f</vt:lpstr>
      <vt:lpstr>Fc</vt:lpstr>
      <vt:lpstr>Fe</vt:lpstr>
      <vt:lpstr>fs</vt:lpstr>
      <vt:lpstr>g</vt:lpstr>
      <vt:lpstr>k</vt:lpstr>
      <vt:lpstr>Kc</vt:lpstr>
      <vt:lpstr>L</vt:lpstr>
      <vt:lpstr>Le</vt:lpstr>
      <vt:lpstr>Leq</vt:lpstr>
      <vt:lpstr>ma</vt:lpstr>
      <vt:lpstr>ms</vt:lpstr>
      <vt:lpstr>mv</vt:lpstr>
      <vt:lpstr>MW</vt:lpstr>
      <vt:lpstr>Nel</vt:lpstr>
      <vt:lpstr>Pa</vt:lpstr>
      <vt:lpstr>Pavg</vt:lpstr>
      <vt:lpstr>Pb</vt:lpstr>
      <vt:lpstr>Pc</vt:lpstr>
      <vt:lpstr>Pf</vt:lpstr>
      <vt:lpstr>Pfeed</vt:lpstr>
      <vt:lpstr>Pfric</vt:lpstr>
      <vt:lpstr>Rgas</vt:lpstr>
      <vt:lpstr>rho_air</vt:lpstr>
      <vt:lpstr>rho_in</vt:lpstr>
      <vt:lpstr>rho_mix</vt:lpstr>
      <vt:lpstr>rho_s</vt:lpstr>
      <vt:lpstr>Tfeed</vt:lpstr>
      <vt:lpstr>Tfeed_K</vt:lpstr>
      <vt:lpstr>vavg</vt:lpstr>
      <vt:lpstr>vfeed</vt:lpstr>
    </vt:vector>
  </TitlesOfParts>
  <Company>US Military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Biaglow</dc:creator>
  <cp:lastModifiedBy>Biaglow, Andrew Dr.</cp:lastModifiedBy>
  <cp:lastPrinted>2016-01-20T13:33:25Z</cp:lastPrinted>
  <dcterms:created xsi:type="dcterms:W3CDTF">2010-01-20T00:03:09Z</dcterms:created>
  <dcterms:modified xsi:type="dcterms:W3CDTF">2022-01-20T13:49:19Z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0x010100DB0B119A744C394FBE30F98CDB95C25F</vt:lpwstr>
  </property>
</Properties>
</file>