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7196\Documents\003 Courses\CH402web\spreadsheets\"/>
    </mc:Choice>
  </mc:AlternateContent>
  <bookViews>
    <workbookView xWindow="60" yWindow="45" windowWidth="15210" windowHeight="9750" tabRatio="741" activeTab="1"/>
  </bookViews>
  <sheets>
    <sheet name="Instructions" sheetId="13" r:id="rId1"/>
    <sheet name="Capital Inv." sheetId="11" r:id="rId2"/>
    <sheet name="Materials&amp;Labor" sheetId="2" r:id="rId3"/>
    <sheet name="Utilities" sheetId="5" r:id="rId4"/>
    <sheet name="Depreciation" sheetId="7" r:id="rId5"/>
    <sheet name="Annual TPC" sheetId="10" r:id="rId6"/>
    <sheet name="Evaluation" sheetId="9" r:id="rId7"/>
    <sheet name="Year-0 $" sheetId="14" r:id="rId8"/>
  </sheets>
  <externalReferences>
    <externalReference r:id="rId9"/>
    <externalReference r:id="rId10"/>
  </externalReferences>
  <definedNames>
    <definedName name="Annual_operating_labor">'Materials&amp;Labor'!$J$11</definedName>
    <definedName name="Annual_Products_Value">'Materials&amp;Labor'!$D$17</definedName>
    <definedName name="Annual_Raw_Materials_Cost">'Materials&amp;Labor'!$D$31</definedName>
    <definedName name="C0" localSheetId="5">'Annual TPC'!$G$35</definedName>
    <definedName name="Depreciation_schedule" localSheetId="5">'Annual TPC'!#REF!</definedName>
    <definedName name="FCI" localSheetId="1">'Capital Inv.'!$H$32</definedName>
    <definedName name="Operating_time" localSheetId="5">'Annual TPC'!$D$7</definedName>
    <definedName name="Operating_time" localSheetId="1">'[1]First year'!$E$8</definedName>
    <definedName name="_xlnm.Print_Area" localSheetId="5">'Annual TPC'!$A$1:$I$38</definedName>
    <definedName name="Purchased_and_installed_equipment_costs" localSheetId="1">'[1]Equipment costs'!$F$6</definedName>
    <definedName name="Purchased_equipment_costs" localSheetId="1">'[1]Equipment costs'!$F$5</definedName>
    <definedName name="Sites" localSheetId="1">[2]VGA!$B$108:$B$117</definedName>
    <definedName name="solver_adj" localSheetId="6" hidden="1">Evaluation!$C$49</definedName>
    <definedName name="solver_adj" localSheetId="7" hidden="1">'Year-0 $'!$C$39</definedName>
    <definedName name="solver_cvg" localSheetId="6" hidden="1">0.0001</definedName>
    <definedName name="solver_cvg" localSheetId="7" hidden="1">0.0001</definedName>
    <definedName name="solver_drv" localSheetId="6" hidden="1">1</definedName>
    <definedName name="solver_drv" localSheetId="7" hidden="1">1</definedName>
    <definedName name="solver_est" localSheetId="6" hidden="1">1</definedName>
    <definedName name="solver_est" localSheetId="7" hidden="1">1</definedName>
    <definedName name="solver_itr" localSheetId="6" hidden="1">100</definedName>
    <definedName name="solver_itr" localSheetId="7" hidden="1">100</definedName>
    <definedName name="solver_lin" localSheetId="6" hidden="1">2</definedName>
    <definedName name="solver_lin" localSheetId="7" hidden="1">2</definedName>
    <definedName name="solver_neg" localSheetId="6" hidden="1">2</definedName>
    <definedName name="solver_neg" localSheetId="7" hidden="1">2</definedName>
    <definedName name="solver_num" localSheetId="6" hidden="1">0</definedName>
    <definedName name="solver_num" localSheetId="7" hidden="1">0</definedName>
    <definedName name="solver_nwt" localSheetId="6" hidden="1">1</definedName>
    <definedName name="solver_nwt" localSheetId="7" hidden="1">1</definedName>
    <definedName name="solver_opt" localSheetId="6" hidden="1">Evaluation!$R$51</definedName>
    <definedName name="solver_opt" localSheetId="7" hidden="1">'Year-0 $'!$R$41</definedName>
    <definedName name="solver_pre" localSheetId="6" hidden="1">0.000001</definedName>
    <definedName name="solver_pre" localSheetId="7" hidden="1">0.000001</definedName>
    <definedName name="solver_scl" localSheetId="6" hidden="1">2</definedName>
    <definedName name="solver_scl" localSheetId="7" hidden="1">2</definedName>
    <definedName name="solver_sho" localSheetId="6" hidden="1">2</definedName>
    <definedName name="solver_sho" localSheetId="7" hidden="1">2</definedName>
    <definedName name="solver_tim" localSheetId="6" hidden="1">100</definedName>
    <definedName name="solver_tim" localSheetId="7" hidden="1">100</definedName>
    <definedName name="solver_tol" localSheetId="6" hidden="1">0.05</definedName>
    <definedName name="solver_tol" localSheetId="7" hidden="1">0.05</definedName>
    <definedName name="solver_typ" localSheetId="6" hidden="1">3</definedName>
    <definedName name="solver_typ" localSheetId="7" hidden="1">3</definedName>
    <definedName name="solver_val" localSheetId="6" hidden="1">0</definedName>
    <definedName name="solver_val" localSheetId="7" hidden="1">0</definedName>
    <definedName name="TCI" localSheetId="1">'Capital Inv.'!$H$36</definedName>
    <definedName name="Working_Capital" localSheetId="5">#REF!</definedName>
    <definedName name="Working_Capital" localSheetId="1">'Capital Inv.'!$H$34</definedName>
  </definedNames>
  <calcPr calcId="152511"/>
</workbook>
</file>

<file path=xl/calcChain.xml><?xml version="1.0" encoding="utf-8"?>
<calcChain xmlns="http://schemas.openxmlformats.org/spreadsheetml/2006/main">
  <c r="J16" i="2" l="1"/>
  <c r="I11" i="2"/>
  <c r="J11" i="2"/>
  <c r="G13" i="10" s="1"/>
  <c r="D25" i="2"/>
  <c r="D26" i="2"/>
  <c r="D27" i="2"/>
  <c r="D28" i="2"/>
  <c r="D29" i="2"/>
  <c r="D30" i="2"/>
  <c r="D31" i="2"/>
  <c r="G12" i="10" s="1"/>
  <c r="G20" i="10"/>
  <c r="F12" i="5"/>
  <c r="F13" i="5"/>
  <c r="F15" i="5"/>
  <c r="F16" i="5"/>
  <c r="F18" i="5"/>
  <c r="F19" i="5"/>
  <c r="F20" i="5"/>
  <c r="F21" i="5"/>
  <c r="F23" i="5"/>
  <c r="F24" i="5"/>
  <c r="F25" i="5"/>
  <c r="F26" i="5"/>
  <c r="F28" i="5"/>
  <c r="F29" i="5"/>
  <c r="F30" i="5"/>
  <c r="F33" i="5"/>
  <c r="F35" i="5"/>
  <c r="F36" i="5"/>
  <c r="F38" i="5"/>
  <c r="F40" i="5"/>
  <c r="F41" i="5"/>
  <c r="H13" i="11"/>
  <c r="H14" i="11"/>
  <c r="H15" i="11"/>
  <c r="H16" i="11"/>
  <c r="H18" i="11"/>
  <c r="H19" i="11"/>
  <c r="H20" i="11"/>
  <c r="H25" i="11"/>
  <c r="H26" i="11"/>
  <c r="H28" i="11"/>
  <c r="H29" i="11"/>
  <c r="G30" i="11"/>
  <c r="G22" i="11"/>
  <c r="F30" i="11"/>
  <c r="E30" i="11"/>
  <c r="D30" i="11"/>
  <c r="H34" i="11"/>
  <c r="F22" i="11"/>
  <c r="E22" i="11"/>
  <c r="D22" i="11"/>
  <c r="B14" i="7"/>
  <c r="T17" i="7"/>
  <c r="B15" i="7"/>
  <c r="V17" i="7"/>
  <c r="U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L15" i="7"/>
  <c r="K15" i="7"/>
  <c r="J15" i="7"/>
  <c r="I15" i="7"/>
  <c r="H15" i="7"/>
  <c r="G15" i="7"/>
  <c r="F15" i="7"/>
  <c r="E15" i="7"/>
  <c r="D15" i="7"/>
  <c r="C15" i="7"/>
  <c r="I14" i="7"/>
  <c r="H14" i="7"/>
  <c r="G14" i="7"/>
  <c r="F14" i="7"/>
  <c r="E14" i="7"/>
  <c r="D14" i="7"/>
  <c r="C14" i="7"/>
  <c r="G13" i="7"/>
  <c r="F13" i="7"/>
  <c r="E13" i="7"/>
  <c r="D13" i="7"/>
  <c r="C13" i="7"/>
  <c r="B13" i="7"/>
  <c r="B12" i="7"/>
  <c r="C12" i="7"/>
  <c r="D12" i="7"/>
  <c r="E12" i="7"/>
  <c r="C11" i="7"/>
  <c r="D11" i="7"/>
  <c r="E11" i="7" s="1"/>
  <c r="F11" i="7"/>
  <c r="G11" i="7" s="1"/>
  <c r="H11" i="7" s="1"/>
  <c r="I11" i="7" s="1"/>
  <c r="J11" i="7" s="1"/>
  <c r="K11" i="7" s="1"/>
  <c r="L11" i="7"/>
  <c r="M11" i="7" s="1"/>
  <c r="N11" i="7" s="1"/>
  <c r="O11" i="7" s="1"/>
  <c r="P11" i="7" s="1"/>
  <c r="Q11" i="7" s="1"/>
  <c r="R11" i="7" s="1"/>
  <c r="S11" i="7" s="1"/>
  <c r="T11" i="7" s="1"/>
  <c r="U11" i="7" s="1"/>
  <c r="V11" i="7" s="1"/>
  <c r="D11" i="2"/>
  <c r="D12" i="2"/>
  <c r="D13" i="2"/>
  <c r="D14" i="2"/>
  <c r="D15" i="2"/>
  <c r="D16" i="2"/>
  <c r="U30" i="9"/>
  <c r="R6" i="9"/>
  <c r="D27" i="9"/>
  <c r="D41" i="9" s="1"/>
  <c r="Q12" i="9"/>
  <c r="R12" i="9" s="1"/>
  <c r="H17" i="9"/>
  <c r="J17" i="9"/>
  <c r="K17" i="9"/>
  <c r="L17" i="9"/>
  <c r="M17" i="9"/>
  <c r="N17" i="9"/>
  <c r="O17" i="9"/>
  <c r="Q17" i="9"/>
  <c r="Q15" i="9"/>
  <c r="R1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D35" i="9"/>
  <c r="D36" i="9"/>
  <c r="H22" i="9"/>
  <c r="I22" i="9"/>
  <c r="J22" i="9"/>
  <c r="K22" i="9"/>
  <c r="L22" i="9"/>
  <c r="M22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D4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D50" i="9"/>
  <c r="D51" i="9"/>
  <c r="G37" i="9"/>
  <c r="D28" i="9"/>
  <c r="F32" i="9"/>
  <c r="E12" i="14"/>
  <c r="F12" i="14"/>
  <c r="G12" i="14"/>
  <c r="U30" i="14"/>
  <c r="R6" i="14"/>
  <c r="F45" i="14"/>
  <c r="E45" i="14"/>
  <c r="D27" i="14"/>
  <c r="D28" i="14"/>
  <c r="H17" i="14"/>
  <c r="I17" i="14"/>
  <c r="J17" i="14"/>
  <c r="K17" i="14"/>
  <c r="L17" i="14"/>
  <c r="M17" i="14"/>
  <c r="N17" i="14"/>
  <c r="O17" i="14"/>
  <c r="P17" i="14"/>
  <c r="Q17" i="14"/>
  <c r="I22" i="14"/>
  <c r="J22" i="14"/>
  <c r="K22" i="14"/>
  <c r="L22" i="14"/>
  <c r="M22" i="14"/>
  <c r="H22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D35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D40" i="14"/>
  <c r="D41" i="14" s="1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D50" i="14"/>
  <c r="H45" i="14"/>
  <c r="I45" i="14"/>
  <c r="J45" i="14"/>
  <c r="L45" i="14"/>
  <c r="M45" i="14"/>
  <c r="N45" i="14"/>
  <c r="P45" i="14"/>
  <c r="Q45" i="14"/>
  <c r="G47" i="14"/>
  <c r="Q15" i="14"/>
  <c r="G37" i="14"/>
  <c r="F32" i="14"/>
  <c r="R15" i="14"/>
  <c r="D51" i="14" l="1"/>
  <c r="D45" i="9"/>
  <c r="D46" i="9" s="1"/>
  <c r="I45" i="9"/>
  <c r="M45" i="9"/>
  <c r="Q45" i="9"/>
  <c r="K45" i="9"/>
  <c r="P45" i="9"/>
  <c r="E45" i="9"/>
  <c r="L45" i="9"/>
  <c r="G47" i="9"/>
  <c r="O45" i="9"/>
  <c r="F45" i="9"/>
  <c r="H45" i="9"/>
  <c r="F14" i="10"/>
  <c r="G14" i="10" s="1"/>
  <c r="F18" i="10"/>
  <c r="G18" i="10" s="1"/>
  <c r="N45" i="9"/>
  <c r="D17" i="2"/>
  <c r="J45" i="9"/>
  <c r="R17" i="9"/>
  <c r="G45" i="9"/>
  <c r="B6" i="5"/>
  <c r="G15" i="10" s="1"/>
  <c r="D36" i="14"/>
  <c r="R17" i="14"/>
  <c r="Q12" i="14"/>
  <c r="R12" i="14" s="1"/>
  <c r="G45" i="14"/>
  <c r="D45" i="14"/>
  <c r="D46" i="14" s="1"/>
  <c r="K45" i="14"/>
  <c r="O45" i="14"/>
  <c r="H17" i="11"/>
  <c r="H22" i="11" s="1"/>
  <c r="H32" i="11" s="1"/>
  <c r="H21" i="11"/>
  <c r="H27" i="11"/>
  <c r="H30" i="11" s="1"/>
  <c r="H36" i="11" l="1"/>
  <c r="E13" i="9"/>
  <c r="E13" i="14"/>
  <c r="F13" i="9"/>
  <c r="F16" i="9" s="1"/>
  <c r="F27" i="9" s="1"/>
  <c r="G13" i="14"/>
  <c r="F13" i="14"/>
  <c r="F16" i="14" s="1"/>
  <c r="F27" i="14" s="1"/>
  <c r="G13" i="9"/>
  <c r="F46" i="9"/>
  <c r="L20" i="9"/>
  <c r="P20" i="9"/>
  <c r="I20" i="14"/>
  <c r="M20" i="14"/>
  <c r="Q20" i="14"/>
  <c r="M20" i="9"/>
  <c r="H20" i="9"/>
  <c r="N20" i="14"/>
  <c r="I20" i="9"/>
  <c r="N20" i="9"/>
  <c r="J20" i="14"/>
  <c r="O20" i="14"/>
  <c r="J20" i="9"/>
  <c r="H20" i="14"/>
  <c r="K20" i="9"/>
  <c r="K20" i="14"/>
  <c r="Q20" i="9"/>
  <c r="L20" i="14"/>
  <c r="O20" i="9"/>
  <c r="P20" i="14"/>
  <c r="F41" i="9" l="1"/>
  <c r="F36" i="9"/>
  <c r="F51" i="9"/>
  <c r="R13" i="14"/>
  <c r="E16" i="14"/>
  <c r="R20" i="9"/>
  <c r="F46" i="14"/>
  <c r="F51" i="14"/>
  <c r="F36" i="14"/>
  <c r="F41" i="14"/>
  <c r="R13" i="9"/>
  <c r="E16" i="9"/>
  <c r="R20" i="14"/>
  <c r="E27" i="9" l="1"/>
  <c r="E28" i="9"/>
  <c r="F28" i="9" s="1"/>
  <c r="E27" i="14"/>
  <c r="I23" i="9"/>
  <c r="K23" i="9"/>
  <c r="M23" i="9"/>
  <c r="J23" i="9"/>
  <c r="H18" i="9"/>
  <c r="H23" i="9"/>
  <c r="D8" i="10"/>
  <c r="L23" i="9"/>
  <c r="G14" i="9"/>
  <c r="I23" i="14"/>
  <c r="K23" i="14"/>
  <c r="M23" i="14"/>
  <c r="L23" i="14"/>
  <c r="J23" i="14"/>
  <c r="H23" i="14"/>
  <c r="H18" i="14"/>
  <c r="G14" i="14"/>
  <c r="Q14" i="14" l="1"/>
  <c r="R14" i="14"/>
  <c r="G16" i="14"/>
  <c r="F24" i="10"/>
  <c r="G24" i="10" s="1"/>
  <c r="F22" i="10"/>
  <c r="G22" i="10" s="1"/>
  <c r="G27" i="10" s="1"/>
  <c r="F16" i="10"/>
  <c r="G16" i="10" s="1"/>
  <c r="F23" i="10"/>
  <c r="G23" i="10" s="1"/>
  <c r="F25" i="10"/>
  <c r="G25" i="10" s="1"/>
  <c r="E46" i="14"/>
  <c r="E36" i="14"/>
  <c r="E51" i="14"/>
  <c r="E41" i="14"/>
  <c r="E28" i="14"/>
  <c r="F28" i="14" s="1"/>
  <c r="E36" i="9"/>
  <c r="E51" i="9"/>
  <c r="E41" i="9"/>
  <c r="E46" i="9"/>
  <c r="R23" i="14"/>
  <c r="Q14" i="9"/>
  <c r="R14" i="9"/>
  <c r="G16" i="9"/>
  <c r="R23" i="9"/>
  <c r="G28" i="9"/>
  <c r="F17" i="10" l="1"/>
  <c r="G17" i="10" s="1"/>
  <c r="F31" i="10"/>
  <c r="G31" i="10" s="1"/>
  <c r="G35" i="10"/>
  <c r="F28" i="10"/>
  <c r="G28" i="10" s="1"/>
  <c r="G29" i="10" s="1"/>
  <c r="G27" i="9"/>
  <c r="R16" i="9"/>
  <c r="V31" i="9" s="1"/>
  <c r="G27" i="14"/>
  <c r="R16" i="14"/>
  <c r="V31" i="14" s="1"/>
  <c r="G36" i="14" l="1"/>
  <c r="G41" i="14"/>
  <c r="G51" i="14"/>
  <c r="G46" i="14"/>
  <c r="G41" i="9"/>
  <c r="G36" i="9"/>
  <c r="G51" i="9"/>
  <c r="G46" i="9"/>
  <c r="F19" i="10"/>
  <c r="G19" i="10" s="1"/>
  <c r="G21" i="10" s="1"/>
  <c r="F32" i="10"/>
  <c r="G32" i="10" s="1"/>
  <c r="G34" i="10" s="1"/>
  <c r="F33" i="10"/>
  <c r="G33" i="10" s="1"/>
  <c r="G28" i="14"/>
  <c r="H21" i="9" l="1"/>
  <c r="L21" i="9"/>
  <c r="L24" i="9" s="1"/>
  <c r="L25" i="9" s="1"/>
  <c r="L26" i="9" s="1"/>
  <c r="L27" i="9" s="1"/>
  <c r="P21" i="9"/>
  <c r="P24" i="9" s="1"/>
  <c r="P25" i="9" s="1"/>
  <c r="P26" i="9" s="1"/>
  <c r="P27" i="9" s="1"/>
  <c r="H21" i="14"/>
  <c r="G30" i="10"/>
  <c r="M21" i="9"/>
  <c r="M24" i="9" s="1"/>
  <c r="M25" i="9" s="1"/>
  <c r="M26" i="9" s="1"/>
  <c r="M27" i="9" s="1"/>
  <c r="N21" i="9"/>
  <c r="N24" i="9" s="1"/>
  <c r="N25" i="9" s="1"/>
  <c r="N26" i="9" s="1"/>
  <c r="N27" i="9" s="1"/>
  <c r="O21" i="9"/>
  <c r="O24" i="9" s="1"/>
  <c r="O25" i="9" s="1"/>
  <c r="O26" i="9" s="1"/>
  <c r="O27" i="9" s="1"/>
  <c r="M21" i="14"/>
  <c r="M24" i="14" s="1"/>
  <c r="M25" i="14" s="1"/>
  <c r="M26" i="14" s="1"/>
  <c r="M27" i="14" s="1"/>
  <c r="Q21" i="14"/>
  <c r="Q24" i="14" s="1"/>
  <c r="Q25" i="14" s="1"/>
  <c r="Q26" i="14" s="1"/>
  <c r="Q27" i="14" s="1"/>
  <c r="I21" i="9"/>
  <c r="I24" i="9" s="1"/>
  <c r="I25" i="9" s="1"/>
  <c r="I26" i="9" s="1"/>
  <c r="I27" i="9" s="1"/>
  <c r="J21" i="9"/>
  <c r="J24" i="9" s="1"/>
  <c r="J25" i="9" s="1"/>
  <c r="J26" i="9" s="1"/>
  <c r="J27" i="9" s="1"/>
  <c r="K21" i="9"/>
  <c r="K24" i="9" s="1"/>
  <c r="K25" i="9" s="1"/>
  <c r="K26" i="9" s="1"/>
  <c r="K27" i="9" s="1"/>
  <c r="N21" i="14"/>
  <c r="N24" i="14" s="1"/>
  <c r="N25" i="14" s="1"/>
  <c r="N26" i="14" s="1"/>
  <c r="N27" i="14" s="1"/>
  <c r="I21" i="14"/>
  <c r="I24" i="14" s="1"/>
  <c r="I25" i="14" s="1"/>
  <c r="I26" i="14" s="1"/>
  <c r="I27" i="14" s="1"/>
  <c r="K21" i="14"/>
  <c r="K24" i="14" s="1"/>
  <c r="K25" i="14" s="1"/>
  <c r="K26" i="14" s="1"/>
  <c r="K27" i="14" s="1"/>
  <c r="Q21" i="9"/>
  <c r="Q24" i="9" s="1"/>
  <c r="Q25" i="9" s="1"/>
  <c r="Q26" i="9" s="1"/>
  <c r="Q27" i="9" s="1"/>
  <c r="P21" i="14"/>
  <c r="P24" i="14" s="1"/>
  <c r="P25" i="14" s="1"/>
  <c r="P26" i="14" s="1"/>
  <c r="P27" i="14" s="1"/>
  <c r="J21" i="14"/>
  <c r="J24" i="14" s="1"/>
  <c r="J25" i="14" s="1"/>
  <c r="J26" i="14" s="1"/>
  <c r="J27" i="14" s="1"/>
  <c r="L21" i="14"/>
  <c r="L24" i="14" s="1"/>
  <c r="L25" i="14" s="1"/>
  <c r="L26" i="14" s="1"/>
  <c r="L27" i="14" s="1"/>
  <c r="O21" i="14"/>
  <c r="O24" i="14" s="1"/>
  <c r="O25" i="14" s="1"/>
  <c r="O26" i="14" s="1"/>
  <c r="O27" i="14" s="1"/>
  <c r="I36" i="9" l="1"/>
  <c r="I41" i="9"/>
  <c r="I51" i="9"/>
  <c r="I46" i="9"/>
  <c r="J51" i="14"/>
  <c r="J36" i="14"/>
  <c r="J46" i="14"/>
  <c r="J41" i="14"/>
  <c r="I36" i="14"/>
  <c r="I41" i="14"/>
  <c r="I46" i="14"/>
  <c r="I51" i="14"/>
  <c r="N41" i="9"/>
  <c r="N51" i="9"/>
  <c r="N36" i="9"/>
  <c r="N46" i="9"/>
  <c r="P51" i="9"/>
  <c r="P36" i="9"/>
  <c r="P41" i="9"/>
  <c r="P46" i="9"/>
  <c r="P41" i="14"/>
  <c r="P46" i="14"/>
  <c r="P51" i="14"/>
  <c r="P36" i="14"/>
  <c r="N51" i="14"/>
  <c r="N36" i="14"/>
  <c r="N46" i="14"/>
  <c r="N41" i="14"/>
  <c r="Q36" i="14"/>
  <c r="Q41" i="14"/>
  <c r="Q51" i="14"/>
  <c r="Q46" i="14"/>
  <c r="M36" i="9"/>
  <c r="M41" i="9"/>
  <c r="M51" i="9"/>
  <c r="M46" i="9"/>
  <c r="L51" i="9"/>
  <c r="L36" i="9"/>
  <c r="L41" i="9"/>
  <c r="L46" i="9"/>
  <c r="O51" i="14"/>
  <c r="O36" i="14"/>
  <c r="O41" i="14"/>
  <c r="O46" i="14"/>
  <c r="Q36" i="9"/>
  <c r="Q51" i="9"/>
  <c r="Q41" i="9"/>
  <c r="Q46" i="9"/>
  <c r="K41" i="9"/>
  <c r="K36" i="9"/>
  <c r="K51" i="9"/>
  <c r="K46" i="9"/>
  <c r="M36" i="14"/>
  <c r="M51" i="14"/>
  <c r="M46" i="14"/>
  <c r="M41" i="14"/>
  <c r="R21" i="9"/>
  <c r="H24" i="9"/>
  <c r="L41" i="14"/>
  <c r="L46" i="14"/>
  <c r="L51" i="14"/>
  <c r="L36" i="14"/>
  <c r="K36" i="14"/>
  <c r="K41" i="14"/>
  <c r="K51" i="14"/>
  <c r="K46" i="14"/>
  <c r="J41" i="9"/>
  <c r="J51" i="9"/>
  <c r="J36" i="9"/>
  <c r="J46" i="9"/>
  <c r="O41" i="9"/>
  <c r="O36" i="9"/>
  <c r="O51" i="9"/>
  <c r="O46" i="9"/>
  <c r="R21" i="14"/>
  <c r="H24" i="14"/>
  <c r="H25" i="14" l="1"/>
  <c r="R24" i="14"/>
  <c r="H25" i="9"/>
  <c r="R24" i="9"/>
  <c r="H26" i="14" l="1"/>
  <c r="R25" i="14"/>
  <c r="R25" i="9"/>
  <c r="H26" i="9"/>
  <c r="H27" i="9" l="1"/>
  <c r="R26" i="9"/>
  <c r="D31" i="9" s="1"/>
  <c r="D30" i="9"/>
  <c r="D32" i="9"/>
  <c r="D30" i="14"/>
  <c r="D32" i="14"/>
  <c r="H27" i="14"/>
  <c r="R26" i="14"/>
  <c r="D31" i="14" s="1"/>
  <c r="H41" i="14" l="1"/>
  <c r="R41" i="14" s="1"/>
  <c r="H36" i="14"/>
  <c r="R36" i="14" s="1"/>
  <c r="D37" i="14" s="1"/>
  <c r="H51" i="14"/>
  <c r="R51" i="14" s="1"/>
  <c r="H46" i="14"/>
  <c r="R46" i="14" s="1"/>
  <c r="D47" i="14" s="1"/>
  <c r="R27" i="14"/>
  <c r="H28" i="14"/>
  <c r="I28" i="14" s="1"/>
  <c r="J28" i="14" s="1"/>
  <c r="K28" i="14" s="1"/>
  <c r="L28" i="14" s="1"/>
  <c r="M28" i="14" s="1"/>
  <c r="N28" i="14" s="1"/>
  <c r="O28" i="14" s="1"/>
  <c r="P28" i="14" s="1"/>
  <c r="Q28" i="14" s="1"/>
  <c r="H41" i="9"/>
  <c r="R41" i="9" s="1"/>
  <c r="H51" i="9"/>
  <c r="R51" i="9" s="1"/>
  <c r="H36" i="9"/>
  <c r="R36" i="9" s="1"/>
  <c r="D37" i="9" s="1"/>
  <c r="H46" i="9"/>
  <c r="R46" i="9" s="1"/>
  <c r="D47" i="9" s="1"/>
  <c r="H28" i="9"/>
  <c r="I28" i="9" s="1"/>
  <c r="J28" i="9" s="1"/>
  <c r="K28" i="9" s="1"/>
  <c r="L28" i="9" s="1"/>
  <c r="M28" i="9" s="1"/>
  <c r="N28" i="9" s="1"/>
  <c r="O28" i="9" s="1"/>
  <c r="P28" i="9" s="1"/>
  <c r="Q28" i="9" s="1"/>
  <c r="R27" i="9"/>
  <c r="D48" i="14" l="1"/>
  <c r="D38" i="14"/>
  <c r="D38" i="9"/>
  <c r="D48" i="9"/>
</calcChain>
</file>

<file path=xl/comments1.xml><?xml version="1.0" encoding="utf-8"?>
<comments xmlns="http://schemas.openxmlformats.org/spreadsheetml/2006/main">
  <authors>
    <author>Ronald E. West</author>
  </authors>
  <commentList>
    <comment ref="G35" authorId="0" shapeId="0">
      <text>
        <r>
          <rPr>
            <sz val="8"/>
            <color indexed="81"/>
            <rFont val="Tahoma"/>
            <family val="2"/>
          </rPr>
          <t xml:space="preserve">Calculated by summing all of the  terms above that do </t>
        </r>
        <r>
          <rPr>
            <u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depend on </t>
        </r>
        <r>
          <rPr>
            <b/>
            <i/>
            <sz val="8"/>
            <color indexed="81"/>
            <rFont val="Tahoma"/>
            <family val="2"/>
          </rPr>
          <t>c</t>
        </r>
        <r>
          <rPr>
            <b/>
            <i/>
            <vertAlign val="subscript"/>
            <sz val="8"/>
            <color indexed="81"/>
            <rFont val="Tahoma"/>
            <family val="2"/>
          </rPr>
          <t xml:space="preserve">o  </t>
        </r>
        <r>
          <rPr>
            <sz val="8"/>
            <color indexed="81"/>
            <rFont val="Tahoma"/>
            <family val="2"/>
          </rPr>
          <t xml:space="preserve">then dividing that sum by the fraction of </t>
        </r>
        <r>
          <rPr>
            <b/>
            <i/>
            <sz val="8"/>
            <color indexed="81"/>
            <rFont val="Tahoma"/>
            <family val="2"/>
          </rPr>
          <t>c</t>
        </r>
        <r>
          <rPr>
            <b/>
            <i/>
            <vertAlign val="subscript"/>
            <sz val="8"/>
            <color indexed="81"/>
            <rFont val="Tahoma"/>
            <family val="2"/>
          </rPr>
          <t>o</t>
        </r>
        <r>
          <rPr>
            <b/>
            <i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represented by all the summed terms, that is (1-d19-d20-d32-d33).
</t>
        </r>
      </text>
    </comment>
  </commentList>
</comments>
</file>

<file path=xl/sharedStrings.xml><?xml version="1.0" encoding="utf-8"?>
<sst xmlns="http://schemas.openxmlformats.org/spreadsheetml/2006/main" count="484" uniqueCount="338">
  <si>
    <t>in subsequent sheets.  Default values may be replaced by the user.</t>
  </si>
  <si>
    <t>Calculated values, million $</t>
  </si>
  <si>
    <t>Subtotal</t>
  </si>
  <si>
    <t>Utility</t>
  </si>
  <si>
    <t>Air, compressed</t>
  </si>
  <si>
    <t xml:space="preserve">     Process air</t>
  </si>
  <si>
    <t>Electricity</t>
  </si>
  <si>
    <t xml:space="preserve">     Purchased, U.S. average</t>
  </si>
  <si>
    <t xml:space="preserve">     Self-generated</t>
  </si>
  <si>
    <t>Fuel</t>
  </si>
  <si>
    <t xml:space="preserve">     Coal</t>
  </si>
  <si>
    <t xml:space="preserve">     Fuel oil</t>
  </si>
  <si>
    <t>Refrigeration, to temperature</t>
  </si>
  <si>
    <t>Steam, saturated</t>
  </si>
  <si>
    <t xml:space="preserve">     3550 kPa</t>
  </si>
  <si>
    <t xml:space="preserve">       790 kPa</t>
  </si>
  <si>
    <t>Waste water</t>
  </si>
  <si>
    <t xml:space="preserve">     Disposal</t>
  </si>
  <si>
    <t xml:space="preserve">     Treatment</t>
  </si>
  <si>
    <t xml:space="preserve">     Hazardous</t>
  </si>
  <si>
    <t xml:space="preserve">     Non-hazardous</t>
  </si>
  <si>
    <t>Water</t>
  </si>
  <si>
    <t xml:space="preserve">     Cooling</t>
  </si>
  <si>
    <t xml:space="preserve">     Process</t>
  </si>
  <si>
    <t xml:space="preserve">          General</t>
  </si>
  <si>
    <t xml:space="preserve">          Distilled</t>
  </si>
  <si>
    <t xml:space="preserve">Products, Coproducts and Byproducts </t>
  </si>
  <si>
    <t>Required user input</t>
  </si>
  <si>
    <t>Name of Material</t>
  </si>
  <si>
    <t>Price, $/kg</t>
  </si>
  <si>
    <t>Raw Materials</t>
  </si>
  <si>
    <t>Annual Amount, million kg/y</t>
  </si>
  <si>
    <t>Default, may be changed</t>
  </si>
  <si>
    <t>Number of operators per shift*</t>
  </si>
  <si>
    <t>Shifts per day**</t>
  </si>
  <si>
    <t>ANNUAL OPERATING LABOR COSTS</t>
  </si>
  <si>
    <t xml:space="preserve">     Instrument air</t>
  </si>
  <si>
    <t>Annual operating labor cost, million $/y</t>
  </si>
  <si>
    <t xml:space="preserve">     Natural gas</t>
  </si>
  <si>
    <t xml:space="preserve">     Manufactured gas</t>
  </si>
  <si>
    <t>TOTAL UTILITY COST =</t>
  </si>
  <si>
    <t>million $/y</t>
  </si>
  <si>
    <t xml:space="preserve">Default unit cost </t>
  </si>
  <si>
    <t>$/kWh</t>
  </si>
  <si>
    <t>$/GJ</t>
  </si>
  <si>
    <t>$/1000 kg</t>
  </si>
  <si>
    <r>
      <t>#</t>
    </r>
    <r>
      <rPr>
        <sz val="12"/>
        <rFont val="Times New Roman"/>
        <family val="1"/>
      </rPr>
      <t xml:space="preserve">measured at </t>
    </r>
    <r>
      <rPr>
        <sz val="12"/>
        <rFont val="Times New Roman"/>
        <family val="1"/>
      </rPr>
      <t>101.3 kPa and 15°C.</t>
    </r>
  </si>
  <si>
    <t>Annual value of product, million $/y</t>
  </si>
  <si>
    <t xml:space="preserve">         UTILITY COSTS</t>
  </si>
  <si>
    <t>values are rough averages and may be changed.   Utility costs can differ widely with location.</t>
  </si>
  <si>
    <t>See Table 6-14 and Table B-1 for ranges of utility unit costs and sources of information.  Default</t>
  </si>
  <si>
    <t>DEPRECIATION</t>
  </si>
  <si>
    <t>3-year</t>
  </si>
  <si>
    <t>7-year</t>
  </si>
  <si>
    <t>10-year</t>
  </si>
  <si>
    <t>15-year</t>
  </si>
  <si>
    <t>20-year</t>
  </si>
  <si>
    <t xml:space="preserve"> </t>
  </si>
  <si>
    <t>See Figure 6-7 and 6-8</t>
  </si>
  <si>
    <t>RESULT</t>
  </si>
  <si>
    <t>Required, may be calculated here, in linked worksheet, or entered manually.</t>
  </si>
  <si>
    <t xml:space="preserve">  Capacity</t>
  </si>
  <si>
    <t xml:space="preserve">  Fixed Capital Investment, FCI</t>
  </si>
  <si>
    <t xml:space="preserve"> million $</t>
  </si>
  <si>
    <t xml:space="preserve">Operating supervision  </t>
  </si>
  <si>
    <t>of operating labor</t>
  </si>
  <si>
    <t>Maintenance and repairs</t>
  </si>
  <si>
    <t>of FCI</t>
  </si>
  <si>
    <t>Operating supplies</t>
  </si>
  <si>
    <t>of maintenance &amp; repair</t>
  </si>
  <si>
    <t xml:space="preserve">Laboratory charges </t>
  </si>
  <si>
    <t xml:space="preserve">Royalties (if not on lump-sum basis) </t>
  </si>
  <si>
    <t>Catalysts and solvents</t>
  </si>
  <si>
    <t>Taxes (property)</t>
  </si>
  <si>
    <t>Financing (interest)</t>
  </si>
  <si>
    <t>Insurance</t>
  </si>
  <si>
    <t xml:space="preserve">Rent </t>
  </si>
  <si>
    <t>Depreciation</t>
  </si>
  <si>
    <t xml:space="preserve">Plant overhead, general    </t>
  </si>
  <si>
    <t>of labor, supervision and maintenance</t>
  </si>
  <si>
    <t>Administration</t>
  </si>
  <si>
    <t>Distribution &amp; selling</t>
  </si>
  <si>
    <t>Research &amp; Development</t>
  </si>
  <si>
    <r>
      <t>10</t>
    </r>
    <r>
      <rPr>
        <vertAlign val="superscript"/>
        <sz val="12"/>
        <rFont val="Times New Roman"/>
        <family val="1"/>
      </rPr>
      <t>6</t>
    </r>
    <r>
      <rPr>
        <sz val="12"/>
        <rFont val="Times New Roman"/>
        <family val="1"/>
      </rPr>
      <t xml:space="preserve"> kg per year</t>
    </r>
  </si>
  <si>
    <r>
      <t>Raw materials</t>
    </r>
    <r>
      <rPr>
        <sz val="12"/>
        <rFont val="Times New Roman"/>
        <family val="1"/>
      </rPr>
      <t xml:space="preserve">   </t>
    </r>
  </si>
  <si>
    <r>
      <t>Operating labor</t>
    </r>
    <r>
      <rPr>
        <sz val="12"/>
        <rFont val="Times New Roman"/>
        <family val="1"/>
      </rPr>
      <t xml:space="preserve">   </t>
    </r>
  </si>
  <si>
    <r>
      <t>Utilities</t>
    </r>
    <r>
      <rPr>
        <sz val="12"/>
        <rFont val="Times New Roman"/>
        <family val="1"/>
      </rPr>
      <t xml:space="preserve"> </t>
    </r>
  </si>
  <si>
    <t>Row</t>
  </si>
  <si>
    <t>Sum</t>
  </si>
  <si>
    <t>Construction inflation rate, fraction/y     =</t>
  </si>
  <si>
    <t>TPC inflation rate, fraction/y                 =</t>
  </si>
  <si>
    <t>Default values, can be changed</t>
  </si>
  <si>
    <t>Required, user must supply</t>
  </si>
  <si>
    <t>Income tax rate =</t>
  </si>
  <si>
    <r>
      <t>Annual-compounding discount rate, fraction/y = minimum acceptable rate of return, m</t>
    </r>
    <r>
      <rPr>
        <vertAlign val="subscript"/>
        <sz val="10"/>
        <rFont val="Arial"/>
        <family val="2"/>
      </rPr>
      <t>ar</t>
    </r>
    <r>
      <rPr>
        <sz val="10"/>
        <rFont val="Arial"/>
        <family val="2"/>
      </rPr>
      <t xml:space="preserve"> =</t>
    </r>
  </si>
  <si>
    <t xml:space="preserve">Iterated discount rate= </t>
  </si>
  <si>
    <r>
      <t>Continuous-compounding discount rate, fraction/y = minimum acceptable rate of return, r</t>
    </r>
    <r>
      <rPr>
        <vertAlign val="subscript"/>
        <sz val="10"/>
        <rFont val="Arial"/>
        <family val="2"/>
      </rPr>
      <t>ma</t>
    </r>
    <r>
      <rPr>
        <sz val="10"/>
        <rFont val="Arial"/>
      </rPr>
      <t>=</t>
    </r>
  </si>
  <si>
    <t>(See Table 6-9)</t>
  </si>
  <si>
    <t>plants.  These values may differ depending on many factors such as location, process type, etc.</t>
  </si>
  <si>
    <t>Result</t>
  </si>
  <si>
    <t>Required, from a linked sheet or entered manually</t>
  </si>
  <si>
    <t>Solid- processing plant</t>
  </si>
  <si>
    <t>Solid-fluid processing plant</t>
  </si>
  <si>
    <t>Fluid processing plant</t>
  </si>
  <si>
    <t xml:space="preserve">                 Direct Costs</t>
  </si>
  <si>
    <t xml:space="preserve">Delivery, fraction of E'              </t>
  </si>
  <si>
    <t xml:space="preserve">    Subtotal:  delivered equipment</t>
  </si>
  <si>
    <t>Purchased equipment installation</t>
  </si>
  <si>
    <t xml:space="preserve">Piping (installed)            </t>
  </si>
  <si>
    <t>Electrical systems (installed)</t>
  </si>
  <si>
    <t>Buildings (including services)</t>
  </si>
  <si>
    <t xml:space="preserve">Yard improvements                      </t>
  </si>
  <si>
    <t>Service facilities (installed)</t>
  </si>
  <si>
    <t xml:space="preserve">                Total direct costs</t>
  </si>
  <si>
    <t>Indirect Costs</t>
  </si>
  <si>
    <t>Engineering and supervision</t>
  </si>
  <si>
    <t xml:space="preserve">Construction expenses   </t>
  </si>
  <si>
    <t xml:space="preserve">Legal expenses             </t>
  </si>
  <si>
    <t xml:space="preserve">Contractor's fee                 </t>
  </si>
  <si>
    <t xml:space="preserve">Contingency                 </t>
  </si>
  <si>
    <t xml:space="preserve">                Total indirect costs</t>
  </si>
  <si>
    <t xml:space="preserve">Purchased equipment, E'     </t>
  </si>
  <si>
    <t>The fractions in the cells below are approximations applicable to typical chemical processing</t>
  </si>
  <si>
    <t>Default</t>
  </si>
  <si>
    <t>Annual utility cost, million $/y</t>
  </si>
  <si>
    <t>YEAR</t>
  </si>
  <si>
    <t>Recovery period</t>
  </si>
  <si>
    <r>
      <t xml:space="preserve">Entry = </t>
    </r>
    <r>
      <rPr>
        <b/>
        <sz val="10"/>
        <rFont val="Arial"/>
        <family val="2"/>
      </rPr>
      <t xml:space="preserve">MACRS </t>
    </r>
    <r>
      <rPr>
        <sz val="10"/>
        <rFont val="Arial"/>
        <family val="2"/>
      </rPr>
      <t>depreciation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as fraction/y of FCI</t>
    </r>
  </si>
  <si>
    <t xml:space="preserve">User input </t>
  </si>
  <si>
    <t xml:space="preserve">                      Calculated separately</t>
  </si>
  <si>
    <r>
      <t xml:space="preserve">of </t>
    </r>
    <r>
      <rPr>
        <i/>
        <sz val="12"/>
        <rFont val="Times New Roman"/>
        <family val="1"/>
      </rPr>
      <t>c</t>
    </r>
    <r>
      <rPr>
        <i/>
        <vertAlign val="subscript"/>
        <sz val="12"/>
        <rFont val="Times New Roman"/>
        <family val="1"/>
      </rPr>
      <t>o</t>
    </r>
  </si>
  <si>
    <t xml:space="preserve">                               COMMENTS &amp; NOTES</t>
  </si>
  <si>
    <t>at discount rate=</t>
  </si>
  <si>
    <t>%/y</t>
  </si>
  <si>
    <r>
      <t>at m</t>
    </r>
    <r>
      <rPr>
        <vertAlign val="subscript"/>
        <sz val="10"/>
        <rFont val="Arial"/>
        <family val="2"/>
      </rPr>
      <t xml:space="preserve">ar </t>
    </r>
    <r>
      <rPr>
        <sz val="10"/>
        <rFont val="Arial"/>
      </rPr>
      <t>=</t>
    </r>
  </si>
  <si>
    <t>Product price inflation rate, fraction/y   =</t>
  </si>
  <si>
    <t>Comments and notes begin in column S</t>
  </si>
  <si>
    <t>Planned investments (e.g. replacements) entered here at inflated value.</t>
  </si>
  <si>
    <t>Annual raw materials cost, million $/y</t>
  </si>
  <si>
    <t>User: copy from values at left or insert</t>
  </si>
  <si>
    <t>Main</t>
  </si>
  <si>
    <t>Process Identifier: Illustration 101</t>
  </si>
  <si>
    <t>GJ/y</t>
  </si>
  <si>
    <t>1000 kg/y</t>
  </si>
  <si>
    <t>Expenditures, entries must be negative</t>
  </si>
  <si>
    <r>
      <t xml:space="preserve">Profitability measures, time value of money </t>
    </r>
    <r>
      <rPr>
        <b/>
        <u/>
        <sz val="10"/>
        <rFont val="Arial"/>
        <family val="2"/>
      </rPr>
      <t>NOT</t>
    </r>
    <r>
      <rPr>
        <b/>
        <sz val="10"/>
        <rFont val="Arial"/>
        <family val="2"/>
      </rPr>
      <t xml:space="preserve"> included:</t>
    </r>
  </si>
  <si>
    <t>by Peters, Timmerhaus and West.</t>
  </si>
  <si>
    <r>
      <t xml:space="preserve">accompanying </t>
    </r>
    <r>
      <rPr>
        <b/>
        <u/>
        <sz val="10"/>
        <rFont val="Arial"/>
        <family val="2"/>
      </rPr>
      <t>Plant Design and Economics for Chemical Engineers</t>
    </r>
    <r>
      <rPr>
        <b/>
        <sz val="10"/>
        <rFont val="Arial"/>
        <family val="2"/>
      </rPr>
      <t>, 5th edition,</t>
    </r>
  </si>
  <si>
    <t>Instrumentation&amp;Controls(installed)</t>
  </si>
  <si>
    <t xml:space="preserve">              Total capital investment (TCI)</t>
  </si>
  <si>
    <t>Notes &amp; comments</t>
  </si>
  <si>
    <t>Total annual  value of products =</t>
  </si>
  <si>
    <t>Total annual cost of raw materials  =</t>
  </si>
  <si>
    <t xml:space="preserve">ANNUAL RAW MATERIAL COSTS AND PRODUCTS VALUES </t>
  </si>
  <si>
    <t>Operating Labor</t>
  </si>
  <si>
    <r>
      <t xml:space="preserve">Operator rate, $/h </t>
    </r>
    <r>
      <rPr>
        <vertAlign val="superscript"/>
        <sz val="10"/>
        <rFont val="Arial"/>
        <family val="2"/>
      </rPr>
      <t>#</t>
    </r>
  </si>
  <si>
    <t>*See Tables 6-13 and Fig. 6-9.</t>
  </si>
  <si>
    <t>**Default = 3 for continuous process.</t>
  </si>
  <si>
    <t>Enter appropriate value for batch operation.</t>
  </si>
  <si>
    <t>Required, may be calculated here, in linked worksheet, or entered manually</t>
  </si>
  <si>
    <t xml:space="preserve">      Year ending at time</t>
  </si>
  <si>
    <t>CURRENT, i.e. INFLATED, DOLLARS</t>
  </si>
  <si>
    <t>CONSTANT, YEAR-0 DOLLARS</t>
  </si>
  <si>
    <t xml:space="preserve">        Year ending at time</t>
  </si>
  <si>
    <t>Time 0 is startup time.</t>
  </si>
  <si>
    <t>Salvage value is (+) at time of recovery.</t>
  </si>
  <si>
    <t xml:space="preserve">  Project identifier: Illustration 101</t>
  </si>
  <si>
    <t>Project identifier:  Illustration 101</t>
  </si>
  <si>
    <t>Process Identifier:  Illustration 101</t>
  </si>
  <si>
    <r>
      <t xml:space="preserve">1.  </t>
    </r>
    <r>
      <rPr>
        <b/>
        <sz val="10"/>
        <rFont val="Arial"/>
        <family val="2"/>
      </rPr>
      <t>Please download the workbook to your computer.</t>
    </r>
  </si>
  <si>
    <t xml:space="preserve">    Fraction of delivered equipment</t>
  </si>
  <si>
    <r>
      <t xml:space="preserve">4.  On the sheet </t>
    </r>
    <r>
      <rPr>
        <b/>
        <sz val="10"/>
        <rFont val="Arial"/>
        <family val="2"/>
      </rPr>
      <t>'Capital Inv.'</t>
    </r>
    <r>
      <rPr>
        <sz val="10"/>
        <rFont val="Arial"/>
      </rPr>
      <t xml:space="preserve"> enter the estimated current total purchased cost of the </t>
    </r>
  </si>
  <si>
    <t>process equipment.  For the proposed plant type, copy the corresponding "Fraction of</t>
  </si>
  <si>
    <t>calculates and transfers results to appropriate subsequent sheets.</t>
  </si>
  <si>
    <t>2.  The sheets are intended for use in the sequence presented.  However, any sheet</t>
  </si>
  <si>
    <t>may be by-passed so long as the information skipped is input manually where needed</t>
  </si>
  <si>
    <t xml:space="preserve">delivered equipment" column entries into the tan "User…" column.  The sheet then </t>
  </si>
  <si>
    <t>kWh/y</t>
  </si>
  <si>
    <r>
      <t xml:space="preserve">7.  The </t>
    </r>
    <r>
      <rPr>
        <b/>
        <sz val="10"/>
        <rFont val="Arial"/>
        <family val="2"/>
      </rPr>
      <t>'Depreciation'</t>
    </r>
    <r>
      <rPr>
        <sz val="10"/>
        <rFont val="Arial"/>
        <family val="2"/>
      </rPr>
      <t xml:space="preserve"> sheet is used only if the user wishes to change the default</t>
    </r>
  </si>
  <si>
    <t xml:space="preserve">Default cost units  </t>
  </si>
  <si>
    <t>Default units of utility requirement</t>
  </si>
  <si>
    <r>
      <t xml:space="preserve">8. On the </t>
    </r>
    <r>
      <rPr>
        <b/>
        <sz val="10"/>
        <rFont val="Arial"/>
        <family val="2"/>
      </rPr>
      <t>'Annual TPC'</t>
    </r>
    <r>
      <rPr>
        <sz val="10"/>
        <rFont val="Arial"/>
      </rPr>
      <t xml:space="preserve">  sheet, all values are calculated from information available on </t>
    </r>
  </si>
  <si>
    <t>Basis</t>
  </si>
  <si>
    <t>Cost, million $/y</t>
  </si>
  <si>
    <t>Item</t>
  </si>
  <si>
    <t>Default factor, user may change</t>
  </si>
  <si>
    <t xml:space="preserve">                                                                                        Fixed Charges  =</t>
  </si>
  <si>
    <t xml:space="preserve">                                                                                      Plant Overhead  =</t>
  </si>
  <si>
    <t xml:space="preserve">                                                                               Manufacturing cost  =</t>
  </si>
  <si>
    <t>Variable cost =</t>
  </si>
  <si>
    <r>
      <t xml:space="preserve">                                                                                   </t>
    </r>
    <r>
      <rPr>
        <b/>
        <sz val="12"/>
        <rFont val="Times New Roman"/>
        <family val="1"/>
      </rPr>
      <t>General Expense  =</t>
    </r>
  </si>
  <si>
    <r>
      <t xml:space="preserve">TOTAL PRODUCT COST </t>
    </r>
    <r>
      <rPr>
        <b/>
        <u/>
        <sz val="12"/>
        <rFont val="Times New Roman"/>
        <family val="1"/>
      </rPr>
      <t>WITHOUT</t>
    </r>
    <r>
      <rPr>
        <b/>
        <sz val="12"/>
        <rFont val="Times New Roman"/>
        <family val="1"/>
      </rPr>
      <t xml:space="preserve">  </t>
    </r>
    <r>
      <rPr>
        <b/>
        <u/>
        <sz val="12"/>
        <rFont val="Times New Roman"/>
        <family val="1"/>
      </rPr>
      <t>DEPRECIATION</t>
    </r>
    <r>
      <rPr>
        <b/>
        <i/>
        <u/>
        <sz val="12"/>
        <rFont val="Times New Roman"/>
        <family val="1"/>
      </rPr>
      <t xml:space="preserve">  </t>
    </r>
    <r>
      <rPr>
        <b/>
        <i/>
        <sz val="12"/>
        <rFont val="Times New Roman"/>
        <family val="1"/>
      </rPr>
      <t xml:space="preserve">  =   c</t>
    </r>
    <r>
      <rPr>
        <b/>
        <i/>
        <vertAlign val="subscript"/>
        <sz val="12"/>
        <rFont val="Times New Roman"/>
        <family val="1"/>
      </rPr>
      <t>o</t>
    </r>
    <r>
      <rPr>
        <b/>
        <i/>
        <sz val="12"/>
        <rFont val="Times New Roman"/>
        <family val="1"/>
      </rPr>
      <t xml:space="preserve">  =</t>
    </r>
  </si>
  <si>
    <r>
      <t xml:space="preserve">9.  The sheet </t>
    </r>
    <r>
      <rPr>
        <b/>
        <sz val="10"/>
        <rFont val="Arial"/>
        <family val="2"/>
      </rPr>
      <t>'Evaluation'</t>
    </r>
    <r>
      <rPr>
        <sz val="10"/>
        <rFont val="Arial"/>
      </rPr>
      <t xml:space="preserve"> uses values from other sheets to calculate the common</t>
    </r>
  </si>
  <si>
    <r>
      <t xml:space="preserve">10.  A second evaluation sheet, </t>
    </r>
    <r>
      <rPr>
        <b/>
        <sz val="10"/>
        <rFont val="Arial"/>
        <family val="2"/>
      </rPr>
      <t>'Year-0 $'</t>
    </r>
    <r>
      <rPr>
        <sz val="10"/>
        <rFont val="Arial"/>
        <family val="2"/>
      </rPr>
      <t>,</t>
    </r>
    <r>
      <rPr>
        <sz val="10"/>
        <rFont val="Arial"/>
      </rPr>
      <t xml:space="preserve"> also is included.  It is the same as</t>
    </r>
  </si>
  <si>
    <t>profitability measures.  The user may change defaults, or enter desired values</t>
  </si>
  <si>
    <r>
      <t xml:space="preserve">sheet </t>
    </r>
    <r>
      <rPr>
        <b/>
        <sz val="10"/>
        <rFont val="Arial"/>
        <family val="2"/>
      </rPr>
      <t>'Evaluation'</t>
    </r>
    <r>
      <rPr>
        <sz val="10"/>
        <rFont val="Arial"/>
        <family val="2"/>
      </rPr>
      <t>,</t>
    </r>
    <r>
      <rPr>
        <sz val="10"/>
        <rFont val="Arial"/>
      </rPr>
      <t xml:space="preserve"> except that all the inflated $ values are converted to constant,</t>
    </r>
  </si>
  <si>
    <t xml:space="preserve">year-0 dollars (as discussed in the text).  This method is considered to reflect more </t>
  </si>
  <si>
    <t>the default inflation rates in order to study their impacts on profitability.</t>
  </si>
  <si>
    <t xml:space="preserve">into the sheet.  In particular, the user may change the default inflation rates in </t>
  </si>
  <si>
    <r>
      <t xml:space="preserve">5.  On the sheet </t>
    </r>
    <r>
      <rPr>
        <b/>
        <sz val="10"/>
        <rFont val="Arial"/>
        <family val="2"/>
      </rPr>
      <t>'Materials &amp; Labor'</t>
    </r>
    <r>
      <rPr>
        <sz val="10"/>
        <rFont val="Arial"/>
      </rPr>
      <t xml:space="preserve"> enter the product prices and flowrates, the raw</t>
    </r>
  </si>
  <si>
    <r>
      <t xml:space="preserve">in appropriate units. The total annual utilities cost is transferred to sheet </t>
    </r>
    <r>
      <rPr>
        <b/>
        <sz val="10"/>
        <rFont val="Arial"/>
        <family val="2"/>
      </rPr>
      <t>'Annual TPC'.</t>
    </r>
  </si>
  <si>
    <t>other sheets.  The user may change defaults or enter preferred values.  The calculated</t>
  </si>
  <si>
    <r>
      <t xml:space="preserve">annual TPC is transferred to </t>
    </r>
    <r>
      <rPr>
        <b/>
        <sz val="10"/>
        <rFont val="Arial"/>
        <family val="2"/>
      </rPr>
      <t>'Evaluation'</t>
    </r>
    <r>
      <rPr>
        <sz val="10"/>
        <rFont val="Arial"/>
      </rPr>
      <t>.</t>
    </r>
  </si>
  <si>
    <t>(5-year MACRS) depreciation method.  To make a change, copy the appropriate MACRS</t>
  </si>
  <si>
    <t>These spreadsheets are made available  for convenient implementation of methods</t>
  </si>
  <si>
    <t>Steps to follow:</t>
  </si>
  <si>
    <t>WELCOME to Cost &amp; Evaluation Workbook</t>
  </si>
  <si>
    <t>For periods greater than 10 years, insert columns as needed and copy from an existing</t>
  </si>
  <si>
    <t>year column into the new columns.  Check equations for correct cell references.</t>
  </si>
  <si>
    <t>realistically the effect of inflation on the profitability measures.  The user may change</t>
  </si>
  <si>
    <r>
      <t xml:space="preserve">6.  On the sheet </t>
    </r>
    <r>
      <rPr>
        <b/>
        <sz val="10"/>
        <rFont val="Arial"/>
        <family val="2"/>
      </rPr>
      <t>'Utilities'</t>
    </r>
    <r>
      <rPr>
        <sz val="10"/>
        <rFont val="Arial"/>
        <family val="2"/>
      </rPr>
      <t xml:space="preserve"> the quantity of each utility needed annually must be entered </t>
    </r>
  </si>
  <si>
    <t xml:space="preserve">is spent in the year beginning at the time of the estimate (year ending at time -2), 35% in the </t>
  </si>
  <si>
    <t>second year (ending at -1), and 50% in the third year (ending at time 0).  These values may be</t>
  </si>
  <si>
    <r>
      <t xml:space="preserve">construction inflation rate.  These changes are all made in the sheets </t>
    </r>
    <r>
      <rPr>
        <b/>
        <sz val="10"/>
        <rFont val="Arial"/>
        <family val="2"/>
      </rPr>
      <t xml:space="preserve">'Evaluation' </t>
    </r>
    <r>
      <rPr>
        <sz val="10"/>
        <rFont val="Arial"/>
        <family val="2"/>
      </rPr>
      <t xml:space="preserve">and </t>
    </r>
    <r>
      <rPr>
        <b/>
        <sz val="10"/>
        <rFont val="Arial"/>
        <family val="2"/>
      </rPr>
      <t>'Year-0 $'</t>
    </r>
    <r>
      <rPr>
        <sz val="10"/>
        <rFont val="Arial"/>
        <family val="2"/>
      </rPr>
      <t>.</t>
    </r>
  </si>
  <si>
    <t>It is assumed that all working capital is spent at time 0.</t>
  </si>
  <si>
    <t>Profitability measures including time value of money, with ANNUAL END-OF-YEAR cash flows and discounting</t>
  </si>
  <si>
    <t>adjustments are made from the time of the estimates.</t>
  </si>
  <si>
    <r>
      <t xml:space="preserve">  All calculations in </t>
    </r>
    <r>
      <rPr>
        <b/>
        <sz val="10"/>
        <rFont val="Arial"/>
        <family val="2"/>
      </rPr>
      <t xml:space="preserve">'Evaluation' </t>
    </r>
    <r>
      <rPr>
        <sz val="10"/>
        <rFont val="Arial"/>
        <family val="2"/>
      </rPr>
      <t>are made in current (i.e. inflated) dollars.  Inflation</t>
    </r>
  </si>
  <si>
    <t xml:space="preserve">order to study their effects on profitability. </t>
  </si>
  <si>
    <t xml:space="preserve">  To make evaluations for periods of less than 10 years, leave unneeded columns blank.</t>
  </si>
  <si>
    <t>presented in the text.  The sheets are color coded to assist the user. A hypothetical</t>
  </si>
  <si>
    <t>The investments are made over a period of time.  This is represented on the basis that startup</t>
  </si>
  <si>
    <t>(time 0) will be three years after the date of the estimate, that 15% of the fixed capital investment</t>
  </si>
  <si>
    <t>changed.  The amounts are inflated at the beginning of each year after the estimate, by the default</t>
  </si>
  <si>
    <t>Byproduct</t>
  </si>
  <si>
    <t xml:space="preserve">Compare with reference PBP  = </t>
  </si>
  <si>
    <t>If there is more than one sign change in the annual cash flow, check DCFR value separately.</t>
  </si>
  <si>
    <t>Startup default is 10% of FCI.</t>
  </si>
  <si>
    <t>Two year ramp-up of production.</t>
  </si>
  <si>
    <t>Operating rate affects only variable part of TPC.</t>
  </si>
  <si>
    <t>Depreciation default is 5-year MACRS.</t>
  </si>
  <si>
    <t>No income tax credit taken for losses.</t>
  </si>
  <si>
    <t>y.</t>
  </si>
  <si>
    <t>Time -3 is default time of estimate, time -2 is the first inflation.</t>
  </si>
  <si>
    <r>
      <t>3. Working Capital, 10</t>
    </r>
    <r>
      <rPr>
        <vertAlign val="superscript"/>
        <sz val="10"/>
        <rFont val="Arial"/>
        <family val="2"/>
      </rPr>
      <t>6</t>
    </r>
    <r>
      <rPr>
        <sz val="10"/>
        <rFont val="Arial"/>
      </rPr>
      <t>$ (see notes)</t>
    </r>
  </si>
  <si>
    <r>
      <t>4. Salvage Value, 10</t>
    </r>
    <r>
      <rPr>
        <vertAlign val="superscript"/>
        <sz val="10"/>
        <rFont val="Arial"/>
        <family val="2"/>
      </rPr>
      <t>6</t>
    </r>
    <r>
      <rPr>
        <sz val="10"/>
        <rFont val="Arial"/>
      </rPr>
      <t>$</t>
    </r>
  </si>
  <si>
    <r>
      <t>5. Total Capital Investment, 10</t>
    </r>
    <r>
      <rPr>
        <vertAlign val="superscript"/>
        <sz val="10"/>
        <rFont val="Arial"/>
        <family val="2"/>
      </rPr>
      <t>6</t>
    </r>
    <r>
      <rPr>
        <sz val="10"/>
        <rFont val="Arial"/>
      </rPr>
      <t>$</t>
    </r>
  </si>
  <si>
    <r>
      <t>6. Annual Investment, 10</t>
    </r>
    <r>
      <rPr>
        <vertAlign val="superscript"/>
        <sz val="10"/>
        <rFont val="Arial"/>
        <family val="2"/>
      </rPr>
      <t>6</t>
    </r>
    <r>
      <rPr>
        <sz val="10"/>
        <rFont val="Arial"/>
      </rPr>
      <t>$</t>
    </r>
  </si>
  <si>
    <r>
      <t>7. Start-up cost, 10</t>
    </r>
    <r>
      <rPr>
        <vertAlign val="superscript"/>
        <sz val="10"/>
        <rFont val="Arial"/>
        <family val="2"/>
      </rPr>
      <t>6</t>
    </r>
    <r>
      <rPr>
        <sz val="10"/>
        <rFont val="Arial"/>
      </rPr>
      <t>$</t>
    </r>
  </si>
  <si>
    <t>8. Operating rate, fraction of capacity</t>
  </si>
  <si>
    <r>
      <t>9. Annual sales, 10</t>
    </r>
    <r>
      <rPr>
        <vertAlign val="superscript"/>
        <sz val="10"/>
        <rFont val="Arial"/>
        <family val="2"/>
      </rPr>
      <t>6</t>
    </r>
    <r>
      <rPr>
        <sz val="10"/>
        <rFont val="Arial"/>
      </rPr>
      <t>$</t>
    </r>
  </si>
  <si>
    <r>
      <t xml:space="preserve">10. Annual Total Product Cost, depreciation </t>
    </r>
    <r>
      <rPr>
        <u/>
        <sz val="10"/>
        <rFont val="Arial"/>
        <family val="2"/>
      </rPr>
      <t>not</t>
    </r>
    <r>
      <rPr>
        <sz val="10"/>
        <rFont val="Arial"/>
      </rPr>
      <t xml:space="preserve"> included,10</t>
    </r>
    <r>
      <rPr>
        <vertAlign val="superscript"/>
        <sz val="10"/>
        <rFont val="Arial"/>
        <family val="2"/>
      </rPr>
      <t>6</t>
    </r>
    <r>
      <rPr>
        <sz val="10"/>
        <rFont val="Arial"/>
      </rPr>
      <t>$</t>
    </r>
  </si>
  <si>
    <r>
      <t>2.  Fixed Capital Investment, 10</t>
    </r>
    <r>
      <rPr>
        <vertAlign val="superscript"/>
        <sz val="10"/>
        <rFont val="Arial"/>
        <family val="2"/>
      </rPr>
      <t>6</t>
    </r>
    <r>
      <rPr>
        <sz val="10"/>
        <rFont val="Arial"/>
      </rPr>
      <t>$</t>
    </r>
  </si>
  <si>
    <t>11. Annual depreciation factor, 1/y</t>
  </si>
  <si>
    <r>
      <t>12. Annual depreciation, 10</t>
    </r>
    <r>
      <rPr>
        <vertAlign val="superscript"/>
        <sz val="10"/>
        <rFont val="Arial"/>
        <family val="2"/>
      </rPr>
      <t>6</t>
    </r>
    <r>
      <rPr>
        <sz val="10"/>
        <rFont val="Arial"/>
      </rPr>
      <t>$/y</t>
    </r>
  </si>
  <si>
    <r>
      <t>13. Annual Gross Profit, 10</t>
    </r>
    <r>
      <rPr>
        <vertAlign val="superscript"/>
        <sz val="10"/>
        <rFont val="Arial"/>
        <family val="2"/>
      </rPr>
      <t>6</t>
    </r>
    <r>
      <rPr>
        <sz val="10"/>
        <rFont val="Arial"/>
      </rPr>
      <t>$</t>
    </r>
  </si>
  <si>
    <r>
      <t>14. Annual Net Profit, 10</t>
    </r>
    <r>
      <rPr>
        <vertAlign val="superscript"/>
        <sz val="10"/>
        <rFont val="Arial"/>
        <family val="2"/>
      </rPr>
      <t>6</t>
    </r>
    <r>
      <rPr>
        <sz val="10"/>
        <rFont val="Arial"/>
      </rPr>
      <t>$</t>
    </r>
  </si>
  <si>
    <r>
      <t>15. Annual operating cash flow,10</t>
    </r>
    <r>
      <rPr>
        <vertAlign val="superscript"/>
        <sz val="10"/>
        <rFont val="Arial"/>
        <family val="2"/>
      </rPr>
      <t>6</t>
    </r>
    <r>
      <rPr>
        <sz val="10"/>
        <rFont val="Arial"/>
      </rPr>
      <t>$</t>
    </r>
  </si>
  <si>
    <r>
      <t>16. Total annual cash flow, 10</t>
    </r>
    <r>
      <rPr>
        <vertAlign val="superscript"/>
        <sz val="10"/>
        <rFont val="Arial"/>
        <family val="2"/>
      </rPr>
      <t>6</t>
    </r>
    <r>
      <rPr>
        <sz val="10"/>
        <rFont val="Arial"/>
      </rPr>
      <t>$</t>
    </r>
  </si>
  <si>
    <r>
      <t>17. Cumulative cash position, 10</t>
    </r>
    <r>
      <rPr>
        <vertAlign val="superscript"/>
        <sz val="10"/>
        <rFont val="Arial"/>
        <family val="2"/>
      </rPr>
      <t>6</t>
    </r>
    <r>
      <rPr>
        <sz val="10"/>
        <rFont val="Arial"/>
      </rPr>
      <t>$</t>
    </r>
  </si>
  <si>
    <t>18. Return on investment, ave. %/y</t>
  </si>
  <si>
    <t>19. Payback period, y</t>
  </si>
  <si>
    <r>
      <t>20. Net return, 10</t>
    </r>
    <r>
      <rPr>
        <vertAlign val="superscript"/>
        <sz val="10"/>
        <rFont val="Arial"/>
        <family val="2"/>
      </rPr>
      <t>6</t>
    </r>
    <r>
      <rPr>
        <sz val="10"/>
        <rFont val="Arial"/>
      </rPr>
      <t>$</t>
    </r>
  </si>
  <si>
    <t xml:space="preserve">21. Present worth factor </t>
  </si>
  <si>
    <r>
      <t>22. Present worth of annual cash flows, 10</t>
    </r>
    <r>
      <rPr>
        <vertAlign val="superscript"/>
        <sz val="10"/>
        <rFont val="Arial"/>
        <family val="2"/>
      </rPr>
      <t>6</t>
    </r>
    <r>
      <rPr>
        <sz val="10"/>
        <rFont val="Arial"/>
        <family val="2"/>
      </rPr>
      <t>$</t>
    </r>
  </si>
  <si>
    <t>24. Discounted cash flow rate of return, DCFR, %/y =</t>
  </si>
  <si>
    <t>25. Present worth factor</t>
  </si>
  <si>
    <r>
      <t>26. Present worth of annual cash flows, 10</t>
    </r>
    <r>
      <rPr>
        <vertAlign val="superscript"/>
        <sz val="10"/>
        <rFont val="Arial"/>
        <family val="2"/>
      </rPr>
      <t>6</t>
    </r>
    <r>
      <rPr>
        <sz val="10"/>
        <rFont val="Arial"/>
        <family val="2"/>
      </rPr>
      <t>$</t>
    </r>
  </si>
  <si>
    <t xml:space="preserve">27. Present worth factor </t>
  </si>
  <si>
    <r>
      <t>28. Present worth of annual cash flows, 10</t>
    </r>
    <r>
      <rPr>
        <vertAlign val="superscript"/>
        <sz val="10"/>
        <rFont val="Arial"/>
        <family val="2"/>
      </rPr>
      <t>6</t>
    </r>
    <r>
      <rPr>
        <sz val="10"/>
        <rFont val="Arial"/>
        <family val="2"/>
      </rPr>
      <t>$</t>
    </r>
  </si>
  <si>
    <t>30. Discounted cash flow rate of return, DCFR, %/y =</t>
  </si>
  <si>
    <t>31. Present worth factor</t>
  </si>
  <si>
    <r>
      <t>32. Present worth of annual cash flows, 10</t>
    </r>
    <r>
      <rPr>
        <vertAlign val="superscript"/>
        <sz val="10"/>
        <rFont val="Arial"/>
        <family val="2"/>
      </rPr>
      <t>6</t>
    </r>
    <r>
      <rPr>
        <sz val="10"/>
        <rFont val="Arial"/>
        <family val="2"/>
      </rPr>
      <t>$</t>
    </r>
  </si>
  <si>
    <t>Working capital (-) at time 0, (+) when recovered.</t>
  </si>
  <si>
    <t>Land can be included, default is 0.</t>
  </si>
  <si>
    <t>Land can be included by replacing the default 0. Land is (-) at time 0, (+) when recovered</t>
  </si>
  <si>
    <r>
      <t>1.  Land, 10</t>
    </r>
    <r>
      <rPr>
        <vertAlign val="superscript"/>
        <sz val="10"/>
        <rFont val="Arial"/>
        <family val="2"/>
      </rPr>
      <t>6</t>
    </r>
    <r>
      <rPr>
        <sz val="10"/>
        <rFont val="Arial"/>
      </rPr>
      <t>$ (see notes)</t>
    </r>
  </si>
  <si>
    <t xml:space="preserve">Compare with ROI  = </t>
  </si>
  <si>
    <t>NPW and DCFR include recovery amounts, by text definition.</t>
  </si>
  <si>
    <t>ROI, PBP and Net return do NOT include recovery amounts, by text definition.</t>
  </si>
  <si>
    <t>Compare with net return = 0.</t>
  </si>
  <si>
    <t>Compare with net present worth = 0.</t>
  </si>
  <si>
    <t>Compare with net present worth =0.</t>
  </si>
  <si>
    <t>"No value" results from a negative total cash flow in R27.                                       Compare with R5.</t>
  </si>
  <si>
    <t>"No value" results from a negative cash flow in R26.                                                            Compare with R6</t>
  </si>
  <si>
    <t>Uses 1-year present worth factor from Table 7-5.</t>
  </si>
  <si>
    <r>
      <t>29. Net present worth, 10</t>
    </r>
    <r>
      <rPr>
        <vertAlign val="superscript"/>
        <sz val="10"/>
        <rFont val="Arial"/>
        <family val="2"/>
      </rPr>
      <t>6</t>
    </r>
    <r>
      <rPr>
        <sz val="10"/>
        <rFont val="Arial"/>
      </rPr>
      <t xml:space="preserve">$     =  </t>
    </r>
  </si>
  <si>
    <r>
      <t>23. Net present worth, 10</t>
    </r>
    <r>
      <rPr>
        <vertAlign val="superscript"/>
        <sz val="10"/>
        <rFont val="Arial"/>
        <family val="2"/>
      </rPr>
      <t>6</t>
    </r>
    <r>
      <rPr>
        <sz val="10"/>
        <rFont val="Arial"/>
      </rPr>
      <t xml:space="preserve">$     = </t>
    </r>
  </si>
  <si>
    <r>
      <t>23. Net present worth, 10</t>
    </r>
    <r>
      <rPr>
        <vertAlign val="superscript"/>
        <sz val="10"/>
        <rFont val="Arial"/>
        <family val="2"/>
      </rPr>
      <t>6</t>
    </r>
    <r>
      <rPr>
        <sz val="10"/>
        <rFont val="Arial"/>
      </rPr>
      <t>$     =</t>
    </r>
  </si>
  <si>
    <r>
      <t>29. Net present worth, 10</t>
    </r>
    <r>
      <rPr>
        <vertAlign val="superscript"/>
        <sz val="10"/>
        <rFont val="Arial"/>
        <family val="2"/>
      </rPr>
      <t>6</t>
    </r>
    <r>
      <rPr>
        <sz val="10"/>
        <rFont val="Arial"/>
      </rPr>
      <t>$     =</t>
    </r>
  </si>
  <si>
    <t>Uses single-year present worth factor from Table 7-3.</t>
  </si>
  <si>
    <t>materials prices and flow rates, and the labor requirements and current ENR labor index.</t>
  </si>
  <si>
    <r>
      <t xml:space="preserve">row to the 'Annual depreciation" row of sheets </t>
    </r>
    <r>
      <rPr>
        <b/>
        <sz val="10"/>
        <rFont val="Arial"/>
        <family val="2"/>
      </rPr>
      <t>'Evaluation'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 xml:space="preserve">'Year-0 $', </t>
    </r>
    <r>
      <rPr>
        <sz val="10"/>
        <rFont val="Arial"/>
        <family val="2"/>
      </rPr>
      <t xml:space="preserve">or, enter  </t>
    </r>
  </si>
  <si>
    <t>constant annual (straight line) value into depreciation row of those sheets.</t>
  </si>
  <si>
    <t>Project Identifier:  Illustration 101</t>
  </si>
  <si>
    <t xml:space="preserve">                 Working capital (WC)</t>
  </si>
  <si>
    <t xml:space="preserve">              Fixed capital investment (FCI)</t>
  </si>
  <si>
    <r>
      <t>#</t>
    </r>
    <r>
      <rPr>
        <sz val="10"/>
        <rFont val="Arial"/>
      </rPr>
      <t>To obtain current, local value, enter (latest local</t>
    </r>
  </si>
  <si>
    <t xml:space="preserve">    Required user input</t>
  </si>
  <si>
    <t>Waste disposal</t>
  </si>
  <si>
    <r>
      <t xml:space="preserve">Sent to </t>
    </r>
    <r>
      <rPr>
        <b/>
        <sz val="10"/>
        <rFont val="Arial"/>
        <family val="2"/>
      </rPr>
      <t xml:space="preserve">'Evaluation' </t>
    </r>
    <r>
      <rPr>
        <sz val="10"/>
        <rFont val="Arial"/>
        <family val="2"/>
      </rPr>
      <t xml:space="preserve">and </t>
    </r>
    <r>
      <rPr>
        <b/>
        <sz val="10"/>
        <rFont val="Arial"/>
        <family val="2"/>
      </rPr>
      <t>'Year-0 $'</t>
    </r>
  </si>
  <si>
    <t xml:space="preserve">          --</t>
  </si>
  <si>
    <t>Basis cost, million $/y</t>
  </si>
  <si>
    <t>Annual utility requirement, in appropriate units</t>
  </si>
  <si>
    <r>
      <t>$/100m</t>
    </r>
    <r>
      <rPr>
        <vertAlign val="superscript"/>
        <sz val="10"/>
        <rFont val="Times New Roman"/>
        <family val="1"/>
      </rPr>
      <t>3 #</t>
    </r>
  </si>
  <si>
    <r>
      <t>100 m</t>
    </r>
    <r>
      <rPr>
        <vertAlign val="superscript"/>
        <sz val="10"/>
        <rFont val="Times New Roman"/>
        <family val="1"/>
      </rPr>
      <t>3#</t>
    </r>
    <r>
      <rPr>
        <sz val="10"/>
        <rFont val="Times New Roman"/>
        <family val="1"/>
      </rPr>
      <t>/y</t>
    </r>
  </si>
  <si>
    <r>
      <t xml:space="preserve">    15 </t>
    </r>
    <r>
      <rPr>
        <vertAlign val="superscript"/>
        <sz val="10"/>
        <rFont val="Times New Roman"/>
        <family val="1"/>
      </rPr>
      <t>o</t>
    </r>
    <r>
      <rPr>
        <sz val="10"/>
        <rFont val="Times New Roman"/>
        <family val="1"/>
      </rPr>
      <t>C</t>
    </r>
  </si>
  <si>
    <r>
      <t xml:space="preserve">    -20 </t>
    </r>
    <r>
      <rPr>
        <vertAlign val="superscript"/>
        <sz val="10"/>
        <rFont val="Times New Roman"/>
        <family val="1"/>
      </rPr>
      <t>o</t>
    </r>
    <r>
      <rPr>
        <sz val="10"/>
        <rFont val="Times New Roman"/>
        <family val="1"/>
      </rPr>
      <t>C</t>
    </r>
  </si>
  <si>
    <r>
      <t xml:space="preserve">    -50 </t>
    </r>
    <r>
      <rPr>
        <vertAlign val="superscript"/>
        <sz val="10"/>
        <rFont val="Times New Roman"/>
        <family val="1"/>
      </rPr>
      <t>o</t>
    </r>
    <r>
      <rPr>
        <sz val="10"/>
        <rFont val="Times New Roman"/>
        <family val="1"/>
      </rPr>
      <t>C</t>
    </r>
  </si>
  <si>
    <r>
      <t>$/m</t>
    </r>
    <r>
      <rPr>
        <vertAlign val="superscript"/>
        <sz val="10"/>
        <rFont val="Times New Roman"/>
        <family val="1"/>
      </rPr>
      <t>3</t>
    </r>
  </si>
  <si>
    <r>
      <t>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/y</t>
    </r>
  </si>
  <si>
    <r>
      <t>$/ m</t>
    </r>
    <r>
      <rPr>
        <vertAlign val="superscript"/>
        <sz val="10"/>
        <rFont val="Times New Roman"/>
        <family val="1"/>
      </rPr>
      <t>3</t>
    </r>
  </si>
  <si>
    <r>
      <t>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/y</t>
    </r>
  </si>
  <si>
    <t xml:space="preserve">     Exhaust (150 kPa)</t>
  </si>
  <si>
    <t xml:space="preserve">      5 °C</t>
  </si>
  <si>
    <t>Default = 5-y MACRS.</t>
  </si>
  <si>
    <r>
      <t xml:space="preserve">  Default is in place in sheets </t>
    </r>
    <r>
      <rPr>
        <b/>
        <sz val="10"/>
        <rFont val="Arial"/>
        <family val="2"/>
      </rPr>
      <t>'Evaluation'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'Year-0 $'</t>
    </r>
    <r>
      <rPr>
        <sz val="10"/>
        <rFont val="Arial"/>
        <family val="2"/>
      </rPr>
      <t>.</t>
    </r>
    <r>
      <rPr>
        <b/>
        <sz val="10"/>
        <rFont val="Arial"/>
        <family val="2"/>
      </rPr>
      <t xml:space="preserve"> </t>
    </r>
  </si>
  <si>
    <r>
      <t xml:space="preserve">sheets </t>
    </r>
    <r>
      <rPr>
        <b/>
        <sz val="10"/>
        <rFont val="Arial"/>
        <family val="2"/>
      </rPr>
      <t>'Evaluation'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'Year-0 $'</t>
    </r>
    <r>
      <rPr>
        <sz val="10"/>
        <rFont val="Arial"/>
        <family val="2"/>
      </rPr>
      <t xml:space="preserve"> (add columns to these sheets as needed).</t>
    </r>
  </si>
  <si>
    <r>
      <t xml:space="preserve">substitute the value into the depreciation row on sheets </t>
    </r>
    <r>
      <rPr>
        <b/>
        <sz val="10"/>
        <rFont val="Arial"/>
        <family val="2"/>
      </rPr>
      <t xml:space="preserve">'Evaluation' </t>
    </r>
    <r>
      <rPr>
        <sz val="10"/>
        <rFont val="Arial"/>
        <family val="2"/>
      </rPr>
      <t xml:space="preserve">and </t>
    </r>
  </si>
  <si>
    <t xml:space="preserve">  To use a different recovery period, copy the entire row into the depreciation row of</t>
  </si>
  <si>
    <r>
      <t xml:space="preserve"> 'Year-0 $'</t>
    </r>
    <r>
      <rPr>
        <sz val="10"/>
        <rFont val="Arial"/>
        <family val="2"/>
      </rPr>
      <t>.</t>
    </r>
  </si>
  <si>
    <t xml:space="preserve">ANNUAL TOTAL PRODUCT COST AT 100% CAPACITY </t>
  </si>
  <si>
    <r>
      <t xml:space="preserve">Sent to </t>
    </r>
    <r>
      <rPr>
        <b/>
        <sz val="10"/>
        <rFont val="Times New Roman"/>
        <family val="1"/>
      </rPr>
      <t>'Evaluation'</t>
    </r>
    <r>
      <rPr>
        <sz val="10"/>
        <rFont val="Times New Roman"/>
        <family val="1"/>
      </rPr>
      <t xml:space="preserve"> and</t>
    </r>
  </si>
  <si>
    <t xml:space="preserve"> 'Year-0 $'</t>
  </si>
  <si>
    <t xml:space="preserve">                           ECONOMIC EVALUATION </t>
  </si>
  <si>
    <t>Row Sum</t>
  </si>
  <si>
    <t>Profitability measures including time value of money, with CONTINUOUS cash flows and discounting</t>
  </si>
  <si>
    <t xml:space="preserve">                ECONOMIC EVALUATION</t>
  </si>
  <si>
    <r>
      <t>1.  Land, 10</t>
    </r>
    <r>
      <rPr>
        <vertAlign val="superscript"/>
        <sz val="10"/>
        <rFont val="Arial"/>
        <family val="2"/>
      </rPr>
      <t>6</t>
    </r>
    <r>
      <rPr>
        <sz val="10"/>
        <rFont val="Arial"/>
      </rPr>
      <t>$  (see notes)</t>
    </r>
  </si>
  <si>
    <t>ESTIMATION OF CAPITAL INVESTMENT BY PERCENTAGE OF DELIVERED EQUIPMENT METHOD</t>
  </si>
  <si>
    <t>example, 'Illustration 101', is included.  The basis for all costs is Jan. 2002.</t>
  </si>
  <si>
    <t xml:space="preserve">             ENR skilled labor index)/6067   =</t>
  </si>
  <si>
    <t>f</t>
  </si>
  <si>
    <t xml:space="preserve">  User may elect straight-line depreciation and period (d = FCI/period), and </t>
  </si>
  <si>
    <r>
      <t xml:space="preserve">Sent to sheet </t>
    </r>
    <r>
      <rPr>
        <b/>
        <sz val="10"/>
        <rFont val="Arial"/>
        <family val="2"/>
      </rPr>
      <t>'Annual TPC'</t>
    </r>
  </si>
  <si>
    <r>
      <t xml:space="preserve">Sent to </t>
    </r>
    <r>
      <rPr>
        <b/>
        <sz val="10"/>
        <rFont val="Arial"/>
        <family val="2"/>
      </rPr>
      <t>'Annual TPC'</t>
    </r>
  </si>
  <si>
    <r>
      <t xml:space="preserve">Sent to sheet </t>
    </r>
    <r>
      <rPr>
        <b/>
        <sz val="12"/>
        <rFont val="Times New Roman"/>
        <family val="1"/>
      </rPr>
      <t>'Annual TPC'</t>
    </r>
  </si>
  <si>
    <r>
      <t xml:space="preserve">Sent to </t>
    </r>
    <r>
      <rPr>
        <b/>
        <sz val="10"/>
        <rFont val="Times New Roman"/>
        <family val="1"/>
      </rPr>
      <t>'Evaluation'</t>
    </r>
    <r>
      <rPr>
        <sz val="10"/>
        <rFont val="Times New Roman"/>
        <family val="1"/>
      </rPr>
      <t xml:space="preserve">                      and </t>
    </r>
    <r>
      <rPr>
        <b/>
        <sz val="10"/>
        <rFont val="Times New Roman"/>
        <family val="1"/>
      </rPr>
      <t>'Year-0 $'</t>
    </r>
  </si>
  <si>
    <r>
      <t xml:space="preserve">Sent to </t>
    </r>
    <r>
      <rPr>
        <b/>
        <sz val="8"/>
        <rFont val="Arial"/>
        <family val="2"/>
      </rPr>
      <t xml:space="preserve">'Evaluation' </t>
    </r>
    <r>
      <rPr>
        <sz val="8"/>
        <rFont val="Arial"/>
        <family val="2"/>
      </rPr>
      <t xml:space="preserve">and </t>
    </r>
    <r>
      <rPr>
        <b/>
        <sz val="8"/>
        <rFont val="Arial"/>
        <family val="2"/>
      </rPr>
      <t>'Year-0 $'</t>
    </r>
    <r>
      <rPr>
        <sz val="8"/>
        <rFont val="Arial"/>
        <family val="2"/>
      </rPr>
      <t>, there adjusted as described below</t>
    </r>
  </si>
  <si>
    <t>=Annual investment + Annual operating cash flow</t>
  </si>
  <si>
    <t>=Annual operating cash flow + Annual investment</t>
  </si>
  <si>
    <t>Start costs subtracted here.</t>
  </si>
  <si>
    <t>To get DCFR, go to "Tools" and function "Solver."  Set target cell as $R$41, to be made = 0 by changing cell $C$39.  Solver must be rerun after a change on any sheet.</t>
  </si>
  <si>
    <t>To get DCFR, go to "Tools" and function "Solver."  Set target cell as $R51, to be made = 0 by changing cell $C$49.  Solver must be rerun after a change on any sheet.</t>
  </si>
  <si>
    <t>To get DCFR, go to "Tools" and function "Solver."  Set target cell as $R$51, to be made = 0 by changing cell $C$49.  Solver must be rerun after a change on any sheet.</t>
  </si>
  <si>
    <t>3.  Purchased Equipment Costs may be obtained from the file "Equipment Costs,"</t>
  </si>
  <si>
    <t>the graphs in the text, or otherwise, and entered manually into cell H12 on the</t>
  </si>
  <si>
    <t xml:space="preserve">Capital Inv.' spreadsheet.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</si>
</sst>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"/>
    <numFmt numFmtId="174" formatCode="0.0"/>
  </numFmts>
  <fonts count="42" x14ac:knownFonts="1">
    <font>
      <sz val="10"/>
      <name val="Arial"/>
    </font>
    <font>
      <sz val="12"/>
      <name val="Times New Roman"/>
      <family val="1"/>
    </font>
    <font>
      <u/>
      <sz val="12"/>
      <color indexed="12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sz val="10"/>
      <name val="Arial"/>
      <family val="2"/>
    </font>
    <font>
      <vertAlign val="superscript"/>
      <sz val="12"/>
      <name val="Times New Roman"/>
      <family val="1"/>
    </font>
    <font>
      <vertAlign val="superscript"/>
      <sz val="10"/>
      <name val="Times New Roman"/>
      <family val="1"/>
    </font>
    <font>
      <b/>
      <i/>
      <sz val="12"/>
      <name val="Times New Roman"/>
      <family val="1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2"/>
      <color indexed="8"/>
      <name val="Times New Roman"/>
      <family val="1"/>
    </font>
    <font>
      <sz val="12"/>
      <color indexed="10"/>
      <name val="Times New Roman"/>
      <family val="1"/>
    </font>
    <font>
      <sz val="8"/>
      <color indexed="81"/>
      <name val="Tahoma"/>
      <family val="2"/>
    </font>
    <font>
      <u/>
      <sz val="8"/>
      <color indexed="81"/>
      <name val="Tahoma"/>
      <family val="2"/>
    </font>
    <font>
      <b/>
      <i/>
      <sz val="8"/>
      <color indexed="81"/>
      <name val="Tahoma"/>
      <family val="2"/>
    </font>
    <font>
      <b/>
      <i/>
      <vertAlign val="subscript"/>
      <sz val="8"/>
      <color indexed="81"/>
      <name val="Tahoma"/>
      <family val="2"/>
    </font>
    <font>
      <sz val="8"/>
      <color indexed="81"/>
      <name val="Tahoma"/>
      <family val="2"/>
    </font>
    <font>
      <vertAlign val="superscript"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vertAlign val="subscript"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sz val="12"/>
      <name val="Times New Roman"/>
      <family val="1"/>
    </font>
    <font>
      <i/>
      <vertAlign val="subscript"/>
      <sz val="12"/>
      <name val="Times New Roman"/>
      <family val="1"/>
    </font>
    <font>
      <b/>
      <i/>
      <u/>
      <sz val="12"/>
      <name val="Times New Roman"/>
      <family val="1"/>
    </font>
    <font>
      <b/>
      <i/>
      <vertAlign val="subscript"/>
      <sz val="12"/>
      <name val="Times New Roman"/>
      <family val="1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Times New Roman"/>
      <family val="1"/>
    </font>
    <font>
      <sz val="9"/>
      <name val="Arial"/>
      <family val="2"/>
    </font>
    <font>
      <b/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</fills>
  <borders count="9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/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/>
      <top style="thick">
        <color indexed="64"/>
      </top>
      <bottom/>
      <diagonal/>
    </border>
    <border>
      <left/>
      <right style="hair">
        <color indexed="64"/>
      </right>
      <top style="thick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hair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/>
      <diagonal/>
    </border>
    <border>
      <left style="hair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hair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hair">
        <color indexed="64"/>
      </right>
      <top style="medium">
        <color indexed="64"/>
      </top>
      <bottom/>
      <diagonal/>
    </border>
    <border>
      <left style="thick">
        <color indexed="64"/>
      </left>
      <right style="hair">
        <color indexed="64"/>
      </right>
      <top/>
      <bottom/>
      <diagonal/>
    </border>
    <border>
      <left style="thick">
        <color indexed="64"/>
      </left>
      <right style="hair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thick">
        <color indexed="64"/>
      </bottom>
      <diagonal/>
    </border>
    <border>
      <left/>
      <right/>
      <top style="hair">
        <color indexed="64"/>
      </top>
      <bottom style="thick">
        <color indexed="64"/>
      </bottom>
      <diagonal/>
    </border>
    <border>
      <left/>
      <right style="thick">
        <color indexed="64"/>
      </right>
      <top style="hair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hair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2" fontId="1" fillId="0" borderId="0">
      <alignment horizontal="center" vertical="top" wrapText="1"/>
    </xf>
    <xf numFmtId="0" fontId="1" fillId="0" borderId="0"/>
  </cellStyleXfs>
  <cellXfs count="635">
    <xf numFmtId="0" fontId="0" fillId="0" borderId="0" xfId="0"/>
    <xf numFmtId="2" fontId="1" fillId="0" borderId="0" xfId="2">
      <alignment horizontal="center" vertical="top" wrapText="1"/>
    </xf>
    <xf numFmtId="0" fontId="0" fillId="0" borderId="0" xfId="0" applyAlignment="1"/>
    <xf numFmtId="2" fontId="1" fillId="0" borderId="0" xfId="2" applyAlignment="1">
      <alignment horizontal="center" vertical="top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168" fontId="0" fillId="0" borderId="0" xfId="0" applyNumberFormat="1" applyAlignment="1">
      <alignment horizontal="center"/>
    </xf>
    <xf numFmtId="168" fontId="0" fillId="0" borderId="0" xfId="0" applyNumberFormat="1"/>
    <xf numFmtId="2" fontId="1" fillId="0" borderId="0" xfId="2" applyBorder="1">
      <alignment horizontal="center" vertical="top" wrapText="1"/>
    </xf>
    <xf numFmtId="2" fontId="4" fillId="0" borderId="0" xfId="2" applyFont="1" applyFill="1" applyBorder="1" applyAlignment="1">
      <alignment vertical="top" wrapText="1"/>
    </xf>
    <xf numFmtId="0" fontId="6" fillId="0" borderId="0" xfId="0" applyFont="1"/>
    <xf numFmtId="0" fontId="0" fillId="2" borderId="0" xfId="0" applyFill="1"/>
    <xf numFmtId="0" fontId="11" fillId="0" borderId="0" xfId="0" applyFont="1"/>
    <xf numFmtId="0" fontId="0" fillId="0" borderId="0" xfId="0" applyFill="1"/>
    <xf numFmtId="2" fontId="1" fillId="0" borderId="0" xfId="2" applyFill="1" applyBorder="1">
      <alignment horizontal="center" vertical="top" wrapText="1"/>
    </xf>
    <xf numFmtId="0" fontId="0" fillId="0" borderId="0" xfId="0" applyFill="1" applyBorder="1"/>
    <xf numFmtId="2" fontId="3" fillId="0" borderId="0" xfId="2" applyFont="1" applyAlignment="1">
      <alignment horizontal="left" vertical="top"/>
    </xf>
    <xf numFmtId="2" fontId="4" fillId="0" borderId="0" xfId="2" applyFont="1" applyBorder="1" applyAlignment="1">
      <alignment horizontal="left" vertical="top"/>
    </xf>
    <xf numFmtId="2" fontId="1" fillId="0" borderId="0" xfId="2" applyFill="1">
      <alignment horizontal="center" vertical="top" wrapText="1"/>
    </xf>
    <xf numFmtId="0" fontId="0" fillId="0" borderId="0" xfId="0" applyAlignment="1">
      <alignment horizontal="center"/>
    </xf>
    <xf numFmtId="0" fontId="13" fillId="0" borderId="0" xfId="1" applyFont="1" applyFill="1" applyAlignment="1" applyProtection="1"/>
    <xf numFmtId="2" fontId="7" fillId="0" borderId="0" xfId="2" applyFont="1" applyBorder="1" applyAlignment="1">
      <alignment horizontal="left" vertical="top" wrapText="1"/>
    </xf>
    <xf numFmtId="0" fontId="1" fillId="0" borderId="0" xfId="2" applyNumberFormat="1" applyAlignment="1">
      <alignment horizontal="left" vertical="center" wrapText="1"/>
    </xf>
    <xf numFmtId="0" fontId="1" fillId="0" borderId="0" xfId="2" applyNumberForma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2" fontId="7" fillId="0" borderId="0" xfId="2" applyFont="1" applyBorder="1" applyAlignment="1">
      <alignment horizontal="left" vertical="top"/>
    </xf>
    <xf numFmtId="0" fontId="0" fillId="0" borderId="0" xfId="0" applyAlignment="1">
      <alignment horizontal="left" vertical="top"/>
    </xf>
    <xf numFmtId="168" fontId="4" fillId="0" borderId="0" xfId="2" applyNumberFormat="1" applyFont="1" applyBorder="1" applyAlignment="1">
      <alignment vertical="top" wrapText="1"/>
    </xf>
    <xf numFmtId="168" fontId="0" fillId="0" borderId="0" xfId="0" applyNumberFormat="1" applyFill="1"/>
    <xf numFmtId="0" fontId="0" fillId="0" borderId="0" xfId="0" applyAlignment="1">
      <alignment wrapText="1"/>
    </xf>
    <xf numFmtId="0" fontId="1" fillId="0" borderId="0" xfId="3" applyFont="1" applyAlignment="1"/>
    <xf numFmtId="0" fontId="1" fillId="0" borderId="0" xfId="3" applyFont="1"/>
    <xf numFmtId="0" fontId="3" fillId="0" borderId="1" xfId="3" applyFont="1" applyBorder="1" applyAlignment="1">
      <alignment vertical="top" wrapText="1"/>
    </xf>
    <xf numFmtId="0" fontId="1" fillId="0" borderId="0" xfId="3" applyAlignment="1"/>
    <xf numFmtId="0" fontId="1" fillId="3" borderId="0" xfId="3" applyFont="1" applyFill="1" applyBorder="1"/>
    <xf numFmtId="0" fontId="3" fillId="4" borderId="0" xfId="3" applyFont="1" applyFill="1"/>
    <xf numFmtId="168" fontId="13" fillId="5" borderId="2" xfId="3" applyNumberFormat="1" applyFont="1" applyFill="1" applyBorder="1" applyAlignment="1">
      <alignment horizontal="center" wrapText="1"/>
    </xf>
    <xf numFmtId="168" fontId="13" fillId="5" borderId="3" xfId="3" applyNumberFormat="1" applyFont="1" applyFill="1" applyBorder="1" applyAlignment="1">
      <alignment horizontal="center" wrapText="1"/>
    </xf>
    <xf numFmtId="168" fontId="4" fillId="5" borderId="4" xfId="3" applyNumberFormat="1" applyFont="1" applyFill="1" applyBorder="1" applyAlignment="1">
      <alignment horizontal="center"/>
    </xf>
    <xf numFmtId="0" fontId="4" fillId="0" borderId="0" xfId="3" applyFont="1" applyAlignment="1"/>
    <xf numFmtId="168" fontId="3" fillId="3" borderId="5" xfId="3" applyNumberFormat="1" applyFont="1" applyFill="1" applyBorder="1" applyAlignment="1">
      <alignment horizontal="center"/>
    </xf>
    <xf numFmtId="0" fontId="1" fillId="0" borderId="0" xfId="3" applyAlignment="1">
      <alignment horizontal="left" indent="15"/>
    </xf>
    <xf numFmtId="0" fontId="4" fillId="0" borderId="0" xfId="3" applyFont="1" applyBorder="1" applyAlignment="1">
      <alignment horizontal="left"/>
    </xf>
    <xf numFmtId="168" fontId="1" fillId="0" borderId="0" xfId="3" applyNumberFormat="1" applyFont="1" applyAlignment="1">
      <alignment horizontal="center"/>
    </xf>
    <xf numFmtId="0" fontId="0" fillId="6" borderId="6" xfId="0" applyFill="1" applyBorder="1"/>
    <xf numFmtId="0" fontId="0" fillId="0" borderId="0" xfId="0" applyAlignment="1">
      <alignment vertical="center"/>
    </xf>
    <xf numFmtId="0" fontId="0" fillId="0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2" fontId="0" fillId="7" borderId="6" xfId="0" applyNumberFormat="1" applyFill="1" applyBorder="1"/>
    <xf numFmtId="2" fontId="0" fillId="0" borderId="0" xfId="0" applyNumberFormat="1"/>
    <xf numFmtId="2" fontId="0" fillId="0" borderId="0" xfId="0" applyNumberFormat="1" applyAlignment="1">
      <alignment vertical="center"/>
    </xf>
    <xf numFmtId="2" fontId="0" fillId="6" borderId="6" xfId="0" applyNumberFormat="1" applyFill="1" applyBorder="1"/>
    <xf numFmtId="0" fontId="0" fillId="0" borderId="0" xfId="0" applyBorder="1"/>
    <xf numFmtId="2" fontId="0" fillId="0" borderId="0" xfId="0" applyNumberFormat="1" applyBorder="1"/>
    <xf numFmtId="0" fontId="0" fillId="6" borderId="10" xfId="0" applyFill="1" applyBorder="1"/>
    <xf numFmtId="0" fontId="0" fillId="0" borderId="11" xfId="0" applyBorder="1"/>
    <xf numFmtId="0" fontId="0" fillId="0" borderId="11" xfId="0" applyNumberFormat="1" applyBorder="1"/>
    <xf numFmtId="0" fontId="0" fillId="0" borderId="0" xfId="0" applyAlignment="1">
      <alignment vertical="top"/>
    </xf>
    <xf numFmtId="2" fontId="0" fillId="0" borderId="0" xfId="0" applyNumberFormat="1" applyAlignment="1">
      <alignment vertical="top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0" xfId="0" applyNumberFormat="1" applyFill="1"/>
    <xf numFmtId="2" fontId="0" fillId="5" borderId="6" xfId="0" applyNumberFormat="1" applyFill="1" applyBorder="1"/>
    <xf numFmtId="0" fontId="0" fillId="7" borderId="6" xfId="0" applyFill="1" applyBorder="1"/>
    <xf numFmtId="0" fontId="6" fillId="0" borderId="0" xfId="0" applyFont="1" applyAlignment="1"/>
    <xf numFmtId="2" fontId="4" fillId="0" borderId="0" xfId="2" applyFont="1" applyAlignment="1">
      <alignment horizontal="left"/>
    </xf>
    <xf numFmtId="0" fontId="0" fillId="0" borderId="0" xfId="0" applyAlignment="1">
      <alignment horizontal="center" vertical="top" wrapText="1"/>
    </xf>
    <xf numFmtId="0" fontId="0" fillId="0" borderId="15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/>
    <xf numFmtId="2" fontId="0" fillId="0" borderId="0" xfId="0" applyNumberFormat="1" applyAlignment="1">
      <alignment horizontal="center"/>
    </xf>
    <xf numFmtId="168" fontId="0" fillId="3" borderId="16" xfId="0" applyNumberFormat="1" applyFill="1" applyBorder="1" applyAlignment="1">
      <alignment horizontal="center"/>
    </xf>
    <xf numFmtId="168" fontId="6" fillId="8" borderId="16" xfId="0" applyNumberFormat="1" applyFont="1" applyFill="1" applyBorder="1" applyAlignment="1">
      <alignment horizontal="center"/>
    </xf>
    <xf numFmtId="168" fontId="6" fillId="8" borderId="16" xfId="0" applyNumberFormat="1" applyFont="1" applyFill="1" applyBorder="1" applyAlignment="1">
      <alignment horizontal="center" vertical="top"/>
    </xf>
    <xf numFmtId="2" fontId="5" fillId="0" borderId="0" xfId="2" applyFont="1" applyFill="1" applyBorder="1" applyAlignment="1">
      <alignment horizontal="center" vertical="top" wrapText="1"/>
    </xf>
    <xf numFmtId="0" fontId="1" fillId="7" borderId="0" xfId="3" applyFont="1" applyFill="1"/>
    <xf numFmtId="0" fontId="1" fillId="7" borderId="0" xfId="3" applyFont="1" applyFill="1" applyBorder="1"/>
    <xf numFmtId="0" fontId="1" fillId="2" borderId="0" xfId="3" applyFont="1" applyFill="1" applyBorder="1"/>
    <xf numFmtId="0" fontId="1" fillId="2" borderId="0" xfId="3" applyFont="1" applyFill="1"/>
    <xf numFmtId="0" fontId="1" fillId="9" borderId="17" xfId="3" applyFill="1" applyBorder="1" applyAlignment="1"/>
    <xf numFmtId="0" fontId="13" fillId="0" borderId="18" xfId="3" applyFont="1" applyFill="1" applyBorder="1" applyAlignment="1">
      <alignment wrapText="1"/>
    </xf>
    <xf numFmtId="0" fontId="13" fillId="0" borderId="19" xfId="3" applyFont="1" applyFill="1" applyBorder="1" applyAlignment="1">
      <alignment wrapText="1"/>
    </xf>
    <xf numFmtId="0" fontId="14" fillId="0" borderId="20" xfId="3" applyFont="1" applyFill="1" applyBorder="1"/>
    <xf numFmtId="0" fontId="14" fillId="0" borderId="21" xfId="3" applyFont="1" applyFill="1" applyBorder="1"/>
    <xf numFmtId="0" fontId="1" fillId="9" borderId="6" xfId="3" applyFill="1" applyBorder="1" applyAlignment="1">
      <alignment horizontal="left"/>
    </xf>
    <xf numFmtId="0" fontId="4" fillId="7" borderId="6" xfId="3" applyFont="1" applyFill="1" applyBorder="1" applyAlignment="1">
      <alignment horizontal="center"/>
    </xf>
    <xf numFmtId="0" fontId="1" fillId="7" borderId="6" xfId="3" applyFill="1" applyBorder="1" applyAlignment="1">
      <alignment horizontal="left"/>
    </xf>
    <xf numFmtId="0" fontId="4" fillId="7" borderId="22" xfId="3" applyFont="1" applyFill="1" applyBorder="1" applyAlignment="1">
      <alignment vertical="top"/>
    </xf>
    <xf numFmtId="0" fontId="4" fillId="7" borderId="6" xfId="3" applyFont="1" applyFill="1" applyBorder="1"/>
    <xf numFmtId="0" fontId="4" fillId="0" borderId="23" xfId="3" applyFont="1" applyFill="1" applyBorder="1" applyAlignment="1">
      <alignment horizontal="center"/>
    </xf>
    <xf numFmtId="0" fontId="4" fillId="7" borderId="6" xfId="3" applyFont="1" applyFill="1" applyBorder="1" applyAlignment="1"/>
    <xf numFmtId="0" fontId="1" fillId="7" borderId="6" xfId="3" applyFont="1" applyFill="1" applyBorder="1" applyAlignment="1">
      <alignment horizontal="center"/>
    </xf>
    <xf numFmtId="0" fontId="1" fillId="7" borderId="6" xfId="3" applyFont="1" applyFill="1" applyBorder="1"/>
    <xf numFmtId="0" fontId="0" fillId="10" borderId="0" xfId="0" applyFill="1"/>
    <xf numFmtId="0" fontId="0" fillId="10" borderId="13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0" borderId="0" xfId="0" applyFill="1" applyAlignment="1">
      <alignment wrapText="1"/>
    </xf>
    <xf numFmtId="174" fontId="0" fillId="0" borderId="0" xfId="0" applyNumberFormat="1"/>
    <xf numFmtId="0" fontId="0" fillId="0" borderId="24" xfId="0" applyBorder="1" applyAlignment="1">
      <alignment vertical="top"/>
    </xf>
    <xf numFmtId="174" fontId="0" fillId="0" borderId="0" xfId="0" applyNumberFormat="1" applyAlignment="1">
      <alignment vertical="top"/>
    </xf>
    <xf numFmtId="168" fontId="0" fillId="0" borderId="0" xfId="0" applyNumberFormat="1" applyFill="1" applyBorder="1"/>
    <xf numFmtId="0" fontId="0" fillId="0" borderId="15" xfId="0" applyBorder="1"/>
    <xf numFmtId="0" fontId="0" fillId="10" borderId="18" xfId="0" applyFill="1" applyBorder="1"/>
    <xf numFmtId="0" fontId="0" fillId="10" borderId="19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8" xfId="0" applyFill="1" applyBorder="1" applyAlignment="1">
      <alignment vertical="center"/>
    </xf>
    <xf numFmtId="0" fontId="0" fillId="10" borderId="9" xfId="0" applyFill="1" applyBorder="1" applyAlignment="1">
      <alignment vertical="center"/>
    </xf>
    <xf numFmtId="0" fontId="0" fillId="10" borderId="8" xfId="0" applyFill="1" applyBorder="1" applyAlignment="1">
      <alignment vertical="top"/>
    </xf>
    <xf numFmtId="0" fontId="0" fillId="10" borderId="9" xfId="0" applyFill="1" applyBorder="1" applyAlignment="1">
      <alignment vertical="top"/>
    </xf>
    <xf numFmtId="0" fontId="6" fillId="0" borderId="0" xfId="0" applyFont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2" fontId="0" fillId="9" borderId="7" xfId="0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2" fontId="0" fillId="2" borderId="25" xfId="0" applyNumberFormat="1" applyFill="1" applyBorder="1" applyAlignment="1">
      <alignment horizontal="center"/>
    </xf>
    <xf numFmtId="2" fontId="0" fillId="2" borderId="26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top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4" fillId="0" borderId="0" xfId="2" applyNumberFormat="1" applyFont="1" applyFill="1" applyBorder="1" applyAlignment="1">
      <alignment horizontal="center" vertical="top" wrapText="1"/>
    </xf>
    <xf numFmtId="2" fontId="5" fillId="0" borderId="0" xfId="2" applyNumberFormat="1" applyFont="1" applyFill="1" applyBorder="1" applyAlignment="1">
      <alignment horizontal="center" vertical="top" wrapText="1"/>
    </xf>
    <xf numFmtId="2" fontId="1" fillId="0" borderId="0" xfId="2" applyNumberFormat="1" applyFill="1" applyBorder="1" applyAlignment="1">
      <alignment horizontal="center" vertical="top" wrapText="1"/>
    </xf>
    <xf numFmtId="2" fontId="8" fillId="0" borderId="0" xfId="2" applyNumberFormat="1" applyFont="1" applyFill="1" applyBorder="1" applyAlignment="1">
      <alignment horizontal="center" vertical="top" wrapText="1"/>
    </xf>
    <xf numFmtId="2" fontId="8" fillId="0" borderId="0" xfId="2" applyNumberFormat="1" applyFont="1" applyBorder="1" applyAlignment="1">
      <alignment horizontal="center" vertical="top" wrapText="1"/>
    </xf>
    <xf numFmtId="2" fontId="1" fillId="0" borderId="0" xfId="2" applyNumberFormat="1" applyBorder="1" applyAlignment="1">
      <alignment horizontal="center" vertical="top" wrapText="1"/>
    </xf>
    <xf numFmtId="168" fontId="0" fillId="2" borderId="10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/>
    </xf>
    <xf numFmtId="168" fontId="0" fillId="2" borderId="25" xfId="0" applyNumberFormat="1" applyFill="1" applyBorder="1" applyAlignment="1">
      <alignment horizontal="center"/>
    </xf>
    <xf numFmtId="168" fontId="0" fillId="2" borderId="26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 vertical="top"/>
    </xf>
    <xf numFmtId="168" fontId="0" fillId="0" borderId="0" xfId="0" applyNumberFormat="1" applyFill="1" applyBorder="1" applyAlignment="1">
      <alignment horizontal="center"/>
    </xf>
    <xf numFmtId="168" fontId="0" fillId="0" borderId="0" xfId="0" applyNumberFormat="1" applyFill="1" applyAlignment="1">
      <alignment horizontal="center"/>
    </xf>
    <xf numFmtId="168" fontId="4" fillId="0" borderId="0" xfId="2" applyNumberFormat="1" applyFont="1" applyFill="1" applyBorder="1" applyAlignment="1">
      <alignment horizontal="center" vertical="top" wrapText="1"/>
    </xf>
    <xf numFmtId="168" fontId="1" fillId="0" borderId="0" xfId="2" applyNumberFormat="1" applyFill="1" applyBorder="1" applyAlignment="1">
      <alignment horizontal="center"/>
    </xf>
    <xf numFmtId="168" fontId="1" fillId="0" borderId="0" xfId="2" applyNumberFormat="1" applyBorder="1" applyAlignment="1">
      <alignment horizontal="center"/>
    </xf>
    <xf numFmtId="168" fontId="8" fillId="0" borderId="0" xfId="2" applyNumberFormat="1" applyFont="1" applyBorder="1" applyAlignment="1">
      <alignment horizontal="center" vertical="top" wrapText="1"/>
    </xf>
    <xf numFmtId="168" fontId="1" fillId="0" borderId="0" xfId="2" applyNumberFormat="1" applyBorder="1" applyAlignment="1">
      <alignment horizontal="center" vertical="top" wrapText="1"/>
    </xf>
    <xf numFmtId="0" fontId="0" fillId="0" borderId="0" xfId="0" applyFill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4" fillId="0" borderId="0" xfId="2" applyFont="1" applyFill="1" applyBorder="1" applyAlignment="1">
      <alignment horizontal="center" vertical="top" wrapText="1"/>
    </xf>
    <xf numFmtId="2" fontId="8" fillId="0" borderId="0" xfId="2" applyFont="1" applyFill="1" applyBorder="1" applyAlignment="1">
      <alignment horizontal="center" vertical="top" wrapText="1"/>
    </xf>
    <xf numFmtId="2" fontId="8" fillId="0" borderId="0" xfId="2" applyFont="1" applyBorder="1" applyAlignment="1">
      <alignment horizontal="center" vertical="top" wrapText="1"/>
    </xf>
    <xf numFmtId="2" fontId="7" fillId="0" borderId="0" xfId="2" applyFont="1" applyBorder="1" applyAlignment="1">
      <alignment horizontal="center" vertical="top" wrapText="1"/>
    </xf>
    <xf numFmtId="0" fontId="0" fillId="7" borderId="27" xfId="0" applyFill="1" applyBorder="1" applyAlignment="1">
      <alignment horizontal="center" vertical="top"/>
    </xf>
    <xf numFmtId="0" fontId="0" fillId="7" borderId="28" xfId="0" applyFill="1" applyBorder="1" applyAlignment="1">
      <alignment horizontal="center" vertical="top"/>
    </xf>
    <xf numFmtId="2" fontId="0" fillId="0" borderId="26" xfId="0" applyNumberFormat="1" applyFill="1" applyBorder="1" applyAlignment="1">
      <alignment horizontal="center"/>
    </xf>
    <xf numFmtId="2" fontId="1" fillId="0" borderId="0" xfId="2" applyNumberFormat="1" applyFill="1" applyBorder="1" applyAlignment="1">
      <alignment horizontal="center"/>
    </xf>
    <xf numFmtId="2" fontId="1" fillId="0" borderId="0" xfId="2" applyNumberFormat="1" applyBorder="1" applyAlignment="1">
      <alignment horizontal="center"/>
    </xf>
    <xf numFmtId="168" fontId="4" fillId="0" borderId="6" xfId="3" applyNumberFormat="1" applyFont="1" applyFill="1" applyBorder="1" applyAlignment="1">
      <alignment horizontal="center"/>
    </xf>
    <xf numFmtId="2" fontId="0" fillId="0" borderId="29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8" fontId="1" fillId="0" borderId="0" xfId="2" applyNumberFormat="1" applyAlignment="1">
      <alignment horizontal="center" vertical="center" wrapText="1"/>
    </xf>
    <xf numFmtId="168" fontId="0" fillId="0" borderId="0" xfId="0" applyNumberFormat="1" applyAlignment="1">
      <alignment horizontal="left" vertical="center"/>
    </xf>
    <xf numFmtId="168" fontId="0" fillId="0" borderId="0" xfId="0" applyNumberFormat="1" applyAlignment="1">
      <alignment horizontal="left" vertical="center" wrapText="1"/>
    </xf>
    <xf numFmtId="168" fontId="1" fillId="0" borderId="0" xfId="2" applyNumberFormat="1" applyBorder="1" applyAlignment="1">
      <alignment horizontal="center" vertical="center" wrapText="1"/>
    </xf>
    <xf numFmtId="1" fontId="1" fillId="0" borderId="0" xfId="2" applyNumberFormat="1" applyAlignment="1">
      <alignment horizontal="center" vertical="center" wrapText="1"/>
    </xf>
    <xf numFmtId="1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 wrapText="1"/>
    </xf>
    <xf numFmtId="1" fontId="1" fillId="0" borderId="0" xfId="2" applyNumberFormat="1" applyBorder="1" applyAlignment="1">
      <alignment horizontal="center" vertical="center" wrapText="1"/>
    </xf>
    <xf numFmtId="2" fontId="0" fillId="5" borderId="26" xfId="0" applyNumberFormat="1" applyFill="1" applyBorder="1"/>
    <xf numFmtId="2" fontId="0" fillId="0" borderId="6" xfId="0" applyNumberFormat="1" applyFill="1" applyBorder="1"/>
    <xf numFmtId="2" fontId="1" fillId="0" borderId="0" xfId="2" applyFill="1" applyAlignment="1">
      <alignment horizontal="center" vertical="top" wrapText="1"/>
    </xf>
    <xf numFmtId="2" fontId="1" fillId="0" borderId="0" xfId="2" applyFont="1" applyFill="1" applyAlignment="1">
      <alignment horizontal="center" vertical="top" wrapText="1"/>
    </xf>
    <xf numFmtId="2" fontId="1" fillId="0" borderId="0" xfId="2" applyAlignment="1">
      <alignment horizontal="center" vertical="top" wrapText="1"/>
    </xf>
    <xf numFmtId="2" fontId="1" fillId="0" borderId="0" xfId="2" applyBorder="1" applyAlignment="1">
      <alignment horizontal="center" vertical="top" wrapText="1"/>
    </xf>
    <xf numFmtId="0" fontId="6" fillId="0" borderId="15" xfId="0" applyFon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horizontal="left"/>
    </xf>
    <xf numFmtId="0" fontId="0" fillId="0" borderId="24" xfId="0" applyBorder="1"/>
    <xf numFmtId="0" fontId="0" fillId="0" borderId="24" xfId="0" applyBorder="1" applyAlignment="1"/>
    <xf numFmtId="0" fontId="20" fillId="0" borderId="24" xfId="0" applyFont="1" applyBorder="1"/>
    <xf numFmtId="0" fontId="0" fillId="0" borderId="0" xfId="0" applyBorder="1" applyAlignment="1">
      <alignment horizontal="center"/>
    </xf>
    <xf numFmtId="0" fontId="6" fillId="0" borderId="24" xfId="0" applyFont="1" applyBorder="1"/>
    <xf numFmtId="1" fontId="1" fillId="0" borderId="31" xfId="2" applyNumberFormat="1" applyFont="1" applyBorder="1" applyAlignment="1">
      <alignment horizontal="center" vertical="center" wrapText="1"/>
    </xf>
    <xf numFmtId="0" fontId="1" fillId="10" borderId="0" xfId="3" applyFill="1" applyAlignment="1"/>
    <xf numFmtId="0" fontId="1" fillId="10" borderId="0" xfId="3" applyFont="1" applyFill="1" applyAlignment="1"/>
    <xf numFmtId="2" fontId="0" fillId="5" borderId="6" xfId="0" applyNumberFormat="1" applyFill="1" applyBorder="1" applyAlignment="1">
      <alignment vertical="center"/>
    </xf>
    <xf numFmtId="2" fontId="0" fillId="0" borderId="15" xfId="0" applyNumberFormat="1" applyBorder="1"/>
    <xf numFmtId="174" fontId="0" fillId="0" borderId="29" xfId="0" applyNumberFormat="1" applyBorder="1"/>
    <xf numFmtId="0" fontId="0" fillId="0" borderId="24" xfId="0" applyFill="1" applyBorder="1" applyAlignment="1">
      <alignment vertical="top"/>
    </xf>
    <xf numFmtId="0" fontId="0" fillId="0" borderId="0" xfId="0" applyFill="1" applyAlignment="1">
      <alignment vertical="top"/>
    </xf>
    <xf numFmtId="0" fontId="0" fillId="0" borderId="32" xfId="0" applyFill="1" applyBorder="1" applyAlignment="1">
      <alignment vertical="top"/>
    </xf>
    <xf numFmtId="0" fontId="0" fillId="0" borderId="33" xfId="0" applyFill="1" applyBorder="1"/>
    <xf numFmtId="0" fontId="0" fillId="10" borderId="34" xfId="0" applyFill="1" applyBorder="1" applyAlignment="1">
      <alignment horizontal="center"/>
    </xf>
    <xf numFmtId="0" fontId="0" fillId="10" borderId="17" xfId="0" applyFill="1" applyBorder="1"/>
    <xf numFmtId="0" fontId="0" fillId="10" borderId="7" xfId="0" applyFill="1" applyBorder="1"/>
    <xf numFmtId="0" fontId="0" fillId="10" borderId="7" xfId="0" applyFill="1" applyBorder="1" applyAlignment="1">
      <alignment vertical="center"/>
    </xf>
    <xf numFmtId="0" fontId="0" fillId="10" borderId="7" xfId="0" applyFill="1" applyBorder="1" applyAlignment="1">
      <alignment vertical="top"/>
    </xf>
    <xf numFmtId="2" fontId="0" fillId="7" borderId="6" xfId="0" applyNumberFormat="1" applyFill="1" applyBorder="1" applyAlignment="1">
      <alignment vertical="center"/>
    </xf>
    <xf numFmtId="168" fontId="0" fillId="7" borderId="6" xfId="0" applyNumberFormat="1" applyFill="1" applyBorder="1"/>
    <xf numFmtId="0" fontId="0" fillId="0" borderId="35" xfId="0" applyFill="1" applyBorder="1" applyAlignment="1">
      <alignment vertical="top"/>
    </xf>
    <xf numFmtId="0" fontId="0" fillId="0" borderId="36" xfId="0" applyFill="1" applyBorder="1" applyAlignment="1">
      <alignment vertical="top"/>
    </xf>
    <xf numFmtId="0" fontId="0" fillId="0" borderId="37" xfId="0" applyFill="1" applyBorder="1" applyAlignment="1">
      <alignment vertical="top"/>
    </xf>
    <xf numFmtId="0" fontId="0" fillId="7" borderId="10" xfId="0" applyFill="1" applyBorder="1"/>
    <xf numFmtId="2" fontId="0" fillId="2" borderId="7" xfId="0" applyNumberFormat="1" applyFill="1" applyBorder="1" applyAlignment="1">
      <alignment horizontal="center" vertical="center"/>
    </xf>
    <xf numFmtId="2" fontId="0" fillId="5" borderId="7" xfId="0" applyNumberFormat="1" applyFill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2" borderId="40" xfId="0" applyFill="1" applyBorder="1"/>
    <xf numFmtId="0" fontId="0" fillId="2" borderId="20" xfId="0" applyFill="1" applyBorder="1"/>
    <xf numFmtId="0" fontId="0" fillId="2" borderId="21" xfId="0" applyFill="1" applyBorder="1"/>
    <xf numFmtId="2" fontId="0" fillId="10" borderId="9" xfId="0" applyNumberFormat="1" applyFill="1" applyBorder="1"/>
    <xf numFmtId="0" fontId="0" fillId="7" borderId="41" xfId="0" applyFill="1" applyBorder="1"/>
    <xf numFmtId="0" fontId="0" fillId="7" borderId="42" xfId="0" applyFill="1" applyBorder="1"/>
    <xf numFmtId="0" fontId="0" fillId="7" borderId="43" xfId="0" applyFill="1" applyBorder="1"/>
    <xf numFmtId="0" fontId="0" fillId="7" borderId="40" xfId="0" applyFill="1" applyBorder="1"/>
    <xf numFmtId="0" fontId="0" fillId="7" borderId="20" xfId="0" applyFill="1" applyBorder="1"/>
    <xf numFmtId="0" fontId="0" fillId="7" borderId="21" xfId="0" applyFill="1" applyBorder="1"/>
    <xf numFmtId="0" fontId="0" fillId="7" borderId="22" xfId="0" applyFill="1" applyBorder="1"/>
    <xf numFmtId="2" fontId="0" fillId="5" borderId="17" xfId="0" applyNumberFormat="1" applyFill="1" applyBorder="1" applyAlignment="1">
      <alignment horizontal="center" vertical="center"/>
    </xf>
    <xf numFmtId="0" fontId="0" fillId="2" borderId="6" xfId="0" applyFill="1" applyBorder="1"/>
    <xf numFmtId="2" fontId="0" fillId="2" borderId="6" xfId="0" applyNumberFormat="1" applyFill="1" applyBorder="1" applyAlignment="1">
      <alignment horizontal="center" vertical="center"/>
    </xf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2" fontId="0" fillId="5" borderId="44" xfId="0" applyNumberFormat="1" applyFill="1" applyBorder="1"/>
    <xf numFmtId="2" fontId="0" fillId="5" borderId="6" xfId="0" applyNumberFormat="1" applyFill="1" applyBorder="1" applyAlignment="1">
      <alignment horizontal="center"/>
    </xf>
    <xf numFmtId="2" fontId="0" fillId="0" borderId="10" xfId="0" applyNumberFormat="1" applyBorder="1" applyAlignment="1">
      <alignment vertical="center"/>
    </xf>
    <xf numFmtId="2" fontId="0" fillId="5" borderId="22" xfId="0" applyNumberFormat="1" applyFill="1" applyBorder="1" applyAlignment="1">
      <alignment vertical="center"/>
    </xf>
    <xf numFmtId="0" fontId="0" fillId="0" borderId="6" xfId="0" applyBorder="1" applyAlignment="1" applyProtection="1">
      <alignment vertical="center"/>
      <protection locked="0"/>
    </xf>
    <xf numFmtId="0" fontId="0" fillId="5" borderId="6" xfId="0" applyFill="1" applyBorder="1"/>
    <xf numFmtId="2" fontId="0" fillId="10" borderId="19" xfId="0" applyNumberFormat="1" applyFill="1" applyBorder="1"/>
    <xf numFmtId="0" fontId="4" fillId="5" borderId="6" xfId="3" applyFont="1" applyFill="1" applyBorder="1" applyAlignment="1">
      <alignment horizontal="center"/>
    </xf>
    <xf numFmtId="168" fontId="4" fillId="5" borderId="45" xfId="3" applyNumberFormat="1" applyFont="1" applyFill="1" applyBorder="1" applyAlignment="1">
      <alignment horizontal="center"/>
    </xf>
    <xf numFmtId="168" fontId="4" fillId="5" borderId="6" xfId="3" applyNumberFormat="1" applyFont="1" applyFill="1" applyBorder="1" applyAlignment="1">
      <alignment horizontal="center"/>
    </xf>
    <xf numFmtId="168" fontId="4" fillId="0" borderId="4" xfId="3" applyNumberFormat="1" applyFont="1" applyFill="1" applyBorder="1" applyAlignment="1">
      <alignment horizontal="center"/>
    </xf>
    <xf numFmtId="168" fontId="4" fillId="0" borderId="3" xfId="3" applyNumberFormat="1" applyFont="1" applyFill="1" applyBorder="1" applyAlignment="1">
      <alignment horizontal="center"/>
    </xf>
    <xf numFmtId="168" fontId="4" fillId="0" borderId="2" xfId="3" applyNumberFormat="1" applyFont="1" applyFill="1" applyBorder="1" applyAlignment="1">
      <alignment horizontal="center"/>
    </xf>
    <xf numFmtId="168" fontId="1" fillId="0" borderId="5" xfId="3" applyNumberFormat="1" applyFont="1" applyFill="1" applyBorder="1" applyAlignment="1">
      <alignment horizontal="center"/>
    </xf>
    <xf numFmtId="0" fontId="1" fillId="0" borderId="22" xfId="3" applyFont="1" applyFill="1" applyBorder="1"/>
    <xf numFmtId="0" fontId="13" fillId="0" borderId="22" xfId="3" applyFont="1" applyFill="1" applyBorder="1"/>
    <xf numFmtId="168" fontId="13" fillId="5" borderId="22" xfId="1" applyNumberFormat="1" applyFont="1" applyFill="1" applyBorder="1" applyAlignment="1" applyProtection="1">
      <alignment horizontal="center" wrapText="1"/>
    </xf>
    <xf numFmtId="0" fontId="4" fillId="9" borderId="22" xfId="3" applyFont="1" applyFill="1" applyBorder="1" applyAlignment="1">
      <alignment wrapText="1"/>
    </xf>
    <xf numFmtId="168" fontId="13" fillId="0" borderId="10" xfId="3" applyNumberFormat="1" applyFont="1" applyFill="1" applyBorder="1" applyAlignment="1">
      <alignment horizontal="center" wrapText="1"/>
    </xf>
    <xf numFmtId="168" fontId="13" fillId="0" borderId="6" xfId="3" applyNumberFormat="1" applyFont="1" applyFill="1" applyBorder="1" applyAlignment="1">
      <alignment horizontal="center" wrapText="1"/>
    </xf>
    <xf numFmtId="0" fontId="4" fillId="7" borderId="22" xfId="3" applyFont="1" applyFill="1" applyBorder="1" applyAlignment="1">
      <alignment horizontal="center"/>
    </xf>
    <xf numFmtId="0" fontId="4" fillId="7" borderId="22" xfId="3" applyFont="1" applyFill="1" applyBorder="1"/>
    <xf numFmtId="168" fontId="4" fillId="5" borderId="22" xfId="3" applyNumberFormat="1" applyFont="1" applyFill="1" applyBorder="1" applyAlignment="1">
      <alignment horizontal="center"/>
    </xf>
    <xf numFmtId="168" fontId="4" fillId="0" borderId="1" xfId="3" applyNumberFormat="1" applyFont="1" applyFill="1" applyBorder="1" applyAlignment="1">
      <alignment horizontal="center"/>
    </xf>
    <xf numFmtId="0" fontId="4" fillId="9" borderId="6" xfId="3" applyFont="1" applyFill="1" applyBorder="1" applyAlignment="1">
      <alignment horizontal="center" vertical="top"/>
    </xf>
    <xf numFmtId="0" fontId="4" fillId="9" borderId="6" xfId="3" applyFont="1" applyFill="1" applyBorder="1" applyAlignment="1"/>
    <xf numFmtId="168" fontId="4" fillId="9" borderId="6" xfId="3" applyNumberFormat="1" applyFont="1" applyFill="1" applyBorder="1" applyAlignment="1">
      <alignment horizontal="center"/>
    </xf>
    <xf numFmtId="168" fontId="1" fillId="9" borderId="22" xfId="3" applyNumberFormat="1" applyFont="1" applyFill="1" applyBorder="1" applyAlignment="1">
      <alignment horizontal="center"/>
    </xf>
    <xf numFmtId="168" fontId="1" fillId="5" borderId="6" xfId="3" applyNumberFormat="1" applyFill="1" applyBorder="1" applyAlignment="1">
      <alignment horizontal="center"/>
    </xf>
    <xf numFmtId="168" fontId="1" fillId="5" borderId="46" xfId="3" applyNumberFormat="1" applyFill="1" applyBorder="1" applyAlignment="1">
      <alignment horizontal="center"/>
    </xf>
    <xf numFmtId="168" fontId="1" fillId="5" borderId="46" xfId="3" applyNumberFormat="1" applyFont="1" applyFill="1" applyBorder="1" applyAlignment="1">
      <alignment horizontal="center"/>
    </xf>
    <xf numFmtId="0" fontId="6" fillId="0" borderId="0" xfId="0" applyFont="1" applyFill="1"/>
    <xf numFmtId="0" fontId="0" fillId="0" borderId="0" xfId="0" applyBorder="1" applyAlignment="1">
      <alignment horizontal="center" vertical="top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top"/>
    </xf>
    <xf numFmtId="0" fontId="0" fillId="0" borderId="6" xfId="0" applyBorder="1" applyAlignment="1">
      <alignment horizontal="left"/>
    </xf>
    <xf numFmtId="168" fontId="0" fillId="0" borderId="6" xfId="0" applyNumberFormat="1" applyBorder="1" applyAlignment="1">
      <alignment horizontal="center"/>
    </xf>
    <xf numFmtId="168" fontId="0" fillId="10" borderId="6" xfId="0" applyNumberFormat="1" applyFill="1" applyBorder="1" applyAlignment="1">
      <alignment horizontal="left"/>
    </xf>
    <xf numFmtId="2" fontId="0" fillId="10" borderId="6" xfId="0" applyNumberFormat="1" applyFill="1" applyBorder="1" applyAlignment="1">
      <alignment horizontal="left"/>
    </xf>
    <xf numFmtId="168" fontId="0" fillId="7" borderId="6" xfId="0" applyNumberFormat="1" applyFill="1" applyBorder="1" applyAlignment="1">
      <alignment horizontal="left"/>
    </xf>
    <xf numFmtId="2" fontId="0" fillId="7" borderId="6" xfId="0" applyNumberFormat="1" applyFill="1" applyBorder="1" applyAlignment="1">
      <alignment horizontal="left"/>
    </xf>
    <xf numFmtId="0" fontId="0" fillId="0" borderId="6" xfId="0" applyFill="1" applyBorder="1" applyAlignment="1">
      <alignment horizontal="left"/>
    </xf>
    <xf numFmtId="2" fontId="0" fillId="0" borderId="47" xfId="0" applyNumberFormat="1" applyBorder="1" applyAlignment="1">
      <alignment horizontal="center"/>
    </xf>
    <xf numFmtId="168" fontId="0" fillId="0" borderId="47" xfId="0" applyNumberFormat="1" applyBorder="1" applyAlignment="1">
      <alignment horizontal="center"/>
    </xf>
    <xf numFmtId="0" fontId="0" fillId="0" borderId="48" xfId="0" applyBorder="1"/>
    <xf numFmtId="0" fontId="0" fillId="0" borderId="6" xfId="0" applyBorder="1" applyAlignment="1">
      <alignment horizontal="center"/>
    </xf>
    <xf numFmtId="0" fontId="0" fillId="2" borderId="48" xfId="0" applyFill="1" applyBorder="1"/>
    <xf numFmtId="2" fontId="1" fillId="0" borderId="0" xfId="2" applyFont="1" applyAlignment="1">
      <alignment horizontal="left" vertical="top" wrapText="1"/>
    </xf>
    <xf numFmtId="0" fontId="0" fillId="7" borderId="48" xfId="0" applyFill="1" applyBorder="1" applyAlignment="1">
      <alignment horizontal="left"/>
    </xf>
    <xf numFmtId="0" fontId="0" fillId="7" borderId="6" xfId="0" applyFill="1" applyBorder="1" applyAlignment="1">
      <alignment horizontal="left"/>
    </xf>
    <xf numFmtId="0" fontId="0" fillId="0" borderId="47" xfId="0" applyBorder="1" applyAlignment="1">
      <alignment horizontal="center"/>
    </xf>
    <xf numFmtId="2" fontId="0" fillId="0" borderId="44" xfId="0" applyNumberFormat="1" applyFill="1" applyBorder="1" applyAlignment="1">
      <alignment horizontal="center"/>
    </xf>
    <xf numFmtId="2" fontId="6" fillId="4" borderId="16" xfId="0" applyNumberFormat="1" applyFont="1" applyFill="1" applyBorder="1" applyAlignment="1">
      <alignment horizontal="center"/>
    </xf>
    <xf numFmtId="0" fontId="6" fillId="4" borderId="47" xfId="0" applyFont="1" applyFill="1" applyBorder="1" applyAlignment="1">
      <alignment horizontal="left"/>
    </xf>
    <xf numFmtId="0" fontId="6" fillId="4" borderId="49" xfId="0" applyFont="1" applyFill="1" applyBorder="1"/>
    <xf numFmtId="0" fontId="10" fillId="0" borderId="0" xfId="0" applyFont="1"/>
    <xf numFmtId="2" fontId="3" fillId="0" borderId="0" xfId="2" applyNumberFormat="1" applyFont="1" applyAlignment="1">
      <alignment horizontal="center" vertical="center"/>
    </xf>
    <xf numFmtId="2" fontId="4" fillId="0" borderId="0" xfId="2" applyNumberFormat="1" applyFont="1" applyBorder="1" applyAlignment="1">
      <alignment horizontal="center" vertical="center"/>
    </xf>
    <xf numFmtId="2" fontId="13" fillId="0" borderId="0" xfId="1" applyNumberFormat="1" applyFont="1" applyFill="1" applyAlignment="1" applyProtection="1">
      <alignment horizontal="center" vertical="center"/>
    </xf>
    <xf numFmtId="2" fontId="0" fillId="0" borderId="0" xfId="0" applyNumberFormat="1" applyAlignment="1"/>
    <xf numFmtId="2" fontId="7" fillId="0" borderId="0" xfId="2" applyNumberFormat="1" applyFont="1" applyBorder="1" applyAlignment="1">
      <alignment horizontal="left" vertical="top"/>
    </xf>
    <xf numFmtId="2" fontId="7" fillId="0" borderId="0" xfId="2" applyNumberFormat="1" applyFont="1" applyBorder="1" applyAlignment="1">
      <alignment horizontal="center" vertical="center" wrapText="1"/>
    </xf>
    <xf numFmtId="2" fontId="1" fillId="0" borderId="0" xfId="2" applyNumberFormat="1">
      <alignment horizontal="center" vertical="top" wrapText="1"/>
    </xf>
    <xf numFmtId="2" fontId="1" fillId="0" borderId="0" xfId="2" applyNumberFormat="1" applyBorder="1" applyAlignment="1">
      <alignment horizontal="center" vertical="center" wrapText="1"/>
    </xf>
    <xf numFmtId="2" fontId="1" fillId="0" borderId="0" xfId="2" applyNumberForma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174" fontId="0" fillId="10" borderId="8" xfId="0" applyNumberFormat="1" applyFill="1" applyBorder="1"/>
    <xf numFmtId="0" fontId="0" fillId="10" borderId="8" xfId="0" quotePrefix="1" applyFill="1" applyBorder="1"/>
    <xf numFmtId="174" fontId="0" fillId="10" borderId="8" xfId="0" applyNumberFormat="1" applyFill="1" applyBorder="1" applyAlignment="1">
      <alignment horizontal="center"/>
    </xf>
    <xf numFmtId="0" fontId="0" fillId="10" borderId="8" xfId="0" applyFill="1" applyBorder="1" applyAlignment="1">
      <alignment wrapText="1"/>
    </xf>
    <xf numFmtId="0" fontId="0" fillId="10" borderId="9" xfId="0" applyFill="1" applyBorder="1" applyAlignment="1">
      <alignment wrapText="1"/>
    </xf>
    <xf numFmtId="0" fontId="0" fillId="0" borderId="0" xfId="0" applyNumberFormat="1" applyBorder="1"/>
    <xf numFmtId="2" fontId="0" fillId="5" borderId="0" xfId="0" applyNumberFormat="1" applyFill="1" applyBorder="1"/>
    <xf numFmtId="174" fontId="6" fillId="4" borderId="16" xfId="0" applyNumberFormat="1" applyFont="1" applyFill="1" applyBorder="1"/>
    <xf numFmtId="2" fontId="6" fillId="4" borderId="16" xfId="0" applyNumberFormat="1" applyFont="1" applyFill="1" applyBorder="1"/>
    <xf numFmtId="2" fontId="6" fillId="4" borderId="16" xfId="0" applyNumberFormat="1" applyFont="1" applyFill="1" applyBorder="1" applyAlignment="1">
      <alignment vertical="top"/>
    </xf>
    <xf numFmtId="174" fontId="6" fillId="4" borderId="16" xfId="0" applyNumberFormat="1" applyFont="1" applyFill="1" applyBorder="1" applyAlignment="1">
      <alignment wrapText="1"/>
    </xf>
    <xf numFmtId="2" fontId="0" fillId="7" borderId="26" xfId="0" applyNumberFormat="1" applyFill="1" applyBorder="1"/>
    <xf numFmtId="2" fontId="0" fillId="7" borderId="44" xfId="0" applyNumberFormat="1" applyFill="1" applyBorder="1"/>
    <xf numFmtId="174" fontId="0" fillId="10" borderId="8" xfId="0" applyNumberFormat="1" applyFill="1" applyBorder="1" applyAlignment="1">
      <alignment horizontal="right"/>
    </xf>
    <xf numFmtId="0" fontId="0" fillId="0" borderId="15" xfId="0" applyBorder="1" applyAlignment="1">
      <alignment horizontal="centerContinuous" vertical="top"/>
    </xf>
    <xf numFmtId="0" fontId="0" fillId="0" borderId="0" xfId="0" applyAlignment="1">
      <alignment vertical="top" wrapText="1"/>
    </xf>
    <xf numFmtId="0" fontId="0" fillId="0" borderId="6" xfId="0" applyBorder="1" applyAlignment="1">
      <alignment horizontal="center" vertical="top"/>
    </xf>
    <xf numFmtId="0" fontId="0" fillId="0" borderId="6" xfId="0" applyBorder="1"/>
    <xf numFmtId="2" fontId="1" fillId="3" borderId="6" xfId="2" applyFont="1" applyFill="1" applyBorder="1">
      <alignment horizontal="center" vertical="top" wrapText="1"/>
    </xf>
    <xf numFmtId="2" fontId="3" fillId="8" borderId="6" xfId="2" applyFont="1" applyFill="1" applyBorder="1">
      <alignment horizontal="center" vertical="top" wrapText="1"/>
    </xf>
    <xf numFmtId="0" fontId="0" fillId="0" borderId="47" xfId="0" applyBorder="1"/>
    <xf numFmtId="0" fontId="0" fillId="10" borderId="47" xfId="0" applyFill="1" applyBorder="1" applyAlignment="1">
      <alignment horizontal="left"/>
    </xf>
    <xf numFmtId="0" fontId="0" fillId="10" borderId="47" xfId="0" applyFill="1" applyBorder="1" applyAlignment="1">
      <alignment horizontal="center" vertical="top"/>
    </xf>
    <xf numFmtId="0" fontId="0" fillId="10" borderId="18" xfId="0" applyFill="1" applyBorder="1" applyAlignment="1">
      <alignment horizontal="center" vertical="top"/>
    </xf>
    <xf numFmtId="0" fontId="0" fillId="10" borderId="50" xfId="0" applyFill="1" applyBorder="1"/>
    <xf numFmtId="0" fontId="0" fillId="10" borderId="15" xfId="0" applyFill="1" applyBorder="1"/>
    <xf numFmtId="0" fontId="0" fillId="10" borderId="15" xfId="0" applyFill="1" applyBorder="1" applyAlignment="1">
      <alignment horizontal="center" vertical="top"/>
    </xf>
    <xf numFmtId="0" fontId="0" fillId="10" borderId="51" xfId="0" applyFill="1" applyBorder="1"/>
    <xf numFmtId="0" fontId="0" fillId="10" borderId="33" xfId="0" applyFill="1" applyBorder="1"/>
    <xf numFmtId="0" fontId="0" fillId="10" borderId="0" xfId="0" applyFill="1" applyBorder="1"/>
    <xf numFmtId="0" fontId="0" fillId="10" borderId="0" xfId="0" applyFill="1" applyBorder="1" applyAlignment="1">
      <alignment horizontal="center" vertical="top"/>
    </xf>
    <xf numFmtId="0" fontId="0" fillId="10" borderId="45" xfId="0" applyFill="1" applyBorder="1"/>
    <xf numFmtId="168" fontId="0" fillId="10" borderId="45" xfId="0" applyNumberFormat="1" applyFill="1" applyBorder="1"/>
    <xf numFmtId="0" fontId="0" fillId="10" borderId="0" xfId="0" quotePrefix="1" applyFill="1" applyBorder="1" applyAlignment="1">
      <alignment horizontal="center" vertical="top"/>
    </xf>
    <xf numFmtId="0" fontId="4" fillId="2" borderId="6" xfId="3" applyFont="1" applyFill="1" applyBorder="1" applyAlignment="1">
      <alignment horizontal="center"/>
    </xf>
    <xf numFmtId="2" fontId="3" fillId="0" borderId="38" xfId="2" applyFont="1" applyBorder="1">
      <alignment horizontal="center" vertical="top" wrapText="1"/>
    </xf>
    <xf numFmtId="0" fontId="36" fillId="0" borderId="20" xfId="0" applyFont="1" applyFill="1" applyBorder="1" applyAlignment="1">
      <alignment vertical="center"/>
    </xf>
    <xf numFmtId="0" fontId="36" fillId="0" borderId="18" xfId="0" applyFont="1" applyFill="1" applyBorder="1" applyAlignment="1">
      <alignment vertical="center"/>
    </xf>
    <xf numFmtId="0" fontId="5" fillId="0" borderId="52" xfId="3" applyFont="1" applyFill="1" applyBorder="1" applyAlignment="1">
      <alignment wrapText="1"/>
    </xf>
    <xf numFmtId="168" fontId="4" fillId="2" borderId="6" xfId="3" applyNumberFormat="1" applyFont="1" applyFill="1" applyBorder="1" applyAlignment="1">
      <alignment horizontal="center"/>
    </xf>
    <xf numFmtId="0" fontId="4" fillId="2" borderId="45" xfId="3" quotePrefix="1" applyFont="1" applyFill="1" applyBorder="1" applyAlignment="1">
      <alignment horizontal="left"/>
    </xf>
    <xf numFmtId="0" fontId="0" fillId="0" borderId="0" xfId="0" applyFill="1" applyBorder="1" applyAlignment="1">
      <alignment horizontal="center" vertical="top"/>
    </xf>
    <xf numFmtId="168" fontId="6" fillId="4" borderId="16" xfId="0" applyNumberFormat="1" applyFont="1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29" xfId="0" applyFont="1" applyBorder="1" applyAlignment="1">
      <alignment horizontal="center"/>
    </xf>
    <xf numFmtId="168" fontId="6" fillId="5" borderId="6" xfId="0" applyNumberFormat="1" applyFont="1" applyFill="1" applyBorder="1" applyAlignment="1">
      <alignment horizontal="center"/>
    </xf>
    <xf numFmtId="168" fontId="0" fillId="0" borderId="53" xfId="0" applyNumberFormat="1" applyBorder="1" applyAlignment="1">
      <alignment horizontal="center" vertical="top"/>
    </xf>
    <xf numFmtId="168" fontId="0" fillId="0" borderId="54" xfId="0" applyNumberFormat="1" applyBorder="1" applyAlignment="1">
      <alignment horizontal="center" vertical="top"/>
    </xf>
    <xf numFmtId="168" fontId="0" fillId="0" borderId="55" xfId="0" applyNumberFormat="1" applyBorder="1" applyAlignment="1">
      <alignment horizontal="center" vertical="top"/>
    </xf>
    <xf numFmtId="168" fontId="0" fillId="0" borderId="25" xfId="0" applyNumberFormat="1" applyBorder="1" applyAlignment="1">
      <alignment horizontal="center" vertical="top"/>
    </xf>
    <xf numFmtId="2" fontId="1" fillId="0" borderId="56" xfId="2" applyBorder="1">
      <alignment horizontal="center" vertical="top" wrapText="1"/>
    </xf>
    <xf numFmtId="0" fontId="0" fillId="2" borderId="7" xfId="0" applyFill="1" applyBorder="1" applyAlignment="1"/>
    <xf numFmtId="0" fontId="0" fillId="2" borderId="9" xfId="0" applyFill="1" applyBorder="1" applyAlignment="1">
      <alignment vertical="center"/>
    </xf>
    <xf numFmtId="0" fontId="6" fillId="4" borderId="6" xfId="0" applyFont="1" applyFill="1" applyBorder="1"/>
    <xf numFmtId="2" fontId="35" fillId="0" borderId="6" xfId="2" applyFont="1" applyBorder="1" applyAlignment="1">
      <alignment vertical="top" wrapText="1"/>
    </xf>
    <xf numFmtId="2" fontId="35" fillId="7" borderId="6" xfId="2" applyNumberFormat="1" applyFont="1" applyFill="1" applyBorder="1" applyAlignment="1">
      <alignment horizontal="center" vertical="center" wrapText="1"/>
    </xf>
    <xf numFmtId="0" fontId="35" fillId="7" borderId="6" xfId="2" applyNumberFormat="1" applyFont="1" applyFill="1" applyBorder="1" applyAlignment="1">
      <alignment horizontal="left" vertical="center" wrapText="1"/>
    </xf>
    <xf numFmtId="1" fontId="35" fillId="2" borderId="6" xfId="2" applyNumberFormat="1" applyFont="1" applyFill="1" applyBorder="1" applyAlignment="1">
      <alignment horizontal="center" vertical="center" wrapText="1"/>
    </xf>
    <xf numFmtId="168" fontId="35" fillId="7" borderId="6" xfId="2" applyNumberFormat="1" applyFont="1" applyFill="1" applyBorder="1" applyAlignment="1">
      <alignment horizontal="center" vertical="center" wrapText="1"/>
    </xf>
    <xf numFmtId="168" fontId="35" fillId="0" borderId="6" xfId="2" applyNumberFormat="1" applyFont="1" applyFill="1" applyBorder="1" applyAlignment="1">
      <alignment horizontal="center" vertical="top" wrapText="1"/>
    </xf>
    <xf numFmtId="0" fontId="35" fillId="7" borderId="6" xfId="2" applyNumberFormat="1" applyFont="1" applyFill="1" applyBorder="1" applyAlignment="1">
      <alignment horizontal="left" vertical="center"/>
    </xf>
    <xf numFmtId="2" fontId="35" fillId="0" borderId="6" xfId="2" applyFont="1" applyFill="1" applyBorder="1" applyAlignment="1">
      <alignment horizontal="center" vertical="top" wrapText="1"/>
    </xf>
    <xf numFmtId="2" fontId="35" fillId="0" borderId="6" xfId="2" applyFont="1" applyFill="1" applyBorder="1" applyAlignment="1">
      <alignment vertical="top" wrapText="1"/>
    </xf>
    <xf numFmtId="0" fontId="33" fillId="7" borderId="6" xfId="2" applyNumberFormat="1" applyFont="1" applyFill="1" applyBorder="1" applyAlignment="1">
      <alignment horizontal="left" vertical="center" wrapText="1"/>
    </xf>
    <xf numFmtId="168" fontId="33" fillId="7" borderId="6" xfId="2" applyNumberFormat="1" applyFont="1" applyFill="1" applyBorder="1" applyAlignment="1">
      <alignment horizontal="center" vertical="center" wrapText="1"/>
    </xf>
    <xf numFmtId="2" fontId="35" fillId="0" borderId="47" xfId="2" applyFont="1" applyBorder="1" applyAlignment="1">
      <alignment vertical="top" wrapText="1"/>
    </xf>
    <xf numFmtId="2" fontId="35" fillId="7" borderId="47" xfId="2" applyNumberFormat="1" applyFont="1" applyFill="1" applyBorder="1" applyAlignment="1">
      <alignment horizontal="center" vertical="center" wrapText="1"/>
    </xf>
    <xf numFmtId="0" fontId="35" fillId="7" borderId="47" xfId="2" applyNumberFormat="1" applyFont="1" applyFill="1" applyBorder="1" applyAlignment="1">
      <alignment horizontal="left" vertical="center" wrapText="1"/>
    </xf>
    <xf numFmtId="1" fontId="35" fillId="2" borderId="47" xfId="2" applyNumberFormat="1" applyFont="1" applyFill="1" applyBorder="1" applyAlignment="1">
      <alignment horizontal="center" vertical="center" wrapText="1"/>
    </xf>
    <xf numFmtId="168" fontId="33" fillId="7" borderId="47" xfId="2" applyNumberFormat="1" applyFont="1" applyFill="1" applyBorder="1" applyAlignment="1">
      <alignment horizontal="center" vertical="center" wrapText="1"/>
    </xf>
    <xf numFmtId="168" fontId="35" fillId="0" borderId="47" xfId="2" applyNumberFormat="1" applyFont="1" applyFill="1" applyBorder="1" applyAlignment="1">
      <alignment horizontal="center" vertical="top" wrapText="1"/>
    </xf>
    <xf numFmtId="2" fontId="35" fillId="0" borderId="6" xfId="2" applyFont="1" applyBorder="1" applyAlignment="1">
      <alignment vertical="center" wrapText="1"/>
    </xf>
    <xf numFmtId="0" fontId="0" fillId="0" borderId="57" xfId="0" applyBorder="1"/>
    <xf numFmtId="0" fontId="0" fillId="7" borderId="58" xfId="0" applyFill="1" applyBorder="1"/>
    <xf numFmtId="0" fontId="0" fillId="0" borderId="58" xfId="0" applyBorder="1"/>
    <xf numFmtId="0" fontId="0" fillId="0" borderId="59" xfId="0" applyBorder="1"/>
    <xf numFmtId="0" fontId="38" fillId="0" borderId="60" xfId="0" applyFont="1" applyBorder="1"/>
    <xf numFmtId="0" fontId="38" fillId="0" borderId="3" xfId="0" applyFont="1" applyBorder="1"/>
    <xf numFmtId="0" fontId="38" fillId="0" borderId="61" xfId="0" applyFont="1" applyBorder="1"/>
    <xf numFmtId="168" fontId="38" fillId="0" borderId="0" xfId="0" applyNumberFormat="1" applyFont="1"/>
    <xf numFmtId="0" fontId="38" fillId="0" borderId="0" xfId="0" applyFont="1"/>
    <xf numFmtId="168" fontId="38" fillId="7" borderId="0" xfId="0" applyNumberFormat="1" applyFont="1" applyFill="1"/>
    <xf numFmtId="168" fontId="38" fillId="0" borderId="2" xfId="0" applyNumberFormat="1" applyFont="1" applyBorder="1"/>
    <xf numFmtId="168" fontId="38" fillId="0" borderId="62" xfId="0" applyNumberFormat="1" applyFont="1" applyBorder="1"/>
    <xf numFmtId="168" fontId="38" fillId="0" borderId="45" xfId="0" applyNumberFormat="1" applyFont="1" applyBorder="1"/>
    <xf numFmtId="168" fontId="38" fillId="0" borderId="63" xfId="0" applyNumberFormat="1" applyFont="1" applyBorder="1"/>
    <xf numFmtId="0" fontId="6" fillId="7" borderId="0" xfId="0" applyFont="1" applyFill="1" applyBorder="1" applyAlignment="1"/>
    <xf numFmtId="0" fontId="0" fillId="10" borderId="0" xfId="0" applyFill="1" applyBorder="1" applyAlignment="1"/>
    <xf numFmtId="0" fontId="0" fillId="10" borderId="64" xfId="0" applyFill="1" applyBorder="1" applyAlignment="1"/>
    <xf numFmtId="0" fontId="6" fillId="10" borderId="65" xfId="0" applyFont="1" applyFill="1" applyBorder="1" applyAlignment="1"/>
    <xf numFmtId="0" fontId="0" fillId="10" borderId="65" xfId="0" applyFill="1" applyBorder="1" applyAlignment="1"/>
    <xf numFmtId="0" fontId="36" fillId="0" borderId="9" xfId="0" applyFont="1" applyFill="1" applyBorder="1" applyAlignment="1"/>
    <xf numFmtId="0" fontId="34" fillId="10" borderId="10" xfId="3" applyFont="1" applyFill="1" applyBorder="1"/>
    <xf numFmtId="2" fontId="0" fillId="7" borderId="27" xfId="0" applyNumberFormat="1" applyFill="1" applyBorder="1"/>
    <xf numFmtId="0" fontId="0" fillId="4" borderId="7" xfId="0" applyFill="1" applyBorder="1"/>
    <xf numFmtId="0" fontId="38" fillId="0" borderId="0" xfId="0" applyFont="1" applyAlignment="1">
      <alignment vertical="top"/>
    </xf>
    <xf numFmtId="0" fontId="0" fillId="2" borderId="66" xfId="0" applyFill="1" applyBorder="1" applyAlignment="1">
      <alignment horizontal="center"/>
    </xf>
    <xf numFmtId="0" fontId="0" fillId="0" borderId="18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11" borderId="67" xfId="0" applyFill="1" applyBorder="1" applyAlignment="1">
      <alignment vertical="top"/>
    </xf>
    <xf numFmtId="0" fontId="0" fillId="11" borderId="9" xfId="0" applyFill="1" applyBorder="1" applyAlignment="1">
      <alignment vertical="top"/>
    </xf>
    <xf numFmtId="168" fontId="1" fillId="0" borderId="24" xfId="2" applyNumberFormat="1" applyBorder="1" applyAlignment="1">
      <alignment horizontal="center" vertical="center" wrapText="1"/>
    </xf>
    <xf numFmtId="0" fontId="0" fillId="0" borderId="29" xfId="0" applyBorder="1" applyAlignment="1">
      <alignment vertical="center"/>
    </xf>
    <xf numFmtId="0" fontId="36" fillId="0" borderId="18" xfId="0" applyFont="1" applyBorder="1" applyAlignment="1">
      <alignment vertical="center" wrapText="1"/>
    </xf>
    <xf numFmtId="0" fontId="6" fillId="0" borderId="11" xfId="0" applyFont="1" applyBorder="1"/>
    <xf numFmtId="0" fontId="21" fillId="0" borderId="11" xfId="0" applyFont="1" applyBorder="1"/>
    <xf numFmtId="2" fontId="21" fillId="0" borderId="11" xfId="0" applyNumberFormat="1" applyFont="1" applyBorder="1"/>
    <xf numFmtId="0" fontId="22" fillId="0" borderId="11" xfId="0" applyFont="1" applyBorder="1"/>
    <xf numFmtId="0" fontId="0" fillId="6" borderId="9" xfId="0" applyFill="1" applyBorder="1"/>
    <xf numFmtId="0" fontId="0" fillId="6" borderId="7" xfId="0" applyFill="1" applyBorder="1"/>
    <xf numFmtId="0" fontId="0" fillId="10" borderId="7" xfId="0" quotePrefix="1" applyFill="1" applyBorder="1"/>
    <xf numFmtId="0" fontId="0" fillId="0" borderId="0" xfId="0" quotePrefix="1"/>
    <xf numFmtId="0" fontId="10" fillId="0" borderId="24" xfId="0" applyFont="1" applyBorder="1" applyAlignment="1"/>
    <xf numFmtId="0" fontId="0" fillId="0" borderId="0" xfId="0" applyBorder="1" applyAlignment="1"/>
    <xf numFmtId="0" fontId="0" fillId="0" borderId="0" xfId="0" applyAlignment="1"/>
    <xf numFmtId="2" fontId="5" fillId="0" borderId="0" xfId="2" applyFont="1" applyAlignment="1">
      <alignment horizontal="center" vertical="top" wrapText="1"/>
    </xf>
    <xf numFmtId="2" fontId="5" fillId="0" borderId="0" xfId="2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29" xfId="0" applyBorder="1" applyAlignment="1">
      <alignment wrapText="1"/>
    </xf>
    <xf numFmtId="0" fontId="0" fillId="0" borderId="15" xfId="0" applyBorder="1" applyAlignment="1">
      <alignment vertical="top" wrapText="1"/>
    </xf>
    <xf numFmtId="0" fontId="0" fillId="0" borderId="29" xfId="0" applyBorder="1" applyAlignment="1">
      <alignment vertical="top" wrapText="1"/>
    </xf>
    <xf numFmtId="2" fontId="5" fillId="10" borderId="17" xfId="2" applyFont="1" applyFill="1" applyBorder="1" applyAlignment="1">
      <alignment horizontal="center" vertical="center" wrapText="1"/>
    </xf>
    <xf numFmtId="0" fontId="0" fillId="10" borderId="18" xfId="0" applyFill="1" applyBorder="1" applyAlignment="1">
      <alignment horizontal="center" vertical="center" wrapText="1"/>
    </xf>
    <xf numFmtId="0" fontId="0" fillId="10" borderId="18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2" xfId="0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38" fillId="10" borderId="0" xfId="0" applyFont="1" applyFill="1" applyBorder="1" applyAlignment="1">
      <alignment vertical="top" wrapText="1"/>
    </xf>
    <xf numFmtId="2" fontId="39" fillId="0" borderId="29" xfId="2" applyFont="1" applyBorder="1" applyAlignment="1">
      <alignment horizontal="left"/>
    </xf>
    <xf numFmtId="0" fontId="40" fillId="0" borderId="29" xfId="0" applyFont="1" applyBorder="1" applyAlignment="1"/>
    <xf numFmtId="0" fontId="40" fillId="0" borderId="30" xfId="0" applyFont="1" applyBorder="1" applyAlignment="1"/>
    <xf numFmtId="0" fontId="0" fillId="0" borderId="68" xfId="0" applyFill="1" applyBorder="1" applyAlignment="1">
      <alignment horizontal="center" vertical="top" wrapText="1"/>
    </xf>
    <xf numFmtId="0" fontId="0" fillId="0" borderId="23" xfId="0" applyFill="1" applyBorder="1" applyAlignment="1">
      <alignment horizontal="center" vertical="top"/>
    </xf>
    <xf numFmtId="0" fontId="0" fillId="0" borderId="55" xfId="0" applyFill="1" applyBorder="1" applyAlignment="1">
      <alignment horizontal="center" vertical="top"/>
    </xf>
    <xf numFmtId="0" fontId="0" fillId="0" borderId="0" xfId="0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2" fontId="1" fillId="10" borderId="40" xfId="2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vertical="center"/>
    </xf>
    <xf numFmtId="0" fontId="0" fillId="10" borderId="21" xfId="0" applyFill="1" applyBorder="1" applyAlignment="1">
      <alignment vertical="center"/>
    </xf>
    <xf numFmtId="2" fontId="24" fillId="5" borderId="47" xfId="2" applyFont="1" applyFill="1" applyBorder="1" applyAlignment="1">
      <alignment horizontal="left" vertical="top" wrapText="1"/>
    </xf>
    <xf numFmtId="0" fontId="0" fillId="0" borderId="47" xfId="0" applyBorder="1" applyAlignment="1">
      <alignment horizontal="left"/>
    </xf>
    <xf numFmtId="2" fontId="5" fillId="2" borderId="6" xfId="2" applyFont="1" applyFill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2" fontId="0" fillId="0" borderId="44" xfId="0" applyNumberFormat="1" applyFill="1" applyBorder="1" applyAlignment="1">
      <alignment horizontal="center" vertical="top" wrapText="1"/>
    </xf>
    <xf numFmtId="2" fontId="0" fillId="0" borderId="23" xfId="0" applyNumberFormat="1" applyFill="1" applyBorder="1" applyAlignment="1">
      <alignment horizontal="center" vertical="top" wrapText="1"/>
    </xf>
    <xf numFmtId="2" fontId="0" fillId="0" borderId="23" xfId="0" applyNumberFormat="1" applyFill="1" applyBorder="1" applyAlignment="1">
      <alignment horizontal="center"/>
    </xf>
    <xf numFmtId="168" fontId="0" fillId="0" borderId="23" xfId="0" applyNumberFormat="1" applyFill="1" applyBorder="1" applyAlignment="1">
      <alignment horizontal="center" vertical="top" wrapText="1"/>
    </xf>
    <xf numFmtId="168" fontId="0" fillId="0" borderId="23" xfId="0" applyNumberFormat="1" applyFill="1" applyBorder="1" applyAlignment="1">
      <alignment horizontal="center" wrapText="1"/>
    </xf>
    <xf numFmtId="168" fontId="0" fillId="0" borderId="54" xfId="0" applyNumberFormat="1" applyFill="1" applyBorder="1" applyAlignment="1">
      <alignment horizontal="center" wrapText="1"/>
    </xf>
    <xf numFmtId="0" fontId="0" fillId="0" borderId="44" xfId="0" applyFill="1" applyBorder="1" applyAlignment="1">
      <alignment horizontal="center" vertical="top" wrapText="1"/>
    </xf>
    <xf numFmtId="0" fontId="0" fillId="0" borderId="23" xfId="0" applyFill="1" applyBorder="1" applyAlignment="1">
      <alignment horizontal="center" vertical="top" wrapText="1"/>
    </xf>
    <xf numFmtId="0" fontId="0" fillId="0" borderId="54" xfId="0" applyFill="1" applyBorder="1" applyAlignment="1">
      <alignment horizontal="center" vertical="top" wrapText="1"/>
    </xf>
    <xf numFmtId="2" fontId="0" fillId="0" borderId="23" xfId="0" applyNumberFormat="1" applyFill="1" applyBorder="1" applyAlignment="1">
      <alignment horizontal="center" wrapText="1"/>
    </xf>
    <xf numFmtId="2" fontId="0" fillId="0" borderId="54" xfId="0" applyNumberFormat="1" applyFill="1" applyBorder="1" applyAlignment="1">
      <alignment horizontal="center" wrapText="1"/>
    </xf>
    <xf numFmtId="0" fontId="11" fillId="0" borderId="75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10" borderId="20" xfId="0" applyFill="1" applyBorder="1" applyAlignment="1">
      <alignment wrapText="1"/>
    </xf>
    <xf numFmtId="0" fontId="0" fillId="0" borderId="21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3" xfId="0" applyBorder="1" applyAlignment="1">
      <alignment horizontal="center" vertical="top" wrapText="1"/>
    </xf>
    <xf numFmtId="0" fontId="0" fillId="0" borderId="54" xfId="0" applyBorder="1" applyAlignment="1">
      <alignment horizontal="center" vertical="top" wrapText="1"/>
    </xf>
    <xf numFmtId="0" fontId="12" fillId="0" borderId="33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8" xfId="0" applyBorder="1" applyAlignment="1">
      <alignment wrapText="1"/>
    </xf>
    <xf numFmtId="0" fontId="6" fillId="0" borderId="69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23" xfId="0" applyFill="1" applyBorder="1" applyAlignment="1">
      <alignment horizontal="center"/>
    </xf>
    <xf numFmtId="168" fontId="0" fillId="0" borderId="44" xfId="0" applyNumberFormat="1" applyFill="1" applyBorder="1" applyAlignment="1">
      <alignment horizontal="center" vertical="top" wrapText="1"/>
    </xf>
    <xf numFmtId="168" fontId="0" fillId="0" borderId="23" xfId="0" applyNumberForma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71" xfId="0" applyFill="1" applyBorder="1" applyAlignment="1">
      <alignment horizontal="center" vertical="top" wrapText="1"/>
    </xf>
    <xf numFmtId="0" fontId="0" fillId="0" borderId="72" xfId="0" applyFill="1" applyBorder="1" applyAlignment="1"/>
    <xf numFmtId="0" fontId="0" fillId="0" borderId="73" xfId="0" applyFill="1" applyBorder="1" applyAlignment="1"/>
    <xf numFmtId="0" fontId="6" fillId="0" borderId="74" xfId="0" applyFont="1" applyBorder="1" applyAlignment="1">
      <alignment horizontal="center"/>
    </xf>
    <xf numFmtId="0" fontId="0" fillId="0" borderId="23" xfId="0" applyFill="1" applyBorder="1" applyAlignment="1">
      <alignment horizontal="center" wrapText="1"/>
    </xf>
    <xf numFmtId="0" fontId="0" fillId="0" borderId="54" xfId="0" applyFill="1" applyBorder="1" applyAlignment="1">
      <alignment horizontal="center" wrapText="1"/>
    </xf>
    <xf numFmtId="0" fontId="0" fillId="10" borderId="7" xfId="0" applyFill="1" applyBorder="1" applyAlignment="1"/>
    <xf numFmtId="0" fontId="0" fillId="10" borderId="9" xfId="0" applyFill="1" applyBorder="1" applyAlignment="1"/>
    <xf numFmtId="0" fontId="0" fillId="7" borderId="7" xfId="0" applyFill="1" applyBorder="1" applyAlignment="1"/>
    <xf numFmtId="0" fontId="0" fillId="0" borderId="9" xfId="0" applyBorder="1" applyAlignment="1"/>
    <xf numFmtId="168" fontId="4" fillId="0" borderId="80" xfId="2" applyNumberFormat="1" applyFont="1" applyFill="1" applyBorder="1" applyAlignment="1">
      <alignment horizontal="center" vertical="center" wrapText="1"/>
    </xf>
    <xf numFmtId="168" fontId="0" fillId="0" borderId="81" xfId="0" applyNumberFormat="1" applyFill="1" applyBorder="1" applyAlignment="1">
      <alignment horizontal="center" vertical="center" wrapText="1"/>
    </xf>
    <xf numFmtId="0" fontId="1" fillId="7" borderId="81" xfId="2" applyNumberFormat="1" applyFont="1" applyFill="1" applyBorder="1" applyAlignment="1">
      <alignment horizontal="left" vertical="center" wrapText="1"/>
    </xf>
    <xf numFmtId="0" fontId="1" fillId="7" borderId="81" xfId="2" applyNumberFormat="1" applyFill="1" applyBorder="1" applyAlignment="1">
      <alignment horizontal="left" vertical="center" wrapText="1"/>
    </xf>
    <xf numFmtId="2" fontId="1" fillId="7" borderId="81" xfId="2" applyNumberFormat="1" applyFont="1" applyFill="1" applyBorder="1" applyAlignment="1">
      <alignment horizontal="center" vertical="center" textRotation="90" wrapText="1"/>
    </xf>
    <xf numFmtId="2" fontId="0" fillId="7" borderId="81" xfId="0" applyNumberFormat="1" applyFill="1" applyBorder="1" applyAlignment="1">
      <alignment horizontal="center" vertical="center" textRotation="90"/>
    </xf>
    <xf numFmtId="1" fontId="4" fillId="0" borderId="81" xfId="2" applyNumberFormat="1" applyFont="1" applyFill="1" applyBorder="1" applyAlignment="1">
      <alignment horizontal="center" vertical="center" wrapText="1"/>
    </xf>
    <xf numFmtId="1" fontId="0" fillId="0" borderId="81" xfId="0" applyNumberFormat="1" applyFill="1" applyBorder="1" applyAlignment="1">
      <alignment horizontal="center" vertical="center" wrapText="1"/>
    </xf>
    <xf numFmtId="0" fontId="1" fillId="10" borderId="82" xfId="2" applyNumberFormat="1" applyFont="1" applyFill="1" applyBorder="1" applyAlignment="1">
      <alignment horizontal="left" vertical="center"/>
    </xf>
    <xf numFmtId="0" fontId="0" fillId="0" borderId="83" xfId="0" applyBorder="1" applyAlignment="1">
      <alignment horizontal="left" vertical="center"/>
    </xf>
    <xf numFmtId="0" fontId="0" fillId="0" borderId="84" xfId="0" applyBorder="1" applyAlignment="1">
      <alignment horizontal="left" vertical="center"/>
    </xf>
    <xf numFmtId="168" fontId="24" fillId="4" borderId="15" xfId="2" applyNumberFormat="1" applyFont="1" applyFill="1" applyBorder="1" applyAlignment="1">
      <alignment horizontal="center" vertical="center" wrapText="1"/>
    </xf>
    <xf numFmtId="168" fontId="37" fillId="4" borderId="15" xfId="0" applyNumberFormat="1" applyFont="1" applyFill="1" applyBorder="1" applyAlignment="1">
      <alignment horizontal="center" vertical="center" wrapText="1"/>
    </xf>
    <xf numFmtId="168" fontId="1" fillId="7" borderId="81" xfId="2" applyNumberFormat="1" applyFont="1" applyFill="1" applyBorder="1" applyAlignment="1">
      <alignment horizontal="center" vertical="center" wrapText="1"/>
    </xf>
    <xf numFmtId="168" fontId="1" fillId="7" borderId="81" xfId="2" applyNumberFormat="1" applyFill="1" applyBorder="1" applyAlignment="1">
      <alignment horizontal="center" vertical="center" wrapText="1"/>
    </xf>
    <xf numFmtId="2" fontId="4" fillId="0" borderId="76" xfId="2" applyFont="1" applyBorder="1" applyAlignment="1">
      <alignment vertical="top" wrapText="1"/>
    </xf>
    <xf numFmtId="0" fontId="0" fillId="0" borderId="77" xfId="0" applyBorder="1" applyAlignment="1">
      <alignment wrapText="1"/>
    </xf>
    <xf numFmtId="0" fontId="0" fillId="0" borderId="78" xfId="0" applyBorder="1" applyAlignment="1">
      <alignment wrapText="1"/>
    </xf>
    <xf numFmtId="2" fontId="4" fillId="0" borderId="6" xfId="2" applyFont="1" applyBorder="1" applyAlignment="1">
      <alignment vertical="top" wrapText="1"/>
    </xf>
    <xf numFmtId="0" fontId="0" fillId="0" borderId="6" xfId="0" applyBorder="1" applyAlignment="1">
      <alignment wrapText="1"/>
    </xf>
    <xf numFmtId="2" fontId="5" fillId="0" borderId="6" xfId="2" applyFont="1" applyBorder="1" applyAlignment="1">
      <alignment vertical="top" wrapText="1"/>
    </xf>
    <xf numFmtId="2" fontId="1" fillId="0" borderId="79" xfId="2" applyFont="1" applyBorder="1" applyAlignment="1">
      <alignment horizontal="center" vertical="center" wrapText="1"/>
    </xf>
    <xf numFmtId="0" fontId="0" fillId="0" borderId="79" xfId="0" applyBorder="1" applyAlignment="1">
      <alignment horizontal="center" vertical="center"/>
    </xf>
    <xf numFmtId="2" fontId="35" fillId="0" borderId="6" xfId="2" applyFont="1" applyBorder="1" applyAlignment="1">
      <alignment vertical="top" wrapText="1"/>
    </xf>
    <xf numFmtId="0" fontId="36" fillId="0" borderId="6" xfId="0" applyFont="1" applyBorder="1" applyAlignment="1">
      <alignment wrapText="1"/>
    </xf>
    <xf numFmtId="0" fontId="0" fillId="10" borderId="20" xfId="0" applyFill="1" applyBorder="1" applyAlignment="1"/>
    <xf numFmtId="0" fontId="0" fillId="10" borderId="21" xfId="0" applyFill="1" applyBorder="1" applyAlignment="1"/>
    <xf numFmtId="0" fontId="0" fillId="0" borderId="0" xfId="0" applyFill="1" applyBorder="1" applyAlignment="1"/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6" fillId="0" borderId="11" xfId="0" applyFont="1" applyBorder="1" applyAlignment="1">
      <alignment horizontal="center"/>
    </xf>
    <xf numFmtId="0" fontId="6" fillId="0" borderId="85" xfId="0" applyFont="1" applyBorder="1" applyAlignment="1">
      <alignment horizontal="center"/>
    </xf>
    <xf numFmtId="0" fontId="0" fillId="0" borderId="86" xfId="0" applyBorder="1" applyAlignment="1">
      <alignment wrapText="1"/>
    </xf>
    <xf numFmtId="0" fontId="0" fillId="0" borderId="87" xfId="0" applyBorder="1" applyAlignment="1">
      <alignment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9" xfId="0" applyBorder="1" applyAlignment="1"/>
    <xf numFmtId="0" fontId="35" fillId="10" borderId="33" xfId="3" applyFont="1" applyFill="1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1" fillId="0" borderId="0" xfId="3" applyFont="1" applyAlignment="1"/>
    <xf numFmtId="0" fontId="3" fillId="0" borderId="0" xfId="3" applyFont="1" applyAlignment="1"/>
    <xf numFmtId="0" fontId="3" fillId="0" borderId="89" xfId="3" applyFont="1" applyBorder="1" applyAlignment="1"/>
    <xf numFmtId="0" fontId="1" fillId="0" borderId="0" xfId="3" applyAlignment="1"/>
    <xf numFmtId="0" fontId="3" fillId="0" borderId="0" xfId="3" applyFont="1" applyBorder="1" applyAlignment="1">
      <alignment horizontal="left" vertical="center" wrapText="1"/>
    </xf>
    <xf numFmtId="0" fontId="26" fillId="0" borderId="0" xfId="3" applyFont="1" applyAlignment="1">
      <alignment horizontal="left" vertical="center"/>
    </xf>
    <xf numFmtId="0" fontId="26" fillId="0" borderId="89" xfId="3" applyFont="1" applyBorder="1" applyAlignment="1">
      <alignment horizontal="left" vertical="center"/>
    </xf>
    <xf numFmtId="168" fontId="3" fillId="4" borderId="80" xfId="3" applyNumberFormat="1" applyFont="1" applyFill="1" applyBorder="1" applyAlignment="1">
      <alignment horizontal="center" vertical="center"/>
    </xf>
    <xf numFmtId="0" fontId="0" fillId="0" borderId="92" xfId="0" applyBorder="1" applyAlignment="1">
      <alignment horizontal="center" vertical="center"/>
    </xf>
    <xf numFmtId="0" fontId="1" fillId="5" borderId="0" xfId="3" applyFont="1" applyFill="1" applyAlignment="1"/>
    <xf numFmtId="0" fontId="4" fillId="0" borderId="17" xfId="3" applyFont="1" applyFill="1" applyBorder="1"/>
    <xf numFmtId="0" fontId="4" fillId="0" borderId="18" xfId="3" applyFont="1" applyFill="1" applyBorder="1"/>
    <xf numFmtId="0" fontId="4" fillId="0" borderId="19" xfId="3" applyFont="1" applyFill="1" applyBorder="1"/>
    <xf numFmtId="0" fontId="4" fillId="0" borderId="40" xfId="3" applyFont="1" applyFill="1" applyBorder="1"/>
    <xf numFmtId="0" fontId="4" fillId="0" borderId="20" xfId="3" applyFont="1" applyFill="1" applyBorder="1"/>
    <xf numFmtId="0" fontId="4" fillId="0" borderId="21" xfId="3" applyFont="1" applyFill="1" applyBorder="1"/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3" fillId="0" borderId="19" xfId="3" applyFont="1" applyFill="1" applyBorder="1"/>
    <xf numFmtId="0" fontId="13" fillId="0" borderId="10" xfId="3" applyFont="1" applyFill="1" applyBorder="1"/>
    <xf numFmtId="0" fontId="0" fillId="0" borderId="0" xfId="0" applyBorder="1" applyAlignment="1">
      <alignment horizontal="center" vertical="center" wrapText="1"/>
    </xf>
    <xf numFmtId="0" fontId="4" fillId="0" borderId="15" xfId="3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4" fillId="0" borderId="0" xfId="3" applyFont="1"/>
    <xf numFmtId="0" fontId="13" fillId="0" borderId="0" xfId="3" applyFont="1" applyBorder="1" applyAlignment="1"/>
    <xf numFmtId="0" fontId="4" fillId="0" borderId="7" xfId="3" applyFont="1" applyFill="1" applyBorder="1"/>
    <xf numFmtId="0" fontId="4" fillId="0" borderId="8" xfId="3" applyFont="1" applyFill="1" applyBorder="1"/>
    <xf numFmtId="0" fontId="4" fillId="0" borderId="9" xfId="3" applyFont="1" applyFill="1" applyBorder="1"/>
    <xf numFmtId="0" fontId="4" fillId="0" borderId="0" xfId="3" applyFont="1" applyAlignment="1"/>
    <xf numFmtId="0" fontId="4" fillId="0" borderId="45" xfId="3" applyFont="1" applyBorder="1" applyAlignment="1"/>
    <xf numFmtId="0" fontId="3" fillId="0" borderId="1" xfId="3" applyFont="1" applyBorder="1" applyAlignment="1">
      <alignment vertical="top" wrapText="1"/>
    </xf>
    <xf numFmtId="0" fontId="3" fillId="0" borderId="90" xfId="3" applyFont="1" applyBorder="1" applyAlignment="1">
      <alignment horizontal="left" vertical="top" wrapText="1"/>
    </xf>
    <xf numFmtId="0" fontId="1" fillId="0" borderId="3" xfId="3" applyBorder="1" applyAlignment="1">
      <alignment horizontal="left" vertical="top" wrapText="1"/>
    </xf>
    <xf numFmtId="0" fontId="1" fillId="0" borderId="91" xfId="3" applyBorder="1" applyAlignment="1">
      <alignment horizontal="left" vertical="top" wrapText="1"/>
    </xf>
    <xf numFmtId="0" fontId="4" fillId="0" borderId="0" xfId="3" applyFont="1" applyAlignment="1">
      <alignment vertical="top" wrapText="1"/>
    </xf>
    <xf numFmtId="0" fontId="4" fillId="0" borderId="1" xfId="3" applyFont="1" applyBorder="1" applyAlignment="1">
      <alignment wrapText="1"/>
    </xf>
    <xf numFmtId="0" fontId="1" fillId="0" borderId="1" xfId="3" applyBorder="1" applyAlignment="1"/>
    <xf numFmtId="0" fontId="33" fillId="10" borderId="88" xfId="3" applyFont="1" applyFill="1" applyBorder="1" applyAlignment="1"/>
    <xf numFmtId="0" fontId="0" fillId="0" borderId="21" xfId="0" applyBorder="1" applyAlignment="1"/>
    <xf numFmtId="0" fontId="3" fillId="0" borderId="0" xfId="3" applyFont="1" applyBorder="1" applyAlignment="1">
      <alignment horizontal="left"/>
    </xf>
    <xf numFmtId="0" fontId="1" fillId="0" borderId="89" xfId="3" applyBorder="1" applyAlignment="1"/>
    <xf numFmtId="0" fontId="3" fillId="0" borderId="0" xfId="3" applyFont="1" applyAlignment="1">
      <alignment horizontal="center"/>
    </xf>
    <xf numFmtId="0" fontId="0" fillId="7" borderId="40" xfId="0" applyFill="1" applyBorder="1" applyAlignment="1"/>
    <xf numFmtId="0" fontId="0" fillId="7" borderId="20" xfId="0" applyFill="1" applyBorder="1" applyAlignment="1"/>
    <xf numFmtId="0" fontId="0" fillId="2" borderId="17" xfId="0" applyFill="1" applyBorder="1" applyAlignment="1"/>
    <xf numFmtId="0" fontId="0" fillId="0" borderId="18" xfId="0" applyBorder="1" applyAlignment="1"/>
    <xf numFmtId="0" fontId="6" fillId="0" borderId="2" xfId="0" applyFont="1" applyBorder="1" applyAlignment="1">
      <alignment horizontal="left"/>
    </xf>
    <xf numFmtId="0" fontId="31" fillId="0" borderId="94" xfId="0" applyFont="1" applyBorder="1" applyAlignment="1"/>
    <xf numFmtId="0" fontId="0" fillId="0" borderId="2" xfId="0" applyBorder="1" applyAlignment="1"/>
    <xf numFmtId="0" fontId="0" fillId="0" borderId="95" xfId="0" applyBorder="1" applyAlignment="1"/>
    <xf numFmtId="0" fontId="0" fillId="5" borderId="40" xfId="0" applyFill="1" applyBorder="1" applyAlignment="1">
      <alignment wrapText="1"/>
    </xf>
    <xf numFmtId="0" fontId="0" fillId="0" borderId="20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0" fontId="10" fillId="0" borderId="29" xfId="0" applyFont="1" applyBorder="1" applyAlignment="1">
      <alignment vertical="top" wrapText="1"/>
    </xf>
    <xf numFmtId="0" fontId="23" fillId="0" borderId="29" xfId="0" applyFont="1" applyBorder="1" applyAlignment="1">
      <alignment vertical="top" wrapText="1"/>
    </xf>
    <xf numFmtId="0" fontId="0" fillId="6" borderId="7" xfId="0" applyFill="1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/>
    <xf numFmtId="0" fontId="10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10" borderId="7" xfId="0" applyFill="1" applyBorder="1" applyAlignment="1">
      <alignment vertical="top" wrapText="1"/>
    </xf>
    <xf numFmtId="0" fontId="0" fillId="10" borderId="8" xfId="0" applyFill="1" applyBorder="1" applyAlignment="1">
      <alignment vertical="top" wrapText="1"/>
    </xf>
    <xf numFmtId="0" fontId="0" fillId="10" borderId="7" xfId="0" applyFill="1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8" xfId="0" applyBorder="1" applyAlignment="1"/>
    <xf numFmtId="0" fontId="0" fillId="0" borderId="76" xfId="0" applyFill="1" applyBorder="1" applyAlignment="1"/>
    <xf numFmtId="0" fontId="0" fillId="0" borderId="77" xfId="0" applyFill="1" applyBorder="1" applyAlignment="1"/>
    <xf numFmtId="0" fontId="0" fillId="0" borderId="78" xfId="0" applyFill="1" applyBorder="1" applyAlignment="1"/>
    <xf numFmtId="2" fontId="0" fillId="0" borderId="93" xfId="0" applyNumberFormat="1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0" fontId="0" fillId="10" borderId="67" xfId="0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10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0" fontId="30" fillId="10" borderId="56" xfId="0" applyFont="1" applyFill="1" applyBorder="1" applyAlignment="1"/>
    <xf numFmtId="0" fontId="0" fillId="0" borderId="30" xfId="0" applyBorder="1" applyAlignment="1"/>
    <xf numFmtId="0" fontId="0" fillId="0" borderId="33" xfId="0" applyFill="1" applyBorder="1" applyAlignment="1"/>
    <xf numFmtId="0" fontId="0" fillId="0" borderId="33" xfId="0" applyBorder="1" applyAlignment="1"/>
    <xf numFmtId="0" fontId="0" fillId="5" borderId="40" xfId="0" applyFill="1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4">
    <cellStyle name="Hyperlink" xfId="1" builtinId="8"/>
    <cellStyle name="Normal" xfId="0" builtinId="0"/>
    <cellStyle name="Normal_Costing routine" xfId="2"/>
    <cellStyle name="Normal_Hmwk 6-1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osting%20routin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barr\My%20Documents\Barr\classes\weimer\economic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ment costs"/>
      <sheetName val="Capital Investment Costs"/>
      <sheetName val="Utilities costs"/>
      <sheetName val="Labor costs"/>
      <sheetName val="Total product cost"/>
      <sheetName val="First year"/>
      <sheetName val="Depreciation"/>
      <sheetName val="Economic Evaluation"/>
      <sheetName val="Conversion Tabl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GA"/>
      <sheetName val="VARIABLE"/>
      <sheetName val="FIXED"/>
      <sheetName val="CASH FLOW"/>
    </sheetNames>
    <sheetDataSet>
      <sheetData sheetId="0">
        <row r="108">
          <cell r="B108" t="str">
            <v>US Gulf Coast</v>
          </cell>
        </row>
        <row r="109">
          <cell r="B109" t="str">
            <v>US Southeast</v>
          </cell>
        </row>
        <row r="110">
          <cell r="B110" t="str">
            <v>US Northeast</v>
          </cell>
        </row>
        <row r="111">
          <cell r="B111" t="str">
            <v>US Midwest</v>
          </cell>
        </row>
        <row r="112">
          <cell r="B112" t="str">
            <v>US West Coast</v>
          </cell>
        </row>
        <row r="113">
          <cell r="B113" t="str">
            <v>Western Europe</v>
          </cell>
        </row>
        <row r="114">
          <cell r="B114" t="str">
            <v>Mexico</v>
          </cell>
        </row>
        <row r="115">
          <cell r="B115" t="str">
            <v>Japan</v>
          </cell>
        </row>
        <row r="116">
          <cell r="B116" t="str">
            <v>Pacific Rim</v>
          </cell>
        </row>
        <row r="117">
          <cell r="B117" t="str">
            <v>India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RowHeight="12.75" x14ac:dyDescent="0.2"/>
  <sheetData>
    <row r="1" spans="1:6" x14ac:dyDescent="0.2">
      <c r="A1" s="10" t="s">
        <v>206</v>
      </c>
      <c r="B1" s="267"/>
      <c r="C1" s="10"/>
      <c r="D1" s="10"/>
      <c r="E1" s="10"/>
    </row>
    <row r="2" spans="1:6" x14ac:dyDescent="0.2">
      <c r="A2" s="10" t="s">
        <v>147</v>
      </c>
      <c r="B2" s="10"/>
      <c r="C2" s="10"/>
      <c r="D2" s="10"/>
      <c r="E2" s="10"/>
      <c r="F2" s="54"/>
    </row>
    <row r="3" spans="1:6" x14ac:dyDescent="0.2">
      <c r="A3" s="10" t="s">
        <v>146</v>
      </c>
    </row>
    <row r="4" spans="1:6" x14ac:dyDescent="0.2">
      <c r="A4" t="s">
        <v>204</v>
      </c>
    </row>
    <row r="5" spans="1:6" x14ac:dyDescent="0.2">
      <c r="A5" t="s">
        <v>220</v>
      </c>
    </row>
    <row r="6" spans="1:6" x14ac:dyDescent="0.2">
      <c r="A6" s="291" t="s">
        <v>320</v>
      </c>
      <c r="B6" s="291"/>
      <c r="C6" s="291"/>
      <c r="D6" s="291"/>
      <c r="E6" s="291"/>
    </row>
    <row r="7" spans="1:6" x14ac:dyDescent="0.2">
      <c r="A7" s="10" t="s">
        <v>205</v>
      </c>
      <c r="B7" s="10"/>
    </row>
    <row r="8" spans="1:6" x14ac:dyDescent="0.2">
      <c r="A8" s="415" t="s">
        <v>169</v>
      </c>
      <c r="B8" s="416"/>
      <c r="C8" s="416"/>
      <c r="D8" s="416"/>
      <c r="E8" s="416"/>
      <c r="F8" s="417"/>
    </row>
    <row r="10" spans="1:6" x14ac:dyDescent="0.2">
      <c r="A10" t="s">
        <v>174</v>
      </c>
    </row>
    <row r="11" spans="1:6" x14ac:dyDescent="0.2">
      <c r="A11" t="s">
        <v>175</v>
      </c>
    </row>
    <row r="12" spans="1:6" x14ac:dyDescent="0.2">
      <c r="A12" t="s">
        <v>0</v>
      </c>
    </row>
    <row r="14" spans="1:6" x14ac:dyDescent="0.2">
      <c r="A14" t="s">
        <v>335</v>
      </c>
    </row>
    <row r="15" spans="1:6" x14ac:dyDescent="0.2">
      <c r="A15" t="s">
        <v>336</v>
      </c>
    </row>
    <row r="16" spans="1:6" x14ac:dyDescent="0.2">
      <c r="A16" s="414" t="s">
        <v>337</v>
      </c>
    </row>
    <row r="18" spans="1:6" x14ac:dyDescent="0.2">
      <c r="A18" t="s">
        <v>171</v>
      </c>
    </row>
    <row r="19" spans="1:6" x14ac:dyDescent="0.2">
      <c r="A19" t="s">
        <v>172</v>
      </c>
    </row>
    <row r="20" spans="1:6" x14ac:dyDescent="0.2">
      <c r="A20" t="s">
        <v>176</v>
      </c>
      <c r="E20" s="11"/>
      <c r="F20" s="11"/>
    </row>
    <row r="21" spans="1:6" x14ac:dyDescent="0.2">
      <c r="A21" t="s">
        <v>173</v>
      </c>
    </row>
    <row r="23" spans="1:6" x14ac:dyDescent="0.2">
      <c r="A23" t="s">
        <v>199</v>
      </c>
    </row>
    <row r="24" spans="1:6" x14ac:dyDescent="0.2">
      <c r="A24" t="s">
        <v>281</v>
      </c>
    </row>
    <row r="26" spans="1:6" x14ac:dyDescent="0.2">
      <c r="A26" t="s">
        <v>210</v>
      </c>
    </row>
    <row r="27" spans="1:6" x14ac:dyDescent="0.2">
      <c r="A27" t="s">
        <v>200</v>
      </c>
    </row>
    <row r="29" spans="1:6" x14ac:dyDescent="0.2">
      <c r="A29" t="s">
        <v>178</v>
      </c>
    </row>
    <row r="30" spans="1:6" x14ac:dyDescent="0.2">
      <c r="A30" t="s">
        <v>203</v>
      </c>
    </row>
    <row r="31" spans="1:6" x14ac:dyDescent="0.2">
      <c r="A31" t="s">
        <v>282</v>
      </c>
    </row>
    <row r="32" spans="1:6" x14ac:dyDescent="0.2">
      <c r="A32" t="s">
        <v>283</v>
      </c>
    </row>
    <row r="34" spans="1:1" x14ac:dyDescent="0.2">
      <c r="A34" t="s">
        <v>181</v>
      </c>
    </row>
    <row r="35" spans="1:1" x14ac:dyDescent="0.2">
      <c r="A35" t="s">
        <v>201</v>
      </c>
    </row>
    <row r="36" spans="1:1" x14ac:dyDescent="0.2">
      <c r="A36" t="s">
        <v>202</v>
      </c>
    </row>
    <row r="38" spans="1:1" x14ac:dyDescent="0.2">
      <c r="A38" t="s">
        <v>192</v>
      </c>
    </row>
    <row r="39" spans="1:1" x14ac:dyDescent="0.2">
      <c r="A39" t="s">
        <v>194</v>
      </c>
    </row>
    <row r="40" spans="1:1" x14ac:dyDescent="0.2">
      <c r="A40" t="s">
        <v>198</v>
      </c>
    </row>
    <row r="41" spans="1:1" x14ac:dyDescent="0.2">
      <c r="A41" t="s">
        <v>218</v>
      </c>
    </row>
    <row r="42" spans="1:1" x14ac:dyDescent="0.2">
      <c r="A42" t="s">
        <v>217</v>
      </c>
    </row>
    <row r="43" spans="1:1" x14ac:dyDescent="0.2">
      <c r="A43" t="s">
        <v>216</v>
      </c>
    </row>
    <row r="44" spans="1:1" x14ac:dyDescent="0.2">
      <c r="A44" t="s">
        <v>219</v>
      </c>
    </row>
    <row r="45" spans="1:1" x14ac:dyDescent="0.2">
      <c r="A45" t="s">
        <v>207</v>
      </c>
    </row>
    <row r="46" spans="1:1" x14ac:dyDescent="0.2">
      <c r="A46" t="s">
        <v>208</v>
      </c>
    </row>
    <row r="48" spans="1:1" x14ac:dyDescent="0.2">
      <c r="A48" t="s">
        <v>193</v>
      </c>
    </row>
    <row r="49" spans="1:1" x14ac:dyDescent="0.2">
      <c r="A49" t="s">
        <v>195</v>
      </c>
    </row>
    <row r="50" spans="1:1" x14ac:dyDescent="0.2">
      <c r="A50" t="s">
        <v>196</v>
      </c>
    </row>
    <row r="51" spans="1:1" x14ac:dyDescent="0.2">
      <c r="A51" t="s">
        <v>209</v>
      </c>
    </row>
    <row r="52" spans="1:1" x14ac:dyDescent="0.2">
      <c r="A52" t="s">
        <v>197</v>
      </c>
    </row>
  </sheetData>
  <mergeCells count="1">
    <mergeCell ref="A8:F8"/>
  </mergeCells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zoomScaleNormal="100" workbookViewId="0">
      <selection sqref="A1:H1"/>
    </sheetView>
  </sheetViews>
  <sheetFormatPr defaultRowHeight="12.75" x14ac:dyDescent="0.2"/>
  <cols>
    <col min="1" max="6" width="10.140625" customWidth="1"/>
    <col min="7" max="7" width="10.140625" style="4" customWidth="1"/>
    <col min="8" max="8" width="10.140625" customWidth="1"/>
  </cols>
  <sheetData>
    <row r="1" spans="1:10" ht="13.5" thickBot="1" x14ac:dyDescent="0.25">
      <c r="A1" s="437" t="s">
        <v>319</v>
      </c>
      <c r="B1" s="438"/>
      <c r="C1" s="438"/>
      <c r="D1" s="438"/>
      <c r="E1" s="438"/>
      <c r="F1" s="438"/>
      <c r="G1" s="438"/>
      <c r="H1" s="439"/>
    </row>
    <row r="2" spans="1:10" ht="16.5" thickTop="1" x14ac:dyDescent="0.25">
      <c r="A2" s="68" t="s">
        <v>97</v>
      </c>
      <c r="B2" s="1"/>
      <c r="C2" s="283"/>
      <c r="D2" s="301"/>
      <c r="E2" s="301"/>
      <c r="F2" s="301"/>
      <c r="G2" s="3"/>
      <c r="H2" s="1"/>
    </row>
    <row r="3" spans="1:10" s="45" customFormat="1" ht="13.7" customHeight="1" x14ac:dyDescent="0.2">
      <c r="A3" s="446" t="s">
        <v>122</v>
      </c>
      <c r="B3" s="447"/>
      <c r="C3" s="447"/>
      <c r="D3" s="447"/>
      <c r="E3" s="447"/>
      <c r="F3" s="447"/>
      <c r="G3" s="447"/>
      <c r="H3" s="448"/>
    </row>
    <row r="4" spans="1:10" s="45" customFormat="1" ht="13.7" customHeight="1" x14ac:dyDescent="0.2">
      <c r="A4" s="425" t="s">
        <v>98</v>
      </c>
      <c r="B4" s="426"/>
      <c r="C4" s="426"/>
      <c r="D4" s="427"/>
      <c r="E4" s="427"/>
      <c r="F4" s="427"/>
      <c r="G4" s="427"/>
      <c r="H4" s="428"/>
    </row>
    <row r="5" spans="1:10" ht="15.75" x14ac:dyDescent="0.2">
      <c r="A5" s="451" t="s">
        <v>27</v>
      </c>
      <c r="B5" s="452"/>
      <c r="C5" s="319"/>
      <c r="D5" s="66" t="s">
        <v>123</v>
      </c>
      <c r="E5" s="319"/>
      <c r="F5" s="320" t="s">
        <v>2</v>
      </c>
      <c r="G5" s="318"/>
      <c r="H5" s="321" t="s">
        <v>99</v>
      </c>
    </row>
    <row r="6" spans="1:10" ht="16.5" customHeight="1" thickBot="1" x14ac:dyDescent="0.25">
      <c r="A6" s="449" t="s">
        <v>100</v>
      </c>
      <c r="B6" s="450"/>
      <c r="C6" s="450"/>
      <c r="D6" s="450"/>
      <c r="E6" s="450"/>
      <c r="F6" s="322"/>
      <c r="G6" s="323" t="s">
        <v>150</v>
      </c>
      <c r="H6" s="324"/>
    </row>
    <row r="7" spans="1:10" ht="13.5" thickTop="1" x14ac:dyDescent="0.2">
      <c r="A7" s="423" t="s">
        <v>284</v>
      </c>
      <c r="B7" s="423"/>
      <c r="C7" s="423"/>
      <c r="D7" s="70" t="s">
        <v>170</v>
      </c>
      <c r="E7" s="70"/>
      <c r="F7" s="70"/>
      <c r="G7" s="440" t="s">
        <v>139</v>
      </c>
      <c r="H7" s="423" t="s">
        <v>1</v>
      </c>
      <c r="I7" s="71"/>
    </row>
    <row r="8" spans="1:10" ht="12.75" customHeight="1" x14ac:dyDescent="0.2">
      <c r="A8" s="420"/>
      <c r="B8" s="420"/>
      <c r="C8" s="420"/>
      <c r="D8" s="444" t="s">
        <v>101</v>
      </c>
      <c r="E8" s="420" t="s">
        <v>102</v>
      </c>
      <c r="F8" s="420" t="s">
        <v>103</v>
      </c>
      <c r="G8" s="441"/>
      <c r="H8" s="443"/>
      <c r="I8" s="71"/>
    </row>
    <row r="9" spans="1:10" x14ac:dyDescent="0.2">
      <c r="A9" s="420"/>
      <c r="B9" s="420"/>
      <c r="C9" s="420"/>
      <c r="D9" s="444"/>
      <c r="E9" s="421"/>
      <c r="F9" s="421"/>
      <c r="G9" s="441"/>
      <c r="H9" s="443"/>
      <c r="I9" s="72"/>
    </row>
    <row r="10" spans="1:10" ht="13.5" thickBot="1" x14ac:dyDescent="0.25">
      <c r="A10" s="424"/>
      <c r="B10" s="424"/>
      <c r="C10" s="424"/>
      <c r="D10" s="445"/>
      <c r="E10" s="422"/>
      <c r="F10" s="422"/>
      <c r="G10" s="442"/>
      <c r="H10" s="424"/>
      <c r="I10" s="72"/>
    </row>
    <row r="11" spans="1:10" ht="13.5" thickTop="1" x14ac:dyDescent="0.2">
      <c r="A11" s="435" t="s">
        <v>104</v>
      </c>
      <c r="B11" s="435"/>
      <c r="C11" s="435"/>
      <c r="D11" s="435"/>
      <c r="E11" s="435"/>
      <c r="F11" s="435"/>
      <c r="G11" s="435"/>
      <c r="H11" s="7"/>
    </row>
    <row r="12" spans="1:10" x14ac:dyDescent="0.2">
      <c r="A12" s="418" t="s">
        <v>121</v>
      </c>
      <c r="B12" s="417"/>
      <c r="C12" s="417"/>
      <c r="D12" s="73"/>
      <c r="E12" s="73"/>
      <c r="F12" s="73"/>
      <c r="G12" s="5"/>
      <c r="H12" s="348">
        <v>8.8000000000000007</v>
      </c>
    </row>
    <row r="13" spans="1:10" ht="13.5" thickBot="1" x14ac:dyDescent="0.25">
      <c r="A13" s="418" t="s">
        <v>105</v>
      </c>
      <c r="B13" s="417"/>
      <c r="C13" s="417"/>
      <c r="D13" s="119">
        <v>0.1</v>
      </c>
      <c r="E13" s="119">
        <v>0.1</v>
      </c>
      <c r="F13" s="115">
        <v>0.1</v>
      </c>
      <c r="G13" s="121">
        <v>0.1</v>
      </c>
      <c r="H13" s="279">
        <f>H12*G13</f>
        <v>0.88000000000000012</v>
      </c>
    </row>
    <row r="14" spans="1:10" ht="14.25" thickTop="1" thickBot="1" x14ac:dyDescent="0.25">
      <c r="A14" s="418" t="s">
        <v>106</v>
      </c>
      <c r="B14" s="417"/>
      <c r="C14" s="417"/>
      <c r="D14" s="120"/>
      <c r="E14" s="120"/>
      <c r="F14" s="116"/>
      <c r="G14" s="116"/>
      <c r="H14" s="74">
        <f>H12+H13</f>
        <v>9.6800000000000015</v>
      </c>
    </row>
    <row r="15" spans="1:10" ht="14.25" thickTop="1" thickBot="1" x14ac:dyDescent="0.25">
      <c r="A15" s="418" t="s">
        <v>107</v>
      </c>
      <c r="B15" s="417"/>
      <c r="C15" s="417"/>
      <c r="D15" s="119">
        <v>0.45</v>
      </c>
      <c r="E15" s="119">
        <v>0.39</v>
      </c>
      <c r="F15" s="115">
        <v>0.47</v>
      </c>
      <c r="G15" s="121">
        <v>0.47</v>
      </c>
      <c r="H15" s="349">
        <f t="shared" ref="H15:H21" si="0">$H$14*(G15)</f>
        <v>4.5496000000000008</v>
      </c>
    </row>
    <row r="16" spans="1:10" ht="13.5" thickBot="1" x14ac:dyDescent="0.25">
      <c r="A16" s="418" t="s">
        <v>148</v>
      </c>
      <c r="B16" s="417"/>
      <c r="C16" s="417"/>
      <c r="D16" s="119">
        <v>0.18</v>
      </c>
      <c r="E16" s="119">
        <v>0.26</v>
      </c>
      <c r="F16" s="115">
        <v>0.36</v>
      </c>
      <c r="G16" s="121">
        <v>0.36</v>
      </c>
      <c r="H16" s="350">
        <f t="shared" si="0"/>
        <v>3.4848000000000003</v>
      </c>
      <c r="J16" s="383"/>
    </row>
    <row r="17" spans="1:12" ht="13.5" thickBot="1" x14ac:dyDescent="0.25">
      <c r="A17" s="418" t="s">
        <v>108</v>
      </c>
      <c r="B17" s="417"/>
      <c r="C17" s="417"/>
      <c r="D17" s="119">
        <v>0.16</v>
      </c>
      <c r="E17" s="119">
        <v>0.31</v>
      </c>
      <c r="F17" s="115">
        <v>0.68</v>
      </c>
      <c r="G17" s="121">
        <v>0.68</v>
      </c>
      <c r="H17" s="350">
        <f t="shared" si="0"/>
        <v>6.5824000000000016</v>
      </c>
    </row>
    <row r="18" spans="1:12" ht="13.5" thickBot="1" x14ac:dyDescent="0.25">
      <c r="A18" s="418" t="s">
        <v>109</v>
      </c>
      <c r="B18" s="417"/>
      <c r="C18" s="417"/>
      <c r="D18" s="119">
        <v>0.1</v>
      </c>
      <c r="E18" s="119">
        <v>0.1</v>
      </c>
      <c r="F18" s="115">
        <v>0.11</v>
      </c>
      <c r="G18" s="121">
        <v>0.11</v>
      </c>
      <c r="H18" s="350">
        <f t="shared" si="0"/>
        <v>1.0648000000000002</v>
      </c>
    </row>
    <row r="19" spans="1:12" ht="13.5" thickBot="1" x14ac:dyDescent="0.25">
      <c r="A19" s="418" t="s">
        <v>110</v>
      </c>
      <c r="B19" s="417"/>
      <c r="C19" s="417"/>
      <c r="D19" s="119">
        <v>0.25</v>
      </c>
      <c r="E19" s="119">
        <v>0.28999999999999998</v>
      </c>
      <c r="F19" s="115">
        <v>0.18</v>
      </c>
      <c r="G19" s="121">
        <v>0.18</v>
      </c>
      <c r="H19" s="350">
        <f t="shared" si="0"/>
        <v>1.7424000000000002</v>
      </c>
    </row>
    <row r="20" spans="1:12" ht="13.5" thickBot="1" x14ac:dyDescent="0.25">
      <c r="A20" s="418" t="s">
        <v>111</v>
      </c>
      <c r="B20" s="417"/>
      <c r="C20" s="417"/>
      <c r="D20" s="119">
        <v>0.15</v>
      </c>
      <c r="E20" s="119">
        <v>0.12</v>
      </c>
      <c r="F20" s="115">
        <v>0.1</v>
      </c>
      <c r="G20" s="121">
        <v>0.1</v>
      </c>
      <c r="H20" s="350">
        <f t="shared" si="0"/>
        <v>0.96800000000000019</v>
      </c>
    </row>
    <row r="21" spans="1:12" ht="13.5" thickBot="1" x14ac:dyDescent="0.25">
      <c r="A21" s="418" t="s">
        <v>112</v>
      </c>
      <c r="B21" s="417"/>
      <c r="C21" s="417"/>
      <c r="D21" s="119">
        <v>0.4</v>
      </c>
      <c r="E21" s="119">
        <v>0.55000000000000004</v>
      </c>
      <c r="F21" s="115">
        <v>0.7</v>
      </c>
      <c r="G21" s="121">
        <v>0.7</v>
      </c>
      <c r="H21" s="351">
        <f t="shared" si="0"/>
        <v>6.7760000000000007</v>
      </c>
    </row>
    <row r="22" spans="1:12" ht="14.25" thickTop="1" thickBot="1" x14ac:dyDescent="0.25">
      <c r="A22" s="418" t="s">
        <v>113</v>
      </c>
      <c r="B22" s="417"/>
      <c r="C22" s="417"/>
      <c r="D22" s="119">
        <f>SUM(D15:D21)</f>
        <v>1.69</v>
      </c>
      <c r="E22" s="119">
        <f>SUM(E15:E21)</f>
        <v>2.0200000000000005</v>
      </c>
      <c r="F22" s="115">
        <f>SUM(F15:F21)</f>
        <v>2.6</v>
      </c>
      <c r="G22" s="118">
        <f>SUM(G15:G21)</f>
        <v>2.6</v>
      </c>
      <c r="H22" s="74">
        <f>SUM(H14:H21)</f>
        <v>34.848000000000006</v>
      </c>
    </row>
    <row r="23" spans="1:12" ht="13.5" thickTop="1" x14ac:dyDescent="0.2">
      <c r="A23" s="417"/>
      <c r="B23" s="417"/>
      <c r="C23" s="417"/>
      <c r="D23" s="417"/>
      <c r="E23" s="417"/>
      <c r="F23" s="417"/>
      <c r="G23" s="417"/>
      <c r="H23" s="417"/>
    </row>
    <row r="24" spans="1:12" x14ac:dyDescent="0.2">
      <c r="A24" s="429" t="s">
        <v>114</v>
      </c>
      <c r="B24" s="429"/>
      <c r="C24" s="429"/>
      <c r="D24" s="430"/>
      <c r="E24" s="430"/>
      <c r="F24" s="430"/>
      <c r="G24" s="430"/>
      <c r="H24" s="6"/>
    </row>
    <row r="25" spans="1:12" ht="13.5" thickBot="1" x14ac:dyDescent="0.25">
      <c r="A25" s="419" t="s">
        <v>115</v>
      </c>
      <c r="B25" s="417"/>
      <c r="C25" s="417"/>
      <c r="D25" s="117">
        <v>0.33</v>
      </c>
      <c r="E25" s="117">
        <v>0.32</v>
      </c>
      <c r="F25" s="117">
        <v>0.33</v>
      </c>
      <c r="G25" s="121">
        <v>0.33</v>
      </c>
      <c r="H25" s="352">
        <f>$H$14*(G25)</f>
        <v>3.1944000000000008</v>
      </c>
    </row>
    <row r="26" spans="1:12" ht="13.5" thickBot="1" x14ac:dyDescent="0.25">
      <c r="A26" s="419" t="s">
        <v>116</v>
      </c>
      <c r="B26" s="417"/>
      <c r="C26" s="417"/>
      <c r="D26" s="117">
        <v>0.39</v>
      </c>
      <c r="E26" s="117">
        <v>0.34</v>
      </c>
      <c r="F26" s="117">
        <v>0.41</v>
      </c>
      <c r="G26" s="121">
        <v>0.41</v>
      </c>
      <c r="H26" s="350">
        <f>$H$14*(G26)</f>
        <v>3.9688000000000003</v>
      </c>
    </row>
    <row r="27" spans="1:12" ht="13.5" thickBot="1" x14ac:dyDescent="0.25">
      <c r="A27" s="419" t="s">
        <v>117</v>
      </c>
      <c r="B27" s="417"/>
      <c r="C27" s="417"/>
      <c r="D27" s="117">
        <v>0.04</v>
      </c>
      <c r="E27" s="117">
        <v>0.04</v>
      </c>
      <c r="F27" s="117">
        <v>0.04</v>
      </c>
      <c r="G27" s="121">
        <v>0.04</v>
      </c>
      <c r="H27" s="350">
        <f>$H$14*(G27)</f>
        <v>0.38720000000000004</v>
      </c>
    </row>
    <row r="28" spans="1:12" ht="13.5" thickBot="1" x14ac:dyDescent="0.25">
      <c r="A28" s="419" t="s">
        <v>118</v>
      </c>
      <c r="B28" s="417"/>
      <c r="C28" s="417"/>
      <c r="D28" s="117">
        <v>0.17</v>
      </c>
      <c r="E28" s="117">
        <v>0.19</v>
      </c>
      <c r="F28" s="117">
        <v>0.22</v>
      </c>
      <c r="G28" s="121">
        <v>0.22</v>
      </c>
      <c r="H28" s="350">
        <f>$H$14*(G28)</f>
        <v>2.1296000000000004</v>
      </c>
    </row>
    <row r="29" spans="1:12" ht="13.5" thickBot="1" x14ac:dyDescent="0.25">
      <c r="A29" s="419" t="s">
        <v>119</v>
      </c>
      <c r="B29" s="417"/>
      <c r="C29" s="417"/>
      <c r="D29" s="117">
        <v>0.35</v>
      </c>
      <c r="E29" s="117">
        <v>0.37</v>
      </c>
      <c r="F29" s="117">
        <v>0.44</v>
      </c>
      <c r="G29" s="121">
        <v>0.44</v>
      </c>
      <c r="H29" s="351">
        <f>$H$14*(G29)</f>
        <v>4.2592000000000008</v>
      </c>
    </row>
    <row r="30" spans="1:12" ht="14.25" thickTop="1" thickBot="1" x14ac:dyDescent="0.25">
      <c r="A30" s="419" t="s">
        <v>120</v>
      </c>
      <c r="B30" s="417"/>
      <c r="C30" s="417"/>
      <c r="D30" s="117">
        <f>SUM(D23:D29)</f>
        <v>1.28</v>
      </c>
      <c r="E30" s="117">
        <f>SUM(E23:E29)</f>
        <v>1.2600000000000002</v>
      </c>
      <c r="F30" s="117">
        <f>SUM(F23:F29)</f>
        <v>1.44</v>
      </c>
      <c r="G30" s="121">
        <f>SUM(G23:G29)</f>
        <v>1.44</v>
      </c>
      <c r="H30" s="74">
        <f>SUM(H25:H29)</f>
        <v>13.939200000000003</v>
      </c>
    </row>
    <row r="31" spans="1:12" ht="14.25" thickTop="1" thickBot="1" x14ac:dyDescent="0.25">
      <c r="A31" s="417"/>
      <c r="B31" s="417"/>
      <c r="C31" s="417"/>
      <c r="D31" s="417"/>
      <c r="E31" s="417"/>
      <c r="F31" s="417"/>
      <c r="G31" s="417"/>
      <c r="H31" s="417"/>
      <c r="J31" s="317"/>
      <c r="K31" s="398"/>
      <c r="L31" s="317"/>
    </row>
    <row r="32" spans="1:12" ht="14.25" customHeight="1" thickTop="1" thickBot="1" x14ac:dyDescent="0.25">
      <c r="A32" s="429" t="s">
        <v>286</v>
      </c>
      <c r="B32" s="430"/>
      <c r="C32" s="430"/>
      <c r="D32" s="430"/>
      <c r="E32" s="430"/>
      <c r="F32" s="430"/>
      <c r="G32" s="431"/>
      <c r="H32" s="75">
        <f>H22+H30</f>
        <v>48.787200000000013</v>
      </c>
      <c r="I32" s="436" t="s">
        <v>328</v>
      </c>
      <c r="J32" s="421"/>
      <c r="K32" s="398"/>
      <c r="L32" s="317"/>
    </row>
    <row r="33" spans="1:12" ht="14.25" thickTop="1" thickBot="1" x14ac:dyDescent="0.25">
      <c r="A33" s="417"/>
      <c r="B33" s="417"/>
      <c r="C33" s="417"/>
      <c r="D33" s="417"/>
      <c r="E33" s="417"/>
      <c r="F33" s="417"/>
      <c r="G33" s="417"/>
      <c r="H33" s="417"/>
      <c r="I33" s="421"/>
      <c r="J33" s="421"/>
      <c r="K33" s="398"/>
      <c r="L33" s="317"/>
    </row>
    <row r="34" spans="1:12" ht="15.2" customHeight="1" thickTop="1" thickBot="1" x14ac:dyDescent="0.25">
      <c r="A34" s="67" t="s">
        <v>285</v>
      </c>
      <c r="B34" s="2"/>
      <c r="C34" s="2"/>
      <c r="D34" s="117">
        <v>0.7</v>
      </c>
      <c r="E34" s="117">
        <v>0.75</v>
      </c>
      <c r="F34" s="117">
        <v>0.89</v>
      </c>
      <c r="G34" s="121">
        <v>0.89</v>
      </c>
      <c r="H34" s="76">
        <f>$H$14*(G34)</f>
        <v>8.6152000000000015</v>
      </c>
      <c r="I34" s="421"/>
      <c r="J34" s="421"/>
    </row>
    <row r="35" spans="1:12" ht="14.25" thickTop="1" thickBot="1" x14ac:dyDescent="0.25">
      <c r="A35" s="417"/>
      <c r="B35" s="417"/>
      <c r="C35" s="417"/>
      <c r="D35" s="417"/>
      <c r="E35" s="417"/>
      <c r="F35" s="417"/>
      <c r="G35" s="417"/>
      <c r="H35" s="417"/>
      <c r="I35" s="2"/>
      <c r="J35" s="2"/>
    </row>
    <row r="36" spans="1:12" ht="14.25" thickTop="1" thickBot="1" x14ac:dyDescent="0.25">
      <c r="A36" s="432" t="s">
        <v>149</v>
      </c>
      <c r="B36" s="433"/>
      <c r="C36" s="433"/>
      <c r="D36" s="433"/>
      <c r="E36" s="433"/>
      <c r="F36" s="433"/>
      <c r="G36" s="434"/>
      <c r="H36" s="75">
        <f>+H32+H34</f>
        <v>57.402400000000014</v>
      </c>
    </row>
    <row r="37" spans="1:12" ht="13.5" thickTop="1" x14ac:dyDescent="0.2">
      <c r="A37" s="326" t="s">
        <v>221</v>
      </c>
      <c r="B37" s="327"/>
      <c r="C37" s="327"/>
      <c r="D37" s="327"/>
      <c r="E37" s="327"/>
      <c r="F37" s="327"/>
      <c r="G37" s="328"/>
      <c r="H37" s="329"/>
    </row>
    <row r="38" spans="1:12" x14ac:dyDescent="0.2">
      <c r="A38" s="330" t="s">
        <v>222</v>
      </c>
      <c r="B38" s="331"/>
      <c r="C38" s="331"/>
      <c r="D38" s="331"/>
      <c r="E38" s="331"/>
      <c r="F38" s="331"/>
      <c r="G38" s="332"/>
      <c r="H38" s="333"/>
    </row>
    <row r="39" spans="1:12" x14ac:dyDescent="0.2">
      <c r="A39" s="330" t="s">
        <v>211</v>
      </c>
      <c r="B39" s="331"/>
      <c r="C39" s="331"/>
      <c r="D39" s="331"/>
      <c r="E39" s="331"/>
      <c r="F39" s="331"/>
      <c r="G39" s="332"/>
      <c r="H39" s="333"/>
    </row>
    <row r="40" spans="1:12" x14ac:dyDescent="0.2">
      <c r="A40" s="330" t="s">
        <v>212</v>
      </c>
      <c r="B40" s="331"/>
      <c r="C40" s="331"/>
      <c r="D40" s="331"/>
      <c r="E40" s="331"/>
      <c r="F40" s="331"/>
      <c r="G40" s="332"/>
      <c r="H40" s="333"/>
    </row>
    <row r="41" spans="1:12" x14ac:dyDescent="0.2">
      <c r="A41" s="330" t="s">
        <v>223</v>
      </c>
      <c r="B41" s="331"/>
      <c r="C41" s="331"/>
      <c r="D41" s="331"/>
      <c r="E41" s="331"/>
      <c r="F41" s="331"/>
      <c r="G41" s="332"/>
      <c r="H41" s="334"/>
    </row>
    <row r="42" spans="1:12" x14ac:dyDescent="0.2">
      <c r="A42" s="330" t="s">
        <v>213</v>
      </c>
      <c r="B42" s="331"/>
      <c r="C42" s="331"/>
      <c r="D42" s="331"/>
      <c r="E42" s="331"/>
      <c r="F42" s="331"/>
      <c r="G42" s="335"/>
      <c r="H42" s="333"/>
    </row>
    <row r="43" spans="1:12" x14ac:dyDescent="0.2">
      <c r="A43" s="202" t="s">
        <v>214</v>
      </c>
      <c r="B43" s="105"/>
      <c r="C43" s="105"/>
      <c r="D43" s="105"/>
      <c r="E43" s="105"/>
      <c r="F43" s="105"/>
      <c r="G43" s="325"/>
      <c r="H43" s="106"/>
    </row>
    <row r="44" spans="1:12" x14ac:dyDescent="0.2">
      <c r="A44" s="13"/>
      <c r="B44" s="13"/>
      <c r="C44" s="13"/>
      <c r="D44" s="13"/>
      <c r="E44" s="146"/>
      <c r="F44" s="185"/>
      <c r="G44" s="268"/>
      <c r="H44" s="54"/>
    </row>
    <row r="45" spans="1:12" x14ac:dyDescent="0.2">
      <c r="A45" s="54"/>
      <c r="B45" s="54"/>
      <c r="C45" s="15"/>
      <c r="D45" s="15"/>
      <c r="E45" s="15"/>
      <c r="F45" s="269"/>
      <c r="G45" s="270"/>
      <c r="H45" s="269"/>
    </row>
    <row r="46" spans="1:12" x14ac:dyDescent="0.2">
      <c r="G46" s="139"/>
      <c r="H46" s="139"/>
    </row>
    <row r="47" spans="1:12" x14ac:dyDescent="0.2">
      <c r="C47" s="146"/>
      <c r="D47" s="146"/>
      <c r="E47" s="146"/>
      <c r="F47" s="146"/>
      <c r="G47" s="184"/>
      <c r="H47" s="146"/>
    </row>
    <row r="48" spans="1:12" x14ac:dyDescent="0.2">
      <c r="C48" s="19"/>
      <c r="F48" s="13"/>
      <c r="G48" s="184"/>
      <c r="H48" s="13"/>
    </row>
  </sheetData>
  <mergeCells count="37">
    <mergeCell ref="A5:B5"/>
    <mergeCell ref="A16:C16"/>
    <mergeCell ref="I32:J34"/>
    <mergeCell ref="A1:H1"/>
    <mergeCell ref="A29:C29"/>
    <mergeCell ref="G7:G10"/>
    <mergeCell ref="H7:H10"/>
    <mergeCell ref="D8:D10"/>
    <mergeCell ref="A28:C28"/>
    <mergeCell ref="A3:H3"/>
    <mergeCell ref="A6:E6"/>
    <mergeCell ref="A4:H4"/>
    <mergeCell ref="A19:C19"/>
    <mergeCell ref="A32:G32"/>
    <mergeCell ref="A36:G36"/>
    <mergeCell ref="A11:G11"/>
    <mergeCell ref="A24:G24"/>
    <mergeCell ref="A35:H35"/>
    <mergeCell ref="A17:C17"/>
    <mergeCell ref="A18:C18"/>
    <mergeCell ref="A31:H31"/>
    <mergeCell ref="A12:C12"/>
    <mergeCell ref="A13:C13"/>
    <mergeCell ref="A15:C15"/>
    <mergeCell ref="A14:C14"/>
    <mergeCell ref="F8:F10"/>
    <mergeCell ref="E8:E10"/>
    <mergeCell ref="A7:C10"/>
    <mergeCell ref="A33:H33"/>
    <mergeCell ref="A20:C20"/>
    <mergeCell ref="A21:C21"/>
    <mergeCell ref="A22:C22"/>
    <mergeCell ref="A23:H23"/>
    <mergeCell ref="A25:C25"/>
    <mergeCell ref="A26:C26"/>
    <mergeCell ref="A27:C27"/>
    <mergeCell ref="A30:C30"/>
  </mergeCells>
  <phoneticPr fontId="0" type="noConversion"/>
  <printOptions gridLines="1"/>
  <pageMargins left="0.75" right="0.75" top="1" bottom="1" header="0.5" footer="0.5"/>
  <pageSetup scale="91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workbookViewId="0">
      <selection sqref="A1:F1"/>
    </sheetView>
  </sheetViews>
  <sheetFormatPr defaultRowHeight="12.75" x14ac:dyDescent="0.2"/>
  <cols>
    <col min="1" max="1" width="14.28515625" style="19" customWidth="1"/>
    <col min="2" max="2" width="9.140625" style="73"/>
    <col min="3" max="3" width="9.140625" style="6"/>
    <col min="4" max="4" width="10.140625" style="73" customWidth="1"/>
    <col min="7" max="7" width="14.28515625" customWidth="1"/>
    <col min="8" max="8" width="9.28515625" customWidth="1"/>
    <col min="9" max="10" width="9.140625" style="19"/>
    <col min="11" max="11" width="10.140625" style="19" customWidth="1"/>
  </cols>
  <sheetData>
    <row r="1" spans="1:14" x14ac:dyDescent="0.2">
      <c r="A1" s="482" t="s">
        <v>153</v>
      </c>
      <c r="B1" s="483"/>
      <c r="C1" s="483"/>
      <c r="D1" s="483"/>
      <c r="E1" s="483"/>
      <c r="F1" s="483"/>
      <c r="G1" s="190" t="s">
        <v>35</v>
      </c>
      <c r="H1" s="19"/>
    </row>
    <row r="2" spans="1:14" x14ac:dyDescent="0.2">
      <c r="A2" s="271" t="s">
        <v>168</v>
      </c>
      <c r="B2" s="120"/>
      <c r="C2" s="272"/>
      <c r="D2" s="120"/>
      <c r="G2" s="280" t="s">
        <v>168</v>
      </c>
      <c r="H2" s="281"/>
      <c r="I2" s="281"/>
      <c r="J2" s="189"/>
    </row>
    <row r="3" spans="1:14" x14ac:dyDescent="0.2">
      <c r="A3" s="148" t="s">
        <v>288</v>
      </c>
      <c r="B3" s="121"/>
      <c r="C3" s="273" t="s">
        <v>150</v>
      </c>
      <c r="D3" s="274"/>
      <c r="G3" s="282" t="s">
        <v>27</v>
      </c>
      <c r="H3" s="148"/>
      <c r="I3" s="273" t="s">
        <v>150</v>
      </c>
      <c r="J3" s="274"/>
    </row>
    <row r="4" spans="1:14" x14ac:dyDescent="0.2">
      <c r="A4" s="275" t="s">
        <v>32</v>
      </c>
      <c r="B4" s="276"/>
      <c r="C4" s="277"/>
      <c r="D4" s="120"/>
      <c r="G4" s="284" t="s">
        <v>32</v>
      </c>
      <c r="H4" s="285"/>
      <c r="I4" s="277"/>
      <c r="J4" s="189"/>
    </row>
    <row r="5" spans="1:14" ht="13.5" thickBot="1" x14ac:dyDescent="0.25">
      <c r="A5" s="289" t="s">
        <v>59</v>
      </c>
      <c r="B5" s="278"/>
      <c r="C5" s="279"/>
      <c r="D5" s="278"/>
      <c r="G5" s="290" t="s">
        <v>59</v>
      </c>
      <c r="H5" s="286"/>
      <c r="I5" s="286"/>
      <c r="J5" s="189"/>
    </row>
    <row r="6" spans="1:14" ht="14.25" thickTop="1" thickBot="1" x14ac:dyDescent="0.25">
      <c r="A6" s="476" t="s">
        <v>26</v>
      </c>
      <c r="B6" s="477"/>
      <c r="C6" s="477"/>
      <c r="D6" s="478"/>
      <c r="G6" s="487" t="s">
        <v>154</v>
      </c>
      <c r="H6" s="477"/>
      <c r="I6" s="477"/>
      <c r="J6" s="478"/>
    </row>
    <row r="7" spans="1:14" x14ac:dyDescent="0.2">
      <c r="A7" s="459" t="s">
        <v>28</v>
      </c>
      <c r="B7" s="454" t="s">
        <v>29</v>
      </c>
      <c r="C7" s="456" t="s">
        <v>31</v>
      </c>
      <c r="D7" s="454" t="s">
        <v>47</v>
      </c>
      <c r="E7" s="2"/>
      <c r="F7" s="2"/>
      <c r="G7" s="484" t="s">
        <v>33</v>
      </c>
      <c r="H7" s="459" t="s">
        <v>34</v>
      </c>
      <c r="I7" s="459" t="s">
        <v>155</v>
      </c>
      <c r="J7" s="459" t="s">
        <v>37</v>
      </c>
    </row>
    <row r="8" spans="1:14" ht="12.75" customHeight="1" x14ac:dyDescent="0.2">
      <c r="A8" s="488"/>
      <c r="B8" s="462"/>
      <c r="C8" s="457"/>
      <c r="D8" s="462"/>
      <c r="E8" s="2"/>
      <c r="F8" s="2"/>
      <c r="G8" s="485"/>
      <c r="H8" s="471"/>
      <c r="I8" s="460"/>
      <c r="J8" s="479"/>
    </row>
    <row r="9" spans="1:14" x14ac:dyDescent="0.2">
      <c r="A9" s="488"/>
      <c r="B9" s="462"/>
      <c r="C9" s="457"/>
      <c r="D9" s="462"/>
      <c r="E9" s="2"/>
      <c r="F9" s="2"/>
      <c r="G9" s="485"/>
      <c r="H9" s="471"/>
      <c r="I9" s="460"/>
      <c r="J9" s="479"/>
    </row>
    <row r="10" spans="1:14" ht="13.5" thickBot="1" x14ac:dyDescent="0.25">
      <c r="A10" s="489"/>
      <c r="B10" s="463"/>
      <c r="C10" s="458"/>
      <c r="D10" s="463"/>
      <c r="E10" s="2"/>
      <c r="F10" s="2"/>
      <c r="G10" s="486"/>
      <c r="H10" s="472"/>
      <c r="I10" s="461"/>
      <c r="J10" s="479"/>
    </row>
    <row r="11" spans="1:14" ht="14.25" thickTop="1" thickBot="1" x14ac:dyDescent="0.25">
      <c r="A11" s="147" t="s">
        <v>140</v>
      </c>
      <c r="B11" s="122">
        <v>1.6</v>
      </c>
      <c r="C11" s="134">
        <v>30</v>
      </c>
      <c r="D11" s="159">
        <f t="shared" ref="D11:D16" si="0">B11*C11</f>
        <v>48</v>
      </c>
      <c r="G11" s="399">
        <v>3</v>
      </c>
      <c r="H11" s="157">
        <v>3</v>
      </c>
      <c r="I11" s="158">
        <f>33.67*J16</f>
        <v>33.67</v>
      </c>
      <c r="J11" s="344">
        <f>G11*H11*I11*8*365/1000000</f>
        <v>0.88484760000000007</v>
      </c>
      <c r="K11" s="402" t="s">
        <v>325</v>
      </c>
      <c r="L11" s="403"/>
    </row>
    <row r="12" spans="1:14" ht="13.5" thickBot="1" x14ac:dyDescent="0.25">
      <c r="A12" s="148" t="s">
        <v>224</v>
      </c>
      <c r="B12" s="121">
        <v>0.25</v>
      </c>
      <c r="C12" s="135">
        <v>12</v>
      </c>
      <c r="D12" s="159">
        <f t="shared" si="0"/>
        <v>3</v>
      </c>
      <c r="G12" s="186" t="s">
        <v>156</v>
      </c>
      <c r="H12" s="19"/>
      <c r="K12" s="400"/>
      <c r="L12" s="401"/>
    </row>
    <row r="13" spans="1:14" ht="13.5" thickBot="1" x14ac:dyDescent="0.25">
      <c r="A13" s="148"/>
      <c r="B13" s="121"/>
      <c r="C13" s="135"/>
      <c r="D13" s="159">
        <f t="shared" si="0"/>
        <v>0</v>
      </c>
      <c r="G13" s="187" t="s">
        <v>157</v>
      </c>
      <c r="H13" s="2"/>
      <c r="I13" s="2"/>
      <c r="J13" s="2"/>
      <c r="L13" s="2"/>
      <c r="M13" s="2"/>
      <c r="N13" s="2"/>
    </row>
    <row r="14" spans="1:14" ht="13.5" thickBot="1" x14ac:dyDescent="0.25">
      <c r="A14" s="148"/>
      <c r="B14" s="121"/>
      <c r="C14" s="135"/>
      <c r="D14" s="159">
        <f t="shared" si="0"/>
        <v>0</v>
      </c>
      <c r="G14" s="186" t="s">
        <v>158</v>
      </c>
      <c r="H14" s="19"/>
    </row>
    <row r="15" spans="1:14" ht="15" thickBot="1" x14ac:dyDescent="0.25">
      <c r="A15" s="148"/>
      <c r="B15" s="121"/>
      <c r="C15" s="135"/>
      <c r="D15" s="159">
        <f t="shared" si="0"/>
        <v>0</v>
      </c>
      <c r="G15" s="188" t="s">
        <v>287</v>
      </c>
      <c r="H15" s="19"/>
    </row>
    <row r="16" spans="1:14" ht="13.5" thickBot="1" x14ac:dyDescent="0.25">
      <c r="A16" s="149"/>
      <c r="B16" s="123"/>
      <c r="C16" s="136"/>
      <c r="D16" s="159">
        <f t="shared" si="0"/>
        <v>0</v>
      </c>
      <c r="G16" s="473" t="s">
        <v>321</v>
      </c>
      <c r="H16" s="474"/>
      <c r="I16" s="474"/>
      <c r="J16" s="148">
        <f>1</f>
        <v>1</v>
      </c>
      <c r="K16" s="15"/>
      <c r="L16" s="15"/>
    </row>
    <row r="17" spans="1:13" ht="14.25" customHeight="1" thickTop="1" thickBot="1" x14ac:dyDescent="0.25">
      <c r="A17" s="464" t="s">
        <v>151</v>
      </c>
      <c r="B17" s="465"/>
      <c r="C17" s="466"/>
      <c r="D17" s="288">
        <f>SUM(D11:D16)</f>
        <v>51</v>
      </c>
      <c r="E17" s="467" t="s">
        <v>290</v>
      </c>
      <c r="F17" s="468"/>
      <c r="K17" s="15"/>
      <c r="L17" s="15"/>
    </row>
    <row r="18" spans="1:13" x14ac:dyDescent="0.2">
      <c r="A18" s="346"/>
      <c r="E18" s="475"/>
      <c r="F18" s="470"/>
      <c r="K18" s="146"/>
    </row>
    <row r="19" spans="1:13" ht="13.5" thickBot="1" x14ac:dyDescent="0.25">
      <c r="A19" s="347"/>
      <c r="F19" s="15"/>
      <c r="H19" s="12"/>
      <c r="M19" s="15"/>
    </row>
    <row r="20" spans="1:13" ht="14.25" thickTop="1" thickBot="1" x14ac:dyDescent="0.25">
      <c r="A20" s="476" t="s">
        <v>30</v>
      </c>
      <c r="B20" s="477"/>
      <c r="C20" s="477"/>
      <c r="D20" s="478"/>
    </row>
    <row r="21" spans="1:13" x14ac:dyDescent="0.2">
      <c r="A21" s="459" t="s">
        <v>28</v>
      </c>
      <c r="B21" s="453" t="s">
        <v>29</v>
      </c>
      <c r="C21" s="480" t="s">
        <v>31</v>
      </c>
      <c r="D21" s="453" t="s">
        <v>138</v>
      </c>
    </row>
    <row r="22" spans="1:13" x14ac:dyDescent="0.2">
      <c r="A22" s="460"/>
      <c r="B22" s="454"/>
      <c r="C22" s="456"/>
      <c r="D22" s="454"/>
    </row>
    <row r="23" spans="1:13" x14ac:dyDescent="0.2">
      <c r="A23" s="460"/>
      <c r="B23" s="454"/>
      <c r="C23" s="456"/>
      <c r="D23" s="454"/>
    </row>
    <row r="24" spans="1:13" ht="13.5" thickBot="1" x14ac:dyDescent="0.25">
      <c r="A24" s="479"/>
      <c r="B24" s="455"/>
      <c r="C24" s="481"/>
      <c r="D24" s="455"/>
    </row>
    <row r="25" spans="1:13" ht="13.5" thickBot="1" x14ac:dyDescent="0.25">
      <c r="A25" s="345">
        <v>1</v>
      </c>
      <c r="B25" s="124">
        <v>0.45</v>
      </c>
      <c r="C25" s="137">
        <v>20</v>
      </c>
      <c r="D25" s="159">
        <f t="shared" ref="D25:D30" si="1">B25*C25</f>
        <v>9</v>
      </c>
    </row>
    <row r="26" spans="1:13" ht="13.5" thickBot="1" x14ac:dyDescent="0.25">
      <c r="A26" s="148">
        <v>2</v>
      </c>
      <c r="B26" s="121">
        <v>0.25</v>
      </c>
      <c r="C26" s="135">
        <v>12</v>
      </c>
      <c r="D26" s="159">
        <f t="shared" si="1"/>
        <v>3</v>
      </c>
    </row>
    <row r="27" spans="1:13" ht="13.5" thickBot="1" x14ac:dyDescent="0.25">
      <c r="A27" s="148">
        <v>3</v>
      </c>
      <c r="B27" s="121">
        <v>0.05</v>
      </c>
      <c r="C27" s="135">
        <v>13</v>
      </c>
      <c r="D27" s="159">
        <f t="shared" si="1"/>
        <v>0.65</v>
      </c>
    </row>
    <row r="28" spans="1:13" ht="13.5" thickBot="1" x14ac:dyDescent="0.25">
      <c r="A28" s="148"/>
      <c r="B28" s="121"/>
      <c r="C28" s="135"/>
      <c r="D28" s="159">
        <f t="shared" si="1"/>
        <v>0</v>
      </c>
    </row>
    <row r="29" spans="1:13" ht="13.5" thickBot="1" x14ac:dyDescent="0.25">
      <c r="A29" s="148"/>
      <c r="B29" s="121"/>
      <c r="C29" s="135"/>
      <c r="D29" s="159">
        <f t="shared" si="1"/>
        <v>0</v>
      </c>
    </row>
    <row r="30" spans="1:13" ht="13.5" thickBot="1" x14ac:dyDescent="0.25">
      <c r="A30" s="149"/>
      <c r="B30" s="123"/>
      <c r="C30" s="136"/>
      <c r="D30" s="287">
        <f t="shared" si="1"/>
        <v>0</v>
      </c>
    </row>
    <row r="31" spans="1:13" ht="14.25" customHeight="1" thickTop="1" thickBot="1" x14ac:dyDescent="0.25">
      <c r="A31" s="464" t="s">
        <v>152</v>
      </c>
      <c r="B31" s="465"/>
      <c r="C31" s="466"/>
      <c r="D31" s="288">
        <f>SUM(D25:D30)</f>
        <v>12.65</v>
      </c>
      <c r="E31" s="467" t="s">
        <v>324</v>
      </c>
      <c r="F31" s="468"/>
    </row>
    <row r="32" spans="1:13" x14ac:dyDescent="0.2">
      <c r="E32" s="469"/>
      <c r="F32" s="470"/>
    </row>
    <row r="33" spans="1:7" x14ac:dyDescent="0.2">
      <c r="A33" s="150"/>
      <c r="F33" s="15"/>
    </row>
    <row r="40" spans="1:7" ht="12.75" customHeight="1" x14ac:dyDescent="0.2">
      <c r="A40" s="343"/>
      <c r="B40" s="125"/>
      <c r="C40" s="138"/>
      <c r="D40" s="125"/>
      <c r="E40" s="54"/>
    </row>
    <row r="41" spans="1:7" x14ac:dyDescent="0.2">
      <c r="A41" s="152"/>
      <c r="B41" s="125"/>
      <c r="C41" s="138"/>
      <c r="D41" s="126"/>
      <c r="E41" s="54"/>
    </row>
    <row r="42" spans="1:7" x14ac:dyDescent="0.2">
      <c r="A42" s="152"/>
      <c r="B42" s="125"/>
      <c r="C42" s="138"/>
      <c r="D42" s="126"/>
      <c r="E42" s="54"/>
    </row>
    <row r="43" spans="1:7" x14ac:dyDescent="0.2">
      <c r="A43" s="152"/>
      <c r="B43" s="125"/>
      <c r="C43" s="139"/>
      <c r="D43" s="126"/>
      <c r="E43" s="54"/>
    </row>
    <row r="44" spans="1:7" x14ac:dyDescent="0.2">
      <c r="A44" s="114"/>
      <c r="B44" s="125"/>
      <c r="C44" s="138"/>
      <c r="D44" s="126"/>
    </row>
    <row r="45" spans="1:7" x14ac:dyDescent="0.2">
      <c r="A45" s="151"/>
      <c r="B45" s="126"/>
      <c r="C45" s="139"/>
      <c r="D45" s="126"/>
    </row>
    <row r="47" spans="1:7" x14ac:dyDescent="0.2">
      <c r="E47" s="2"/>
      <c r="F47" s="2"/>
      <c r="G47" s="2"/>
    </row>
    <row r="48" spans="1:7" x14ac:dyDescent="0.2">
      <c r="D48" s="127"/>
    </row>
    <row r="49" spans="1:6" x14ac:dyDescent="0.2">
      <c r="A49" s="150"/>
      <c r="F49" s="15"/>
    </row>
    <row r="52" spans="1:6" x14ac:dyDescent="0.2">
      <c r="A52" s="113"/>
      <c r="F52" s="15"/>
    </row>
    <row r="53" spans="1:6" x14ac:dyDescent="0.2">
      <c r="A53" s="146"/>
      <c r="B53" s="127"/>
      <c r="C53" s="140"/>
      <c r="D53" s="127"/>
      <c r="E53" s="13"/>
    </row>
    <row r="54" spans="1:6" x14ac:dyDescent="0.2">
      <c r="A54" s="146"/>
      <c r="B54" s="127"/>
      <c r="C54" s="139"/>
      <c r="D54" s="127"/>
      <c r="E54" s="13"/>
    </row>
    <row r="55" spans="1:6" x14ac:dyDescent="0.2">
      <c r="A55" s="152"/>
      <c r="B55" s="126"/>
      <c r="C55" s="139"/>
      <c r="D55" s="126"/>
      <c r="E55" s="13"/>
    </row>
    <row r="56" spans="1:6" ht="15.75" x14ac:dyDescent="0.2">
      <c r="A56" s="153"/>
      <c r="B56" s="128"/>
      <c r="C56" s="141"/>
      <c r="D56" s="128"/>
      <c r="E56" s="9"/>
    </row>
    <row r="57" spans="1:6" ht="15.75" x14ac:dyDescent="0.2">
      <c r="A57" s="153"/>
      <c r="B57" s="128"/>
      <c r="C57" s="141"/>
      <c r="D57" s="128"/>
      <c r="E57" s="9"/>
    </row>
    <row r="58" spans="1:6" ht="15.75" x14ac:dyDescent="0.2">
      <c r="A58" s="77"/>
      <c r="B58" s="129"/>
      <c r="C58" s="141"/>
      <c r="D58" s="128"/>
      <c r="E58" s="14"/>
    </row>
    <row r="59" spans="1:6" ht="15.75" x14ac:dyDescent="0.2">
      <c r="A59" s="77"/>
      <c r="B59" s="129"/>
      <c r="C59" s="141"/>
      <c r="D59" s="128"/>
      <c r="E59" s="14"/>
    </row>
    <row r="60" spans="1:6" ht="15.75" x14ac:dyDescent="0.2">
      <c r="A60" s="77"/>
      <c r="B60" s="129"/>
      <c r="C60" s="141"/>
      <c r="D60" s="130"/>
      <c r="E60" s="14"/>
    </row>
    <row r="61" spans="1:6" ht="15.75" x14ac:dyDescent="0.2">
      <c r="A61" s="77"/>
      <c r="B61" s="129"/>
      <c r="C61" s="141"/>
      <c r="D61" s="130"/>
      <c r="E61" s="14"/>
    </row>
    <row r="62" spans="1:6" ht="15.75" x14ac:dyDescent="0.2">
      <c r="A62" s="77"/>
      <c r="B62" s="129"/>
      <c r="C62" s="141"/>
      <c r="D62" s="130"/>
      <c r="E62" s="14"/>
    </row>
    <row r="63" spans="1:6" ht="15.75" x14ac:dyDescent="0.2">
      <c r="A63" s="77"/>
      <c r="B63" s="129"/>
      <c r="C63" s="141"/>
      <c r="D63" s="130"/>
      <c r="E63" s="14"/>
    </row>
    <row r="64" spans="1:6" ht="15.75" x14ac:dyDescent="0.2">
      <c r="A64" s="153"/>
      <c r="B64" s="130"/>
      <c r="C64" s="141"/>
      <c r="D64" s="130"/>
      <c r="E64" s="14"/>
    </row>
    <row r="65" spans="1:5" ht="15.75" x14ac:dyDescent="0.2">
      <c r="A65" s="77"/>
      <c r="B65" s="129"/>
      <c r="C65" s="141"/>
      <c r="D65" s="130"/>
      <c r="E65" s="14"/>
    </row>
    <row r="66" spans="1:5" ht="15.75" x14ac:dyDescent="0.2">
      <c r="A66" s="77"/>
      <c r="B66" s="128"/>
      <c r="C66" s="141"/>
      <c r="D66" s="130"/>
      <c r="E66" s="14"/>
    </row>
    <row r="67" spans="1:5" ht="15.75" x14ac:dyDescent="0.2">
      <c r="A67" s="77"/>
      <c r="B67" s="129"/>
      <c r="C67" s="141"/>
      <c r="D67" s="130"/>
      <c r="E67" s="14"/>
    </row>
    <row r="68" spans="1:5" ht="15.75" x14ac:dyDescent="0.2">
      <c r="A68" s="77"/>
      <c r="B68" s="129"/>
      <c r="C68" s="141"/>
      <c r="D68" s="130"/>
      <c r="E68" s="14"/>
    </row>
    <row r="69" spans="1:5" ht="15.75" x14ac:dyDescent="0.2">
      <c r="A69" s="153"/>
      <c r="B69" s="128"/>
      <c r="C69" s="141"/>
      <c r="D69" s="130"/>
      <c r="E69" s="14"/>
    </row>
    <row r="70" spans="1:5" ht="15.75" x14ac:dyDescent="0.2">
      <c r="A70" s="77"/>
      <c r="B70" s="129"/>
      <c r="C70" s="141"/>
      <c r="D70" s="130"/>
      <c r="E70" s="14"/>
    </row>
    <row r="71" spans="1:5" ht="15.75" x14ac:dyDescent="0.2">
      <c r="A71" s="153"/>
      <c r="B71" s="128"/>
      <c r="C71" s="141"/>
      <c r="D71" s="130"/>
      <c r="E71" s="14"/>
    </row>
    <row r="72" spans="1:5" ht="15.75" x14ac:dyDescent="0.2">
      <c r="A72" s="153"/>
      <c r="B72" s="128"/>
      <c r="C72" s="141"/>
      <c r="D72" s="130"/>
      <c r="E72" s="14"/>
    </row>
    <row r="73" spans="1:5" ht="15.75" x14ac:dyDescent="0.2">
      <c r="A73" s="153"/>
      <c r="B73" s="128"/>
      <c r="C73" s="141"/>
      <c r="D73" s="130"/>
      <c r="E73" s="14"/>
    </row>
    <row r="74" spans="1:5" ht="15.75" x14ac:dyDescent="0.2">
      <c r="A74" s="77"/>
      <c r="B74" s="129"/>
      <c r="C74" s="141"/>
      <c r="D74" s="130"/>
      <c r="E74" s="14"/>
    </row>
    <row r="75" spans="1:5" ht="15.75" x14ac:dyDescent="0.2">
      <c r="A75" s="77"/>
      <c r="B75" s="129"/>
      <c r="C75" s="141"/>
      <c r="D75" s="130"/>
      <c r="E75" s="14"/>
    </row>
    <row r="76" spans="1:5" ht="15.75" x14ac:dyDescent="0.2">
      <c r="A76" s="77"/>
      <c r="B76" s="129"/>
      <c r="C76" s="141"/>
      <c r="D76" s="130"/>
      <c r="E76" s="14"/>
    </row>
    <row r="77" spans="1:5" ht="15.75" x14ac:dyDescent="0.2">
      <c r="A77" s="77"/>
      <c r="B77" s="129"/>
      <c r="C77" s="141"/>
      <c r="D77" s="130"/>
      <c r="E77" s="14"/>
    </row>
    <row r="78" spans="1:5" ht="15.75" x14ac:dyDescent="0.2">
      <c r="A78" s="77"/>
      <c r="B78" s="129"/>
      <c r="C78" s="141"/>
      <c r="D78" s="130"/>
      <c r="E78" s="14"/>
    </row>
    <row r="79" spans="1:5" ht="15.75" x14ac:dyDescent="0.2">
      <c r="A79" s="153"/>
      <c r="B79" s="128"/>
      <c r="C79" s="141"/>
      <c r="D79" s="130"/>
      <c r="E79" s="14"/>
    </row>
    <row r="80" spans="1:5" ht="15.75" x14ac:dyDescent="0.2">
      <c r="A80" s="77"/>
      <c r="B80" s="129"/>
      <c r="C80" s="141"/>
      <c r="D80" s="130"/>
      <c r="E80" s="14"/>
    </row>
    <row r="81" spans="1:5" ht="15.75" x14ac:dyDescent="0.2">
      <c r="A81" s="153"/>
      <c r="B81" s="128"/>
      <c r="C81" s="141"/>
      <c r="D81" s="130"/>
      <c r="E81" s="14"/>
    </row>
    <row r="82" spans="1:5" ht="15.75" x14ac:dyDescent="0.2">
      <c r="A82" s="153"/>
      <c r="B82" s="128"/>
      <c r="C82" s="141"/>
      <c r="D82" s="130"/>
      <c r="E82" s="14"/>
    </row>
    <row r="83" spans="1:5" ht="15.75" x14ac:dyDescent="0.2">
      <c r="A83" s="153"/>
      <c r="B83" s="128"/>
      <c r="C83" s="141"/>
      <c r="D83" s="130"/>
      <c r="E83" s="14"/>
    </row>
    <row r="84" spans="1:5" ht="15.75" x14ac:dyDescent="0.2">
      <c r="A84" s="153"/>
      <c r="B84" s="128"/>
      <c r="C84" s="141"/>
      <c r="D84" s="130"/>
      <c r="E84" s="14"/>
    </row>
    <row r="85" spans="1:5" ht="15.75" x14ac:dyDescent="0.2">
      <c r="A85" s="153"/>
      <c r="B85" s="128"/>
      <c r="C85" s="141"/>
      <c r="D85" s="130"/>
      <c r="E85" s="14"/>
    </row>
    <row r="86" spans="1:5" ht="15.75" x14ac:dyDescent="0.2">
      <c r="A86" s="77"/>
      <c r="B86" s="129"/>
      <c r="C86" s="141"/>
      <c r="D86" s="130"/>
      <c r="E86" s="14"/>
    </row>
    <row r="87" spans="1:5" ht="15.75" x14ac:dyDescent="0.2">
      <c r="A87" s="77"/>
      <c r="B87" s="129"/>
      <c r="C87" s="141"/>
      <c r="D87" s="130"/>
      <c r="E87" s="14"/>
    </row>
    <row r="88" spans="1:5" ht="15.75" x14ac:dyDescent="0.2">
      <c r="A88" s="77"/>
      <c r="B88" s="129"/>
      <c r="C88" s="141"/>
      <c r="D88" s="130"/>
      <c r="E88" s="14"/>
    </row>
    <row r="89" spans="1:5" ht="15.75" x14ac:dyDescent="0.2">
      <c r="A89" s="153"/>
      <c r="B89" s="128"/>
      <c r="C89" s="141"/>
      <c r="D89" s="130"/>
      <c r="E89" s="14"/>
    </row>
    <row r="90" spans="1:5" ht="15.75" x14ac:dyDescent="0.2">
      <c r="A90" s="153"/>
      <c r="B90" s="128"/>
      <c r="C90" s="141"/>
      <c r="D90" s="130"/>
      <c r="E90" s="14"/>
    </row>
    <row r="91" spans="1:5" ht="15.75" x14ac:dyDescent="0.2">
      <c r="A91" s="153"/>
      <c r="B91" s="128"/>
      <c r="C91" s="141"/>
      <c r="D91" s="130"/>
      <c r="E91" s="14"/>
    </row>
    <row r="92" spans="1:5" ht="15.75" x14ac:dyDescent="0.2">
      <c r="A92" s="153"/>
      <c r="B92" s="128"/>
      <c r="C92" s="141"/>
      <c r="D92" s="130"/>
      <c r="E92" s="14"/>
    </row>
    <row r="93" spans="1:5" ht="15.75" x14ac:dyDescent="0.2">
      <c r="A93" s="153"/>
      <c r="B93" s="128"/>
      <c r="C93" s="141"/>
      <c r="D93" s="130"/>
      <c r="E93" s="14"/>
    </row>
    <row r="94" spans="1:5" ht="15.75" x14ac:dyDescent="0.2">
      <c r="A94" s="153"/>
      <c r="B94" s="128"/>
      <c r="C94" s="141"/>
      <c r="D94" s="130"/>
      <c r="E94" s="14"/>
    </row>
    <row r="95" spans="1:5" ht="15.75" x14ac:dyDescent="0.2">
      <c r="A95" s="153"/>
      <c r="B95" s="128"/>
      <c r="C95" s="141"/>
      <c r="D95" s="130"/>
      <c r="E95" s="14"/>
    </row>
    <row r="96" spans="1:5" ht="15.75" x14ac:dyDescent="0.2">
      <c r="A96" s="153"/>
      <c r="B96" s="128"/>
      <c r="C96" s="141"/>
      <c r="D96" s="130"/>
      <c r="E96" s="14"/>
    </row>
    <row r="97" spans="1:5" ht="15.75" x14ac:dyDescent="0.2">
      <c r="A97" s="153"/>
      <c r="B97" s="128"/>
      <c r="C97" s="141"/>
      <c r="D97" s="130"/>
      <c r="E97" s="14"/>
    </row>
    <row r="98" spans="1:5" ht="15.75" x14ac:dyDescent="0.2">
      <c r="A98" s="153"/>
      <c r="B98" s="128"/>
      <c r="C98" s="141"/>
      <c r="D98" s="130"/>
      <c r="E98" s="14"/>
    </row>
    <row r="99" spans="1:5" ht="15.75" x14ac:dyDescent="0.2">
      <c r="A99" s="77"/>
      <c r="B99" s="129"/>
      <c r="C99" s="141"/>
      <c r="D99" s="130"/>
      <c r="E99" s="14"/>
    </row>
    <row r="100" spans="1:5" ht="15.75" x14ac:dyDescent="0.2">
      <c r="A100" s="77"/>
      <c r="B100" s="129"/>
      <c r="C100" s="141"/>
      <c r="D100" s="130"/>
      <c r="E100" s="14"/>
    </row>
    <row r="101" spans="1:5" ht="15.75" x14ac:dyDescent="0.2">
      <c r="A101" s="77"/>
      <c r="B101" s="129"/>
      <c r="C101" s="141"/>
      <c r="D101" s="130"/>
      <c r="E101" s="14"/>
    </row>
    <row r="102" spans="1:5" ht="15.75" customHeight="1" x14ac:dyDescent="0.25">
      <c r="A102" s="154"/>
      <c r="B102" s="131"/>
      <c r="C102" s="142"/>
      <c r="D102" s="160"/>
      <c r="E102" s="14"/>
    </row>
    <row r="103" spans="1:5" ht="15.75" customHeight="1" x14ac:dyDescent="0.25">
      <c r="A103" s="155"/>
      <c r="B103" s="132"/>
      <c r="C103" s="143"/>
      <c r="D103" s="161"/>
      <c r="E103" s="8"/>
    </row>
    <row r="104" spans="1:5" ht="15.75" customHeight="1" x14ac:dyDescent="0.25">
      <c r="A104" s="155"/>
      <c r="B104" s="132"/>
      <c r="C104" s="143"/>
      <c r="D104" s="161"/>
      <c r="E104" s="8"/>
    </row>
    <row r="105" spans="1:5" ht="15.75" customHeight="1" x14ac:dyDescent="0.25">
      <c r="A105" s="155"/>
      <c r="B105" s="132"/>
      <c r="C105" s="143"/>
      <c r="D105" s="161"/>
      <c r="E105" s="8"/>
    </row>
    <row r="106" spans="1:5" ht="15.75" customHeight="1" x14ac:dyDescent="0.25">
      <c r="A106" s="155"/>
      <c r="B106" s="132"/>
      <c r="C106" s="143"/>
      <c r="D106" s="161"/>
      <c r="E106" s="8"/>
    </row>
    <row r="107" spans="1:5" ht="15.75" customHeight="1" x14ac:dyDescent="0.2">
      <c r="A107" s="155"/>
      <c r="B107" s="132"/>
      <c r="C107" s="144"/>
      <c r="D107" s="132"/>
      <c r="E107" s="8"/>
    </row>
    <row r="108" spans="1:5" ht="18.75" x14ac:dyDescent="0.2">
      <c r="A108" s="156"/>
      <c r="B108" s="133"/>
      <c r="C108" s="145"/>
      <c r="D108" s="133"/>
      <c r="E108" s="8"/>
    </row>
    <row r="109" spans="1:5" ht="18.75" x14ac:dyDescent="0.2">
      <c r="A109" s="156"/>
      <c r="B109" s="133"/>
      <c r="C109" s="145"/>
      <c r="D109" s="133"/>
      <c r="E109" s="8"/>
    </row>
  </sheetData>
  <mergeCells count="21">
    <mergeCell ref="G7:G10"/>
    <mergeCell ref="G6:J6"/>
    <mergeCell ref="A7:A10"/>
    <mergeCell ref="B7:B10"/>
    <mergeCell ref="J7:J10"/>
    <mergeCell ref="A20:D20"/>
    <mergeCell ref="A21:A24"/>
    <mergeCell ref="B21:B24"/>
    <mergeCell ref="C21:C24"/>
    <mergeCell ref="A1:F1"/>
    <mergeCell ref="A6:D6"/>
    <mergeCell ref="D21:D24"/>
    <mergeCell ref="C7:C10"/>
    <mergeCell ref="I7:I10"/>
    <mergeCell ref="D7:D10"/>
    <mergeCell ref="A31:C31"/>
    <mergeCell ref="E31:F32"/>
    <mergeCell ref="H7:H10"/>
    <mergeCell ref="G16:I16"/>
    <mergeCell ref="E17:F18"/>
    <mergeCell ref="A17:C17"/>
  </mergeCells>
  <phoneticPr fontId="0" type="noConversion"/>
  <pageMargins left="0.75" right="0.75" top="1" bottom="1" header="0.5" footer="0.5"/>
  <pageSetup orientation="landscape" horizontalDpi="4294967293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4"/>
  <sheetViews>
    <sheetView showZeros="0" zoomScaleNormal="100" workbookViewId="0"/>
  </sheetViews>
  <sheetFormatPr defaultColWidth="10.28515625" defaultRowHeight="15.75" x14ac:dyDescent="0.2"/>
  <cols>
    <col min="1" max="1" width="26.28515625" style="1" customWidth="1"/>
    <col min="2" max="2" width="6.28515625" style="300" customWidth="1"/>
    <col min="3" max="3" width="10.5703125" style="22" customWidth="1"/>
    <col min="4" max="4" width="17" style="170" customWidth="1"/>
    <col min="5" max="5" width="13" style="166" customWidth="1"/>
    <col min="6" max="6" width="13" style="178" customWidth="1"/>
    <col min="7" max="9" width="13" style="1" customWidth="1"/>
    <col min="10" max="16384" width="10.28515625" style="1"/>
  </cols>
  <sheetData>
    <row r="1" spans="1:8" x14ac:dyDescent="0.2">
      <c r="A1" s="16" t="s">
        <v>48</v>
      </c>
      <c r="B1" s="292"/>
      <c r="F1" s="176"/>
      <c r="G1" s="18"/>
    </row>
    <row r="2" spans="1:8" ht="15.75" customHeight="1" x14ac:dyDescent="0.2">
      <c r="A2" s="17" t="s">
        <v>50</v>
      </c>
      <c r="B2" s="293"/>
      <c r="C2" s="23"/>
      <c r="F2" s="177"/>
      <c r="G2" s="18"/>
    </row>
    <row r="3" spans="1:8" x14ac:dyDescent="0.25">
      <c r="A3" s="20" t="s">
        <v>49</v>
      </c>
      <c r="B3" s="294"/>
      <c r="C3" s="23"/>
      <c r="F3" s="176"/>
      <c r="G3" s="18"/>
    </row>
    <row r="4" spans="1:8" x14ac:dyDescent="0.2">
      <c r="A4" s="417" t="s">
        <v>141</v>
      </c>
      <c r="B4" s="417"/>
      <c r="C4" s="354" t="s">
        <v>27</v>
      </c>
      <c r="D4" s="355"/>
      <c r="E4" s="490" t="s">
        <v>150</v>
      </c>
      <c r="F4" s="491"/>
      <c r="G4" s="18"/>
    </row>
    <row r="5" spans="1:8" ht="15.75" customHeight="1" thickBot="1" x14ac:dyDescent="0.25">
      <c r="B5" s="295"/>
      <c r="C5" s="356" t="s">
        <v>99</v>
      </c>
      <c r="E5" s="492" t="s">
        <v>32</v>
      </c>
      <c r="F5" s="493"/>
      <c r="G5" s="18"/>
    </row>
    <row r="6" spans="1:8" ht="15.75" customHeight="1" thickTop="1" x14ac:dyDescent="0.2">
      <c r="A6" s="337" t="s">
        <v>40</v>
      </c>
      <c r="B6" s="505">
        <f>SUM(F12:F41)</f>
        <v>2.0249999999999999</v>
      </c>
      <c r="C6" s="506"/>
      <c r="D6" s="191" t="s">
        <v>41</v>
      </c>
      <c r="E6" s="404"/>
      <c r="F6" s="176"/>
      <c r="G6" s="18"/>
    </row>
    <row r="7" spans="1:8" ht="15.75" customHeight="1" thickBot="1" x14ac:dyDescent="0.25">
      <c r="A7" s="353"/>
      <c r="B7" s="502" t="s">
        <v>326</v>
      </c>
      <c r="C7" s="503"/>
      <c r="D7" s="504"/>
      <c r="E7" s="405"/>
      <c r="F7" s="153"/>
      <c r="G7" s="9"/>
    </row>
    <row r="8" spans="1:8" ht="15.75" customHeight="1" thickTop="1" x14ac:dyDescent="0.2">
      <c r="A8" s="515" t="s">
        <v>3</v>
      </c>
      <c r="B8" s="498" t="s">
        <v>42</v>
      </c>
      <c r="C8" s="496" t="s">
        <v>179</v>
      </c>
      <c r="D8" s="500" t="s">
        <v>293</v>
      </c>
      <c r="E8" s="507" t="s">
        <v>180</v>
      </c>
      <c r="F8" s="494" t="s">
        <v>124</v>
      </c>
      <c r="G8" s="14"/>
    </row>
    <row r="9" spans="1:8" ht="15.75" customHeight="1" x14ac:dyDescent="0.2">
      <c r="A9" s="516"/>
      <c r="B9" s="499"/>
      <c r="C9" s="497"/>
      <c r="D9" s="501"/>
      <c r="E9" s="508"/>
      <c r="F9" s="495"/>
      <c r="G9" s="14"/>
    </row>
    <row r="10" spans="1:8" ht="16.5" thickBot="1" x14ac:dyDescent="0.25">
      <c r="A10" s="516"/>
      <c r="B10" s="499"/>
      <c r="C10" s="497"/>
      <c r="D10" s="501"/>
      <c r="E10" s="508"/>
      <c r="F10" s="495"/>
      <c r="G10" s="14"/>
    </row>
    <row r="11" spans="1:8" ht="15.75" customHeight="1" x14ac:dyDescent="0.2">
      <c r="A11" s="509" t="s">
        <v>4</v>
      </c>
      <c r="B11" s="510"/>
      <c r="C11" s="510"/>
      <c r="D11" s="510"/>
      <c r="E11" s="510"/>
      <c r="F11" s="511"/>
      <c r="G11" s="14"/>
      <c r="H11" s="27"/>
    </row>
    <row r="12" spans="1:8" ht="15" customHeight="1" x14ac:dyDescent="0.2">
      <c r="A12" s="357" t="s">
        <v>5</v>
      </c>
      <c r="B12" s="358">
        <v>0.45</v>
      </c>
      <c r="C12" s="359" t="s">
        <v>294</v>
      </c>
      <c r="D12" s="360"/>
      <c r="E12" s="361" t="s">
        <v>295</v>
      </c>
      <c r="F12" s="362">
        <f>B12*D12/1000000</f>
        <v>0</v>
      </c>
      <c r="G12" s="14"/>
    </row>
    <row r="13" spans="1:8" ht="15" customHeight="1" x14ac:dyDescent="0.2">
      <c r="A13" s="357" t="s">
        <v>36</v>
      </c>
      <c r="B13" s="358">
        <v>0.9</v>
      </c>
      <c r="C13" s="359" t="s">
        <v>294</v>
      </c>
      <c r="D13" s="360"/>
      <c r="E13" s="361" t="s">
        <v>295</v>
      </c>
      <c r="F13" s="362">
        <f>B13*D13/1000000</f>
        <v>0</v>
      </c>
      <c r="G13" s="14"/>
    </row>
    <row r="14" spans="1:8" x14ac:dyDescent="0.2">
      <c r="A14" s="512" t="s">
        <v>6</v>
      </c>
      <c r="B14" s="513"/>
      <c r="C14" s="513"/>
      <c r="D14" s="513"/>
      <c r="E14" s="513"/>
      <c r="F14" s="513"/>
      <c r="G14" s="14"/>
    </row>
    <row r="15" spans="1:8" ht="15" customHeight="1" x14ac:dyDescent="0.2">
      <c r="A15" s="357" t="s">
        <v>7</v>
      </c>
      <c r="B15" s="361">
        <v>4.4999999999999998E-2</v>
      </c>
      <c r="C15" s="359" t="s">
        <v>43</v>
      </c>
      <c r="D15" s="360">
        <v>1800000</v>
      </c>
      <c r="E15" s="361" t="s">
        <v>177</v>
      </c>
      <c r="F15" s="362">
        <f>B15*D15/1000000</f>
        <v>8.1000000000000003E-2</v>
      </c>
      <c r="G15" s="14"/>
    </row>
    <row r="16" spans="1:8" ht="15" customHeight="1" x14ac:dyDescent="0.2">
      <c r="A16" s="357" t="s">
        <v>8</v>
      </c>
      <c r="B16" s="358">
        <v>0.05</v>
      </c>
      <c r="C16" s="359" t="s">
        <v>43</v>
      </c>
      <c r="D16" s="360"/>
      <c r="E16" s="361" t="s">
        <v>177</v>
      </c>
      <c r="F16" s="362">
        <f>B16*D16/1000000</f>
        <v>0</v>
      </c>
      <c r="G16" s="14"/>
    </row>
    <row r="17" spans="1:7" ht="18" customHeight="1" x14ac:dyDescent="0.2">
      <c r="A17" s="514" t="s">
        <v>9</v>
      </c>
      <c r="B17" s="513"/>
      <c r="C17" s="513"/>
      <c r="D17" s="513"/>
      <c r="E17" s="513"/>
      <c r="F17" s="513"/>
      <c r="G17" s="14"/>
    </row>
    <row r="18" spans="1:7" ht="15" customHeight="1" x14ac:dyDescent="0.2">
      <c r="A18" s="357" t="s">
        <v>10</v>
      </c>
      <c r="B18" s="358">
        <v>1.66</v>
      </c>
      <c r="C18" s="363" t="s">
        <v>44</v>
      </c>
      <c r="D18" s="360"/>
      <c r="E18" s="361" t="s">
        <v>142</v>
      </c>
      <c r="F18" s="362">
        <f>B18*D18/1000000</f>
        <v>0</v>
      </c>
      <c r="G18" s="14"/>
    </row>
    <row r="19" spans="1:7" ht="15" customHeight="1" x14ac:dyDescent="0.2">
      <c r="A19" s="357" t="s">
        <v>11</v>
      </c>
      <c r="B19" s="358">
        <v>3.3</v>
      </c>
      <c r="C19" s="359" t="s">
        <v>44</v>
      </c>
      <c r="D19" s="360"/>
      <c r="E19" s="361" t="s">
        <v>142</v>
      </c>
      <c r="F19" s="362">
        <f>B19*D19/1000000</f>
        <v>0</v>
      </c>
      <c r="G19" s="14"/>
    </row>
    <row r="20" spans="1:7" ht="15" customHeight="1" x14ac:dyDescent="0.2">
      <c r="A20" s="357" t="s">
        <v>38</v>
      </c>
      <c r="B20" s="358">
        <v>3</v>
      </c>
      <c r="C20" s="359" t="s">
        <v>44</v>
      </c>
      <c r="D20" s="360">
        <v>360000</v>
      </c>
      <c r="E20" s="361" t="s">
        <v>142</v>
      </c>
      <c r="F20" s="362">
        <f>B20*D20/1000000</f>
        <v>1.08</v>
      </c>
      <c r="G20" s="14"/>
    </row>
    <row r="21" spans="1:7" ht="15" customHeight="1" x14ac:dyDescent="0.2">
      <c r="A21" s="357" t="s">
        <v>39</v>
      </c>
      <c r="B21" s="358">
        <v>12</v>
      </c>
      <c r="C21" s="359" t="s">
        <v>44</v>
      </c>
      <c r="D21" s="360"/>
      <c r="E21" s="361" t="s">
        <v>142</v>
      </c>
      <c r="F21" s="362">
        <f>B21*D21/1000000</f>
        <v>0</v>
      </c>
      <c r="G21" s="14"/>
    </row>
    <row r="22" spans="1:7" ht="15.75" customHeight="1" x14ac:dyDescent="0.2">
      <c r="A22" s="512" t="s">
        <v>12</v>
      </c>
      <c r="B22" s="513"/>
      <c r="C22" s="513"/>
      <c r="D22" s="513"/>
      <c r="E22" s="513"/>
      <c r="F22" s="513"/>
      <c r="G22" s="14"/>
    </row>
    <row r="23" spans="1:7" ht="15" customHeight="1" x14ac:dyDescent="0.2">
      <c r="A23" s="374" t="s">
        <v>296</v>
      </c>
      <c r="B23" s="358">
        <v>4</v>
      </c>
      <c r="C23" s="359" t="s">
        <v>44</v>
      </c>
      <c r="D23" s="360"/>
      <c r="E23" s="361" t="s">
        <v>142</v>
      </c>
      <c r="F23" s="362">
        <f>B23*D23/1000000</f>
        <v>0</v>
      </c>
      <c r="G23" s="14"/>
    </row>
    <row r="24" spans="1:7" ht="15" customHeight="1" x14ac:dyDescent="0.2">
      <c r="A24" s="374" t="s">
        <v>304</v>
      </c>
      <c r="B24" s="358">
        <v>5</v>
      </c>
      <c r="C24" s="359" t="s">
        <v>44</v>
      </c>
      <c r="D24" s="360"/>
      <c r="E24" s="361" t="s">
        <v>142</v>
      </c>
      <c r="F24" s="362">
        <f>B24*D24/1000000</f>
        <v>0</v>
      </c>
      <c r="G24" s="14"/>
    </row>
    <row r="25" spans="1:7" ht="15" customHeight="1" x14ac:dyDescent="0.2">
      <c r="A25" s="374" t="s">
        <v>297</v>
      </c>
      <c r="B25" s="358">
        <v>8</v>
      </c>
      <c r="C25" s="359" t="s">
        <v>44</v>
      </c>
      <c r="D25" s="360"/>
      <c r="E25" s="361" t="s">
        <v>142</v>
      </c>
      <c r="F25" s="362">
        <f>B25*D25/1000000</f>
        <v>0</v>
      </c>
      <c r="G25" s="14"/>
    </row>
    <row r="26" spans="1:7" ht="15" customHeight="1" x14ac:dyDescent="0.2">
      <c r="A26" s="374" t="s">
        <v>298</v>
      </c>
      <c r="B26" s="358">
        <v>14</v>
      </c>
      <c r="C26" s="359" t="s">
        <v>44</v>
      </c>
      <c r="D26" s="360"/>
      <c r="E26" s="361" t="s">
        <v>142</v>
      </c>
      <c r="F26" s="362">
        <f>B26*D26/1000000</f>
        <v>0</v>
      </c>
      <c r="G26" s="14"/>
    </row>
    <row r="27" spans="1:7" x14ac:dyDescent="0.2">
      <c r="A27" s="512" t="s">
        <v>13</v>
      </c>
      <c r="B27" s="513"/>
      <c r="C27" s="513"/>
      <c r="D27" s="513"/>
      <c r="E27" s="513"/>
      <c r="F27" s="513"/>
      <c r="G27" s="14"/>
    </row>
    <row r="28" spans="1:7" ht="15" customHeight="1" x14ac:dyDescent="0.2">
      <c r="A28" s="357" t="s">
        <v>14</v>
      </c>
      <c r="B28" s="358">
        <v>8</v>
      </c>
      <c r="C28" s="359" t="s">
        <v>45</v>
      </c>
      <c r="D28" s="360"/>
      <c r="E28" s="361" t="s">
        <v>143</v>
      </c>
      <c r="F28" s="362">
        <f>B28*D28/1000000</f>
        <v>0</v>
      </c>
      <c r="G28" s="14"/>
    </row>
    <row r="29" spans="1:7" ht="15" customHeight="1" x14ac:dyDescent="0.2">
      <c r="A29" s="357" t="s">
        <v>15</v>
      </c>
      <c r="B29" s="358">
        <v>6</v>
      </c>
      <c r="C29" s="359" t="s">
        <v>45</v>
      </c>
      <c r="D29" s="360">
        <v>40000</v>
      </c>
      <c r="E29" s="361" t="s">
        <v>143</v>
      </c>
      <c r="F29" s="362">
        <f>B29*D29/1000000</f>
        <v>0.24</v>
      </c>
      <c r="G29" s="14"/>
    </row>
    <row r="30" spans="1:7" ht="15" customHeight="1" x14ac:dyDescent="0.2">
      <c r="A30" s="357" t="s">
        <v>303</v>
      </c>
      <c r="B30" s="358">
        <v>2</v>
      </c>
      <c r="C30" s="359" t="s">
        <v>45</v>
      </c>
      <c r="D30" s="360"/>
      <c r="E30" s="361" t="s">
        <v>143</v>
      </c>
      <c r="F30" s="362">
        <f>B30*D30/1000000</f>
        <v>0</v>
      </c>
      <c r="G30" s="14"/>
    </row>
    <row r="31" spans="1:7" x14ac:dyDescent="0.2">
      <c r="A31" s="512" t="s">
        <v>16</v>
      </c>
      <c r="B31" s="513"/>
      <c r="C31" s="513"/>
      <c r="D31" s="513"/>
      <c r="E31" s="513"/>
      <c r="F31" s="513"/>
      <c r="G31" s="14"/>
    </row>
    <row r="32" spans="1:7" ht="15" customHeight="1" x14ac:dyDescent="0.2">
      <c r="A32" s="357" t="s">
        <v>17</v>
      </c>
      <c r="B32" s="358">
        <v>0.53</v>
      </c>
      <c r="C32" s="359" t="s">
        <v>299</v>
      </c>
      <c r="D32" s="360"/>
      <c r="E32" s="361" t="s">
        <v>300</v>
      </c>
      <c r="F32" s="364"/>
      <c r="G32" s="14"/>
    </row>
    <row r="33" spans="1:7" ht="15" customHeight="1" x14ac:dyDescent="0.2">
      <c r="A33" s="357" t="s">
        <v>18</v>
      </c>
      <c r="B33" s="358">
        <v>0.53</v>
      </c>
      <c r="C33" s="359" t="s">
        <v>299</v>
      </c>
      <c r="D33" s="360">
        <v>400000</v>
      </c>
      <c r="E33" s="361" t="s">
        <v>300</v>
      </c>
      <c r="F33" s="362">
        <f>B32*D33/1000000</f>
        <v>0.21199999999999999</v>
      </c>
      <c r="G33" s="14"/>
    </row>
    <row r="34" spans="1:7" x14ac:dyDescent="0.2">
      <c r="A34" s="512" t="s">
        <v>289</v>
      </c>
      <c r="B34" s="513"/>
      <c r="C34" s="513"/>
      <c r="D34" s="513"/>
      <c r="E34" s="513"/>
      <c r="F34" s="513"/>
      <c r="G34" s="14"/>
    </row>
    <row r="35" spans="1:7" ht="15" customHeight="1" x14ac:dyDescent="0.2">
      <c r="A35" s="357" t="s">
        <v>19</v>
      </c>
      <c r="B35" s="358">
        <v>145</v>
      </c>
      <c r="C35" s="359" t="s">
        <v>45</v>
      </c>
      <c r="D35" s="360"/>
      <c r="E35" s="361" t="s">
        <v>143</v>
      </c>
      <c r="F35" s="362">
        <f>B35*D35/1000000</f>
        <v>0</v>
      </c>
      <c r="G35" s="14"/>
    </row>
    <row r="36" spans="1:7" ht="15" customHeight="1" x14ac:dyDescent="0.2">
      <c r="A36" s="357" t="s">
        <v>20</v>
      </c>
      <c r="B36" s="358">
        <v>36</v>
      </c>
      <c r="C36" s="359" t="s">
        <v>45</v>
      </c>
      <c r="D36" s="360"/>
      <c r="E36" s="361" t="s">
        <v>143</v>
      </c>
      <c r="F36" s="362">
        <f>B36*D36/1000000</f>
        <v>0</v>
      </c>
      <c r="G36" s="14"/>
    </row>
    <row r="37" spans="1:7" x14ac:dyDescent="0.2">
      <c r="A37" s="512" t="s">
        <v>21</v>
      </c>
      <c r="B37" s="513"/>
      <c r="C37" s="513"/>
      <c r="D37" s="513"/>
      <c r="E37" s="513"/>
      <c r="F37" s="513"/>
      <c r="G37" s="14"/>
    </row>
    <row r="38" spans="1:7" ht="15" customHeight="1" x14ac:dyDescent="0.2">
      <c r="A38" s="357" t="s">
        <v>22</v>
      </c>
      <c r="B38" s="358">
        <v>0.08</v>
      </c>
      <c r="C38" s="359" t="s">
        <v>301</v>
      </c>
      <c r="D38" s="360">
        <v>2500000</v>
      </c>
      <c r="E38" s="361" t="s">
        <v>300</v>
      </c>
      <c r="F38" s="362">
        <f>B38*D38/1000000</f>
        <v>0.2</v>
      </c>
      <c r="G38" s="14"/>
    </row>
    <row r="39" spans="1:7" ht="15" customHeight="1" x14ac:dyDescent="0.2">
      <c r="A39" s="517" t="s">
        <v>23</v>
      </c>
      <c r="B39" s="518"/>
      <c r="C39" s="518"/>
      <c r="D39" s="518"/>
      <c r="E39" s="518"/>
      <c r="F39" s="518"/>
      <c r="G39" s="8"/>
    </row>
    <row r="40" spans="1:7" ht="15" customHeight="1" x14ac:dyDescent="0.2">
      <c r="A40" s="365" t="s">
        <v>24</v>
      </c>
      <c r="B40" s="358">
        <v>0.53</v>
      </c>
      <c r="C40" s="366" t="s">
        <v>299</v>
      </c>
      <c r="D40" s="360">
        <v>400000</v>
      </c>
      <c r="E40" s="367" t="s">
        <v>302</v>
      </c>
      <c r="F40" s="362">
        <f>B40*D40/1000000</f>
        <v>0.21199999999999999</v>
      </c>
      <c r="G40" s="8"/>
    </row>
    <row r="41" spans="1:7" ht="15" customHeight="1" thickBot="1" x14ac:dyDescent="0.25">
      <c r="A41" s="368" t="s">
        <v>25</v>
      </c>
      <c r="B41" s="369">
        <v>0.9</v>
      </c>
      <c r="C41" s="370" t="s">
        <v>299</v>
      </c>
      <c r="D41" s="371"/>
      <c r="E41" s="372" t="s">
        <v>302</v>
      </c>
      <c r="F41" s="373">
        <f>B41*D41/1000000</f>
        <v>0</v>
      </c>
      <c r="G41" s="8"/>
    </row>
    <row r="42" spans="1:7" ht="15.75" customHeight="1" thickTop="1" x14ac:dyDescent="0.2">
      <c r="A42" s="25" t="s">
        <v>46</v>
      </c>
      <c r="B42" s="296"/>
      <c r="C42" s="26"/>
      <c r="D42" s="171"/>
      <c r="E42" s="167"/>
      <c r="F42" s="4"/>
      <c r="G42" s="8"/>
    </row>
    <row r="43" spans="1:7" ht="15.75" customHeight="1" x14ac:dyDescent="0.2">
      <c r="A43" s="21"/>
      <c r="B43" s="297"/>
      <c r="C43" s="24"/>
      <c r="D43" s="172"/>
      <c r="E43" s="168"/>
      <c r="F43" s="69"/>
      <c r="G43" s="8"/>
    </row>
    <row r="44" spans="1:7" x14ac:dyDescent="0.2">
      <c r="B44" s="298"/>
      <c r="C44" s="1"/>
      <c r="G44" s="8"/>
    </row>
    <row r="45" spans="1:7" x14ac:dyDescent="0.2">
      <c r="A45" s="8"/>
      <c r="B45" s="299"/>
      <c r="C45" s="23"/>
      <c r="D45" s="173"/>
      <c r="E45" s="169"/>
      <c r="F45" s="179"/>
      <c r="G45" s="8"/>
    </row>
    <row r="46" spans="1:7" x14ac:dyDescent="0.2">
      <c r="A46" s="8"/>
      <c r="B46" s="299"/>
      <c r="C46" s="23"/>
      <c r="D46" s="173"/>
      <c r="E46" s="169"/>
      <c r="F46" s="179"/>
      <c r="G46" s="8"/>
    </row>
    <row r="47" spans="1:7" x14ac:dyDescent="0.2">
      <c r="A47" s="8"/>
      <c r="B47" s="299"/>
      <c r="C47" s="23"/>
      <c r="D47" s="173"/>
      <c r="E47" s="169"/>
      <c r="F47" s="179"/>
      <c r="G47" s="8"/>
    </row>
    <row r="48" spans="1:7" x14ac:dyDescent="0.2">
      <c r="A48" s="8"/>
      <c r="B48" s="299"/>
      <c r="C48" s="23"/>
      <c r="D48" s="173"/>
      <c r="E48" s="169"/>
      <c r="F48" s="179"/>
      <c r="G48" s="8"/>
    </row>
    <row r="49" spans="1:7" x14ac:dyDescent="0.2">
      <c r="A49" s="8"/>
      <c r="B49" s="299"/>
      <c r="C49" s="23"/>
      <c r="D49" s="173"/>
      <c r="E49" s="169"/>
      <c r="F49" s="179"/>
      <c r="G49" s="8"/>
    </row>
    <row r="50" spans="1:7" x14ac:dyDescent="0.2">
      <c r="A50" s="8"/>
      <c r="B50" s="299"/>
      <c r="C50" s="23"/>
      <c r="D50" s="173"/>
      <c r="E50" s="169"/>
      <c r="F50" s="179"/>
      <c r="G50" s="8"/>
    </row>
    <row r="51" spans="1:7" x14ac:dyDescent="0.2">
      <c r="A51" s="8"/>
      <c r="B51" s="299"/>
      <c r="C51" s="23"/>
      <c r="D51" s="173"/>
      <c r="E51" s="169"/>
      <c r="F51" s="179"/>
      <c r="G51" s="8"/>
    </row>
    <row r="52" spans="1:7" x14ac:dyDescent="0.2">
      <c r="A52" s="8"/>
      <c r="B52" s="299"/>
      <c r="C52" s="23"/>
      <c r="D52" s="173"/>
      <c r="E52" s="169"/>
      <c r="F52" s="179"/>
      <c r="G52" s="8"/>
    </row>
    <row r="53" spans="1:7" x14ac:dyDescent="0.2">
      <c r="A53" s="8"/>
      <c r="B53" s="299"/>
      <c r="C53" s="23"/>
      <c r="D53" s="173"/>
      <c r="E53" s="169"/>
      <c r="F53" s="179"/>
      <c r="G53" s="8"/>
    </row>
    <row r="54" spans="1:7" x14ac:dyDescent="0.2">
      <c r="A54" s="8"/>
      <c r="B54" s="299"/>
      <c r="C54" s="23"/>
      <c r="D54" s="173"/>
      <c r="E54" s="169"/>
      <c r="F54" s="179"/>
      <c r="G54" s="8"/>
    </row>
    <row r="55" spans="1:7" x14ac:dyDescent="0.2">
      <c r="A55" s="8"/>
      <c r="B55" s="299"/>
      <c r="C55" s="23"/>
      <c r="D55" s="173"/>
      <c r="E55" s="169"/>
      <c r="F55" s="179"/>
      <c r="G55" s="8"/>
    </row>
    <row r="56" spans="1:7" x14ac:dyDescent="0.2">
      <c r="A56" s="8"/>
      <c r="B56" s="299"/>
      <c r="C56" s="23"/>
      <c r="D56" s="173"/>
      <c r="E56" s="169"/>
      <c r="F56" s="179"/>
      <c r="G56" s="8"/>
    </row>
    <row r="57" spans="1:7" x14ac:dyDescent="0.2">
      <c r="A57" s="8"/>
      <c r="B57" s="299"/>
      <c r="C57" s="23"/>
      <c r="D57" s="173"/>
      <c r="E57" s="169"/>
      <c r="F57" s="179"/>
      <c r="G57" s="8"/>
    </row>
    <row r="58" spans="1:7" x14ac:dyDescent="0.2">
      <c r="A58" s="8"/>
      <c r="B58" s="299"/>
      <c r="C58" s="23"/>
      <c r="D58" s="173"/>
      <c r="E58" s="169"/>
      <c r="F58" s="179"/>
      <c r="G58" s="8"/>
    </row>
    <row r="59" spans="1:7" x14ac:dyDescent="0.2">
      <c r="A59" s="8"/>
      <c r="B59" s="299"/>
      <c r="C59" s="23"/>
      <c r="D59" s="173"/>
      <c r="E59" s="169"/>
      <c r="F59" s="179"/>
      <c r="G59" s="8"/>
    </row>
    <row r="60" spans="1:7" x14ac:dyDescent="0.2">
      <c r="A60" s="8"/>
      <c r="B60" s="299"/>
      <c r="C60" s="23"/>
      <c r="D60" s="173"/>
      <c r="E60" s="169"/>
      <c r="F60" s="179"/>
      <c r="G60" s="8"/>
    </row>
    <row r="61" spans="1:7" x14ac:dyDescent="0.2">
      <c r="A61" s="8"/>
      <c r="B61" s="299"/>
      <c r="C61" s="23"/>
      <c r="D61" s="173"/>
      <c r="E61" s="169"/>
      <c r="F61" s="179"/>
      <c r="G61" s="8"/>
    </row>
    <row r="62" spans="1:7" x14ac:dyDescent="0.2">
      <c r="A62" s="8"/>
      <c r="B62" s="299"/>
      <c r="C62" s="23"/>
      <c r="D62" s="173"/>
      <c r="E62" s="169"/>
      <c r="F62" s="179"/>
      <c r="G62" s="8"/>
    </row>
    <row r="63" spans="1:7" x14ac:dyDescent="0.2">
      <c r="A63" s="8"/>
      <c r="B63" s="299"/>
      <c r="C63" s="23"/>
      <c r="D63" s="173"/>
      <c r="E63" s="169"/>
      <c r="F63" s="179"/>
      <c r="G63" s="8"/>
    </row>
    <row r="64" spans="1:7" x14ac:dyDescent="0.2">
      <c r="A64" s="8"/>
      <c r="B64" s="299"/>
      <c r="C64" s="23"/>
      <c r="D64" s="173"/>
      <c r="E64" s="169"/>
      <c r="F64" s="179"/>
      <c r="G64" s="8"/>
    </row>
    <row r="65" spans="1:7" x14ac:dyDescent="0.2">
      <c r="A65" s="8"/>
      <c r="B65" s="299"/>
      <c r="C65" s="23"/>
      <c r="D65" s="173"/>
      <c r="E65" s="169"/>
      <c r="F65" s="179"/>
      <c r="G65" s="8"/>
    </row>
    <row r="66" spans="1:7" x14ac:dyDescent="0.2">
      <c r="A66" s="8"/>
      <c r="B66" s="299"/>
      <c r="C66" s="23"/>
      <c r="D66" s="173"/>
      <c r="E66" s="169"/>
      <c r="F66" s="179"/>
      <c r="G66" s="8"/>
    </row>
    <row r="67" spans="1:7" x14ac:dyDescent="0.2">
      <c r="A67" s="8"/>
      <c r="B67" s="299"/>
      <c r="C67" s="23"/>
      <c r="D67" s="173"/>
      <c r="E67" s="169"/>
      <c r="F67" s="179"/>
      <c r="G67" s="8"/>
    </row>
    <row r="68" spans="1:7" x14ac:dyDescent="0.2">
      <c r="A68" s="8"/>
      <c r="B68" s="299"/>
      <c r="C68" s="23"/>
      <c r="D68" s="173"/>
      <c r="E68" s="169"/>
      <c r="F68" s="179"/>
      <c r="G68" s="8"/>
    </row>
    <row r="69" spans="1:7" x14ac:dyDescent="0.2">
      <c r="A69" s="8"/>
      <c r="B69" s="299"/>
      <c r="C69" s="23"/>
      <c r="D69" s="173"/>
      <c r="E69" s="169"/>
      <c r="F69" s="179"/>
      <c r="G69" s="8"/>
    </row>
    <row r="70" spans="1:7" x14ac:dyDescent="0.2">
      <c r="A70" s="8"/>
      <c r="B70" s="299"/>
      <c r="C70" s="23"/>
      <c r="D70" s="173"/>
      <c r="E70" s="169"/>
      <c r="F70" s="179"/>
      <c r="G70" s="8"/>
    </row>
    <row r="71" spans="1:7" x14ac:dyDescent="0.2">
      <c r="A71" s="8"/>
      <c r="B71" s="299"/>
      <c r="C71" s="23"/>
      <c r="D71" s="173"/>
      <c r="E71" s="169"/>
      <c r="F71" s="179"/>
      <c r="G71" s="8"/>
    </row>
    <row r="72" spans="1:7" x14ac:dyDescent="0.2">
      <c r="A72" s="8"/>
      <c r="B72" s="299"/>
      <c r="C72" s="23"/>
      <c r="D72" s="173"/>
      <c r="E72" s="169"/>
      <c r="F72" s="179"/>
      <c r="G72" s="8"/>
    </row>
    <row r="73" spans="1:7" x14ac:dyDescent="0.2">
      <c r="A73" s="8"/>
      <c r="B73" s="299"/>
      <c r="C73" s="23"/>
      <c r="D73" s="173"/>
      <c r="E73" s="169"/>
      <c r="F73" s="179"/>
      <c r="G73" s="8"/>
    </row>
    <row r="74" spans="1:7" x14ac:dyDescent="0.2">
      <c r="A74" s="8"/>
      <c r="B74" s="299"/>
      <c r="C74" s="23"/>
      <c r="D74" s="173"/>
      <c r="E74" s="169"/>
      <c r="F74" s="179"/>
      <c r="G74" s="8"/>
    </row>
    <row r="75" spans="1:7" x14ac:dyDescent="0.2">
      <c r="A75" s="8"/>
      <c r="B75" s="299"/>
      <c r="C75" s="23"/>
      <c r="D75" s="173"/>
      <c r="E75" s="169"/>
      <c r="F75" s="179"/>
      <c r="G75" s="8"/>
    </row>
    <row r="76" spans="1:7" x14ac:dyDescent="0.2">
      <c r="A76" s="8"/>
      <c r="B76" s="299"/>
      <c r="C76" s="23"/>
      <c r="D76" s="173"/>
      <c r="E76" s="169"/>
      <c r="F76" s="179"/>
      <c r="G76" s="8"/>
    </row>
    <row r="77" spans="1:7" x14ac:dyDescent="0.2">
      <c r="A77" s="8"/>
      <c r="B77" s="299"/>
      <c r="C77" s="23"/>
      <c r="D77" s="173"/>
      <c r="E77" s="169"/>
      <c r="F77" s="179"/>
      <c r="G77" s="8"/>
    </row>
    <row r="78" spans="1:7" x14ac:dyDescent="0.2">
      <c r="A78" s="8"/>
      <c r="B78" s="299"/>
      <c r="C78" s="23"/>
      <c r="D78" s="173"/>
      <c r="E78" s="169"/>
      <c r="F78" s="179"/>
      <c r="G78" s="8"/>
    </row>
    <row r="79" spans="1:7" x14ac:dyDescent="0.2">
      <c r="A79" s="8"/>
      <c r="B79" s="299"/>
      <c r="C79" s="23"/>
      <c r="D79" s="173"/>
      <c r="E79" s="169"/>
      <c r="F79" s="179"/>
      <c r="G79" s="8"/>
    </row>
    <row r="80" spans="1:7" x14ac:dyDescent="0.2">
      <c r="A80" s="8"/>
      <c r="B80" s="299"/>
      <c r="C80" s="23"/>
      <c r="D80" s="173"/>
      <c r="E80" s="169"/>
      <c r="F80" s="179"/>
      <c r="G80" s="8"/>
    </row>
    <row r="81" spans="1:7" x14ac:dyDescent="0.2">
      <c r="A81" s="8"/>
      <c r="B81" s="299"/>
      <c r="C81" s="23"/>
      <c r="D81" s="173"/>
      <c r="E81" s="169"/>
      <c r="F81" s="179"/>
      <c r="G81" s="8"/>
    </row>
    <row r="82" spans="1:7" x14ac:dyDescent="0.2">
      <c r="A82" s="8"/>
      <c r="B82" s="299"/>
      <c r="C82" s="23"/>
      <c r="D82" s="173"/>
      <c r="E82" s="169"/>
      <c r="F82" s="179"/>
      <c r="G82" s="8"/>
    </row>
    <row r="83" spans="1:7" x14ac:dyDescent="0.2">
      <c r="A83" s="8"/>
      <c r="B83" s="299"/>
      <c r="C83" s="23"/>
      <c r="D83" s="173"/>
      <c r="E83" s="169"/>
      <c r="F83" s="179"/>
      <c r="G83" s="8"/>
    </row>
    <row r="84" spans="1:7" x14ac:dyDescent="0.2">
      <c r="A84" s="8"/>
      <c r="B84" s="299"/>
      <c r="C84" s="23"/>
      <c r="D84" s="173"/>
      <c r="E84" s="169"/>
      <c r="F84" s="179"/>
      <c r="G84" s="8"/>
    </row>
    <row r="85" spans="1:7" x14ac:dyDescent="0.2">
      <c r="A85" s="8"/>
      <c r="B85" s="299"/>
      <c r="C85" s="23"/>
      <c r="D85" s="173"/>
      <c r="E85" s="169"/>
      <c r="F85" s="179"/>
      <c r="G85" s="8"/>
    </row>
    <row r="86" spans="1:7" x14ac:dyDescent="0.2">
      <c r="A86" s="8"/>
      <c r="B86" s="299"/>
      <c r="C86" s="23"/>
      <c r="D86" s="173"/>
      <c r="E86" s="169"/>
      <c r="F86" s="179"/>
      <c r="G86" s="8"/>
    </row>
    <row r="87" spans="1:7" x14ac:dyDescent="0.2">
      <c r="A87" s="8"/>
      <c r="B87" s="299"/>
      <c r="C87" s="23"/>
      <c r="D87" s="173"/>
      <c r="E87" s="169"/>
      <c r="F87" s="179"/>
      <c r="G87" s="8"/>
    </row>
    <row r="88" spans="1:7" x14ac:dyDescent="0.2">
      <c r="A88" s="8"/>
      <c r="B88" s="299"/>
      <c r="C88" s="23"/>
      <c r="D88" s="173"/>
      <c r="E88" s="169"/>
      <c r="F88" s="179"/>
      <c r="G88" s="8"/>
    </row>
    <row r="89" spans="1:7" x14ac:dyDescent="0.2">
      <c r="A89" s="8"/>
      <c r="B89" s="299"/>
      <c r="C89" s="23"/>
      <c r="D89" s="173"/>
      <c r="E89" s="169"/>
      <c r="F89" s="179"/>
      <c r="G89" s="8"/>
    </row>
    <row r="90" spans="1:7" x14ac:dyDescent="0.2">
      <c r="A90" s="8"/>
      <c r="B90" s="299"/>
      <c r="C90" s="23"/>
      <c r="D90" s="173"/>
      <c r="E90" s="169"/>
      <c r="F90" s="179"/>
      <c r="G90" s="8"/>
    </row>
    <row r="91" spans="1:7" x14ac:dyDescent="0.2">
      <c r="A91" s="8"/>
      <c r="B91" s="299"/>
      <c r="C91" s="23"/>
      <c r="D91" s="173"/>
      <c r="E91" s="169"/>
      <c r="F91" s="179"/>
      <c r="G91" s="8"/>
    </row>
    <row r="92" spans="1:7" x14ac:dyDescent="0.2">
      <c r="A92" s="8"/>
      <c r="B92" s="299"/>
      <c r="C92" s="23"/>
      <c r="D92" s="173"/>
      <c r="E92" s="169"/>
      <c r="F92" s="179"/>
      <c r="G92" s="8"/>
    </row>
    <row r="93" spans="1:7" x14ac:dyDescent="0.2">
      <c r="A93" s="8"/>
      <c r="B93" s="299"/>
      <c r="C93" s="23"/>
      <c r="D93" s="173"/>
      <c r="E93" s="169"/>
      <c r="F93" s="179"/>
      <c r="G93" s="8"/>
    </row>
    <row r="94" spans="1:7" x14ac:dyDescent="0.2">
      <c r="A94" s="8"/>
      <c r="B94" s="299"/>
      <c r="C94" s="23"/>
      <c r="D94" s="173"/>
      <c r="E94" s="169"/>
      <c r="F94" s="179"/>
      <c r="G94" s="8"/>
    </row>
    <row r="95" spans="1:7" x14ac:dyDescent="0.2">
      <c r="A95" s="8"/>
      <c r="B95" s="299"/>
      <c r="C95" s="23"/>
      <c r="D95" s="173"/>
      <c r="E95" s="169"/>
      <c r="F95" s="179"/>
      <c r="G95" s="8"/>
    </row>
    <row r="96" spans="1:7" x14ac:dyDescent="0.2">
      <c r="A96" s="8"/>
      <c r="B96" s="299"/>
      <c r="C96" s="23"/>
      <c r="D96" s="173"/>
      <c r="E96" s="169"/>
      <c r="F96" s="179"/>
      <c r="G96" s="8"/>
    </row>
    <row r="97" spans="1:7" x14ac:dyDescent="0.2">
      <c r="A97" s="8"/>
      <c r="B97" s="299"/>
      <c r="C97" s="23"/>
      <c r="D97" s="173"/>
      <c r="E97" s="169"/>
      <c r="F97" s="179"/>
      <c r="G97" s="8"/>
    </row>
    <row r="98" spans="1:7" x14ac:dyDescent="0.2">
      <c r="A98" s="8"/>
      <c r="B98" s="299"/>
      <c r="C98" s="23"/>
      <c r="D98" s="173"/>
      <c r="E98" s="169"/>
      <c r="F98" s="179"/>
      <c r="G98" s="8"/>
    </row>
    <row r="99" spans="1:7" x14ac:dyDescent="0.2">
      <c r="A99" s="8"/>
      <c r="B99" s="299"/>
      <c r="C99" s="23"/>
      <c r="D99" s="173"/>
      <c r="E99" s="169"/>
      <c r="F99" s="179"/>
      <c r="G99" s="8"/>
    </row>
    <row r="100" spans="1:7" x14ac:dyDescent="0.2">
      <c r="A100" s="8"/>
      <c r="B100" s="299"/>
      <c r="C100" s="23"/>
      <c r="D100" s="173"/>
      <c r="E100" s="169"/>
      <c r="F100" s="179"/>
      <c r="G100" s="8"/>
    </row>
    <row r="101" spans="1:7" x14ac:dyDescent="0.2">
      <c r="A101" s="8"/>
      <c r="B101" s="299"/>
      <c r="C101" s="23"/>
      <c r="D101" s="173"/>
      <c r="E101" s="169"/>
      <c r="F101" s="179"/>
      <c r="G101" s="8"/>
    </row>
    <row r="102" spans="1:7" x14ac:dyDescent="0.2">
      <c r="A102" s="8"/>
      <c r="B102" s="299"/>
      <c r="C102" s="23"/>
      <c r="D102" s="173"/>
      <c r="E102" s="169"/>
      <c r="F102" s="179"/>
      <c r="G102" s="8"/>
    </row>
    <row r="103" spans="1:7" x14ac:dyDescent="0.2">
      <c r="A103" s="8"/>
      <c r="B103" s="299"/>
      <c r="C103" s="23"/>
      <c r="D103" s="173"/>
      <c r="E103" s="169"/>
      <c r="F103" s="179"/>
      <c r="G103" s="8"/>
    </row>
    <row r="104" spans="1:7" x14ac:dyDescent="0.2">
      <c r="A104" s="8"/>
      <c r="B104" s="299"/>
      <c r="C104" s="23"/>
      <c r="D104" s="173"/>
      <c r="E104" s="169"/>
      <c r="F104" s="179"/>
      <c r="G104" s="8"/>
    </row>
    <row r="105" spans="1:7" x14ac:dyDescent="0.2">
      <c r="A105" s="8"/>
      <c r="B105" s="299"/>
      <c r="C105" s="23"/>
      <c r="D105" s="173"/>
      <c r="E105" s="169"/>
      <c r="F105" s="179"/>
      <c r="G105" s="8"/>
    </row>
    <row r="106" spans="1:7" x14ac:dyDescent="0.2">
      <c r="A106" s="8"/>
      <c r="B106" s="299"/>
      <c r="C106" s="23"/>
      <c r="D106" s="173"/>
      <c r="E106" s="169"/>
      <c r="F106" s="179"/>
      <c r="G106" s="8"/>
    </row>
    <row r="107" spans="1:7" x14ac:dyDescent="0.2">
      <c r="A107" s="8"/>
      <c r="B107" s="299"/>
      <c r="C107" s="23"/>
      <c r="D107" s="173"/>
      <c r="E107" s="169"/>
      <c r="F107" s="179"/>
      <c r="G107" s="8"/>
    </row>
    <row r="108" spans="1:7" x14ac:dyDescent="0.2">
      <c r="A108" s="8"/>
      <c r="B108" s="299"/>
      <c r="C108" s="23"/>
      <c r="D108" s="173"/>
      <c r="E108" s="169"/>
      <c r="F108" s="179"/>
      <c r="G108" s="8"/>
    </row>
    <row r="109" spans="1:7" x14ac:dyDescent="0.2">
      <c r="A109" s="8"/>
      <c r="B109" s="299"/>
      <c r="C109" s="23"/>
      <c r="D109" s="173"/>
      <c r="E109" s="169"/>
      <c r="F109" s="179"/>
      <c r="G109" s="8"/>
    </row>
    <row r="110" spans="1:7" x14ac:dyDescent="0.2">
      <c r="A110" s="8"/>
      <c r="B110" s="299"/>
      <c r="C110" s="23"/>
      <c r="D110" s="173"/>
      <c r="E110" s="169"/>
      <c r="F110" s="179"/>
      <c r="G110" s="8"/>
    </row>
    <row r="111" spans="1:7" x14ac:dyDescent="0.2">
      <c r="A111" s="8"/>
      <c r="B111" s="299"/>
      <c r="C111" s="23"/>
      <c r="D111" s="173"/>
      <c r="E111" s="169"/>
      <c r="F111" s="179"/>
      <c r="G111" s="8"/>
    </row>
    <row r="112" spans="1:7" x14ac:dyDescent="0.2">
      <c r="A112" s="8"/>
      <c r="B112" s="299"/>
      <c r="C112" s="23"/>
      <c r="D112" s="173"/>
      <c r="E112" s="169"/>
      <c r="F112" s="179"/>
      <c r="G112" s="8"/>
    </row>
    <row r="113" spans="1:7" x14ac:dyDescent="0.2">
      <c r="A113" s="8"/>
      <c r="B113" s="299"/>
      <c r="C113" s="23"/>
      <c r="D113" s="173"/>
      <c r="E113" s="169"/>
      <c r="F113" s="179"/>
      <c r="G113" s="8"/>
    </row>
    <row r="114" spans="1:7" x14ac:dyDescent="0.2">
      <c r="A114" s="8"/>
      <c r="B114" s="299"/>
      <c r="C114" s="23"/>
      <c r="D114" s="173"/>
      <c r="E114" s="169"/>
      <c r="F114" s="179"/>
      <c r="G114" s="8"/>
    </row>
    <row r="115" spans="1:7" x14ac:dyDescent="0.2">
      <c r="A115" s="8"/>
      <c r="B115" s="299"/>
      <c r="C115" s="23"/>
      <c r="D115" s="173"/>
      <c r="E115" s="169"/>
      <c r="F115" s="179"/>
      <c r="G115" s="8"/>
    </row>
    <row r="116" spans="1:7" x14ac:dyDescent="0.2">
      <c r="A116" s="8"/>
      <c r="B116" s="299"/>
      <c r="C116" s="23"/>
      <c r="D116" s="173"/>
      <c r="E116" s="169"/>
      <c r="F116" s="179"/>
      <c r="G116" s="8"/>
    </row>
    <row r="117" spans="1:7" x14ac:dyDescent="0.2">
      <c r="A117" s="8"/>
      <c r="B117" s="299"/>
      <c r="C117" s="23"/>
      <c r="D117" s="173"/>
      <c r="E117" s="169"/>
      <c r="F117" s="179"/>
      <c r="G117" s="8"/>
    </row>
    <row r="118" spans="1:7" x14ac:dyDescent="0.2">
      <c r="A118" s="8"/>
      <c r="B118" s="299"/>
      <c r="C118" s="23"/>
      <c r="D118" s="173"/>
      <c r="E118" s="169"/>
      <c r="F118" s="179"/>
      <c r="G118" s="8"/>
    </row>
    <row r="119" spans="1:7" x14ac:dyDescent="0.2">
      <c r="A119" s="8"/>
      <c r="B119" s="299"/>
      <c r="C119" s="23"/>
      <c r="D119" s="173"/>
      <c r="E119" s="169"/>
      <c r="F119" s="179"/>
      <c r="G119" s="8"/>
    </row>
    <row r="120" spans="1:7" x14ac:dyDescent="0.2">
      <c r="A120" s="8"/>
      <c r="B120" s="299"/>
      <c r="C120" s="23"/>
      <c r="D120" s="173"/>
      <c r="E120" s="169"/>
      <c r="F120" s="179"/>
      <c r="G120" s="8"/>
    </row>
    <row r="121" spans="1:7" x14ac:dyDescent="0.2">
      <c r="A121" s="8"/>
      <c r="B121" s="299"/>
      <c r="C121" s="23"/>
      <c r="D121" s="173"/>
      <c r="E121" s="169"/>
      <c r="F121" s="179"/>
      <c r="G121" s="8"/>
    </row>
    <row r="122" spans="1:7" x14ac:dyDescent="0.2">
      <c r="A122" s="8"/>
      <c r="B122" s="299"/>
      <c r="C122" s="23"/>
      <c r="D122" s="173"/>
      <c r="E122" s="169"/>
      <c r="F122" s="179"/>
      <c r="G122" s="8"/>
    </row>
    <row r="123" spans="1:7" x14ac:dyDescent="0.2">
      <c r="A123" s="8"/>
      <c r="B123" s="299"/>
      <c r="C123" s="23"/>
      <c r="D123" s="173"/>
      <c r="E123" s="169"/>
      <c r="F123" s="179"/>
      <c r="G123" s="8"/>
    </row>
    <row r="124" spans="1:7" x14ac:dyDescent="0.2">
      <c r="A124" s="8"/>
      <c r="B124" s="299"/>
      <c r="C124" s="23"/>
      <c r="D124" s="173"/>
      <c r="E124" s="169"/>
      <c r="F124" s="179"/>
      <c r="G124" s="8"/>
    </row>
    <row r="125" spans="1:7" x14ac:dyDescent="0.2">
      <c r="A125" s="8"/>
      <c r="B125" s="299"/>
      <c r="C125" s="23"/>
      <c r="D125" s="173"/>
      <c r="E125" s="169"/>
      <c r="F125" s="179"/>
      <c r="G125" s="8"/>
    </row>
    <row r="126" spans="1:7" x14ac:dyDescent="0.2">
      <c r="A126" s="8"/>
      <c r="B126" s="299"/>
      <c r="C126" s="23"/>
      <c r="D126" s="173"/>
      <c r="E126" s="169"/>
      <c r="F126" s="179"/>
      <c r="G126" s="8"/>
    </row>
    <row r="127" spans="1:7" x14ac:dyDescent="0.2">
      <c r="A127" s="8"/>
      <c r="B127" s="299"/>
      <c r="C127" s="23"/>
      <c r="D127" s="173"/>
      <c r="E127" s="169"/>
      <c r="F127" s="179"/>
      <c r="G127" s="8"/>
    </row>
    <row r="128" spans="1:7" x14ac:dyDescent="0.2">
      <c r="A128" s="8"/>
      <c r="B128" s="299"/>
      <c r="C128" s="23"/>
      <c r="D128" s="173"/>
      <c r="E128" s="169"/>
      <c r="F128" s="179"/>
      <c r="G128" s="8"/>
    </row>
    <row r="129" spans="1:7" x14ac:dyDescent="0.2">
      <c r="A129" s="8"/>
      <c r="B129" s="299"/>
      <c r="C129" s="23"/>
      <c r="D129" s="173"/>
      <c r="E129" s="169"/>
      <c r="F129" s="179"/>
      <c r="G129" s="8"/>
    </row>
    <row r="130" spans="1:7" x14ac:dyDescent="0.2">
      <c r="A130" s="8"/>
      <c r="B130" s="299"/>
      <c r="C130" s="23"/>
      <c r="D130" s="173"/>
      <c r="E130" s="169"/>
      <c r="F130" s="179"/>
      <c r="G130" s="8"/>
    </row>
    <row r="131" spans="1:7" x14ac:dyDescent="0.2">
      <c r="A131" s="8"/>
      <c r="B131" s="299"/>
      <c r="C131" s="23"/>
      <c r="D131" s="173"/>
      <c r="E131" s="169"/>
      <c r="F131" s="179"/>
      <c r="G131" s="8"/>
    </row>
    <row r="132" spans="1:7" x14ac:dyDescent="0.2">
      <c r="A132" s="8"/>
      <c r="B132" s="299"/>
      <c r="C132" s="23"/>
      <c r="D132" s="173"/>
      <c r="E132" s="169"/>
      <c r="F132" s="179"/>
      <c r="G132" s="8"/>
    </row>
    <row r="133" spans="1:7" x14ac:dyDescent="0.2">
      <c r="A133" s="8"/>
      <c r="B133" s="299"/>
      <c r="C133" s="23"/>
      <c r="D133" s="173"/>
      <c r="E133" s="169"/>
      <c r="F133" s="179"/>
      <c r="G133" s="8"/>
    </row>
    <row r="134" spans="1:7" x14ac:dyDescent="0.2">
      <c r="A134" s="8"/>
      <c r="B134" s="299"/>
      <c r="C134" s="23"/>
      <c r="D134" s="173"/>
      <c r="E134" s="169"/>
      <c r="F134" s="179"/>
      <c r="G134" s="8"/>
    </row>
    <row r="135" spans="1:7" x14ac:dyDescent="0.2">
      <c r="A135" s="8"/>
      <c r="B135" s="299"/>
      <c r="C135" s="23"/>
      <c r="D135" s="173"/>
      <c r="E135" s="169"/>
      <c r="F135" s="179"/>
      <c r="G135" s="8"/>
    </row>
    <row r="136" spans="1:7" x14ac:dyDescent="0.2">
      <c r="A136" s="8"/>
      <c r="B136" s="299"/>
      <c r="C136" s="23"/>
      <c r="D136" s="173"/>
      <c r="E136" s="169"/>
      <c r="F136" s="179"/>
      <c r="G136" s="8"/>
    </row>
    <row r="137" spans="1:7" x14ac:dyDescent="0.2">
      <c r="A137" s="8"/>
      <c r="B137" s="299"/>
      <c r="C137" s="23"/>
      <c r="D137" s="173"/>
      <c r="E137" s="169"/>
      <c r="F137" s="179"/>
      <c r="G137" s="8"/>
    </row>
    <row r="138" spans="1:7" x14ac:dyDescent="0.2">
      <c r="A138" s="8"/>
      <c r="B138" s="299"/>
      <c r="C138" s="23"/>
      <c r="D138" s="173"/>
      <c r="E138" s="169"/>
      <c r="F138" s="179"/>
      <c r="G138" s="8"/>
    </row>
    <row r="139" spans="1:7" x14ac:dyDescent="0.2">
      <c r="A139" s="8"/>
      <c r="B139" s="299"/>
      <c r="C139" s="23"/>
      <c r="D139" s="173"/>
      <c r="E139" s="169"/>
      <c r="F139" s="179"/>
      <c r="G139" s="8"/>
    </row>
    <row r="140" spans="1:7" x14ac:dyDescent="0.2">
      <c r="A140" s="8"/>
      <c r="B140" s="299"/>
      <c r="C140" s="23"/>
      <c r="D140" s="173"/>
      <c r="E140" s="169"/>
      <c r="F140" s="179"/>
      <c r="G140" s="8"/>
    </row>
    <row r="141" spans="1:7" x14ac:dyDescent="0.2">
      <c r="A141" s="8"/>
      <c r="B141" s="299"/>
      <c r="C141" s="23"/>
      <c r="D141" s="173"/>
      <c r="E141" s="169"/>
      <c r="F141" s="179"/>
      <c r="G141" s="8"/>
    </row>
    <row r="142" spans="1:7" x14ac:dyDescent="0.2">
      <c r="A142" s="8"/>
      <c r="B142" s="299"/>
      <c r="C142" s="23"/>
      <c r="D142" s="173"/>
      <c r="E142" s="169"/>
      <c r="F142" s="179"/>
      <c r="G142" s="8"/>
    </row>
    <row r="143" spans="1:7" x14ac:dyDescent="0.2">
      <c r="A143" s="8"/>
      <c r="B143" s="299"/>
      <c r="C143" s="23"/>
      <c r="D143" s="173"/>
      <c r="E143" s="169"/>
      <c r="F143" s="179"/>
      <c r="G143" s="8"/>
    </row>
    <row r="144" spans="1:7" x14ac:dyDescent="0.2">
      <c r="A144" s="8"/>
      <c r="B144" s="299"/>
      <c r="C144" s="23"/>
      <c r="D144" s="173"/>
      <c r="E144" s="169"/>
      <c r="F144" s="179"/>
      <c r="G144" s="8"/>
    </row>
    <row r="145" spans="1:7" x14ac:dyDescent="0.2">
      <c r="A145" s="8"/>
      <c r="B145" s="299"/>
      <c r="C145" s="23"/>
      <c r="D145" s="173"/>
      <c r="E145" s="169"/>
      <c r="F145" s="179"/>
      <c r="G145" s="8"/>
    </row>
    <row r="146" spans="1:7" x14ac:dyDescent="0.2">
      <c r="A146" s="8"/>
      <c r="B146" s="299"/>
      <c r="C146" s="23"/>
      <c r="D146" s="173"/>
      <c r="E146" s="169"/>
      <c r="F146" s="179"/>
      <c r="G146" s="8"/>
    </row>
    <row r="147" spans="1:7" x14ac:dyDescent="0.2">
      <c r="A147" s="8"/>
      <c r="B147" s="299"/>
      <c r="C147" s="23"/>
      <c r="D147" s="173"/>
      <c r="E147" s="169"/>
      <c r="F147" s="179"/>
      <c r="G147" s="8"/>
    </row>
    <row r="148" spans="1:7" x14ac:dyDescent="0.2">
      <c r="A148" s="8"/>
      <c r="B148" s="299"/>
      <c r="C148" s="23"/>
      <c r="D148" s="173"/>
      <c r="E148" s="169"/>
      <c r="F148" s="179"/>
      <c r="G148" s="8"/>
    </row>
    <row r="149" spans="1:7" x14ac:dyDescent="0.2">
      <c r="A149" s="8"/>
      <c r="B149" s="299"/>
      <c r="C149" s="23"/>
      <c r="D149" s="173"/>
      <c r="E149" s="169"/>
      <c r="F149" s="179"/>
      <c r="G149" s="8"/>
    </row>
    <row r="150" spans="1:7" x14ac:dyDescent="0.2">
      <c r="A150" s="8"/>
      <c r="B150" s="299"/>
      <c r="C150" s="23"/>
      <c r="D150" s="173"/>
      <c r="E150" s="169"/>
      <c r="F150" s="179"/>
      <c r="G150" s="8"/>
    </row>
    <row r="151" spans="1:7" x14ac:dyDescent="0.2">
      <c r="A151" s="8"/>
      <c r="B151" s="299"/>
      <c r="C151" s="23"/>
      <c r="D151" s="173"/>
      <c r="E151" s="169"/>
      <c r="F151" s="179"/>
      <c r="G151" s="8"/>
    </row>
    <row r="152" spans="1:7" x14ac:dyDescent="0.2">
      <c r="A152" s="8"/>
      <c r="B152" s="299"/>
      <c r="C152" s="23"/>
      <c r="D152" s="173"/>
      <c r="E152" s="169"/>
      <c r="F152" s="179"/>
      <c r="G152" s="8"/>
    </row>
    <row r="153" spans="1:7" x14ac:dyDescent="0.2">
      <c r="A153" s="8"/>
      <c r="B153" s="299"/>
      <c r="C153" s="23"/>
      <c r="D153" s="173"/>
      <c r="E153" s="169"/>
      <c r="F153" s="179"/>
      <c r="G153" s="8"/>
    </row>
    <row r="154" spans="1:7" x14ac:dyDescent="0.2">
      <c r="A154" s="8"/>
      <c r="B154" s="299"/>
      <c r="C154" s="23"/>
      <c r="D154" s="173"/>
      <c r="E154" s="169"/>
      <c r="F154" s="179"/>
      <c r="G154" s="8"/>
    </row>
    <row r="155" spans="1:7" x14ac:dyDescent="0.2">
      <c r="A155" s="8"/>
      <c r="B155" s="299"/>
      <c r="C155" s="23"/>
      <c r="D155" s="173"/>
      <c r="E155" s="169"/>
      <c r="F155" s="179"/>
      <c r="G155" s="8"/>
    </row>
    <row r="156" spans="1:7" x14ac:dyDescent="0.2">
      <c r="A156" s="8"/>
      <c r="B156" s="299"/>
      <c r="C156" s="23"/>
      <c r="D156" s="173"/>
      <c r="E156" s="169"/>
      <c r="F156" s="179"/>
      <c r="G156" s="8"/>
    </row>
    <row r="157" spans="1:7" x14ac:dyDescent="0.2">
      <c r="A157" s="8"/>
      <c r="B157" s="299"/>
      <c r="C157" s="23"/>
      <c r="D157" s="173"/>
      <c r="E157" s="169"/>
      <c r="F157" s="179"/>
      <c r="G157" s="8"/>
    </row>
    <row r="158" spans="1:7" x14ac:dyDescent="0.2">
      <c r="A158" s="8"/>
      <c r="B158" s="299"/>
      <c r="C158" s="23"/>
      <c r="D158" s="173"/>
      <c r="E158" s="169"/>
      <c r="F158" s="179"/>
      <c r="G158" s="8"/>
    </row>
    <row r="159" spans="1:7" x14ac:dyDescent="0.2">
      <c r="A159" s="8"/>
      <c r="B159" s="299"/>
      <c r="C159" s="23"/>
      <c r="D159" s="173"/>
      <c r="E159" s="169"/>
      <c r="F159" s="179"/>
      <c r="G159" s="8"/>
    </row>
    <row r="160" spans="1:7" x14ac:dyDescent="0.2">
      <c r="A160" s="8"/>
      <c r="B160" s="299"/>
      <c r="C160" s="23"/>
      <c r="D160" s="173"/>
      <c r="E160" s="169"/>
      <c r="F160" s="179"/>
      <c r="G160" s="8"/>
    </row>
    <row r="161" spans="1:7" x14ac:dyDescent="0.2">
      <c r="A161" s="8"/>
      <c r="B161" s="299"/>
      <c r="C161" s="23"/>
      <c r="D161" s="173"/>
      <c r="E161" s="169"/>
      <c r="F161" s="179"/>
      <c r="G161" s="8"/>
    </row>
    <row r="162" spans="1:7" x14ac:dyDescent="0.2">
      <c r="A162" s="8"/>
      <c r="B162" s="299"/>
      <c r="C162" s="23"/>
      <c r="D162" s="173"/>
      <c r="E162" s="169"/>
      <c r="F162" s="179"/>
      <c r="G162" s="8"/>
    </row>
    <row r="163" spans="1:7" x14ac:dyDescent="0.2">
      <c r="A163" s="8"/>
      <c r="B163" s="299"/>
      <c r="C163" s="23"/>
      <c r="D163" s="173"/>
      <c r="E163" s="169"/>
      <c r="F163" s="179"/>
      <c r="G163" s="8"/>
    </row>
    <row r="164" spans="1:7" x14ac:dyDescent="0.2">
      <c r="A164" s="8"/>
      <c r="B164" s="299"/>
      <c r="C164" s="23"/>
      <c r="D164" s="173"/>
      <c r="E164" s="169"/>
      <c r="F164" s="179"/>
      <c r="G164" s="8"/>
    </row>
    <row r="165" spans="1:7" x14ac:dyDescent="0.2">
      <c r="A165" s="8"/>
      <c r="B165" s="299"/>
      <c r="C165" s="23"/>
      <c r="D165" s="173"/>
      <c r="E165" s="169"/>
      <c r="F165" s="179"/>
      <c r="G165" s="8"/>
    </row>
    <row r="166" spans="1:7" x14ac:dyDescent="0.2">
      <c r="A166" s="8"/>
      <c r="B166" s="299"/>
      <c r="C166" s="23"/>
      <c r="D166" s="173"/>
      <c r="E166" s="169"/>
      <c r="F166" s="179"/>
      <c r="G166" s="8"/>
    </row>
    <row r="167" spans="1:7" x14ac:dyDescent="0.2">
      <c r="A167" s="8"/>
      <c r="B167" s="299"/>
      <c r="C167" s="23"/>
      <c r="D167" s="173"/>
      <c r="E167" s="169"/>
      <c r="F167" s="179"/>
      <c r="G167" s="8"/>
    </row>
    <row r="168" spans="1:7" x14ac:dyDescent="0.2">
      <c r="A168" s="8"/>
      <c r="B168" s="299"/>
      <c r="C168" s="23"/>
      <c r="D168" s="173"/>
      <c r="E168" s="169"/>
      <c r="F168" s="179"/>
      <c r="G168" s="8"/>
    </row>
    <row r="169" spans="1:7" x14ac:dyDescent="0.2">
      <c r="A169" s="8"/>
      <c r="B169" s="299"/>
      <c r="C169" s="23"/>
      <c r="D169" s="173"/>
      <c r="E169" s="169"/>
      <c r="F169" s="179"/>
      <c r="G169" s="8"/>
    </row>
    <row r="170" spans="1:7" x14ac:dyDescent="0.2">
      <c r="A170" s="8"/>
      <c r="B170" s="299"/>
      <c r="C170" s="23"/>
      <c r="D170" s="173"/>
      <c r="E170" s="169"/>
      <c r="F170" s="179"/>
      <c r="G170" s="8"/>
    </row>
    <row r="171" spans="1:7" x14ac:dyDescent="0.2">
      <c r="A171" s="8"/>
      <c r="B171" s="299"/>
      <c r="C171" s="23"/>
      <c r="D171" s="173"/>
      <c r="E171" s="169"/>
      <c r="F171" s="179"/>
      <c r="G171" s="8"/>
    </row>
    <row r="172" spans="1:7" x14ac:dyDescent="0.2">
      <c r="A172" s="8"/>
      <c r="B172" s="299"/>
      <c r="C172" s="23"/>
      <c r="D172" s="173"/>
      <c r="E172" s="169"/>
      <c r="F172" s="179"/>
      <c r="G172" s="8"/>
    </row>
    <row r="173" spans="1:7" x14ac:dyDescent="0.2">
      <c r="A173" s="8"/>
      <c r="B173" s="299"/>
      <c r="C173" s="23"/>
      <c r="D173" s="173"/>
      <c r="E173" s="169"/>
      <c r="F173" s="179"/>
      <c r="G173" s="8"/>
    </row>
    <row r="174" spans="1:7" x14ac:dyDescent="0.2">
      <c r="A174" s="8"/>
      <c r="B174" s="299"/>
      <c r="C174" s="23"/>
      <c r="D174" s="173"/>
      <c r="E174" s="169"/>
      <c r="F174" s="179"/>
      <c r="G174" s="8"/>
    </row>
    <row r="175" spans="1:7" x14ac:dyDescent="0.2">
      <c r="A175" s="8"/>
      <c r="B175" s="299"/>
      <c r="C175" s="23"/>
      <c r="D175" s="173"/>
      <c r="E175" s="169"/>
      <c r="F175" s="179"/>
      <c r="G175" s="8"/>
    </row>
    <row r="176" spans="1:7" x14ac:dyDescent="0.2">
      <c r="A176" s="8"/>
      <c r="B176" s="299"/>
      <c r="C176" s="23"/>
      <c r="D176" s="173"/>
      <c r="E176" s="169"/>
      <c r="F176" s="179"/>
      <c r="G176" s="8"/>
    </row>
    <row r="177" spans="1:7" x14ac:dyDescent="0.2">
      <c r="A177" s="8"/>
      <c r="B177" s="299"/>
      <c r="C177" s="23"/>
      <c r="D177" s="173"/>
      <c r="E177" s="169"/>
      <c r="F177" s="179"/>
      <c r="G177" s="8"/>
    </row>
    <row r="178" spans="1:7" x14ac:dyDescent="0.2">
      <c r="A178" s="8"/>
      <c r="B178" s="299"/>
      <c r="C178" s="23"/>
      <c r="D178" s="173"/>
      <c r="E178" s="169"/>
      <c r="F178" s="179"/>
      <c r="G178" s="8"/>
    </row>
    <row r="179" spans="1:7" x14ac:dyDescent="0.2">
      <c r="A179" s="8"/>
      <c r="B179" s="299"/>
      <c r="C179" s="23"/>
      <c r="D179" s="173"/>
      <c r="E179" s="169"/>
      <c r="F179" s="179"/>
      <c r="G179" s="8"/>
    </row>
    <row r="180" spans="1:7" x14ac:dyDescent="0.2">
      <c r="A180" s="8"/>
      <c r="B180" s="299"/>
      <c r="C180" s="23"/>
      <c r="D180" s="173"/>
      <c r="E180" s="169"/>
      <c r="F180" s="179"/>
      <c r="G180" s="8"/>
    </row>
    <row r="181" spans="1:7" x14ac:dyDescent="0.2">
      <c r="A181" s="8"/>
      <c r="B181" s="299"/>
      <c r="C181" s="23"/>
      <c r="D181" s="173"/>
      <c r="E181" s="169"/>
      <c r="F181" s="179"/>
      <c r="G181" s="8"/>
    </row>
    <row r="182" spans="1:7" x14ac:dyDescent="0.2">
      <c r="A182" s="8"/>
      <c r="B182" s="299"/>
      <c r="C182" s="23"/>
      <c r="D182" s="173"/>
      <c r="E182" s="169"/>
      <c r="F182" s="179"/>
      <c r="G182" s="8"/>
    </row>
    <row r="183" spans="1:7" x14ac:dyDescent="0.2">
      <c r="A183" s="8"/>
      <c r="B183" s="299"/>
      <c r="C183" s="23"/>
      <c r="D183" s="173"/>
      <c r="E183" s="169"/>
      <c r="F183" s="179"/>
      <c r="G183" s="8"/>
    </row>
    <row r="184" spans="1:7" x14ac:dyDescent="0.2">
      <c r="A184" s="8"/>
      <c r="B184" s="299"/>
      <c r="C184" s="23"/>
      <c r="D184" s="173"/>
      <c r="E184" s="169"/>
      <c r="F184" s="179"/>
      <c r="G184" s="8"/>
    </row>
    <row r="185" spans="1:7" x14ac:dyDescent="0.2">
      <c r="A185" s="8"/>
      <c r="B185" s="299"/>
      <c r="C185" s="23"/>
      <c r="D185" s="173"/>
      <c r="E185" s="169"/>
      <c r="F185" s="179"/>
      <c r="G185" s="8"/>
    </row>
    <row r="186" spans="1:7" x14ac:dyDescent="0.2">
      <c r="A186" s="8"/>
      <c r="B186" s="299"/>
      <c r="C186" s="23"/>
      <c r="D186" s="173"/>
      <c r="E186" s="169"/>
      <c r="F186" s="179"/>
      <c r="G186" s="8"/>
    </row>
    <row r="187" spans="1:7" x14ac:dyDescent="0.2">
      <c r="A187" s="8"/>
      <c r="B187" s="299"/>
      <c r="C187" s="23"/>
      <c r="D187" s="173"/>
      <c r="E187" s="169"/>
      <c r="F187" s="179"/>
      <c r="G187" s="8"/>
    </row>
    <row r="188" spans="1:7" x14ac:dyDescent="0.2">
      <c r="A188" s="8"/>
      <c r="B188" s="299"/>
      <c r="C188" s="23"/>
      <c r="D188" s="173"/>
      <c r="E188" s="169"/>
      <c r="F188" s="179"/>
      <c r="G188" s="8"/>
    </row>
    <row r="189" spans="1:7" x14ac:dyDescent="0.2">
      <c r="A189" s="8"/>
      <c r="B189" s="299"/>
      <c r="C189" s="23"/>
      <c r="D189" s="173"/>
      <c r="E189" s="169"/>
      <c r="F189" s="179"/>
      <c r="G189" s="8"/>
    </row>
    <row r="190" spans="1:7" x14ac:dyDescent="0.2">
      <c r="A190" s="8"/>
      <c r="B190" s="299"/>
      <c r="C190" s="23"/>
      <c r="D190" s="173"/>
      <c r="E190" s="169"/>
      <c r="F190" s="179"/>
      <c r="G190" s="8"/>
    </row>
    <row r="191" spans="1:7" x14ac:dyDescent="0.2">
      <c r="A191" s="8"/>
      <c r="B191" s="299"/>
      <c r="C191" s="23"/>
      <c r="D191" s="173"/>
      <c r="E191" s="169"/>
      <c r="F191" s="179"/>
      <c r="G191" s="8"/>
    </row>
    <row r="192" spans="1:7" x14ac:dyDescent="0.2">
      <c r="A192" s="8"/>
      <c r="B192" s="299"/>
      <c r="C192" s="23"/>
      <c r="D192" s="173"/>
      <c r="E192" s="169"/>
      <c r="F192" s="179"/>
      <c r="G192" s="8"/>
    </row>
    <row r="193" spans="1:7" x14ac:dyDescent="0.2">
      <c r="A193" s="8"/>
      <c r="B193" s="299"/>
      <c r="C193" s="23"/>
      <c r="D193" s="173"/>
      <c r="E193" s="169"/>
      <c r="F193" s="179"/>
      <c r="G193" s="8"/>
    </row>
    <row r="194" spans="1:7" x14ac:dyDescent="0.2">
      <c r="A194" s="8"/>
      <c r="B194" s="299"/>
      <c r="C194" s="23"/>
      <c r="D194" s="173"/>
      <c r="E194" s="169"/>
      <c r="F194" s="179"/>
      <c r="G194" s="8"/>
    </row>
    <row r="195" spans="1:7" x14ac:dyDescent="0.2">
      <c r="A195" s="8"/>
      <c r="B195" s="299"/>
      <c r="C195" s="23"/>
      <c r="D195" s="173"/>
      <c r="E195" s="169"/>
      <c r="F195" s="179"/>
      <c r="G195" s="8"/>
    </row>
    <row r="196" spans="1:7" x14ac:dyDescent="0.2">
      <c r="A196" s="8"/>
      <c r="B196" s="299"/>
      <c r="C196" s="23"/>
      <c r="D196" s="173"/>
      <c r="E196" s="169"/>
      <c r="F196" s="179"/>
      <c r="G196" s="8"/>
    </row>
    <row r="197" spans="1:7" x14ac:dyDescent="0.2">
      <c r="A197" s="8"/>
      <c r="B197" s="299"/>
      <c r="C197" s="23"/>
      <c r="D197" s="173"/>
      <c r="E197" s="169"/>
      <c r="F197" s="179"/>
      <c r="G197" s="8"/>
    </row>
    <row r="198" spans="1:7" x14ac:dyDescent="0.2">
      <c r="A198" s="8"/>
      <c r="B198" s="299"/>
      <c r="C198" s="23"/>
      <c r="D198" s="173"/>
      <c r="E198" s="169"/>
      <c r="F198" s="179"/>
      <c r="G198" s="8"/>
    </row>
    <row r="199" spans="1:7" x14ac:dyDescent="0.2">
      <c r="A199" s="8"/>
      <c r="B199" s="299"/>
      <c r="C199" s="23"/>
      <c r="D199" s="173"/>
      <c r="E199" s="169"/>
      <c r="F199" s="179"/>
      <c r="G199" s="8"/>
    </row>
    <row r="200" spans="1:7" x14ac:dyDescent="0.2">
      <c r="A200" s="8"/>
      <c r="B200" s="299"/>
      <c r="C200" s="23"/>
      <c r="D200" s="173"/>
      <c r="E200" s="169"/>
      <c r="F200" s="179"/>
      <c r="G200" s="8"/>
    </row>
    <row r="201" spans="1:7" x14ac:dyDescent="0.2">
      <c r="A201" s="8"/>
      <c r="B201" s="299"/>
      <c r="C201" s="23"/>
      <c r="D201" s="173"/>
      <c r="E201" s="169"/>
      <c r="F201" s="179"/>
      <c r="G201" s="8"/>
    </row>
    <row r="202" spans="1:7" x14ac:dyDescent="0.2">
      <c r="A202" s="8"/>
      <c r="B202" s="299"/>
      <c r="C202" s="23"/>
      <c r="D202" s="173"/>
      <c r="E202" s="169"/>
      <c r="F202" s="179"/>
      <c r="G202" s="8"/>
    </row>
    <row r="203" spans="1:7" x14ac:dyDescent="0.2">
      <c r="A203" s="8"/>
      <c r="B203" s="299"/>
      <c r="C203" s="23"/>
      <c r="D203" s="173"/>
      <c r="E203" s="169"/>
      <c r="F203" s="179"/>
      <c r="G203" s="8"/>
    </row>
    <row r="204" spans="1:7" x14ac:dyDescent="0.2">
      <c r="A204" s="8"/>
      <c r="B204" s="299"/>
      <c r="C204" s="23"/>
      <c r="D204" s="173"/>
      <c r="E204" s="169"/>
      <c r="F204" s="179"/>
      <c r="G204" s="8"/>
    </row>
    <row r="205" spans="1:7" x14ac:dyDescent="0.2">
      <c r="A205" s="8"/>
      <c r="B205" s="299"/>
      <c r="C205" s="23"/>
      <c r="D205" s="173"/>
      <c r="E205" s="169"/>
      <c r="F205" s="179"/>
      <c r="G205" s="8"/>
    </row>
    <row r="206" spans="1:7" x14ac:dyDescent="0.2">
      <c r="A206" s="8"/>
      <c r="B206" s="299"/>
      <c r="C206" s="23"/>
      <c r="D206" s="173"/>
      <c r="E206" s="169"/>
      <c r="F206" s="179"/>
      <c r="G206" s="8"/>
    </row>
    <row r="207" spans="1:7" x14ac:dyDescent="0.2">
      <c r="A207" s="8"/>
      <c r="B207" s="299"/>
      <c r="C207" s="23"/>
      <c r="D207" s="173"/>
      <c r="E207" s="169"/>
      <c r="F207" s="179"/>
      <c r="G207" s="8"/>
    </row>
    <row r="208" spans="1:7" x14ac:dyDescent="0.2">
      <c r="A208" s="8"/>
      <c r="B208" s="299"/>
      <c r="C208" s="23"/>
      <c r="D208" s="173"/>
      <c r="E208" s="169"/>
      <c r="F208" s="179"/>
      <c r="G208" s="8"/>
    </row>
    <row r="209" spans="1:7" x14ac:dyDescent="0.2">
      <c r="A209" s="8"/>
      <c r="B209" s="299"/>
      <c r="C209" s="23"/>
      <c r="D209" s="173"/>
      <c r="E209" s="169"/>
      <c r="F209" s="179"/>
      <c r="G209" s="8"/>
    </row>
    <row r="210" spans="1:7" x14ac:dyDescent="0.2">
      <c r="A210" s="8"/>
      <c r="B210" s="299"/>
      <c r="C210" s="23"/>
      <c r="D210" s="173"/>
      <c r="E210" s="169"/>
      <c r="F210" s="179"/>
      <c r="G210" s="8"/>
    </row>
    <row r="211" spans="1:7" x14ac:dyDescent="0.2">
      <c r="A211" s="8"/>
      <c r="B211" s="299"/>
      <c r="C211" s="23"/>
      <c r="D211" s="173"/>
      <c r="E211" s="169"/>
      <c r="F211" s="179"/>
      <c r="G211" s="8"/>
    </row>
    <row r="212" spans="1:7" x14ac:dyDescent="0.2">
      <c r="A212" s="8"/>
      <c r="B212" s="299"/>
      <c r="C212" s="23"/>
      <c r="D212" s="173"/>
      <c r="E212" s="169"/>
      <c r="F212" s="179"/>
      <c r="G212" s="8"/>
    </row>
    <row r="213" spans="1:7" x14ac:dyDescent="0.2">
      <c r="A213" s="8"/>
      <c r="B213" s="299"/>
      <c r="C213" s="23"/>
      <c r="D213" s="173"/>
      <c r="E213" s="169"/>
      <c r="F213" s="179"/>
      <c r="G213" s="8"/>
    </row>
    <row r="214" spans="1:7" x14ac:dyDescent="0.2">
      <c r="A214" s="8"/>
      <c r="B214" s="299"/>
      <c r="C214" s="23"/>
      <c r="D214" s="173"/>
      <c r="E214" s="169"/>
      <c r="F214" s="179"/>
      <c r="G214" s="8"/>
    </row>
    <row r="215" spans="1:7" x14ac:dyDescent="0.2">
      <c r="A215" s="8"/>
      <c r="B215" s="299"/>
      <c r="C215" s="23"/>
      <c r="D215" s="173"/>
      <c r="E215" s="169"/>
      <c r="F215" s="179"/>
      <c r="G215" s="8"/>
    </row>
    <row r="216" spans="1:7" x14ac:dyDescent="0.2">
      <c r="A216" s="8"/>
      <c r="B216" s="299"/>
      <c r="C216" s="23"/>
      <c r="D216" s="173"/>
      <c r="E216" s="169"/>
      <c r="F216" s="179"/>
      <c r="G216" s="8"/>
    </row>
    <row r="217" spans="1:7" x14ac:dyDescent="0.2">
      <c r="A217" s="8"/>
      <c r="B217" s="299"/>
      <c r="C217" s="23"/>
      <c r="D217" s="173"/>
      <c r="E217" s="169"/>
      <c r="F217" s="179"/>
      <c r="G217" s="8"/>
    </row>
    <row r="218" spans="1:7" x14ac:dyDescent="0.2">
      <c r="A218" s="8"/>
      <c r="B218" s="299"/>
      <c r="C218" s="23"/>
      <c r="D218" s="173"/>
      <c r="E218" s="169"/>
      <c r="F218" s="179"/>
      <c r="G218" s="8"/>
    </row>
    <row r="219" spans="1:7" x14ac:dyDescent="0.2">
      <c r="A219" s="8"/>
      <c r="B219" s="299"/>
      <c r="C219" s="23"/>
      <c r="D219" s="173"/>
      <c r="E219" s="169"/>
      <c r="F219" s="179"/>
      <c r="G219" s="8"/>
    </row>
    <row r="220" spans="1:7" x14ac:dyDescent="0.2">
      <c r="A220" s="8"/>
      <c r="B220" s="299"/>
      <c r="C220" s="23"/>
      <c r="D220" s="173"/>
      <c r="E220" s="169"/>
      <c r="F220" s="179"/>
      <c r="G220" s="8"/>
    </row>
    <row r="221" spans="1:7" x14ac:dyDescent="0.2">
      <c r="A221" s="8"/>
      <c r="B221" s="299"/>
      <c r="C221" s="23"/>
      <c r="D221" s="173"/>
      <c r="E221" s="169"/>
      <c r="F221" s="179"/>
      <c r="G221" s="8"/>
    </row>
    <row r="222" spans="1:7" x14ac:dyDescent="0.2">
      <c r="A222" s="8"/>
      <c r="B222" s="299"/>
      <c r="C222" s="23"/>
      <c r="D222" s="173"/>
      <c r="E222" s="169"/>
      <c r="F222" s="179"/>
      <c r="G222" s="8"/>
    </row>
    <row r="223" spans="1:7" x14ac:dyDescent="0.2">
      <c r="A223" s="8"/>
      <c r="B223" s="299"/>
      <c r="C223" s="23"/>
      <c r="D223" s="173"/>
      <c r="E223" s="169"/>
      <c r="F223" s="179"/>
      <c r="G223" s="8"/>
    </row>
    <row r="224" spans="1:7" x14ac:dyDescent="0.2">
      <c r="A224" s="8"/>
      <c r="B224" s="299"/>
      <c r="C224" s="23"/>
      <c r="D224" s="173"/>
      <c r="E224" s="169"/>
      <c r="F224" s="179"/>
      <c r="G224" s="8"/>
    </row>
    <row r="225" spans="1:7" x14ac:dyDescent="0.2">
      <c r="A225" s="8"/>
      <c r="B225" s="299"/>
      <c r="C225" s="23"/>
      <c r="D225" s="173"/>
      <c r="E225" s="169"/>
      <c r="F225" s="179"/>
      <c r="G225" s="8"/>
    </row>
    <row r="226" spans="1:7" x14ac:dyDescent="0.2">
      <c r="A226" s="8"/>
      <c r="B226" s="299"/>
      <c r="C226" s="23"/>
      <c r="D226" s="173"/>
      <c r="E226" s="169"/>
      <c r="F226" s="179"/>
      <c r="G226" s="8"/>
    </row>
    <row r="227" spans="1:7" x14ac:dyDescent="0.2">
      <c r="A227" s="8"/>
      <c r="B227" s="299"/>
      <c r="C227" s="23"/>
      <c r="D227" s="173"/>
      <c r="E227" s="169"/>
      <c r="F227" s="179"/>
      <c r="G227" s="8"/>
    </row>
    <row r="228" spans="1:7" x14ac:dyDescent="0.2">
      <c r="A228" s="8"/>
      <c r="B228" s="299"/>
      <c r="C228" s="23"/>
      <c r="D228" s="173"/>
      <c r="E228" s="169"/>
      <c r="F228" s="179"/>
      <c r="G228" s="8"/>
    </row>
    <row r="229" spans="1:7" x14ac:dyDescent="0.2">
      <c r="A229" s="8"/>
      <c r="B229" s="299"/>
      <c r="C229" s="23"/>
      <c r="D229" s="173"/>
      <c r="E229" s="169"/>
      <c r="F229" s="179"/>
      <c r="G229" s="8"/>
    </row>
    <row r="230" spans="1:7" x14ac:dyDescent="0.2">
      <c r="A230" s="8"/>
      <c r="B230" s="299"/>
      <c r="C230" s="23"/>
      <c r="D230" s="173"/>
      <c r="E230" s="169"/>
      <c r="F230" s="179"/>
      <c r="G230" s="8"/>
    </row>
    <row r="231" spans="1:7" x14ac:dyDescent="0.2">
      <c r="A231" s="8"/>
      <c r="B231" s="299"/>
      <c r="C231" s="23"/>
      <c r="D231" s="173"/>
      <c r="E231" s="169"/>
      <c r="F231" s="179"/>
      <c r="G231" s="8"/>
    </row>
    <row r="232" spans="1:7" x14ac:dyDescent="0.2">
      <c r="A232" s="8"/>
      <c r="B232" s="299"/>
      <c r="C232" s="23"/>
      <c r="D232" s="173"/>
      <c r="E232" s="169"/>
      <c r="F232" s="179"/>
      <c r="G232" s="8"/>
    </row>
    <row r="233" spans="1:7" x14ac:dyDescent="0.2">
      <c r="A233" s="8"/>
      <c r="B233" s="299"/>
      <c r="C233" s="23"/>
      <c r="D233" s="173"/>
      <c r="E233" s="169"/>
      <c r="F233" s="179"/>
      <c r="G233" s="8"/>
    </row>
    <row r="234" spans="1:7" x14ac:dyDescent="0.2">
      <c r="A234" s="8"/>
      <c r="B234" s="299"/>
      <c r="C234" s="23"/>
      <c r="D234" s="173"/>
      <c r="E234" s="169"/>
      <c r="F234" s="179"/>
      <c r="G234" s="8"/>
    </row>
    <row r="235" spans="1:7" x14ac:dyDescent="0.2">
      <c r="A235" s="8"/>
      <c r="B235" s="299"/>
      <c r="C235" s="23"/>
      <c r="D235" s="173"/>
      <c r="E235" s="169"/>
      <c r="F235" s="179"/>
      <c r="G235" s="8"/>
    </row>
    <row r="236" spans="1:7" x14ac:dyDescent="0.2">
      <c r="A236" s="8"/>
      <c r="B236" s="299"/>
      <c r="C236" s="23"/>
      <c r="D236" s="173"/>
      <c r="E236" s="169"/>
      <c r="F236" s="179"/>
      <c r="G236" s="8"/>
    </row>
    <row r="237" spans="1:7" x14ac:dyDescent="0.2">
      <c r="A237" s="8"/>
      <c r="B237" s="299"/>
      <c r="C237" s="23"/>
      <c r="D237" s="173"/>
      <c r="E237" s="169"/>
      <c r="F237" s="179"/>
      <c r="G237" s="8"/>
    </row>
    <row r="238" spans="1:7" x14ac:dyDescent="0.2">
      <c r="A238" s="8"/>
      <c r="B238" s="299"/>
      <c r="C238" s="23"/>
      <c r="D238" s="173"/>
      <c r="E238" s="169"/>
      <c r="F238" s="179"/>
      <c r="G238" s="8"/>
    </row>
    <row r="239" spans="1:7" x14ac:dyDescent="0.2">
      <c r="A239" s="8"/>
      <c r="B239" s="299"/>
      <c r="C239" s="23"/>
      <c r="D239" s="173"/>
      <c r="E239" s="169"/>
      <c r="F239" s="179"/>
      <c r="G239" s="8"/>
    </row>
    <row r="240" spans="1:7" x14ac:dyDescent="0.2">
      <c r="A240" s="8"/>
      <c r="B240" s="299"/>
      <c r="C240" s="23"/>
      <c r="D240" s="173"/>
      <c r="E240" s="169"/>
      <c r="F240" s="179"/>
      <c r="G240" s="8"/>
    </row>
    <row r="241" spans="1:7" x14ac:dyDescent="0.2">
      <c r="A241" s="8"/>
      <c r="B241" s="299"/>
      <c r="C241" s="23"/>
      <c r="D241" s="173"/>
      <c r="E241" s="169"/>
      <c r="F241" s="179"/>
      <c r="G241" s="8"/>
    </row>
    <row r="242" spans="1:7" x14ac:dyDescent="0.2">
      <c r="A242" s="8"/>
      <c r="B242" s="299"/>
      <c r="C242" s="23"/>
      <c r="D242" s="173"/>
      <c r="E242" s="169"/>
      <c r="F242" s="179"/>
      <c r="G242" s="8"/>
    </row>
    <row r="243" spans="1:7" x14ac:dyDescent="0.2">
      <c r="A243" s="8"/>
      <c r="B243" s="299"/>
      <c r="C243" s="23"/>
      <c r="D243" s="173"/>
      <c r="E243" s="169"/>
      <c r="F243" s="179"/>
      <c r="G243" s="8"/>
    </row>
    <row r="244" spans="1:7" x14ac:dyDescent="0.2">
      <c r="A244" s="8"/>
      <c r="B244" s="299"/>
      <c r="C244" s="23"/>
      <c r="D244" s="173"/>
      <c r="E244" s="169"/>
      <c r="F244" s="179"/>
      <c r="G244" s="8"/>
    </row>
    <row r="245" spans="1:7" x14ac:dyDescent="0.2">
      <c r="A245" s="8"/>
      <c r="B245" s="299"/>
      <c r="C245" s="23"/>
      <c r="D245" s="173"/>
      <c r="E245" s="169"/>
      <c r="F245" s="179"/>
      <c r="G245" s="8"/>
    </row>
    <row r="246" spans="1:7" x14ac:dyDescent="0.2">
      <c r="A246" s="8"/>
      <c r="B246" s="299"/>
      <c r="C246" s="23"/>
      <c r="D246" s="173"/>
      <c r="E246" s="169"/>
      <c r="F246" s="179"/>
      <c r="G246" s="8"/>
    </row>
    <row r="247" spans="1:7" x14ac:dyDescent="0.2">
      <c r="A247" s="8"/>
      <c r="B247" s="299"/>
      <c r="C247" s="23"/>
      <c r="D247" s="173"/>
      <c r="E247" s="169"/>
      <c r="F247" s="179"/>
      <c r="G247" s="8"/>
    </row>
    <row r="248" spans="1:7" x14ac:dyDescent="0.2">
      <c r="A248" s="8"/>
      <c r="B248" s="299"/>
      <c r="C248" s="23"/>
      <c r="D248" s="173"/>
      <c r="E248" s="169"/>
      <c r="F248" s="179"/>
      <c r="G248" s="8"/>
    </row>
    <row r="249" spans="1:7" x14ac:dyDescent="0.2">
      <c r="A249" s="8"/>
      <c r="B249" s="299"/>
      <c r="C249" s="23"/>
      <c r="D249" s="173"/>
      <c r="E249" s="169"/>
      <c r="F249" s="179"/>
      <c r="G249" s="8"/>
    </row>
    <row r="250" spans="1:7" x14ac:dyDescent="0.2">
      <c r="A250" s="8"/>
      <c r="B250" s="299"/>
      <c r="C250" s="23"/>
      <c r="D250" s="173"/>
      <c r="E250" s="169"/>
      <c r="F250" s="179"/>
      <c r="G250" s="8"/>
    </row>
    <row r="251" spans="1:7" x14ac:dyDescent="0.2">
      <c r="A251" s="8"/>
      <c r="B251" s="299"/>
      <c r="C251" s="23"/>
      <c r="D251" s="173"/>
      <c r="E251" s="169"/>
      <c r="F251" s="179"/>
      <c r="G251" s="8"/>
    </row>
    <row r="252" spans="1:7" x14ac:dyDescent="0.2">
      <c r="A252" s="8"/>
      <c r="B252" s="299"/>
      <c r="C252" s="23"/>
      <c r="D252" s="173"/>
      <c r="E252" s="169"/>
      <c r="F252" s="179"/>
      <c r="G252" s="8"/>
    </row>
    <row r="253" spans="1:7" x14ac:dyDescent="0.2">
      <c r="A253" s="8"/>
      <c r="B253" s="299"/>
      <c r="C253" s="23"/>
      <c r="D253" s="173"/>
      <c r="E253" s="169"/>
      <c r="F253" s="179"/>
      <c r="G253" s="8"/>
    </row>
    <row r="254" spans="1:7" x14ac:dyDescent="0.2">
      <c r="A254" s="8"/>
      <c r="B254" s="299"/>
      <c r="C254" s="23"/>
      <c r="D254" s="173"/>
      <c r="E254" s="169"/>
      <c r="F254" s="179"/>
      <c r="G254" s="8"/>
    </row>
    <row r="255" spans="1:7" x14ac:dyDescent="0.2">
      <c r="A255" s="8"/>
      <c r="B255" s="299"/>
      <c r="C255" s="23"/>
      <c r="D255" s="173"/>
      <c r="E255" s="169"/>
      <c r="F255" s="179"/>
      <c r="G255" s="8"/>
    </row>
    <row r="256" spans="1:7" x14ac:dyDescent="0.2">
      <c r="A256" s="8"/>
      <c r="B256" s="299"/>
      <c r="C256" s="23"/>
      <c r="D256" s="173"/>
      <c r="E256" s="169"/>
      <c r="F256" s="179"/>
      <c r="G256" s="8"/>
    </row>
    <row r="257" spans="1:7" x14ac:dyDescent="0.2">
      <c r="A257" s="8"/>
      <c r="B257" s="299"/>
      <c r="C257" s="23"/>
      <c r="D257" s="173"/>
      <c r="E257" s="169"/>
      <c r="F257" s="179"/>
      <c r="G257" s="8"/>
    </row>
    <row r="258" spans="1:7" x14ac:dyDescent="0.2">
      <c r="A258" s="8"/>
      <c r="B258" s="299"/>
      <c r="C258" s="23"/>
      <c r="D258" s="173"/>
      <c r="E258" s="169"/>
      <c r="F258" s="179"/>
      <c r="G258" s="8"/>
    </row>
    <row r="259" spans="1:7" x14ac:dyDescent="0.2">
      <c r="A259" s="8"/>
      <c r="B259" s="299"/>
      <c r="C259" s="23"/>
      <c r="D259" s="173"/>
      <c r="E259" s="169"/>
      <c r="F259" s="179"/>
      <c r="G259" s="8"/>
    </row>
    <row r="260" spans="1:7" x14ac:dyDescent="0.2">
      <c r="A260" s="8"/>
      <c r="B260" s="299"/>
      <c r="C260" s="23"/>
      <c r="D260" s="173"/>
      <c r="E260" s="169"/>
      <c r="F260" s="179"/>
      <c r="G260" s="8"/>
    </row>
    <row r="261" spans="1:7" x14ac:dyDescent="0.2">
      <c r="A261" s="8"/>
      <c r="B261" s="299"/>
      <c r="C261" s="23"/>
      <c r="D261" s="173"/>
      <c r="E261" s="169"/>
      <c r="F261" s="179"/>
      <c r="G261" s="8"/>
    </row>
    <row r="262" spans="1:7" x14ac:dyDescent="0.2">
      <c r="A262" s="8"/>
      <c r="B262" s="299"/>
      <c r="C262" s="23"/>
      <c r="D262" s="173"/>
      <c r="E262" s="169"/>
      <c r="F262" s="179"/>
      <c r="G262" s="8"/>
    </row>
    <row r="263" spans="1:7" x14ac:dyDescent="0.2">
      <c r="A263" s="8"/>
      <c r="B263" s="299"/>
      <c r="C263" s="23"/>
      <c r="D263" s="173"/>
      <c r="E263" s="169"/>
      <c r="F263" s="179"/>
      <c r="G263" s="8"/>
    </row>
    <row r="264" spans="1:7" x14ac:dyDescent="0.2">
      <c r="A264" s="8"/>
      <c r="B264" s="299"/>
      <c r="C264" s="23"/>
      <c r="D264" s="173"/>
      <c r="E264" s="169"/>
      <c r="F264" s="179"/>
      <c r="G264" s="8"/>
    </row>
    <row r="265" spans="1:7" x14ac:dyDescent="0.2">
      <c r="A265" s="8"/>
      <c r="B265" s="299"/>
      <c r="C265" s="23"/>
      <c r="D265" s="173"/>
      <c r="E265" s="169"/>
      <c r="F265" s="179"/>
      <c r="G265" s="8"/>
    </row>
    <row r="266" spans="1:7" x14ac:dyDescent="0.2">
      <c r="A266" s="8"/>
      <c r="B266" s="299"/>
      <c r="C266" s="23"/>
      <c r="D266" s="173"/>
      <c r="E266" s="169"/>
      <c r="F266" s="179"/>
      <c r="G266" s="8"/>
    </row>
    <row r="267" spans="1:7" x14ac:dyDescent="0.2">
      <c r="A267" s="8"/>
      <c r="B267" s="299"/>
      <c r="C267" s="23"/>
      <c r="D267" s="173"/>
      <c r="E267" s="169"/>
      <c r="F267" s="179"/>
      <c r="G267" s="8"/>
    </row>
    <row r="268" spans="1:7" x14ac:dyDescent="0.2">
      <c r="A268" s="8"/>
      <c r="B268" s="299"/>
      <c r="C268" s="23"/>
      <c r="D268" s="173"/>
      <c r="E268" s="169"/>
      <c r="F268" s="179"/>
      <c r="G268" s="8"/>
    </row>
    <row r="269" spans="1:7" x14ac:dyDescent="0.2">
      <c r="A269" s="8"/>
      <c r="B269" s="299"/>
      <c r="C269" s="23"/>
      <c r="D269" s="173"/>
      <c r="E269" s="169"/>
      <c r="F269" s="179"/>
      <c r="G269" s="8"/>
    </row>
    <row r="270" spans="1:7" x14ac:dyDescent="0.2">
      <c r="A270" s="8"/>
      <c r="B270" s="299"/>
      <c r="C270" s="23"/>
      <c r="D270" s="173"/>
      <c r="E270" s="169"/>
      <c r="F270" s="179"/>
      <c r="G270" s="8"/>
    </row>
    <row r="271" spans="1:7" x14ac:dyDescent="0.2">
      <c r="A271" s="8"/>
      <c r="B271" s="299"/>
      <c r="C271" s="23"/>
      <c r="D271" s="173"/>
      <c r="E271" s="169"/>
      <c r="F271" s="179"/>
      <c r="G271" s="8"/>
    </row>
    <row r="272" spans="1:7" x14ac:dyDescent="0.2">
      <c r="A272" s="8"/>
      <c r="B272" s="299"/>
      <c r="C272" s="23"/>
      <c r="D272" s="173"/>
      <c r="E272" s="169"/>
      <c r="F272" s="179"/>
      <c r="G272" s="8"/>
    </row>
    <row r="273" spans="1:7" x14ac:dyDescent="0.2">
      <c r="A273" s="8"/>
      <c r="B273" s="299"/>
      <c r="C273" s="23"/>
      <c r="D273" s="173"/>
      <c r="E273" s="169"/>
      <c r="F273" s="179"/>
      <c r="G273" s="8"/>
    </row>
    <row r="274" spans="1:7" x14ac:dyDescent="0.2">
      <c r="A274" s="8"/>
      <c r="B274" s="299"/>
      <c r="C274" s="23"/>
      <c r="D274" s="173"/>
      <c r="E274" s="169"/>
      <c r="F274" s="179"/>
      <c r="G274" s="8"/>
    </row>
    <row r="275" spans="1:7" x14ac:dyDescent="0.2">
      <c r="A275" s="8"/>
      <c r="B275" s="299"/>
      <c r="C275" s="23"/>
      <c r="D275" s="173"/>
      <c r="E275" s="169"/>
      <c r="F275" s="179"/>
      <c r="G275" s="8"/>
    </row>
    <row r="276" spans="1:7" x14ac:dyDescent="0.2">
      <c r="A276" s="8"/>
      <c r="B276" s="299"/>
      <c r="C276" s="23"/>
      <c r="D276" s="173"/>
      <c r="E276" s="169"/>
      <c r="F276" s="179"/>
      <c r="G276" s="8"/>
    </row>
    <row r="277" spans="1:7" x14ac:dyDescent="0.2">
      <c r="A277" s="8"/>
      <c r="B277" s="299"/>
      <c r="C277" s="23"/>
      <c r="D277" s="173"/>
      <c r="E277" s="169"/>
      <c r="F277" s="179"/>
      <c r="G277" s="8"/>
    </row>
    <row r="278" spans="1:7" x14ac:dyDescent="0.2">
      <c r="A278" s="8"/>
      <c r="B278" s="299"/>
      <c r="C278" s="23"/>
      <c r="D278" s="173"/>
      <c r="E278" s="169"/>
      <c r="F278" s="179"/>
      <c r="G278" s="8"/>
    </row>
    <row r="279" spans="1:7" x14ac:dyDescent="0.2">
      <c r="A279" s="8"/>
      <c r="B279" s="299"/>
      <c r="C279" s="23"/>
      <c r="D279" s="173"/>
      <c r="E279" s="169"/>
      <c r="F279" s="179"/>
      <c r="G279" s="8"/>
    </row>
    <row r="280" spans="1:7" x14ac:dyDescent="0.2">
      <c r="A280" s="8"/>
      <c r="B280" s="299"/>
      <c r="C280" s="23"/>
      <c r="D280" s="173"/>
      <c r="E280" s="169"/>
      <c r="F280" s="179"/>
      <c r="G280" s="8"/>
    </row>
    <row r="281" spans="1:7" x14ac:dyDescent="0.2">
      <c r="A281" s="8"/>
      <c r="B281" s="299"/>
      <c r="C281" s="23"/>
      <c r="D281" s="173"/>
      <c r="E281" s="169"/>
      <c r="F281" s="179"/>
      <c r="G281" s="8"/>
    </row>
    <row r="282" spans="1:7" x14ac:dyDescent="0.2">
      <c r="A282" s="8"/>
      <c r="B282" s="299"/>
      <c r="C282" s="23"/>
      <c r="D282" s="173"/>
      <c r="E282" s="169"/>
      <c r="F282" s="179"/>
      <c r="G282" s="8"/>
    </row>
    <row r="283" spans="1:7" x14ac:dyDescent="0.2">
      <c r="A283" s="8"/>
      <c r="B283" s="299"/>
      <c r="C283" s="23"/>
      <c r="D283" s="173"/>
      <c r="E283" s="169"/>
      <c r="F283" s="179"/>
      <c r="G283" s="8"/>
    </row>
    <row r="284" spans="1:7" x14ac:dyDescent="0.2">
      <c r="A284" s="8"/>
      <c r="B284" s="299"/>
      <c r="C284" s="23"/>
      <c r="D284" s="173"/>
      <c r="E284" s="169"/>
      <c r="F284" s="179"/>
      <c r="G284" s="8"/>
    </row>
    <row r="285" spans="1:7" x14ac:dyDescent="0.2">
      <c r="A285" s="8"/>
      <c r="B285" s="299"/>
      <c r="C285" s="23"/>
      <c r="D285" s="173"/>
      <c r="E285" s="169"/>
      <c r="F285" s="179"/>
      <c r="G285" s="8"/>
    </row>
    <row r="286" spans="1:7" x14ac:dyDescent="0.2">
      <c r="A286" s="8"/>
      <c r="B286" s="299"/>
      <c r="C286" s="23"/>
      <c r="D286" s="173"/>
      <c r="E286" s="169"/>
      <c r="F286" s="179"/>
      <c r="G286" s="8"/>
    </row>
    <row r="287" spans="1:7" x14ac:dyDescent="0.2">
      <c r="A287" s="8"/>
      <c r="B287" s="299"/>
      <c r="C287" s="23"/>
      <c r="D287" s="173"/>
      <c r="E287" s="169"/>
      <c r="F287" s="179"/>
      <c r="G287" s="8"/>
    </row>
    <row r="288" spans="1:7" x14ac:dyDescent="0.2">
      <c r="A288" s="8"/>
      <c r="B288" s="299"/>
      <c r="C288" s="23"/>
      <c r="D288" s="173"/>
      <c r="E288" s="169"/>
      <c r="F288" s="179"/>
      <c r="G288" s="8"/>
    </row>
    <row r="289" spans="1:7" x14ac:dyDescent="0.2">
      <c r="A289" s="8"/>
      <c r="B289" s="299"/>
      <c r="C289" s="23"/>
      <c r="D289" s="173"/>
      <c r="E289" s="169"/>
      <c r="F289" s="179"/>
      <c r="G289" s="8"/>
    </row>
    <row r="290" spans="1:7" x14ac:dyDescent="0.2">
      <c r="A290" s="8"/>
      <c r="B290" s="299"/>
      <c r="C290" s="23"/>
      <c r="D290" s="173"/>
      <c r="E290" s="169"/>
      <c r="F290" s="179"/>
      <c r="G290" s="8"/>
    </row>
    <row r="291" spans="1:7" x14ac:dyDescent="0.2">
      <c r="A291" s="8"/>
      <c r="B291" s="299"/>
      <c r="C291" s="23"/>
      <c r="D291" s="173"/>
      <c r="E291" s="169"/>
      <c r="F291" s="179"/>
      <c r="G291" s="8"/>
    </row>
    <row r="292" spans="1:7" x14ac:dyDescent="0.2">
      <c r="A292" s="8"/>
      <c r="B292" s="299"/>
      <c r="C292" s="23"/>
      <c r="D292" s="173"/>
      <c r="E292" s="169"/>
      <c r="F292" s="179"/>
      <c r="G292" s="8"/>
    </row>
    <row r="293" spans="1:7" x14ac:dyDescent="0.2">
      <c r="A293" s="8"/>
      <c r="B293" s="299"/>
      <c r="C293" s="23"/>
      <c r="D293" s="173"/>
      <c r="E293" s="169"/>
      <c r="F293" s="179"/>
      <c r="G293" s="8"/>
    </row>
    <row r="294" spans="1:7" x14ac:dyDescent="0.2">
      <c r="A294" s="8"/>
      <c r="B294" s="299"/>
      <c r="C294" s="23"/>
      <c r="D294" s="173"/>
      <c r="E294" s="169"/>
      <c r="F294" s="179"/>
      <c r="G294" s="8"/>
    </row>
    <row r="295" spans="1:7" x14ac:dyDescent="0.2">
      <c r="A295" s="8"/>
      <c r="B295" s="299"/>
      <c r="C295" s="23"/>
      <c r="D295" s="173"/>
      <c r="E295" s="169"/>
      <c r="F295" s="179"/>
      <c r="G295" s="8"/>
    </row>
    <row r="296" spans="1:7" x14ac:dyDescent="0.2">
      <c r="A296" s="8"/>
      <c r="B296" s="299"/>
      <c r="C296" s="23"/>
      <c r="D296" s="173"/>
      <c r="E296" s="169"/>
      <c r="F296" s="179"/>
      <c r="G296" s="8"/>
    </row>
    <row r="297" spans="1:7" x14ac:dyDescent="0.2">
      <c r="A297" s="8"/>
      <c r="B297" s="299"/>
      <c r="C297" s="23"/>
      <c r="D297" s="173"/>
      <c r="E297" s="169"/>
      <c r="F297" s="179"/>
      <c r="G297" s="8"/>
    </row>
    <row r="298" spans="1:7" x14ac:dyDescent="0.2">
      <c r="A298" s="8"/>
      <c r="B298" s="299"/>
      <c r="C298" s="23"/>
      <c r="D298" s="173"/>
      <c r="E298" s="169"/>
      <c r="F298" s="179"/>
      <c r="G298" s="8"/>
    </row>
    <row r="299" spans="1:7" x14ac:dyDescent="0.2">
      <c r="A299" s="8"/>
      <c r="B299" s="299"/>
      <c r="C299" s="23"/>
      <c r="D299" s="173"/>
      <c r="E299" s="169"/>
      <c r="F299" s="179"/>
      <c r="G299" s="8"/>
    </row>
    <row r="300" spans="1:7" x14ac:dyDescent="0.2">
      <c r="A300" s="8"/>
      <c r="B300" s="299"/>
      <c r="C300" s="23"/>
      <c r="D300" s="173"/>
      <c r="E300" s="169"/>
      <c r="F300" s="179"/>
      <c r="G300" s="8"/>
    </row>
    <row r="301" spans="1:7" x14ac:dyDescent="0.2">
      <c r="A301" s="8"/>
      <c r="B301" s="299"/>
      <c r="C301" s="23"/>
      <c r="D301" s="173"/>
      <c r="E301" s="169"/>
      <c r="F301" s="179"/>
      <c r="G301" s="8"/>
    </row>
    <row r="302" spans="1:7" x14ac:dyDescent="0.2">
      <c r="A302" s="8"/>
      <c r="B302" s="299"/>
      <c r="C302" s="23"/>
      <c r="D302" s="173"/>
      <c r="E302" s="169"/>
      <c r="F302" s="179"/>
      <c r="G302" s="8"/>
    </row>
    <row r="303" spans="1:7" x14ac:dyDescent="0.2">
      <c r="A303" s="8"/>
      <c r="B303" s="299"/>
      <c r="C303" s="23"/>
      <c r="D303" s="173"/>
      <c r="E303" s="169"/>
      <c r="F303" s="179"/>
      <c r="G303" s="8"/>
    </row>
    <row r="304" spans="1:7" x14ac:dyDescent="0.2">
      <c r="A304" s="8"/>
      <c r="B304" s="299"/>
      <c r="C304" s="23"/>
      <c r="D304" s="173"/>
      <c r="E304" s="169"/>
      <c r="F304" s="179"/>
      <c r="G304" s="8"/>
    </row>
    <row r="305" spans="1:7" x14ac:dyDescent="0.2">
      <c r="A305" s="8"/>
      <c r="B305" s="299"/>
      <c r="C305" s="23"/>
      <c r="D305" s="173"/>
      <c r="E305" s="169"/>
      <c r="F305" s="179"/>
      <c r="G305" s="8"/>
    </row>
    <row r="306" spans="1:7" x14ac:dyDescent="0.2">
      <c r="A306" s="8"/>
      <c r="B306" s="299"/>
      <c r="C306" s="23"/>
      <c r="D306" s="173"/>
      <c r="E306" s="169"/>
      <c r="F306" s="179"/>
      <c r="G306" s="8"/>
    </row>
    <row r="307" spans="1:7" x14ac:dyDescent="0.2">
      <c r="A307" s="8"/>
      <c r="B307" s="299"/>
      <c r="C307" s="23"/>
      <c r="D307" s="173"/>
      <c r="E307" s="169"/>
      <c r="F307" s="179"/>
      <c r="G307" s="8"/>
    </row>
    <row r="308" spans="1:7" x14ac:dyDescent="0.2">
      <c r="A308" s="8"/>
      <c r="B308" s="299"/>
      <c r="C308" s="23"/>
      <c r="D308" s="173"/>
      <c r="E308" s="169"/>
      <c r="F308" s="179"/>
      <c r="G308" s="8"/>
    </row>
    <row r="309" spans="1:7" x14ac:dyDescent="0.2">
      <c r="A309" s="8"/>
      <c r="B309" s="299"/>
      <c r="C309" s="23"/>
      <c r="D309" s="173"/>
      <c r="E309" s="169"/>
      <c r="F309" s="179"/>
      <c r="G309" s="8"/>
    </row>
    <row r="310" spans="1:7" x14ac:dyDescent="0.2">
      <c r="A310" s="8"/>
      <c r="B310" s="299"/>
      <c r="C310" s="23"/>
      <c r="D310" s="173"/>
      <c r="E310" s="169"/>
      <c r="F310" s="179"/>
      <c r="G310" s="8"/>
    </row>
    <row r="311" spans="1:7" x14ac:dyDescent="0.2">
      <c r="A311" s="8"/>
      <c r="B311" s="299"/>
      <c r="C311" s="23"/>
      <c r="D311" s="173"/>
      <c r="E311" s="169"/>
      <c r="F311" s="179"/>
      <c r="G311" s="8"/>
    </row>
    <row r="312" spans="1:7" x14ac:dyDescent="0.2">
      <c r="A312" s="8"/>
      <c r="B312" s="299"/>
      <c r="C312" s="23"/>
      <c r="D312" s="173"/>
      <c r="E312" s="169"/>
      <c r="F312" s="179"/>
      <c r="G312" s="8"/>
    </row>
    <row r="313" spans="1:7" x14ac:dyDescent="0.2">
      <c r="A313" s="8"/>
      <c r="B313" s="299"/>
      <c r="C313" s="23"/>
      <c r="D313" s="173"/>
      <c r="E313" s="169"/>
      <c r="F313" s="179"/>
      <c r="G313" s="8"/>
    </row>
    <row r="314" spans="1:7" x14ac:dyDescent="0.2">
      <c r="A314" s="8"/>
      <c r="B314" s="299"/>
      <c r="C314" s="23"/>
      <c r="D314" s="173"/>
      <c r="E314" s="169"/>
      <c r="F314" s="179"/>
      <c r="G314" s="8"/>
    </row>
    <row r="315" spans="1:7" x14ac:dyDescent="0.2">
      <c r="A315" s="8"/>
      <c r="B315" s="299"/>
      <c r="C315" s="23"/>
      <c r="D315" s="173"/>
      <c r="E315" s="169"/>
      <c r="F315" s="179"/>
      <c r="G315" s="8"/>
    </row>
    <row r="316" spans="1:7" x14ac:dyDescent="0.2">
      <c r="A316" s="8"/>
      <c r="B316" s="299"/>
      <c r="C316" s="23"/>
      <c r="D316" s="173"/>
      <c r="E316" s="169"/>
      <c r="F316" s="179"/>
      <c r="G316" s="8"/>
    </row>
    <row r="317" spans="1:7" x14ac:dyDescent="0.2">
      <c r="A317" s="8"/>
      <c r="B317" s="299"/>
      <c r="C317" s="23"/>
      <c r="D317" s="173"/>
      <c r="E317" s="169"/>
      <c r="F317" s="179"/>
      <c r="G317" s="8"/>
    </row>
    <row r="318" spans="1:7" x14ac:dyDescent="0.2">
      <c r="A318" s="8"/>
      <c r="B318" s="299"/>
      <c r="C318" s="23"/>
      <c r="D318" s="173"/>
      <c r="E318" s="169"/>
      <c r="F318" s="179"/>
      <c r="G318" s="8"/>
    </row>
    <row r="319" spans="1:7" x14ac:dyDescent="0.2">
      <c r="A319" s="8"/>
      <c r="B319" s="299"/>
      <c r="C319" s="23"/>
      <c r="D319" s="173"/>
      <c r="E319" s="169"/>
      <c r="F319" s="179"/>
      <c r="G319" s="8"/>
    </row>
    <row r="320" spans="1:7" x14ac:dyDescent="0.2">
      <c r="A320" s="8"/>
      <c r="B320" s="299"/>
      <c r="C320" s="23"/>
      <c r="D320" s="173"/>
      <c r="E320" s="169"/>
      <c r="F320" s="179"/>
      <c r="G320" s="8"/>
    </row>
    <row r="321" spans="1:7" x14ac:dyDescent="0.2">
      <c r="A321" s="8"/>
      <c r="B321" s="299"/>
      <c r="C321" s="23"/>
      <c r="D321" s="173"/>
      <c r="E321" s="169"/>
      <c r="F321" s="179"/>
      <c r="G321" s="8"/>
    </row>
    <row r="322" spans="1:7" x14ac:dyDescent="0.2">
      <c r="A322" s="8"/>
      <c r="B322" s="299"/>
      <c r="C322" s="23"/>
      <c r="D322" s="173"/>
      <c r="E322" s="169"/>
      <c r="F322" s="179"/>
      <c r="G322" s="8"/>
    </row>
    <row r="323" spans="1:7" x14ac:dyDescent="0.2">
      <c r="A323" s="8"/>
      <c r="B323" s="299"/>
      <c r="C323" s="23"/>
      <c r="D323" s="173"/>
      <c r="E323" s="169"/>
      <c r="F323" s="179"/>
      <c r="G323" s="8"/>
    </row>
    <row r="324" spans="1:7" x14ac:dyDescent="0.2">
      <c r="A324" s="8"/>
      <c r="B324" s="299"/>
      <c r="C324" s="23"/>
      <c r="D324" s="173"/>
      <c r="E324" s="169"/>
      <c r="F324" s="179"/>
      <c r="G324" s="8"/>
    </row>
    <row r="325" spans="1:7" x14ac:dyDescent="0.2">
      <c r="A325" s="8"/>
      <c r="B325" s="299"/>
      <c r="C325" s="23"/>
      <c r="D325" s="173"/>
      <c r="E325" s="169"/>
      <c r="F325" s="179"/>
      <c r="G325" s="8"/>
    </row>
    <row r="326" spans="1:7" x14ac:dyDescent="0.2">
      <c r="A326" s="8"/>
      <c r="B326" s="299"/>
      <c r="C326" s="23"/>
      <c r="D326" s="173"/>
      <c r="E326" s="169"/>
      <c r="F326" s="179"/>
      <c r="G326" s="8"/>
    </row>
    <row r="327" spans="1:7" x14ac:dyDescent="0.2">
      <c r="A327" s="8"/>
      <c r="B327" s="299"/>
      <c r="C327" s="23"/>
      <c r="D327" s="173"/>
      <c r="E327" s="169"/>
      <c r="F327" s="179"/>
      <c r="G327" s="8"/>
    </row>
    <row r="328" spans="1:7" x14ac:dyDescent="0.2">
      <c r="A328" s="8"/>
      <c r="B328" s="299"/>
      <c r="C328" s="23"/>
      <c r="D328" s="173"/>
      <c r="E328" s="169"/>
      <c r="F328" s="179"/>
      <c r="G328" s="8"/>
    </row>
    <row r="329" spans="1:7" x14ac:dyDescent="0.2">
      <c r="A329" s="8"/>
      <c r="B329" s="299"/>
      <c r="C329" s="23"/>
      <c r="D329" s="173"/>
      <c r="E329" s="169"/>
      <c r="F329" s="179"/>
      <c r="G329" s="8"/>
    </row>
    <row r="330" spans="1:7" x14ac:dyDescent="0.2">
      <c r="A330" s="8"/>
      <c r="B330" s="299"/>
      <c r="C330" s="23"/>
      <c r="D330" s="173"/>
      <c r="E330" s="169"/>
      <c r="F330" s="179"/>
      <c r="G330" s="8"/>
    </row>
    <row r="331" spans="1:7" x14ac:dyDescent="0.2">
      <c r="A331" s="8"/>
      <c r="B331" s="299"/>
      <c r="C331" s="23"/>
      <c r="D331" s="173"/>
      <c r="E331" s="169"/>
      <c r="F331" s="179"/>
      <c r="G331" s="8"/>
    </row>
    <row r="332" spans="1:7" x14ac:dyDescent="0.2">
      <c r="A332" s="8"/>
      <c r="B332" s="299"/>
      <c r="C332" s="23"/>
      <c r="D332" s="173"/>
      <c r="E332" s="169"/>
      <c r="F332" s="179"/>
      <c r="G332" s="8"/>
    </row>
    <row r="333" spans="1:7" x14ac:dyDescent="0.2">
      <c r="A333" s="8"/>
      <c r="B333" s="299"/>
      <c r="C333" s="23"/>
      <c r="D333" s="173"/>
      <c r="E333" s="169"/>
      <c r="F333" s="179"/>
      <c r="G333" s="8"/>
    </row>
    <row r="334" spans="1:7" x14ac:dyDescent="0.2">
      <c r="A334" s="8"/>
      <c r="B334" s="299"/>
      <c r="C334" s="23"/>
      <c r="D334" s="173"/>
      <c r="E334" s="169"/>
      <c r="F334" s="179"/>
      <c r="G334" s="8"/>
    </row>
    <row r="335" spans="1:7" x14ac:dyDescent="0.2">
      <c r="A335" s="8"/>
      <c r="B335" s="299"/>
      <c r="C335" s="23"/>
      <c r="D335" s="173"/>
      <c r="E335" s="169"/>
      <c r="F335" s="179"/>
      <c r="G335" s="8"/>
    </row>
    <row r="336" spans="1:7" x14ac:dyDescent="0.2">
      <c r="A336" s="8"/>
      <c r="B336" s="299"/>
      <c r="C336" s="23"/>
      <c r="D336" s="173"/>
      <c r="E336" s="169"/>
      <c r="F336" s="179"/>
      <c r="G336" s="8"/>
    </row>
    <row r="337" spans="1:7" x14ac:dyDescent="0.2">
      <c r="A337" s="8"/>
      <c r="B337" s="299"/>
      <c r="C337" s="23"/>
      <c r="D337" s="173"/>
      <c r="E337" s="169"/>
      <c r="F337" s="179"/>
      <c r="G337" s="8"/>
    </row>
    <row r="338" spans="1:7" x14ac:dyDescent="0.2">
      <c r="A338" s="8"/>
      <c r="B338" s="299"/>
      <c r="C338" s="23"/>
      <c r="D338" s="173"/>
      <c r="E338" s="169"/>
      <c r="F338" s="179"/>
      <c r="G338" s="8"/>
    </row>
    <row r="339" spans="1:7" x14ac:dyDescent="0.2">
      <c r="A339" s="8"/>
      <c r="B339" s="299"/>
      <c r="C339" s="23"/>
      <c r="D339" s="173"/>
      <c r="E339" s="169"/>
      <c r="F339" s="179"/>
      <c r="G339" s="8"/>
    </row>
    <row r="340" spans="1:7" x14ac:dyDescent="0.2">
      <c r="A340" s="8"/>
      <c r="B340" s="299"/>
      <c r="C340" s="23"/>
      <c r="D340" s="173"/>
      <c r="E340" s="169"/>
      <c r="F340" s="179"/>
      <c r="G340" s="8"/>
    </row>
    <row r="341" spans="1:7" x14ac:dyDescent="0.2">
      <c r="A341" s="8"/>
      <c r="B341" s="299"/>
      <c r="C341" s="23"/>
      <c r="D341" s="173"/>
      <c r="E341" s="169"/>
      <c r="F341" s="179"/>
      <c r="G341" s="8"/>
    </row>
    <row r="342" spans="1:7" x14ac:dyDescent="0.2">
      <c r="A342" s="8"/>
      <c r="B342" s="299"/>
      <c r="C342" s="23"/>
      <c r="D342" s="173"/>
      <c r="E342" s="169"/>
      <c r="F342" s="179"/>
      <c r="G342" s="8"/>
    </row>
    <row r="343" spans="1:7" x14ac:dyDescent="0.2">
      <c r="A343" s="8"/>
      <c r="B343" s="299"/>
      <c r="C343" s="23"/>
      <c r="D343" s="173"/>
      <c r="E343" s="169"/>
      <c r="F343" s="179"/>
      <c r="G343" s="8"/>
    </row>
    <row r="344" spans="1:7" x14ac:dyDescent="0.2">
      <c r="A344" s="8"/>
      <c r="B344" s="299"/>
      <c r="C344" s="23"/>
      <c r="D344" s="173"/>
      <c r="E344" s="169"/>
      <c r="F344" s="179"/>
      <c r="G344" s="8"/>
    </row>
    <row r="345" spans="1:7" x14ac:dyDescent="0.2">
      <c r="A345" s="8"/>
      <c r="B345" s="299"/>
      <c r="C345" s="23"/>
      <c r="D345" s="173"/>
      <c r="E345" s="169"/>
      <c r="F345" s="179"/>
      <c r="G345" s="8"/>
    </row>
    <row r="346" spans="1:7" x14ac:dyDescent="0.2">
      <c r="A346" s="8"/>
      <c r="B346" s="299"/>
      <c r="C346" s="23"/>
      <c r="D346" s="173"/>
      <c r="E346" s="169"/>
      <c r="F346" s="179"/>
      <c r="G346" s="8"/>
    </row>
    <row r="347" spans="1:7" x14ac:dyDescent="0.2">
      <c r="A347" s="8"/>
      <c r="B347" s="299"/>
      <c r="C347" s="23"/>
      <c r="D347" s="173"/>
      <c r="E347" s="169"/>
      <c r="F347" s="179"/>
      <c r="G347" s="8"/>
    </row>
    <row r="348" spans="1:7" x14ac:dyDescent="0.2">
      <c r="A348" s="8"/>
      <c r="B348" s="299"/>
      <c r="C348" s="23"/>
      <c r="D348" s="173"/>
      <c r="E348" s="169"/>
      <c r="F348" s="179"/>
      <c r="G348" s="8"/>
    </row>
    <row r="349" spans="1:7" x14ac:dyDescent="0.2">
      <c r="A349" s="8"/>
      <c r="B349" s="299"/>
      <c r="C349" s="23"/>
      <c r="D349" s="173"/>
      <c r="E349" s="169"/>
      <c r="F349" s="179"/>
      <c r="G349" s="8"/>
    </row>
    <row r="350" spans="1:7" x14ac:dyDescent="0.2">
      <c r="A350" s="8"/>
      <c r="B350" s="299"/>
      <c r="C350" s="23"/>
      <c r="D350" s="173"/>
      <c r="E350" s="169"/>
      <c r="F350" s="179"/>
      <c r="G350" s="8"/>
    </row>
    <row r="351" spans="1:7" x14ac:dyDescent="0.2">
      <c r="A351" s="8"/>
      <c r="B351" s="299"/>
      <c r="C351" s="23"/>
      <c r="D351" s="173"/>
      <c r="E351" s="169"/>
      <c r="F351" s="179"/>
      <c r="G351" s="8"/>
    </row>
    <row r="352" spans="1:7" x14ac:dyDescent="0.2">
      <c r="A352" s="8"/>
      <c r="B352" s="299"/>
      <c r="C352" s="23"/>
      <c r="D352" s="173"/>
      <c r="E352" s="169"/>
      <c r="F352" s="179"/>
      <c r="G352" s="8"/>
    </row>
    <row r="353" spans="1:7" x14ac:dyDescent="0.2">
      <c r="A353" s="8"/>
      <c r="B353" s="299"/>
      <c r="C353" s="23"/>
      <c r="D353" s="173"/>
      <c r="E353" s="169"/>
      <c r="F353" s="179"/>
      <c r="G353" s="8"/>
    </row>
    <row r="354" spans="1:7" x14ac:dyDescent="0.2">
      <c r="A354" s="8"/>
      <c r="B354" s="299"/>
      <c r="C354" s="23"/>
      <c r="D354" s="173"/>
      <c r="E354" s="169"/>
      <c r="F354" s="179"/>
      <c r="G354" s="8"/>
    </row>
    <row r="355" spans="1:7" x14ac:dyDescent="0.2">
      <c r="A355" s="8"/>
      <c r="B355" s="299"/>
      <c r="C355" s="23"/>
      <c r="D355" s="173"/>
      <c r="E355" s="169"/>
      <c r="F355" s="179"/>
      <c r="G355" s="8"/>
    </row>
    <row r="356" spans="1:7" x14ac:dyDescent="0.2">
      <c r="A356" s="8"/>
      <c r="B356" s="299"/>
      <c r="C356" s="23"/>
      <c r="D356" s="173"/>
      <c r="E356" s="169"/>
      <c r="F356" s="179"/>
      <c r="G356" s="8"/>
    </row>
    <row r="357" spans="1:7" x14ac:dyDescent="0.2">
      <c r="A357" s="8"/>
      <c r="B357" s="299"/>
      <c r="C357" s="23"/>
      <c r="D357" s="173"/>
      <c r="E357" s="169"/>
      <c r="F357" s="179"/>
      <c r="G357" s="8"/>
    </row>
    <row r="358" spans="1:7" x14ac:dyDescent="0.2">
      <c r="A358" s="8"/>
      <c r="B358" s="299"/>
      <c r="C358" s="23"/>
      <c r="D358" s="173"/>
      <c r="E358" s="169"/>
      <c r="F358" s="179"/>
      <c r="G358" s="8"/>
    </row>
    <row r="359" spans="1:7" x14ac:dyDescent="0.2">
      <c r="A359" s="8"/>
      <c r="B359" s="299"/>
      <c r="C359" s="23"/>
      <c r="D359" s="173"/>
      <c r="E359" s="169"/>
      <c r="F359" s="179"/>
      <c r="G359" s="8"/>
    </row>
    <row r="360" spans="1:7" x14ac:dyDescent="0.2">
      <c r="A360" s="8"/>
      <c r="B360" s="299"/>
      <c r="C360" s="23"/>
      <c r="D360" s="173"/>
      <c r="E360" s="169"/>
      <c r="F360" s="179"/>
      <c r="G360" s="8"/>
    </row>
    <row r="361" spans="1:7" x14ac:dyDescent="0.2">
      <c r="A361" s="8"/>
      <c r="B361" s="299"/>
      <c r="C361" s="23"/>
      <c r="D361" s="173"/>
      <c r="E361" s="169"/>
      <c r="F361" s="179"/>
      <c r="G361" s="8"/>
    </row>
    <row r="362" spans="1:7" x14ac:dyDescent="0.2">
      <c r="A362" s="8"/>
      <c r="B362" s="299"/>
      <c r="C362" s="23"/>
      <c r="D362" s="173"/>
      <c r="E362" s="169"/>
      <c r="F362" s="179"/>
      <c r="G362" s="8"/>
    </row>
    <row r="363" spans="1:7" x14ac:dyDescent="0.2">
      <c r="A363" s="8"/>
      <c r="B363" s="299"/>
      <c r="C363" s="23"/>
      <c r="D363" s="173"/>
      <c r="E363" s="169"/>
      <c r="F363" s="179"/>
      <c r="G363" s="8"/>
    </row>
    <row r="364" spans="1:7" x14ac:dyDescent="0.2">
      <c r="A364" s="8"/>
      <c r="B364" s="299"/>
      <c r="C364" s="23"/>
      <c r="D364" s="173"/>
      <c r="E364" s="169"/>
      <c r="F364" s="179"/>
      <c r="G364" s="8"/>
    </row>
    <row r="365" spans="1:7" x14ac:dyDescent="0.2">
      <c r="A365" s="8"/>
      <c r="B365" s="299"/>
      <c r="C365" s="23"/>
      <c r="D365" s="173"/>
      <c r="E365" s="169"/>
      <c r="F365" s="179"/>
      <c r="G365" s="8"/>
    </row>
    <row r="366" spans="1:7" x14ac:dyDescent="0.2">
      <c r="A366" s="8"/>
      <c r="B366" s="299"/>
      <c r="C366" s="23"/>
      <c r="D366" s="173"/>
      <c r="E366" s="169"/>
      <c r="F366" s="179"/>
      <c r="G366" s="8"/>
    </row>
    <row r="367" spans="1:7" x14ac:dyDescent="0.2">
      <c r="A367" s="8"/>
      <c r="B367" s="299"/>
      <c r="C367" s="23"/>
      <c r="D367" s="173"/>
      <c r="E367" s="169"/>
      <c r="F367" s="179"/>
      <c r="G367" s="8"/>
    </row>
    <row r="368" spans="1:7" x14ac:dyDescent="0.2">
      <c r="A368" s="8"/>
      <c r="B368" s="299"/>
      <c r="C368" s="23"/>
      <c r="D368" s="173"/>
      <c r="E368" s="169"/>
      <c r="F368" s="179"/>
      <c r="G368" s="8"/>
    </row>
    <row r="369" spans="1:7" x14ac:dyDescent="0.2">
      <c r="A369" s="8"/>
      <c r="B369" s="299"/>
      <c r="C369" s="23"/>
      <c r="D369" s="173"/>
      <c r="E369" s="169"/>
      <c r="F369" s="179"/>
      <c r="G369" s="8"/>
    </row>
    <row r="370" spans="1:7" x14ac:dyDescent="0.2">
      <c r="A370" s="8"/>
      <c r="B370" s="299"/>
      <c r="C370" s="23"/>
      <c r="D370" s="173"/>
      <c r="E370" s="169"/>
      <c r="F370" s="179"/>
      <c r="G370" s="8"/>
    </row>
    <row r="371" spans="1:7" x14ac:dyDescent="0.2">
      <c r="A371" s="8"/>
      <c r="B371" s="299"/>
      <c r="C371" s="23"/>
      <c r="D371" s="173"/>
      <c r="E371" s="169"/>
      <c r="F371" s="179"/>
      <c r="G371" s="8"/>
    </row>
    <row r="372" spans="1:7" x14ac:dyDescent="0.2">
      <c r="A372" s="8"/>
      <c r="B372" s="299"/>
      <c r="C372" s="23"/>
      <c r="D372" s="173"/>
      <c r="E372" s="169"/>
      <c r="F372" s="179"/>
      <c r="G372" s="8"/>
    </row>
    <row r="373" spans="1:7" x14ac:dyDescent="0.2">
      <c r="A373" s="8"/>
      <c r="B373" s="299"/>
      <c r="C373" s="23"/>
      <c r="D373" s="173"/>
      <c r="E373" s="169"/>
      <c r="F373" s="179"/>
      <c r="G373" s="8"/>
    </row>
    <row r="374" spans="1:7" x14ac:dyDescent="0.2">
      <c r="A374" s="8"/>
      <c r="B374" s="299"/>
      <c r="C374" s="23"/>
      <c r="D374" s="173"/>
      <c r="E374" s="169"/>
      <c r="F374" s="179"/>
      <c r="G374" s="8"/>
    </row>
    <row r="375" spans="1:7" x14ac:dyDescent="0.2">
      <c r="A375" s="8"/>
      <c r="B375" s="299"/>
      <c r="C375" s="23"/>
      <c r="D375" s="173"/>
      <c r="E375" s="169"/>
      <c r="F375" s="179"/>
      <c r="G375" s="8"/>
    </row>
    <row r="376" spans="1:7" x14ac:dyDescent="0.2">
      <c r="A376" s="8"/>
      <c r="B376" s="299"/>
      <c r="C376" s="23"/>
      <c r="D376" s="173"/>
      <c r="E376" s="169"/>
      <c r="F376" s="179"/>
      <c r="G376" s="8"/>
    </row>
    <row r="377" spans="1:7" x14ac:dyDescent="0.2">
      <c r="A377" s="8"/>
      <c r="B377" s="299"/>
      <c r="C377" s="23"/>
      <c r="D377" s="173"/>
      <c r="E377" s="169"/>
      <c r="F377" s="179"/>
      <c r="G377" s="8"/>
    </row>
    <row r="378" spans="1:7" x14ac:dyDescent="0.2">
      <c r="A378" s="8"/>
      <c r="B378" s="299"/>
      <c r="C378" s="23"/>
      <c r="D378" s="173"/>
      <c r="E378" s="169"/>
      <c r="F378" s="179"/>
      <c r="G378" s="8"/>
    </row>
    <row r="379" spans="1:7" x14ac:dyDescent="0.2">
      <c r="A379" s="8"/>
      <c r="B379" s="299"/>
      <c r="C379" s="23"/>
      <c r="D379" s="173"/>
      <c r="E379" s="169"/>
      <c r="F379" s="179"/>
      <c r="G379" s="8"/>
    </row>
    <row r="380" spans="1:7" x14ac:dyDescent="0.2">
      <c r="A380" s="8"/>
      <c r="B380" s="299"/>
      <c r="C380" s="23"/>
      <c r="D380" s="173"/>
      <c r="E380" s="169"/>
      <c r="F380" s="179"/>
      <c r="G380" s="8"/>
    </row>
    <row r="381" spans="1:7" x14ac:dyDescent="0.2">
      <c r="A381" s="8"/>
      <c r="B381" s="299"/>
      <c r="C381" s="23"/>
      <c r="D381" s="173"/>
      <c r="E381" s="169"/>
      <c r="F381" s="179"/>
      <c r="G381" s="8"/>
    </row>
    <row r="382" spans="1:7" x14ac:dyDescent="0.2">
      <c r="A382" s="8"/>
      <c r="B382" s="299"/>
      <c r="C382" s="23"/>
      <c r="D382" s="173"/>
      <c r="E382" s="169"/>
      <c r="F382" s="179"/>
      <c r="G382" s="8"/>
    </row>
    <row r="383" spans="1:7" x14ac:dyDescent="0.2">
      <c r="A383" s="8"/>
      <c r="B383" s="299"/>
      <c r="C383" s="23"/>
      <c r="D383" s="173"/>
      <c r="E383" s="169"/>
      <c r="F383" s="179"/>
      <c r="G383" s="8"/>
    </row>
    <row r="384" spans="1:7" x14ac:dyDescent="0.2">
      <c r="A384" s="8"/>
      <c r="B384" s="299"/>
      <c r="C384" s="23"/>
      <c r="D384" s="173"/>
      <c r="E384" s="169"/>
      <c r="F384" s="179"/>
      <c r="G384" s="8"/>
    </row>
    <row r="385" spans="1:7" x14ac:dyDescent="0.2">
      <c r="A385" s="8"/>
      <c r="B385" s="299"/>
      <c r="C385" s="23"/>
      <c r="D385" s="173"/>
      <c r="E385" s="169"/>
      <c r="F385" s="179"/>
      <c r="G385" s="8"/>
    </row>
    <row r="386" spans="1:7" x14ac:dyDescent="0.2">
      <c r="A386" s="8"/>
      <c r="B386" s="299"/>
      <c r="C386" s="23"/>
      <c r="D386" s="173"/>
      <c r="E386" s="169"/>
      <c r="F386" s="179"/>
      <c r="G386" s="8"/>
    </row>
    <row r="387" spans="1:7" x14ac:dyDescent="0.2">
      <c r="A387" s="8"/>
      <c r="B387" s="299"/>
      <c r="C387" s="23"/>
      <c r="D387" s="173"/>
      <c r="E387" s="169"/>
      <c r="F387" s="179"/>
      <c r="G387" s="8"/>
    </row>
    <row r="388" spans="1:7" x14ac:dyDescent="0.2">
      <c r="A388" s="8"/>
      <c r="B388" s="299"/>
      <c r="C388" s="23"/>
      <c r="D388" s="173"/>
      <c r="E388" s="169"/>
      <c r="F388" s="179"/>
      <c r="G388" s="8"/>
    </row>
    <row r="389" spans="1:7" x14ac:dyDescent="0.2">
      <c r="A389" s="8"/>
      <c r="B389" s="299"/>
      <c r="C389" s="23"/>
      <c r="D389" s="173"/>
      <c r="E389" s="169"/>
      <c r="F389" s="179"/>
      <c r="G389" s="8"/>
    </row>
    <row r="390" spans="1:7" x14ac:dyDescent="0.2">
      <c r="A390" s="8"/>
      <c r="B390" s="299"/>
      <c r="C390" s="23"/>
      <c r="D390" s="173"/>
      <c r="E390" s="169"/>
      <c r="F390" s="179"/>
      <c r="G390" s="8"/>
    </row>
    <row r="391" spans="1:7" x14ac:dyDescent="0.2">
      <c r="A391" s="8"/>
      <c r="B391" s="299"/>
      <c r="C391" s="23"/>
      <c r="D391" s="173"/>
      <c r="E391" s="169"/>
      <c r="F391" s="179"/>
      <c r="G391" s="8"/>
    </row>
    <row r="392" spans="1:7" x14ac:dyDescent="0.2">
      <c r="A392" s="8"/>
      <c r="B392" s="299"/>
      <c r="C392" s="23"/>
      <c r="D392" s="173"/>
      <c r="E392" s="169"/>
      <c r="F392" s="179"/>
      <c r="G392" s="8"/>
    </row>
    <row r="393" spans="1:7" x14ac:dyDescent="0.2">
      <c r="A393" s="8"/>
      <c r="B393" s="299"/>
      <c r="C393" s="23"/>
      <c r="D393" s="173"/>
      <c r="E393" s="169"/>
      <c r="F393" s="179"/>
      <c r="G393" s="8"/>
    </row>
    <row r="394" spans="1:7" x14ac:dyDescent="0.2">
      <c r="A394" s="8"/>
      <c r="B394" s="299"/>
      <c r="C394" s="23"/>
      <c r="D394" s="173"/>
      <c r="E394" s="169"/>
      <c r="F394" s="179"/>
      <c r="G394" s="8"/>
    </row>
    <row r="395" spans="1:7" x14ac:dyDescent="0.2">
      <c r="A395" s="8"/>
      <c r="B395" s="299"/>
      <c r="C395" s="23"/>
      <c r="D395" s="173"/>
      <c r="E395" s="169"/>
      <c r="F395" s="179"/>
      <c r="G395" s="8"/>
    </row>
    <row r="396" spans="1:7" x14ac:dyDescent="0.2">
      <c r="A396" s="8"/>
      <c r="B396" s="299"/>
      <c r="C396" s="23"/>
      <c r="D396" s="173"/>
      <c r="E396" s="169"/>
      <c r="F396" s="179"/>
      <c r="G396" s="8"/>
    </row>
    <row r="397" spans="1:7" x14ac:dyDescent="0.2">
      <c r="A397" s="8"/>
      <c r="B397" s="299"/>
      <c r="C397" s="23"/>
      <c r="D397" s="173"/>
      <c r="E397" s="169"/>
      <c r="F397" s="179"/>
      <c r="G397" s="8"/>
    </row>
    <row r="398" spans="1:7" x14ac:dyDescent="0.2">
      <c r="A398" s="8"/>
      <c r="B398" s="299"/>
      <c r="C398" s="23"/>
      <c r="D398" s="173"/>
      <c r="E398" s="169"/>
      <c r="F398" s="179"/>
      <c r="G398" s="8"/>
    </row>
    <row r="399" spans="1:7" x14ac:dyDescent="0.2">
      <c r="A399" s="8"/>
      <c r="B399" s="299"/>
      <c r="C399" s="23"/>
      <c r="D399" s="173"/>
      <c r="E399" s="169"/>
      <c r="F399" s="179"/>
      <c r="G399" s="8"/>
    </row>
    <row r="400" spans="1:7" x14ac:dyDescent="0.2">
      <c r="A400" s="8"/>
      <c r="B400" s="299"/>
      <c r="C400" s="23"/>
      <c r="D400" s="173"/>
      <c r="E400" s="169"/>
      <c r="F400" s="179"/>
      <c r="G400" s="8"/>
    </row>
    <row r="401" spans="1:7" x14ac:dyDescent="0.2">
      <c r="A401" s="8"/>
      <c r="B401" s="299"/>
      <c r="C401" s="23"/>
      <c r="D401" s="173"/>
      <c r="E401" s="169"/>
      <c r="F401" s="179"/>
      <c r="G401" s="8"/>
    </row>
    <row r="402" spans="1:7" x14ac:dyDescent="0.2">
      <c r="A402" s="8"/>
      <c r="B402" s="299"/>
      <c r="C402" s="23"/>
      <c r="D402" s="173"/>
      <c r="E402" s="169"/>
      <c r="F402" s="179"/>
      <c r="G402" s="8"/>
    </row>
    <row r="403" spans="1:7" x14ac:dyDescent="0.2">
      <c r="A403" s="8"/>
      <c r="B403" s="299"/>
      <c r="C403" s="23"/>
      <c r="D403" s="173"/>
      <c r="E403" s="169"/>
      <c r="F403" s="179"/>
      <c r="G403" s="8"/>
    </row>
    <row r="404" spans="1:7" x14ac:dyDescent="0.2">
      <c r="A404" s="8"/>
      <c r="B404" s="299"/>
      <c r="C404" s="23"/>
      <c r="D404" s="173"/>
      <c r="E404" s="169"/>
      <c r="F404" s="179"/>
      <c r="G404" s="8"/>
    </row>
    <row r="405" spans="1:7" x14ac:dyDescent="0.2">
      <c r="A405" s="8"/>
      <c r="B405" s="299"/>
      <c r="C405" s="23"/>
      <c r="D405" s="173"/>
      <c r="E405" s="169"/>
      <c r="F405" s="179"/>
      <c r="G405" s="8"/>
    </row>
    <row r="406" spans="1:7" x14ac:dyDescent="0.2">
      <c r="A406" s="8"/>
      <c r="B406" s="299"/>
      <c r="C406" s="23"/>
      <c r="D406" s="173"/>
      <c r="E406" s="169"/>
      <c r="F406" s="179"/>
      <c r="G406" s="8"/>
    </row>
    <row r="407" spans="1:7" x14ac:dyDescent="0.2">
      <c r="A407" s="8"/>
      <c r="B407" s="299"/>
      <c r="C407" s="23"/>
      <c r="D407" s="173"/>
      <c r="E407" s="169"/>
      <c r="F407" s="179"/>
      <c r="G407" s="8"/>
    </row>
    <row r="408" spans="1:7" x14ac:dyDescent="0.2">
      <c r="A408" s="8"/>
      <c r="B408" s="299"/>
      <c r="C408" s="23"/>
      <c r="D408" s="173"/>
      <c r="E408" s="169"/>
      <c r="F408" s="179"/>
      <c r="G408" s="8"/>
    </row>
    <row r="409" spans="1:7" x14ac:dyDescent="0.2">
      <c r="A409" s="8"/>
      <c r="B409" s="299"/>
      <c r="C409" s="23"/>
      <c r="D409" s="173"/>
      <c r="E409" s="169"/>
      <c r="F409" s="179"/>
      <c r="G409" s="8"/>
    </row>
    <row r="410" spans="1:7" x14ac:dyDescent="0.2">
      <c r="A410" s="8"/>
      <c r="B410" s="299"/>
      <c r="C410" s="23"/>
      <c r="D410" s="173"/>
      <c r="E410" s="169"/>
      <c r="F410" s="179"/>
      <c r="G410" s="8"/>
    </row>
    <row r="411" spans="1:7" x14ac:dyDescent="0.2">
      <c r="A411" s="8"/>
      <c r="B411" s="299"/>
      <c r="C411" s="23"/>
      <c r="D411" s="173"/>
      <c r="E411" s="169"/>
      <c r="F411" s="179"/>
      <c r="G411" s="8"/>
    </row>
    <row r="412" spans="1:7" x14ac:dyDescent="0.2">
      <c r="A412" s="8"/>
      <c r="B412" s="299"/>
      <c r="C412" s="23"/>
      <c r="D412" s="173"/>
      <c r="E412" s="169"/>
      <c r="F412" s="179"/>
      <c r="G412" s="8"/>
    </row>
    <row r="413" spans="1:7" x14ac:dyDescent="0.2">
      <c r="A413" s="8"/>
      <c r="B413" s="299"/>
      <c r="C413" s="23"/>
      <c r="D413" s="173"/>
      <c r="E413" s="169"/>
      <c r="F413" s="179"/>
      <c r="G413" s="8"/>
    </row>
    <row r="414" spans="1:7" x14ac:dyDescent="0.2">
      <c r="A414" s="8"/>
      <c r="B414" s="299"/>
      <c r="C414" s="23"/>
      <c r="D414" s="173"/>
      <c r="E414" s="169"/>
      <c r="F414" s="179"/>
      <c r="G414" s="8"/>
    </row>
    <row r="415" spans="1:7" x14ac:dyDescent="0.2">
      <c r="A415" s="8"/>
      <c r="B415" s="299"/>
      <c r="C415" s="23"/>
      <c r="D415" s="173"/>
      <c r="E415" s="169"/>
      <c r="F415" s="179"/>
      <c r="G415" s="8"/>
    </row>
    <row r="416" spans="1:7" x14ac:dyDescent="0.2">
      <c r="A416" s="8"/>
      <c r="B416" s="299"/>
      <c r="C416" s="23"/>
      <c r="D416" s="173"/>
      <c r="E416" s="169"/>
      <c r="F416" s="179"/>
      <c r="G416" s="8"/>
    </row>
    <row r="417" spans="1:7" x14ac:dyDescent="0.2">
      <c r="A417" s="8"/>
      <c r="B417" s="299"/>
      <c r="C417" s="23"/>
      <c r="D417" s="173"/>
      <c r="E417" s="169"/>
      <c r="F417" s="179"/>
      <c r="G417" s="8"/>
    </row>
    <row r="418" spans="1:7" x14ac:dyDescent="0.2">
      <c r="A418" s="8"/>
      <c r="B418" s="299"/>
      <c r="C418" s="23"/>
      <c r="D418" s="173"/>
      <c r="E418" s="169"/>
      <c r="F418" s="179"/>
      <c r="G418" s="8"/>
    </row>
    <row r="419" spans="1:7" x14ac:dyDescent="0.2">
      <c r="A419" s="8"/>
      <c r="B419" s="299"/>
      <c r="C419" s="23"/>
      <c r="D419" s="173"/>
      <c r="E419" s="169"/>
      <c r="F419" s="179"/>
      <c r="G419" s="8"/>
    </row>
    <row r="420" spans="1:7" x14ac:dyDescent="0.2">
      <c r="A420" s="8"/>
      <c r="B420" s="299"/>
      <c r="C420" s="23"/>
      <c r="D420" s="173"/>
      <c r="E420" s="169"/>
      <c r="F420" s="179"/>
      <c r="G420" s="8"/>
    </row>
    <row r="421" spans="1:7" x14ac:dyDescent="0.2">
      <c r="A421" s="8"/>
      <c r="B421" s="299"/>
      <c r="C421" s="23"/>
      <c r="D421" s="173"/>
      <c r="E421" s="169"/>
      <c r="F421" s="179"/>
      <c r="G421" s="8"/>
    </row>
    <row r="422" spans="1:7" x14ac:dyDescent="0.2">
      <c r="A422" s="8"/>
      <c r="B422" s="299"/>
      <c r="C422" s="23"/>
      <c r="D422" s="173"/>
      <c r="E422" s="169"/>
      <c r="F422" s="179"/>
      <c r="G422" s="8"/>
    </row>
    <row r="423" spans="1:7" x14ac:dyDescent="0.2">
      <c r="A423" s="8"/>
      <c r="B423" s="299"/>
      <c r="C423" s="23"/>
      <c r="D423" s="173"/>
      <c r="E423" s="169"/>
      <c r="F423" s="179"/>
      <c r="G423" s="8"/>
    </row>
    <row r="424" spans="1:7" x14ac:dyDescent="0.2">
      <c r="A424" s="8"/>
      <c r="B424" s="299"/>
      <c r="C424" s="23"/>
      <c r="D424" s="173"/>
      <c r="E424" s="169"/>
      <c r="F424" s="179"/>
      <c r="G424" s="8"/>
    </row>
    <row r="425" spans="1:7" x14ac:dyDescent="0.2">
      <c r="A425" s="8"/>
      <c r="B425" s="299"/>
      <c r="C425" s="23"/>
      <c r="D425" s="173"/>
      <c r="E425" s="169"/>
      <c r="F425" s="179"/>
      <c r="G425" s="8"/>
    </row>
    <row r="426" spans="1:7" x14ac:dyDescent="0.2">
      <c r="A426" s="8"/>
      <c r="B426" s="299"/>
      <c r="C426" s="23"/>
      <c r="D426" s="173"/>
      <c r="E426" s="169"/>
      <c r="F426" s="179"/>
      <c r="G426" s="8"/>
    </row>
    <row r="427" spans="1:7" x14ac:dyDescent="0.2">
      <c r="A427" s="8"/>
      <c r="B427" s="299"/>
      <c r="C427" s="23"/>
      <c r="D427" s="173"/>
      <c r="E427" s="169"/>
      <c r="F427" s="179"/>
      <c r="G427" s="8"/>
    </row>
    <row r="428" spans="1:7" x14ac:dyDescent="0.2">
      <c r="A428" s="8"/>
      <c r="B428" s="299"/>
      <c r="C428" s="23"/>
      <c r="D428" s="173"/>
      <c r="E428" s="169"/>
      <c r="F428" s="179"/>
      <c r="G428" s="8"/>
    </row>
    <row r="429" spans="1:7" x14ac:dyDescent="0.2">
      <c r="A429" s="8"/>
      <c r="B429" s="299"/>
      <c r="C429" s="23"/>
      <c r="D429" s="173"/>
      <c r="E429" s="169"/>
      <c r="F429" s="179"/>
      <c r="G429" s="8"/>
    </row>
    <row r="430" spans="1:7" x14ac:dyDescent="0.2">
      <c r="A430" s="8"/>
      <c r="B430" s="299"/>
      <c r="C430" s="23"/>
      <c r="D430" s="173"/>
      <c r="E430" s="169"/>
      <c r="F430" s="179"/>
      <c r="G430" s="8"/>
    </row>
    <row r="431" spans="1:7" x14ac:dyDescent="0.2">
      <c r="A431" s="8"/>
      <c r="B431" s="299"/>
      <c r="C431" s="23"/>
      <c r="D431" s="173"/>
      <c r="E431" s="169"/>
      <c r="F431" s="179"/>
      <c r="G431" s="8"/>
    </row>
    <row r="432" spans="1:7" x14ac:dyDescent="0.2">
      <c r="A432" s="8"/>
      <c r="B432" s="299"/>
      <c r="C432" s="23"/>
      <c r="D432" s="173"/>
      <c r="E432" s="169"/>
      <c r="F432" s="179"/>
      <c r="G432" s="8"/>
    </row>
    <row r="433" spans="1:7" x14ac:dyDescent="0.2">
      <c r="A433" s="8"/>
      <c r="B433" s="299"/>
      <c r="C433" s="23"/>
      <c r="D433" s="173"/>
      <c r="E433" s="169"/>
      <c r="F433" s="179"/>
      <c r="G433" s="8"/>
    </row>
    <row r="434" spans="1:7" x14ac:dyDescent="0.2">
      <c r="A434" s="8"/>
      <c r="B434" s="299"/>
      <c r="C434" s="23"/>
      <c r="D434" s="173"/>
      <c r="E434" s="169"/>
      <c r="F434" s="179"/>
      <c r="G434" s="8"/>
    </row>
    <row r="435" spans="1:7" x14ac:dyDescent="0.2">
      <c r="A435" s="8"/>
      <c r="B435" s="299"/>
      <c r="C435" s="23"/>
      <c r="D435" s="173"/>
      <c r="E435" s="169"/>
      <c r="F435" s="179"/>
      <c r="G435" s="8"/>
    </row>
    <row r="436" spans="1:7" x14ac:dyDescent="0.2">
      <c r="A436" s="8"/>
      <c r="B436" s="299"/>
      <c r="C436" s="23"/>
      <c r="D436" s="173"/>
      <c r="E436" s="169"/>
      <c r="F436" s="179"/>
      <c r="G436" s="8"/>
    </row>
    <row r="437" spans="1:7" x14ac:dyDescent="0.2">
      <c r="A437" s="8"/>
      <c r="B437" s="299"/>
      <c r="C437" s="23"/>
      <c r="D437" s="173"/>
      <c r="E437" s="169"/>
      <c r="F437" s="179"/>
      <c r="G437" s="8"/>
    </row>
    <row r="438" spans="1:7" x14ac:dyDescent="0.2">
      <c r="A438" s="8"/>
      <c r="B438" s="299"/>
      <c r="C438" s="23"/>
      <c r="D438" s="173"/>
      <c r="E438" s="169"/>
      <c r="F438" s="179"/>
      <c r="G438" s="8"/>
    </row>
    <row r="439" spans="1:7" x14ac:dyDescent="0.2">
      <c r="A439" s="8"/>
      <c r="B439" s="299"/>
      <c r="C439" s="23"/>
      <c r="D439" s="173"/>
      <c r="E439" s="169"/>
      <c r="F439" s="179"/>
      <c r="G439" s="8"/>
    </row>
    <row r="440" spans="1:7" x14ac:dyDescent="0.2">
      <c r="A440" s="8"/>
      <c r="B440" s="299"/>
      <c r="C440" s="23"/>
      <c r="D440" s="173"/>
      <c r="E440" s="169"/>
      <c r="F440" s="179"/>
      <c r="G440" s="8"/>
    </row>
    <row r="441" spans="1:7" x14ac:dyDescent="0.2">
      <c r="A441" s="8"/>
      <c r="B441" s="299"/>
      <c r="C441" s="23"/>
      <c r="D441" s="173"/>
      <c r="E441" s="169"/>
      <c r="F441" s="179"/>
      <c r="G441" s="8"/>
    </row>
    <row r="442" spans="1:7" x14ac:dyDescent="0.2">
      <c r="A442" s="8"/>
      <c r="B442" s="299"/>
      <c r="C442" s="23"/>
      <c r="D442" s="173"/>
      <c r="E442" s="169"/>
      <c r="F442" s="179"/>
      <c r="G442" s="8"/>
    </row>
    <row r="443" spans="1:7" x14ac:dyDescent="0.2">
      <c r="A443" s="8"/>
      <c r="B443" s="299"/>
      <c r="C443" s="23"/>
      <c r="D443" s="173"/>
      <c r="E443" s="169"/>
      <c r="F443" s="179"/>
      <c r="G443" s="8"/>
    </row>
    <row r="444" spans="1:7" x14ac:dyDescent="0.2">
      <c r="A444" s="8"/>
      <c r="B444" s="299"/>
      <c r="C444" s="23"/>
      <c r="D444" s="173"/>
      <c r="E444" s="169"/>
      <c r="F444" s="179"/>
      <c r="G444" s="8"/>
    </row>
    <row r="445" spans="1:7" x14ac:dyDescent="0.2">
      <c r="A445" s="8"/>
      <c r="B445" s="299"/>
      <c r="C445" s="23"/>
      <c r="D445" s="173"/>
      <c r="E445" s="169"/>
      <c r="F445" s="179"/>
      <c r="G445" s="8"/>
    </row>
    <row r="446" spans="1:7" x14ac:dyDescent="0.2">
      <c r="A446" s="8"/>
      <c r="B446" s="299"/>
      <c r="C446" s="23"/>
      <c r="D446" s="173"/>
      <c r="E446" s="169"/>
      <c r="F446" s="179"/>
      <c r="G446" s="8"/>
    </row>
    <row r="447" spans="1:7" x14ac:dyDescent="0.2">
      <c r="A447" s="8"/>
      <c r="B447" s="299"/>
      <c r="C447" s="23"/>
      <c r="D447" s="173"/>
      <c r="E447" s="169"/>
      <c r="F447" s="179"/>
      <c r="G447" s="8"/>
    </row>
    <row r="448" spans="1:7" x14ac:dyDescent="0.2">
      <c r="A448" s="8"/>
      <c r="B448" s="299"/>
      <c r="C448" s="23"/>
      <c r="D448" s="173"/>
      <c r="E448" s="169"/>
      <c r="F448" s="179"/>
      <c r="G448" s="8"/>
    </row>
    <row r="449" spans="1:7" x14ac:dyDescent="0.2">
      <c r="A449" s="8"/>
      <c r="B449" s="299"/>
      <c r="C449" s="23"/>
      <c r="D449" s="173"/>
      <c r="E449" s="169"/>
      <c r="F449" s="179"/>
      <c r="G449" s="8"/>
    </row>
    <row r="450" spans="1:7" x14ac:dyDescent="0.2">
      <c r="A450" s="8"/>
      <c r="B450" s="299"/>
      <c r="C450" s="23"/>
      <c r="D450" s="173"/>
      <c r="E450" s="169"/>
      <c r="F450" s="179"/>
      <c r="G450" s="8"/>
    </row>
    <row r="451" spans="1:7" x14ac:dyDescent="0.2">
      <c r="A451" s="8"/>
      <c r="B451" s="299"/>
      <c r="C451" s="23"/>
      <c r="D451" s="173"/>
      <c r="E451" s="169"/>
      <c r="F451" s="179"/>
      <c r="G451" s="8"/>
    </row>
    <row r="452" spans="1:7" x14ac:dyDescent="0.2">
      <c r="A452" s="8"/>
      <c r="B452" s="299"/>
      <c r="C452" s="23"/>
      <c r="D452" s="173"/>
      <c r="E452" s="169"/>
      <c r="F452" s="179"/>
      <c r="G452" s="8"/>
    </row>
    <row r="453" spans="1:7" x14ac:dyDescent="0.2">
      <c r="A453" s="8"/>
      <c r="B453" s="299"/>
      <c r="C453" s="23"/>
      <c r="D453" s="173"/>
      <c r="E453" s="169"/>
      <c r="F453" s="179"/>
      <c r="G453" s="8"/>
    </row>
    <row r="454" spans="1:7" x14ac:dyDescent="0.2">
      <c r="A454" s="8"/>
      <c r="B454" s="299"/>
      <c r="C454" s="23"/>
      <c r="D454" s="173"/>
      <c r="E454" s="169"/>
      <c r="F454" s="179"/>
      <c r="G454" s="8"/>
    </row>
    <row r="455" spans="1:7" x14ac:dyDescent="0.2">
      <c r="A455" s="8"/>
      <c r="B455" s="299"/>
      <c r="C455" s="23"/>
      <c r="D455" s="173"/>
      <c r="E455" s="169"/>
      <c r="F455" s="179"/>
      <c r="G455" s="8"/>
    </row>
    <row r="456" spans="1:7" x14ac:dyDescent="0.2">
      <c r="A456" s="8"/>
      <c r="B456" s="299"/>
      <c r="C456" s="23"/>
      <c r="D456" s="173"/>
      <c r="E456" s="169"/>
      <c r="F456" s="179"/>
      <c r="G456" s="8"/>
    </row>
    <row r="457" spans="1:7" x14ac:dyDescent="0.2">
      <c r="A457" s="8"/>
      <c r="B457" s="299"/>
      <c r="C457" s="23"/>
      <c r="D457" s="173"/>
      <c r="E457" s="169"/>
      <c r="F457" s="179"/>
      <c r="G457" s="8"/>
    </row>
    <row r="458" spans="1:7" x14ac:dyDescent="0.2">
      <c r="A458" s="8"/>
      <c r="B458" s="299"/>
      <c r="C458" s="23"/>
      <c r="D458" s="173"/>
      <c r="E458" s="169"/>
      <c r="F458" s="179"/>
      <c r="G458" s="8"/>
    </row>
    <row r="459" spans="1:7" x14ac:dyDescent="0.2">
      <c r="A459" s="8"/>
      <c r="B459" s="299"/>
      <c r="C459" s="23"/>
      <c r="D459" s="173"/>
      <c r="E459" s="169"/>
      <c r="F459" s="179"/>
      <c r="G459" s="8"/>
    </row>
    <row r="460" spans="1:7" x14ac:dyDescent="0.2">
      <c r="A460" s="8"/>
      <c r="B460" s="299"/>
      <c r="C460" s="23"/>
      <c r="D460" s="173"/>
      <c r="E460" s="169"/>
      <c r="F460" s="179"/>
      <c r="G460" s="8"/>
    </row>
    <row r="461" spans="1:7" x14ac:dyDescent="0.2">
      <c r="A461" s="8"/>
      <c r="B461" s="299"/>
      <c r="C461" s="23"/>
      <c r="D461" s="173"/>
      <c r="E461" s="169"/>
      <c r="F461" s="179"/>
      <c r="G461" s="8"/>
    </row>
    <row r="462" spans="1:7" x14ac:dyDescent="0.2">
      <c r="A462" s="8"/>
      <c r="B462" s="299"/>
      <c r="C462" s="23"/>
      <c r="D462" s="173"/>
      <c r="E462" s="169"/>
      <c r="F462" s="179"/>
      <c r="G462" s="8"/>
    </row>
    <row r="463" spans="1:7" x14ac:dyDescent="0.2">
      <c r="A463" s="8"/>
      <c r="B463" s="299"/>
      <c r="C463" s="23"/>
      <c r="D463" s="173"/>
      <c r="E463" s="169"/>
      <c r="F463" s="179"/>
      <c r="G463" s="8"/>
    </row>
    <row r="464" spans="1:7" x14ac:dyDescent="0.2">
      <c r="A464" s="8"/>
      <c r="B464" s="299"/>
      <c r="C464" s="23"/>
      <c r="D464" s="173"/>
      <c r="E464" s="169"/>
      <c r="F464" s="179"/>
      <c r="G464" s="8"/>
    </row>
    <row r="465" spans="1:7" x14ac:dyDescent="0.2">
      <c r="A465" s="8"/>
      <c r="B465" s="299"/>
      <c r="C465" s="23"/>
      <c r="D465" s="173"/>
      <c r="E465" s="169"/>
      <c r="F465" s="179"/>
      <c r="G465" s="8"/>
    </row>
    <row r="466" spans="1:7" x14ac:dyDescent="0.2">
      <c r="A466" s="8"/>
      <c r="B466" s="299"/>
      <c r="C466" s="23"/>
      <c r="D466" s="173"/>
      <c r="E466" s="169"/>
      <c r="F466" s="179"/>
      <c r="G466" s="8"/>
    </row>
    <row r="467" spans="1:7" x14ac:dyDescent="0.2">
      <c r="A467" s="8"/>
      <c r="B467" s="299"/>
      <c r="C467" s="23"/>
      <c r="D467" s="173"/>
      <c r="E467" s="169"/>
      <c r="F467" s="179"/>
      <c r="G467" s="8"/>
    </row>
    <row r="468" spans="1:7" x14ac:dyDescent="0.2">
      <c r="A468" s="8"/>
      <c r="B468" s="299"/>
      <c r="C468" s="23"/>
      <c r="D468" s="173"/>
      <c r="E468" s="169"/>
      <c r="F468" s="179"/>
      <c r="G468" s="8"/>
    </row>
    <row r="469" spans="1:7" x14ac:dyDescent="0.2">
      <c r="A469" s="8"/>
      <c r="B469" s="299"/>
      <c r="C469" s="23"/>
      <c r="D469" s="173"/>
      <c r="E469" s="169"/>
      <c r="F469" s="179"/>
      <c r="G469" s="8"/>
    </row>
    <row r="470" spans="1:7" x14ac:dyDescent="0.2">
      <c r="A470" s="8"/>
      <c r="B470" s="299"/>
      <c r="C470" s="23"/>
      <c r="D470" s="173"/>
      <c r="E470" s="169"/>
      <c r="F470" s="179"/>
      <c r="G470" s="8"/>
    </row>
    <row r="471" spans="1:7" x14ac:dyDescent="0.2">
      <c r="A471" s="8"/>
      <c r="B471" s="299"/>
      <c r="C471" s="23"/>
      <c r="D471" s="173"/>
      <c r="E471" s="169"/>
      <c r="F471" s="179"/>
      <c r="G471" s="8"/>
    </row>
    <row r="472" spans="1:7" x14ac:dyDescent="0.2">
      <c r="A472" s="8"/>
      <c r="B472" s="299"/>
      <c r="C472" s="23"/>
      <c r="D472" s="173"/>
      <c r="E472" s="169"/>
      <c r="F472" s="179"/>
      <c r="G472" s="8"/>
    </row>
    <row r="473" spans="1:7" x14ac:dyDescent="0.2">
      <c r="A473" s="8"/>
      <c r="B473" s="299"/>
      <c r="C473" s="23"/>
      <c r="D473" s="173"/>
      <c r="E473" s="169"/>
      <c r="F473" s="179"/>
      <c r="G473" s="8"/>
    </row>
    <row r="474" spans="1:7" x14ac:dyDescent="0.2">
      <c r="A474" s="8"/>
      <c r="B474" s="299"/>
      <c r="C474" s="23"/>
      <c r="D474" s="173"/>
      <c r="E474" s="169"/>
      <c r="F474" s="179"/>
      <c r="G474" s="8"/>
    </row>
    <row r="475" spans="1:7" x14ac:dyDescent="0.2">
      <c r="A475" s="8"/>
      <c r="B475" s="299"/>
      <c r="C475" s="23"/>
      <c r="D475" s="173"/>
      <c r="E475" s="169"/>
      <c r="F475" s="179"/>
      <c r="G475" s="8"/>
    </row>
    <row r="476" spans="1:7" x14ac:dyDescent="0.2">
      <c r="A476" s="8"/>
      <c r="B476" s="299"/>
      <c r="C476" s="23"/>
      <c r="D476" s="173"/>
      <c r="E476" s="169"/>
      <c r="F476" s="179"/>
      <c r="G476" s="8"/>
    </row>
    <row r="477" spans="1:7" x14ac:dyDescent="0.2">
      <c r="A477" s="8"/>
      <c r="B477" s="299"/>
      <c r="C477" s="23"/>
      <c r="D477" s="173"/>
      <c r="E477" s="169"/>
      <c r="F477" s="179"/>
      <c r="G477" s="8"/>
    </row>
    <row r="478" spans="1:7" x14ac:dyDescent="0.2">
      <c r="A478" s="8"/>
      <c r="B478" s="299"/>
      <c r="C478" s="23"/>
      <c r="D478" s="173"/>
      <c r="E478" s="169"/>
      <c r="F478" s="179"/>
      <c r="G478" s="8"/>
    </row>
    <row r="479" spans="1:7" x14ac:dyDescent="0.2">
      <c r="A479" s="8"/>
      <c r="B479" s="299"/>
      <c r="C479" s="23"/>
      <c r="D479" s="173"/>
      <c r="E479" s="169"/>
      <c r="F479" s="179"/>
      <c r="G479" s="8"/>
    </row>
    <row r="480" spans="1:7" x14ac:dyDescent="0.2">
      <c r="A480" s="8"/>
      <c r="B480" s="299"/>
      <c r="C480" s="23"/>
      <c r="D480" s="173"/>
      <c r="E480" s="169"/>
      <c r="F480" s="179"/>
      <c r="G480" s="8"/>
    </row>
    <row r="481" spans="1:7" x14ac:dyDescent="0.2">
      <c r="A481" s="8"/>
      <c r="B481" s="299"/>
      <c r="C481" s="23"/>
      <c r="D481" s="173"/>
      <c r="E481" s="169"/>
      <c r="F481" s="179"/>
      <c r="G481" s="8"/>
    </row>
    <row r="482" spans="1:7" x14ac:dyDescent="0.2">
      <c r="A482" s="8"/>
      <c r="B482" s="299"/>
      <c r="C482" s="23"/>
      <c r="D482" s="173"/>
      <c r="E482" s="169"/>
      <c r="F482" s="179"/>
      <c r="G482" s="8"/>
    </row>
    <row r="483" spans="1:7" x14ac:dyDescent="0.2">
      <c r="A483" s="8"/>
      <c r="B483" s="299"/>
      <c r="C483" s="23"/>
      <c r="D483" s="173"/>
      <c r="E483" s="169"/>
      <c r="F483" s="179"/>
      <c r="G483" s="8"/>
    </row>
    <row r="484" spans="1:7" x14ac:dyDescent="0.2">
      <c r="A484" s="8"/>
      <c r="B484" s="299"/>
      <c r="C484" s="23"/>
      <c r="D484" s="173"/>
      <c r="E484" s="169"/>
      <c r="F484" s="179"/>
      <c r="G484" s="8"/>
    </row>
    <row r="485" spans="1:7" x14ac:dyDescent="0.2">
      <c r="A485" s="8"/>
      <c r="B485" s="299"/>
      <c r="C485" s="23"/>
      <c r="D485" s="173"/>
      <c r="E485" s="169"/>
      <c r="F485" s="179"/>
      <c r="G485" s="8"/>
    </row>
    <row r="486" spans="1:7" x14ac:dyDescent="0.2">
      <c r="A486" s="8"/>
      <c r="B486" s="299"/>
      <c r="C486" s="23"/>
      <c r="D486" s="173"/>
      <c r="E486" s="169"/>
      <c r="F486" s="179"/>
      <c r="G486" s="8"/>
    </row>
    <row r="487" spans="1:7" x14ac:dyDescent="0.2">
      <c r="A487" s="8"/>
      <c r="B487" s="299"/>
      <c r="C487" s="23"/>
      <c r="D487" s="173"/>
      <c r="E487" s="169"/>
      <c r="F487" s="179"/>
      <c r="G487" s="8"/>
    </row>
    <row r="488" spans="1:7" x14ac:dyDescent="0.2">
      <c r="A488" s="8"/>
      <c r="B488" s="299"/>
      <c r="C488" s="23"/>
      <c r="D488" s="173"/>
      <c r="E488" s="169"/>
      <c r="F488" s="179"/>
      <c r="G488" s="8"/>
    </row>
    <row r="489" spans="1:7" x14ac:dyDescent="0.2">
      <c r="A489" s="8"/>
      <c r="B489" s="299"/>
      <c r="C489" s="23"/>
      <c r="D489" s="173"/>
      <c r="E489" s="169"/>
      <c r="F489" s="179"/>
      <c r="G489" s="8"/>
    </row>
    <row r="490" spans="1:7" x14ac:dyDescent="0.2">
      <c r="A490" s="8"/>
      <c r="B490" s="299"/>
      <c r="C490" s="23"/>
      <c r="D490" s="173"/>
      <c r="E490" s="169"/>
      <c r="F490" s="179"/>
      <c r="G490" s="8"/>
    </row>
    <row r="491" spans="1:7" x14ac:dyDescent="0.2">
      <c r="A491" s="8"/>
      <c r="B491" s="299"/>
      <c r="C491" s="23"/>
      <c r="D491" s="173"/>
      <c r="E491" s="169"/>
      <c r="F491" s="179"/>
      <c r="G491" s="8"/>
    </row>
    <row r="492" spans="1:7" x14ac:dyDescent="0.2">
      <c r="A492" s="8"/>
      <c r="B492" s="299"/>
      <c r="C492" s="23"/>
      <c r="D492" s="173"/>
      <c r="E492" s="169"/>
      <c r="F492" s="179"/>
      <c r="G492" s="8"/>
    </row>
    <row r="493" spans="1:7" x14ac:dyDescent="0.2">
      <c r="A493" s="8"/>
      <c r="B493" s="299"/>
      <c r="C493" s="23"/>
      <c r="D493" s="173"/>
      <c r="E493" s="169"/>
      <c r="F493" s="179"/>
      <c r="G493" s="8"/>
    </row>
    <row r="494" spans="1:7" x14ac:dyDescent="0.2">
      <c r="A494" s="8"/>
      <c r="B494" s="299"/>
      <c r="C494" s="23"/>
      <c r="D494" s="173"/>
      <c r="E494" s="169"/>
      <c r="F494" s="179"/>
      <c r="G494" s="8"/>
    </row>
    <row r="495" spans="1:7" x14ac:dyDescent="0.2">
      <c r="A495" s="8"/>
      <c r="B495" s="299"/>
      <c r="C495" s="23"/>
      <c r="D495" s="173"/>
      <c r="E495" s="169"/>
      <c r="F495" s="179"/>
      <c r="G495" s="8"/>
    </row>
    <row r="496" spans="1:7" x14ac:dyDescent="0.2">
      <c r="A496" s="8"/>
      <c r="B496" s="299"/>
      <c r="C496" s="23"/>
      <c r="D496" s="173"/>
      <c r="E496" s="169"/>
      <c r="F496" s="179"/>
      <c r="G496" s="8"/>
    </row>
    <row r="497" spans="1:7" x14ac:dyDescent="0.2">
      <c r="A497" s="8"/>
      <c r="B497" s="299"/>
      <c r="C497" s="23"/>
      <c r="D497" s="173"/>
      <c r="E497" s="169"/>
      <c r="F497" s="179"/>
      <c r="G497" s="8"/>
    </row>
    <row r="498" spans="1:7" x14ac:dyDescent="0.2">
      <c r="A498" s="8"/>
      <c r="B498" s="299"/>
      <c r="C498" s="23"/>
      <c r="D498" s="173"/>
      <c r="E498" s="169"/>
      <c r="F498" s="179"/>
      <c r="G498" s="8"/>
    </row>
    <row r="499" spans="1:7" x14ac:dyDescent="0.2">
      <c r="A499" s="8"/>
      <c r="B499" s="299"/>
      <c r="C499" s="23"/>
      <c r="D499" s="173"/>
      <c r="E499" s="169"/>
      <c r="F499" s="179"/>
      <c r="G499" s="8"/>
    </row>
    <row r="500" spans="1:7" x14ac:dyDescent="0.2">
      <c r="A500" s="8"/>
      <c r="B500" s="299"/>
      <c r="C500" s="23"/>
      <c r="D500" s="173"/>
      <c r="E500" s="169"/>
      <c r="F500" s="179"/>
      <c r="G500" s="8"/>
    </row>
    <row r="501" spans="1:7" x14ac:dyDescent="0.2">
      <c r="A501" s="8"/>
      <c r="B501" s="299"/>
      <c r="C501" s="23"/>
      <c r="D501" s="173"/>
      <c r="E501" s="169"/>
      <c r="F501" s="179"/>
      <c r="G501" s="8"/>
    </row>
    <row r="502" spans="1:7" x14ac:dyDescent="0.2">
      <c r="A502" s="8"/>
      <c r="B502" s="299"/>
      <c r="C502" s="23"/>
      <c r="D502" s="173"/>
      <c r="E502" s="169"/>
      <c r="F502" s="179"/>
      <c r="G502" s="8"/>
    </row>
    <row r="503" spans="1:7" x14ac:dyDescent="0.2">
      <c r="A503" s="8"/>
      <c r="B503" s="299"/>
      <c r="C503" s="23"/>
      <c r="D503" s="173"/>
      <c r="E503" s="169"/>
      <c r="F503" s="179"/>
      <c r="G503" s="8"/>
    </row>
    <row r="504" spans="1:7" x14ac:dyDescent="0.2">
      <c r="A504" s="8"/>
      <c r="B504" s="299"/>
      <c r="C504" s="23"/>
      <c r="D504" s="173"/>
      <c r="E504" s="169"/>
      <c r="F504" s="179"/>
      <c r="G504" s="8"/>
    </row>
    <row r="505" spans="1:7" x14ac:dyDescent="0.2">
      <c r="A505" s="8"/>
      <c r="B505" s="299"/>
      <c r="C505" s="23"/>
      <c r="D505" s="173"/>
      <c r="E505" s="169"/>
      <c r="F505" s="179"/>
      <c r="G505" s="8"/>
    </row>
    <row r="506" spans="1:7" x14ac:dyDescent="0.2">
      <c r="A506" s="8"/>
      <c r="B506" s="299"/>
      <c r="C506" s="23"/>
      <c r="D506" s="173"/>
      <c r="E506" s="169"/>
      <c r="F506" s="179"/>
      <c r="G506" s="8"/>
    </row>
    <row r="507" spans="1:7" x14ac:dyDescent="0.2">
      <c r="A507" s="8"/>
      <c r="B507" s="299"/>
      <c r="C507" s="23"/>
      <c r="D507" s="173"/>
      <c r="E507" s="169"/>
      <c r="F507" s="179"/>
      <c r="G507" s="8"/>
    </row>
    <row r="508" spans="1:7" x14ac:dyDescent="0.2">
      <c r="A508" s="8"/>
      <c r="B508" s="299"/>
      <c r="C508" s="23"/>
      <c r="D508" s="173"/>
      <c r="E508" s="169"/>
      <c r="F508" s="179"/>
      <c r="G508" s="8"/>
    </row>
    <row r="509" spans="1:7" x14ac:dyDescent="0.2">
      <c r="A509" s="8"/>
      <c r="B509" s="299"/>
      <c r="C509" s="23"/>
      <c r="D509" s="173"/>
      <c r="E509" s="169"/>
      <c r="F509" s="179"/>
      <c r="G509" s="8"/>
    </row>
    <row r="510" spans="1:7" x14ac:dyDescent="0.2">
      <c r="A510" s="8"/>
      <c r="B510" s="299"/>
      <c r="C510" s="23"/>
      <c r="D510" s="173"/>
      <c r="E510" s="169"/>
      <c r="F510" s="179"/>
      <c r="G510" s="8"/>
    </row>
    <row r="511" spans="1:7" x14ac:dyDescent="0.2">
      <c r="A511" s="8"/>
      <c r="B511" s="299"/>
      <c r="C511" s="23"/>
      <c r="D511" s="173"/>
      <c r="E511" s="169"/>
      <c r="F511" s="179"/>
      <c r="G511" s="8"/>
    </row>
    <row r="512" spans="1:7" x14ac:dyDescent="0.2">
      <c r="A512" s="8"/>
      <c r="B512" s="299"/>
      <c r="C512" s="23"/>
      <c r="D512" s="173"/>
      <c r="E512" s="169"/>
      <c r="F512" s="179"/>
      <c r="G512" s="8"/>
    </row>
    <row r="513" spans="1:7" x14ac:dyDescent="0.2">
      <c r="A513" s="8"/>
      <c r="B513" s="299"/>
      <c r="C513" s="23"/>
      <c r="D513" s="173"/>
      <c r="E513" s="169"/>
      <c r="F513" s="179"/>
      <c r="G513" s="8"/>
    </row>
    <row r="514" spans="1:7" x14ac:dyDescent="0.2">
      <c r="A514" s="8"/>
      <c r="B514" s="299"/>
      <c r="C514" s="23"/>
      <c r="D514" s="173"/>
      <c r="E514" s="169"/>
      <c r="F514" s="179"/>
      <c r="G514" s="8"/>
    </row>
    <row r="515" spans="1:7" x14ac:dyDescent="0.2">
      <c r="A515" s="8"/>
      <c r="B515" s="299"/>
      <c r="C515" s="23"/>
      <c r="D515" s="173"/>
      <c r="E515" s="169"/>
      <c r="F515" s="179"/>
      <c r="G515" s="8"/>
    </row>
    <row r="516" spans="1:7" x14ac:dyDescent="0.2">
      <c r="A516" s="8"/>
      <c r="B516" s="299"/>
      <c r="C516" s="23"/>
      <c r="D516" s="173"/>
      <c r="E516" s="169"/>
      <c r="F516" s="179"/>
      <c r="G516" s="8"/>
    </row>
    <row r="517" spans="1:7" x14ac:dyDescent="0.2">
      <c r="A517" s="8"/>
      <c r="B517" s="299"/>
      <c r="C517" s="23"/>
      <c r="D517" s="173"/>
      <c r="E517" s="169"/>
      <c r="F517" s="179"/>
      <c r="G517" s="8"/>
    </row>
    <row r="518" spans="1:7" x14ac:dyDescent="0.2">
      <c r="A518" s="8"/>
      <c r="B518" s="299"/>
      <c r="C518" s="23"/>
      <c r="D518" s="173"/>
      <c r="E518" s="169"/>
      <c r="F518" s="179"/>
      <c r="G518" s="8"/>
    </row>
    <row r="519" spans="1:7" x14ac:dyDescent="0.2">
      <c r="A519" s="8"/>
      <c r="B519" s="299"/>
      <c r="C519" s="23"/>
      <c r="D519" s="173"/>
      <c r="E519" s="169"/>
      <c r="F519" s="179"/>
      <c r="G519" s="8"/>
    </row>
    <row r="520" spans="1:7" x14ac:dyDescent="0.2">
      <c r="A520" s="8"/>
      <c r="B520" s="299"/>
      <c r="C520" s="23"/>
      <c r="D520" s="173"/>
      <c r="E520" s="169"/>
      <c r="F520" s="179"/>
      <c r="G520" s="8"/>
    </row>
    <row r="521" spans="1:7" x14ac:dyDescent="0.2">
      <c r="A521" s="8"/>
      <c r="B521" s="299"/>
      <c r="C521" s="23"/>
      <c r="D521" s="173"/>
      <c r="E521" s="169"/>
      <c r="F521" s="179"/>
      <c r="G521" s="8"/>
    </row>
    <row r="522" spans="1:7" x14ac:dyDescent="0.2">
      <c r="A522" s="8"/>
      <c r="B522" s="299"/>
      <c r="C522" s="23"/>
      <c r="D522" s="173"/>
      <c r="E522" s="169"/>
      <c r="F522" s="179"/>
      <c r="G522" s="8"/>
    </row>
    <row r="523" spans="1:7" x14ac:dyDescent="0.2">
      <c r="A523" s="8"/>
      <c r="B523" s="299"/>
      <c r="C523" s="23"/>
      <c r="D523" s="173"/>
      <c r="E523" s="169"/>
      <c r="F523" s="179"/>
      <c r="G523" s="8"/>
    </row>
    <row r="524" spans="1:7" x14ac:dyDescent="0.2">
      <c r="A524" s="8"/>
      <c r="B524" s="299"/>
      <c r="C524" s="23"/>
      <c r="D524" s="173"/>
      <c r="E524" s="169"/>
      <c r="F524" s="179"/>
      <c r="G524" s="8"/>
    </row>
    <row r="525" spans="1:7" x14ac:dyDescent="0.2">
      <c r="A525" s="8"/>
      <c r="B525" s="299"/>
      <c r="C525" s="23"/>
      <c r="D525" s="173"/>
      <c r="E525" s="169"/>
      <c r="F525" s="179"/>
      <c r="G525" s="8"/>
    </row>
    <row r="526" spans="1:7" x14ac:dyDescent="0.2">
      <c r="A526" s="8"/>
      <c r="B526" s="299"/>
      <c r="C526" s="23"/>
      <c r="D526" s="173"/>
      <c r="E526" s="169"/>
      <c r="F526" s="179"/>
      <c r="G526" s="8"/>
    </row>
    <row r="527" spans="1:7" x14ac:dyDescent="0.2">
      <c r="A527" s="8"/>
      <c r="B527" s="299"/>
      <c r="C527" s="23"/>
      <c r="D527" s="173"/>
      <c r="E527" s="169"/>
      <c r="F527" s="179"/>
      <c r="G527" s="8"/>
    </row>
    <row r="528" spans="1:7" x14ac:dyDescent="0.2">
      <c r="A528" s="8"/>
      <c r="B528" s="299"/>
      <c r="C528" s="23"/>
      <c r="D528" s="173"/>
      <c r="E528" s="169"/>
      <c r="F528" s="179"/>
      <c r="G528" s="8"/>
    </row>
    <row r="529" spans="1:7" x14ac:dyDescent="0.2">
      <c r="A529" s="8"/>
      <c r="B529" s="299"/>
      <c r="C529" s="23"/>
      <c r="D529" s="173"/>
      <c r="E529" s="169"/>
      <c r="F529" s="179"/>
      <c r="G529" s="8"/>
    </row>
    <row r="530" spans="1:7" x14ac:dyDescent="0.2">
      <c r="A530" s="8"/>
      <c r="B530" s="299"/>
      <c r="C530" s="23"/>
      <c r="D530" s="173"/>
      <c r="E530" s="169"/>
      <c r="F530" s="179"/>
      <c r="G530" s="8"/>
    </row>
    <row r="531" spans="1:7" x14ac:dyDescent="0.2">
      <c r="A531" s="8"/>
      <c r="B531" s="299"/>
      <c r="C531" s="23"/>
      <c r="D531" s="173"/>
      <c r="E531" s="169"/>
      <c r="F531" s="179"/>
      <c r="G531" s="8"/>
    </row>
    <row r="532" spans="1:7" x14ac:dyDescent="0.2">
      <c r="A532" s="8"/>
      <c r="B532" s="299"/>
      <c r="C532" s="23"/>
      <c r="D532" s="173"/>
      <c r="E532" s="169"/>
      <c r="F532" s="179"/>
      <c r="G532" s="8"/>
    </row>
    <row r="533" spans="1:7" x14ac:dyDescent="0.2">
      <c r="A533" s="8"/>
      <c r="B533" s="299"/>
      <c r="C533" s="23"/>
      <c r="D533" s="173"/>
      <c r="E533" s="169"/>
      <c r="F533" s="179"/>
      <c r="G533" s="8"/>
    </row>
    <row r="534" spans="1:7" x14ac:dyDescent="0.2">
      <c r="A534" s="8"/>
      <c r="B534" s="299"/>
      <c r="C534" s="23"/>
      <c r="D534" s="173"/>
      <c r="E534" s="169"/>
      <c r="F534" s="179"/>
      <c r="G534" s="8"/>
    </row>
    <row r="535" spans="1:7" x14ac:dyDescent="0.2">
      <c r="A535" s="8"/>
      <c r="B535" s="299"/>
      <c r="C535" s="23"/>
      <c r="D535" s="173"/>
      <c r="E535" s="169"/>
      <c r="F535" s="179"/>
      <c r="G535" s="8"/>
    </row>
    <row r="536" spans="1:7" x14ac:dyDescent="0.2">
      <c r="A536" s="8"/>
      <c r="B536" s="299"/>
      <c r="C536" s="23"/>
      <c r="D536" s="173"/>
      <c r="E536" s="169"/>
      <c r="F536" s="179"/>
      <c r="G536" s="8"/>
    </row>
    <row r="537" spans="1:7" x14ac:dyDescent="0.2">
      <c r="A537" s="8"/>
      <c r="B537" s="299"/>
      <c r="C537" s="23"/>
      <c r="D537" s="173"/>
      <c r="E537" s="169"/>
      <c r="F537" s="179"/>
      <c r="G537" s="8"/>
    </row>
    <row r="538" spans="1:7" x14ac:dyDescent="0.2">
      <c r="A538" s="8"/>
      <c r="B538" s="299"/>
      <c r="C538" s="23"/>
      <c r="D538" s="173"/>
      <c r="E538" s="169"/>
      <c r="F538" s="179"/>
      <c r="G538" s="8"/>
    </row>
    <row r="539" spans="1:7" x14ac:dyDescent="0.2">
      <c r="A539" s="8"/>
      <c r="B539" s="299"/>
      <c r="C539" s="23"/>
      <c r="D539" s="173"/>
      <c r="E539" s="169"/>
      <c r="F539" s="179"/>
      <c r="G539" s="8"/>
    </row>
    <row r="540" spans="1:7" x14ac:dyDescent="0.2">
      <c r="A540" s="8"/>
      <c r="B540" s="299"/>
      <c r="C540" s="23"/>
      <c r="D540" s="173"/>
      <c r="E540" s="169"/>
      <c r="F540" s="179"/>
      <c r="G540" s="8"/>
    </row>
    <row r="541" spans="1:7" x14ac:dyDescent="0.2">
      <c r="A541" s="8"/>
      <c r="B541" s="299"/>
      <c r="C541" s="23"/>
      <c r="D541" s="173"/>
      <c r="E541" s="169"/>
      <c r="F541" s="179"/>
      <c r="G541" s="8"/>
    </row>
    <row r="542" spans="1:7" x14ac:dyDescent="0.2">
      <c r="A542" s="8"/>
      <c r="B542" s="299"/>
      <c r="C542" s="23"/>
      <c r="D542" s="173"/>
      <c r="E542" s="169"/>
      <c r="F542" s="179"/>
      <c r="G542" s="8"/>
    </row>
    <row r="543" spans="1:7" x14ac:dyDescent="0.2">
      <c r="A543" s="8"/>
      <c r="B543" s="299"/>
      <c r="C543" s="23"/>
      <c r="D543" s="173"/>
      <c r="E543" s="169"/>
      <c r="F543" s="179"/>
      <c r="G543" s="8"/>
    </row>
    <row r="544" spans="1:7" x14ac:dyDescent="0.2">
      <c r="A544" s="8"/>
      <c r="B544" s="299"/>
      <c r="C544" s="23"/>
      <c r="D544" s="173"/>
      <c r="E544" s="169"/>
      <c r="F544" s="179"/>
      <c r="G544" s="8"/>
    </row>
    <row r="545" spans="1:7" x14ac:dyDescent="0.2">
      <c r="A545" s="8"/>
      <c r="B545" s="299"/>
      <c r="C545" s="23"/>
      <c r="D545" s="173"/>
      <c r="E545" s="169"/>
      <c r="F545" s="179"/>
      <c r="G545" s="8"/>
    </row>
    <row r="546" spans="1:7" x14ac:dyDescent="0.2">
      <c r="A546" s="8"/>
      <c r="B546" s="299"/>
      <c r="C546" s="23"/>
      <c r="D546" s="173"/>
      <c r="E546" s="169"/>
      <c r="F546" s="179"/>
      <c r="G546" s="8"/>
    </row>
    <row r="547" spans="1:7" x14ac:dyDescent="0.2">
      <c r="A547" s="8"/>
      <c r="B547" s="299"/>
      <c r="C547" s="23"/>
      <c r="D547" s="173"/>
      <c r="E547" s="169"/>
      <c r="F547" s="179"/>
      <c r="G547" s="8"/>
    </row>
    <row r="548" spans="1:7" x14ac:dyDescent="0.2">
      <c r="A548" s="8"/>
      <c r="B548" s="299"/>
      <c r="C548" s="23"/>
      <c r="D548" s="173"/>
      <c r="E548" s="169"/>
      <c r="F548" s="179"/>
      <c r="G548" s="8"/>
    </row>
    <row r="549" spans="1:7" x14ac:dyDescent="0.2">
      <c r="A549" s="8"/>
      <c r="B549" s="299"/>
      <c r="C549" s="23"/>
      <c r="D549" s="173"/>
      <c r="E549" s="169"/>
      <c r="F549" s="179"/>
      <c r="G549" s="8"/>
    </row>
    <row r="550" spans="1:7" x14ac:dyDescent="0.2">
      <c r="A550" s="8"/>
      <c r="B550" s="299"/>
      <c r="C550" s="23"/>
      <c r="D550" s="173"/>
      <c r="E550" s="169"/>
      <c r="F550" s="179"/>
      <c r="G550" s="8"/>
    </row>
    <row r="551" spans="1:7" x14ac:dyDescent="0.2">
      <c r="A551" s="8"/>
      <c r="B551" s="299"/>
      <c r="C551" s="23"/>
      <c r="D551" s="173"/>
      <c r="E551" s="169"/>
      <c r="F551" s="179"/>
      <c r="G551" s="8"/>
    </row>
    <row r="552" spans="1:7" x14ac:dyDescent="0.2">
      <c r="A552" s="8"/>
      <c r="B552" s="299"/>
      <c r="C552" s="23"/>
      <c r="D552" s="173"/>
      <c r="E552" s="169"/>
      <c r="F552" s="179"/>
      <c r="G552" s="8"/>
    </row>
    <row r="553" spans="1:7" x14ac:dyDescent="0.2">
      <c r="A553" s="8"/>
      <c r="B553" s="299"/>
      <c r="C553" s="23"/>
      <c r="D553" s="173"/>
      <c r="E553" s="169"/>
      <c r="F553" s="179"/>
      <c r="G553" s="8"/>
    </row>
    <row r="554" spans="1:7" x14ac:dyDescent="0.2">
      <c r="A554" s="8"/>
      <c r="B554" s="299"/>
      <c r="C554" s="23"/>
      <c r="D554" s="173"/>
      <c r="E554" s="169"/>
      <c r="F554" s="179"/>
      <c r="G554" s="8"/>
    </row>
    <row r="555" spans="1:7" x14ac:dyDescent="0.2">
      <c r="A555" s="8"/>
      <c r="B555" s="299"/>
      <c r="C555" s="23"/>
      <c r="D555" s="173"/>
      <c r="E555" s="169"/>
      <c r="F555" s="179"/>
      <c r="G555" s="8"/>
    </row>
    <row r="556" spans="1:7" x14ac:dyDescent="0.2">
      <c r="A556" s="8"/>
      <c r="B556" s="299"/>
      <c r="C556" s="23"/>
      <c r="D556" s="173"/>
      <c r="E556" s="169"/>
      <c r="F556" s="179"/>
      <c r="G556" s="8"/>
    </row>
    <row r="557" spans="1:7" x14ac:dyDescent="0.2">
      <c r="A557" s="8"/>
      <c r="B557" s="299"/>
      <c r="C557" s="23"/>
      <c r="D557" s="173"/>
      <c r="E557" s="169"/>
      <c r="F557" s="179"/>
      <c r="G557" s="8"/>
    </row>
    <row r="558" spans="1:7" x14ac:dyDescent="0.2">
      <c r="A558" s="8"/>
      <c r="B558" s="299"/>
      <c r="C558" s="23"/>
      <c r="D558" s="173"/>
      <c r="E558" s="169"/>
      <c r="F558" s="179"/>
      <c r="G558" s="8"/>
    </row>
    <row r="559" spans="1:7" x14ac:dyDescent="0.2">
      <c r="A559" s="8"/>
      <c r="B559" s="299"/>
      <c r="C559" s="23"/>
      <c r="D559" s="173"/>
      <c r="E559" s="169"/>
      <c r="F559" s="179"/>
      <c r="G559" s="8"/>
    </row>
    <row r="560" spans="1:7" x14ac:dyDescent="0.2">
      <c r="A560" s="8"/>
      <c r="B560" s="299"/>
      <c r="C560" s="23"/>
      <c r="D560" s="173"/>
      <c r="E560" s="169"/>
      <c r="F560" s="179"/>
      <c r="G560" s="8"/>
    </row>
    <row r="561" spans="1:7" x14ac:dyDescent="0.2">
      <c r="A561" s="8"/>
      <c r="B561" s="299"/>
      <c r="C561" s="23"/>
      <c r="D561" s="173"/>
      <c r="E561" s="169"/>
      <c r="F561" s="179"/>
      <c r="G561" s="8"/>
    </row>
    <row r="562" spans="1:7" x14ac:dyDescent="0.2">
      <c r="A562" s="8"/>
      <c r="B562" s="299"/>
      <c r="C562" s="23"/>
      <c r="D562" s="173"/>
      <c r="E562" s="169"/>
      <c r="F562" s="179"/>
      <c r="G562" s="8"/>
    </row>
    <row r="563" spans="1:7" x14ac:dyDescent="0.2">
      <c r="A563" s="8"/>
      <c r="B563" s="299"/>
      <c r="C563" s="23"/>
      <c r="D563" s="173"/>
      <c r="E563" s="169"/>
      <c r="F563" s="179"/>
      <c r="G563" s="8"/>
    </row>
    <row r="564" spans="1:7" x14ac:dyDescent="0.2">
      <c r="A564" s="8"/>
      <c r="B564" s="299"/>
      <c r="C564" s="23"/>
      <c r="D564" s="173"/>
      <c r="E564" s="169"/>
      <c r="F564" s="179"/>
      <c r="G564" s="8"/>
    </row>
    <row r="565" spans="1:7" x14ac:dyDescent="0.2">
      <c r="A565" s="8"/>
      <c r="B565" s="299"/>
      <c r="C565" s="23"/>
      <c r="D565" s="173"/>
      <c r="E565" s="169"/>
      <c r="F565" s="179"/>
      <c r="G565" s="8"/>
    </row>
    <row r="566" spans="1:7" x14ac:dyDescent="0.2">
      <c r="A566" s="8"/>
      <c r="B566" s="299"/>
      <c r="C566" s="23"/>
      <c r="D566" s="173"/>
      <c r="E566" s="169"/>
      <c r="F566" s="179"/>
      <c r="G566" s="8"/>
    </row>
    <row r="567" spans="1:7" x14ac:dyDescent="0.2">
      <c r="A567" s="8"/>
      <c r="B567" s="299"/>
      <c r="C567" s="23"/>
      <c r="D567" s="173"/>
      <c r="E567" s="169"/>
      <c r="F567" s="179"/>
      <c r="G567" s="8"/>
    </row>
    <row r="568" spans="1:7" x14ac:dyDescent="0.2">
      <c r="A568" s="8"/>
      <c r="B568" s="299"/>
      <c r="C568" s="23"/>
      <c r="D568" s="173"/>
      <c r="E568" s="169"/>
      <c r="F568" s="179"/>
      <c r="G568" s="8"/>
    </row>
    <row r="569" spans="1:7" x14ac:dyDescent="0.2">
      <c r="A569" s="8"/>
      <c r="B569" s="299"/>
      <c r="C569" s="23"/>
      <c r="D569" s="173"/>
      <c r="E569" s="169"/>
      <c r="F569" s="179"/>
      <c r="G569" s="8"/>
    </row>
    <row r="570" spans="1:7" x14ac:dyDescent="0.2">
      <c r="A570" s="8"/>
      <c r="B570" s="299"/>
      <c r="C570" s="23"/>
      <c r="D570" s="173"/>
      <c r="E570" s="169"/>
      <c r="F570" s="179"/>
      <c r="G570" s="8"/>
    </row>
    <row r="571" spans="1:7" x14ac:dyDescent="0.2">
      <c r="A571" s="8"/>
      <c r="B571" s="299"/>
      <c r="C571" s="23"/>
      <c r="D571" s="173"/>
      <c r="E571" s="169"/>
      <c r="F571" s="179"/>
      <c r="G571" s="8"/>
    </row>
    <row r="572" spans="1:7" x14ac:dyDescent="0.2">
      <c r="A572" s="8"/>
      <c r="B572" s="299"/>
      <c r="C572" s="23"/>
      <c r="D572" s="173"/>
      <c r="E572" s="169"/>
      <c r="F572" s="179"/>
      <c r="G572" s="8"/>
    </row>
    <row r="573" spans="1:7" x14ac:dyDescent="0.2">
      <c r="A573" s="8"/>
      <c r="B573" s="299"/>
      <c r="C573" s="23"/>
      <c r="D573" s="173"/>
      <c r="E573" s="169"/>
      <c r="F573" s="179"/>
      <c r="G573" s="8"/>
    </row>
    <row r="574" spans="1:7" x14ac:dyDescent="0.2">
      <c r="A574" s="8"/>
      <c r="B574" s="299"/>
      <c r="C574" s="23"/>
      <c r="D574" s="173"/>
      <c r="E574" s="169"/>
      <c r="F574" s="179"/>
      <c r="G574" s="8"/>
    </row>
    <row r="575" spans="1:7" x14ac:dyDescent="0.2">
      <c r="A575" s="8"/>
      <c r="B575" s="299"/>
      <c r="C575" s="23"/>
      <c r="D575" s="173"/>
      <c r="E575" s="169"/>
      <c r="F575" s="179"/>
      <c r="G575" s="8"/>
    </row>
    <row r="576" spans="1:7" x14ac:dyDescent="0.2">
      <c r="A576" s="8"/>
      <c r="B576" s="299"/>
      <c r="C576" s="23"/>
      <c r="D576" s="173"/>
      <c r="E576" s="169"/>
      <c r="F576" s="179"/>
      <c r="G576" s="8"/>
    </row>
    <row r="577" spans="1:7" x14ac:dyDescent="0.2">
      <c r="A577" s="8"/>
      <c r="B577" s="299"/>
      <c r="C577" s="23"/>
      <c r="D577" s="173"/>
      <c r="E577" s="169"/>
      <c r="F577" s="179"/>
      <c r="G577" s="8"/>
    </row>
    <row r="578" spans="1:7" x14ac:dyDescent="0.2">
      <c r="A578" s="8"/>
      <c r="B578" s="299"/>
      <c r="C578" s="23"/>
      <c r="D578" s="173"/>
      <c r="E578" s="169"/>
      <c r="F578" s="179"/>
      <c r="G578" s="8"/>
    </row>
    <row r="579" spans="1:7" x14ac:dyDescent="0.2">
      <c r="A579" s="8"/>
      <c r="B579" s="299"/>
      <c r="C579" s="23"/>
      <c r="D579" s="173"/>
      <c r="E579" s="169"/>
      <c r="F579" s="179"/>
      <c r="G579" s="8"/>
    </row>
    <row r="580" spans="1:7" x14ac:dyDescent="0.2">
      <c r="A580" s="8"/>
      <c r="B580" s="299"/>
      <c r="C580" s="23"/>
      <c r="D580" s="173"/>
      <c r="E580" s="169"/>
      <c r="F580" s="179"/>
      <c r="G580" s="8"/>
    </row>
    <row r="581" spans="1:7" x14ac:dyDescent="0.2">
      <c r="A581" s="8"/>
      <c r="B581" s="299"/>
      <c r="C581" s="23"/>
      <c r="D581" s="173"/>
      <c r="E581" s="169"/>
      <c r="F581" s="179"/>
      <c r="G581" s="8"/>
    </row>
    <row r="582" spans="1:7" x14ac:dyDescent="0.2">
      <c r="A582" s="8"/>
      <c r="B582" s="299"/>
      <c r="C582" s="23"/>
      <c r="D582" s="173"/>
      <c r="E582" s="169"/>
      <c r="F582" s="179"/>
      <c r="G582" s="8"/>
    </row>
    <row r="583" spans="1:7" x14ac:dyDescent="0.2">
      <c r="A583" s="8"/>
      <c r="B583" s="299"/>
      <c r="C583" s="23"/>
      <c r="D583" s="173"/>
      <c r="E583" s="169"/>
      <c r="F583" s="179"/>
      <c r="G583" s="8"/>
    </row>
    <row r="584" spans="1:7" x14ac:dyDescent="0.2">
      <c r="A584" s="8"/>
      <c r="B584" s="299"/>
      <c r="C584" s="23"/>
      <c r="D584" s="173"/>
      <c r="E584" s="169"/>
      <c r="F584" s="179"/>
      <c r="G584" s="8"/>
    </row>
    <row r="585" spans="1:7" x14ac:dyDescent="0.2">
      <c r="A585" s="8"/>
      <c r="B585" s="299"/>
      <c r="C585" s="23"/>
      <c r="D585" s="173"/>
      <c r="E585" s="169"/>
      <c r="F585" s="179"/>
      <c r="G585" s="8"/>
    </row>
    <row r="586" spans="1:7" x14ac:dyDescent="0.2">
      <c r="A586" s="8"/>
      <c r="B586" s="299"/>
      <c r="C586" s="23"/>
      <c r="D586" s="173"/>
      <c r="E586" s="169"/>
      <c r="F586" s="179"/>
      <c r="G586" s="8"/>
    </row>
    <row r="587" spans="1:7" x14ac:dyDescent="0.2">
      <c r="A587" s="8"/>
      <c r="B587" s="299"/>
      <c r="C587" s="23"/>
      <c r="D587" s="173"/>
      <c r="E587" s="169"/>
      <c r="F587" s="179"/>
      <c r="G587" s="8"/>
    </row>
    <row r="588" spans="1:7" x14ac:dyDescent="0.2">
      <c r="A588" s="8"/>
      <c r="B588" s="299"/>
      <c r="C588" s="23"/>
      <c r="D588" s="173"/>
      <c r="E588" s="169"/>
      <c r="F588" s="179"/>
      <c r="G588" s="8"/>
    </row>
    <row r="589" spans="1:7" x14ac:dyDescent="0.2">
      <c r="A589" s="8"/>
      <c r="B589" s="299"/>
      <c r="C589" s="23"/>
      <c r="D589" s="173"/>
      <c r="E589" s="169"/>
      <c r="F589" s="179"/>
      <c r="G589" s="8"/>
    </row>
    <row r="590" spans="1:7" x14ac:dyDescent="0.2">
      <c r="A590" s="8"/>
      <c r="B590" s="299"/>
      <c r="C590" s="23"/>
      <c r="D590" s="173"/>
      <c r="E590" s="169"/>
      <c r="F590" s="179"/>
      <c r="G590" s="8"/>
    </row>
    <row r="591" spans="1:7" x14ac:dyDescent="0.2">
      <c r="A591" s="8"/>
      <c r="B591" s="299"/>
      <c r="C591" s="23"/>
      <c r="D591" s="173"/>
      <c r="E591" s="169"/>
      <c r="F591" s="179"/>
      <c r="G591" s="8"/>
    </row>
    <row r="592" spans="1:7" x14ac:dyDescent="0.2">
      <c r="A592" s="8"/>
      <c r="B592" s="299"/>
      <c r="C592" s="23"/>
      <c r="D592" s="173"/>
      <c r="E592" s="169"/>
      <c r="F592" s="179"/>
      <c r="G592" s="8"/>
    </row>
    <row r="593" spans="1:7" x14ac:dyDescent="0.2">
      <c r="A593" s="8"/>
      <c r="B593" s="299"/>
      <c r="C593" s="23"/>
      <c r="D593" s="173"/>
      <c r="E593" s="169"/>
      <c r="F593" s="179"/>
      <c r="G593" s="8"/>
    </row>
    <row r="594" spans="1:7" x14ac:dyDescent="0.2">
      <c r="A594" s="8"/>
      <c r="B594" s="299"/>
      <c r="C594" s="23"/>
      <c r="D594" s="173"/>
      <c r="E594" s="169"/>
      <c r="F594" s="179"/>
      <c r="G594" s="8"/>
    </row>
    <row r="595" spans="1:7" x14ac:dyDescent="0.2">
      <c r="A595" s="8"/>
      <c r="B595" s="299"/>
      <c r="C595" s="23"/>
      <c r="D595" s="173"/>
      <c r="E595" s="169"/>
      <c r="F595" s="179"/>
      <c r="G595" s="8"/>
    </row>
    <row r="596" spans="1:7" x14ac:dyDescent="0.2">
      <c r="A596" s="8"/>
      <c r="B596" s="299"/>
      <c r="C596" s="23"/>
      <c r="D596" s="173"/>
      <c r="E596" s="169"/>
      <c r="F596" s="179"/>
      <c r="G596" s="8"/>
    </row>
    <row r="597" spans="1:7" x14ac:dyDescent="0.2">
      <c r="A597" s="8"/>
      <c r="B597" s="299"/>
      <c r="C597" s="23"/>
      <c r="D597" s="173"/>
      <c r="E597" s="169"/>
      <c r="F597" s="179"/>
      <c r="G597" s="8"/>
    </row>
    <row r="598" spans="1:7" x14ac:dyDescent="0.2">
      <c r="A598" s="8"/>
      <c r="B598" s="299"/>
      <c r="C598" s="23"/>
      <c r="D598" s="173"/>
      <c r="E598" s="169"/>
      <c r="F598" s="179"/>
      <c r="G598" s="8"/>
    </row>
    <row r="599" spans="1:7" x14ac:dyDescent="0.2">
      <c r="A599" s="8"/>
      <c r="B599" s="299"/>
      <c r="C599" s="23"/>
      <c r="D599" s="173"/>
      <c r="E599" s="169"/>
      <c r="F599" s="179"/>
      <c r="G599" s="8"/>
    </row>
    <row r="600" spans="1:7" x14ac:dyDescent="0.2">
      <c r="A600" s="8"/>
      <c r="B600" s="299"/>
      <c r="C600" s="23"/>
      <c r="D600" s="173"/>
      <c r="E600" s="169"/>
      <c r="F600" s="179"/>
      <c r="G600" s="8"/>
    </row>
    <row r="601" spans="1:7" x14ac:dyDescent="0.2">
      <c r="A601" s="8"/>
      <c r="B601" s="299"/>
      <c r="C601" s="23"/>
      <c r="D601" s="173"/>
      <c r="E601" s="169"/>
      <c r="F601" s="179"/>
      <c r="G601" s="8"/>
    </row>
    <row r="602" spans="1:7" x14ac:dyDescent="0.2">
      <c r="A602" s="8"/>
      <c r="B602" s="299"/>
      <c r="C602" s="23"/>
      <c r="D602" s="173"/>
      <c r="E602" s="169"/>
      <c r="F602" s="179"/>
      <c r="G602" s="8"/>
    </row>
    <row r="603" spans="1:7" x14ac:dyDescent="0.2">
      <c r="A603" s="8"/>
      <c r="B603" s="299"/>
      <c r="C603" s="23"/>
      <c r="D603" s="173"/>
      <c r="E603" s="169"/>
      <c r="F603" s="179"/>
      <c r="G603" s="8"/>
    </row>
    <row r="604" spans="1:7" x14ac:dyDescent="0.2">
      <c r="A604" s="8"/>
      <c r="B604" s="299"/>
      <c r="C604" s="23"/>
      <c r="D604" s="173"/>
      <c r="E604" s="169"/>
      <c r="F604" s="179"/>
      <c r="G604" s="8"/>
    </row>
    <row r="605" spans="1:7" x14ac:dyDescent="0.2">
      <c r="A605" s="8"/>
      <c r="B605" s="299"/>
      <c r="C605" s="23"/>
      <c r="D605" s="173"/>
      <c r="E605" s="169"/>
      <c r="F605" s="179"/>
      <c r="G605" s="8"/>
    </row>
    <row r="606" spans="1:7" x14ac:dyDescent="0.2">
      <c r="A606" s="8"/>
      <c r="B606" s="299"/>
      <c r="C606" s="23"/>
      <c r="D606" s="173"/>
      <c r="E606" s="169"/>
      <c r="F606" s="179"/>
      <c r="G606" s="8"/>
    </row>
    <row r="607" spans="1:7" x14ac:dyDescent="0.2">
      <c r="A607" s="8"/>
      <c r="B607" s="299"/>
      <c r="C607" s="23"/>
      <c r="D607" s="173"/>
      <c r="E607" s="169"/>
      <c r="F607" s="179"/>
      <c r="G607" s="8"/>
    </row>
    <row r="608" spans="1:7" x14ac:dyDescent="0.2">
      <c r="A608" s="8"/>
      <c r="B608" s="299"/>
      <c r="C608" s="23"/>
      <c r="D608" s="173"/>
      <c r="E608" s="169"/>
      <c r="F608" s="179"/>
      <c r="G608" s="8"/>
    </row>
    <row r="609" spans="1:7" x14ac:dyDescent="0.2">
      <c r="A609" s="8"/>
      <c r="B609" s="299"/>
      <c r="C609" s="23"/>
      <c r="D609" s="173"/>
      <c r="E609" s="169"/>
      <c r="F609" s="179"/>
      <c r="G609" s="8"/>
    </row>
    <row r="610" spans="1:7" x14ac:dyDescent="0.2">
      <c r="A610" s="8"/>
      <c r="B610" s="299"/>
      <c r="C610" s="23"/>
      <c r="D610" s="173"/>
      <c r="E610" s="169"/>
      <c r="F610" s="179"/>
      <c r="G610" s="8"/>
    </row>
    <row r="611" spans="1:7" x14ac:dyDescent="0.2">
      <c r="A611" s="8"/>
      <c r="B611" s="299"/>
      <c r="C611" s="23"/>
      <c r="D611" s="173"/>
      <c r="E611" s="169"/>
      <c r="F611" s="179"/>
      <c r="G611" s="8"/>
    </row>
    <row r="612" spans="1:7" x14ac:dyDescent="0.2">
      <c r="A612" s="8"/>
      <c r="B612" s="299"/>
      <c r="C612" s="23"/>
      <c r="D612" s="173"/>
      <c r="E612" s="169"/>
      <c r="F612" s="179"/>
      <c r="G612" s="8"/>
    </row>
    <row r="613" spans="1:7" x14ac:dyDescent="0.2">
      <c r="A613" s="8"/>
      <c r="B613" s="299"/>
      <c r="C613" s="23"/>
      <c r="D613" s="173"/>
      <c r="E613" s="169"/>
      <c r="F613" s="179"/>
      <c r="G613" s="8"/>
    </row>
    <row r="614" spans="1:7" x14ac:dyDescent="0.2">
      <c r="A614" s="8"/>
      <c r="B614" s="299"/>
      <c r="C614" s="23"/>
      <c r="D614" s="173"/>
      <c r="E614" s="169"/>
      <c r="F614" s="179"/>
      <c r="G614" s="8"/>
    </row>
  </sheetData>
  <mergeCells count="20">
    <mergeCell ref="A11:F11"/>
    <mergeCell ref="A14:F14"/>
    <mergeCell ref="A17:F17"/>
    <mergeCell ref="A8:A10"/>
    <mergeCell ref="A22:F22"/>
    <mergeCell ref="A39:F39"/>
    <mergeCell ref="A27:F27"/>
    <mergeCell ref="A31:F31"/>
    <mergeCell ref="A34:F34"/>
    <mergeCell ref="A37:F37"/>
    <mergeCell ref="E4:F4"/>
    <mergeCell ref="E5:F5"/>
    <mergeCell ref="A4:B4"/>
    <mergeCell ref="F8:F10"/>
    <mergeCell ref="C8:C10"/>
    <mergeCell ref="B8:B10"/>
    <mergeCell ref="D8:D10"/>
    <mergeCell ref="B7:D7"/>
    <mergeCell ref="B6:C6"/>
    <mergeCell ref="E8:E10"/>
  </mergeCells>
  <phoneticPr fontId="1" type="noConversion"/>
  <pageMargins left="0.75" right="0.75" top="1" bottom="1" header="0.5" footer="0.5"/>
  <pageSetup orientation="portrait" horizontalDpi="200" verticalDpi="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zoomScaleNormal="100" workbookViewId="0">
      <selection sqref="A1:C2"/>
    </sheetView>
  </sheetViews>
  <sheetFormatPr defaultRowHeight="12.75" x14ac:dyDescent="0.2"/>
  <cols>
    <col min="1" max="1" width="8.7109375" customWidth="1"/>
    <col min="2" max="22" width="5.42578125" customWidth="1"/>
  </cols>
  <sheetData>
    <row r="1" spans="1:22" x14ac:dyDescent="0.2">
      <c r="A1" s="522" t="s">
        <v>51</v>
      </c>
      <c r="B1" s="523"/>
      <c r="C1" s="524"/>
      <c r="D1" s="416"/>
      <c r="E1" s="416"/>
      <c r="F1" s="416"/>
      <c r="G1" s="416"/>
      <c r="H1" s="416"/>
      <c r="I1" s="416"/>
      <c r="J1" s="416"/>
      <c r="K1" s="416"/>
      <c r="L1" s="416"/>
      <c r="M1" s="416"/>
      <c r="N1" s="416"/>
      <c r="O1" s="416"/>
      <c r="P1" s="416"/>
      <c r="Q1" s="416"/>
      <c r="R1" s="416"/>
      <c r="S1" s="416"/>
      <c r="T1" s="416"/>
      <c r="U1" s="416"/>
      <c r="V1" s="416"/>
    </row>
    <row r="2" spans="1:22" ht="13.5" thickBot="1" x14ac:dyDescent="0.25">
      <c r="A2" s="525"/>
      <c r="B2" s="525"/>
      <c r="C2" s="526"/>
      <c r="D2" s="416"/>
      <c r="E2" s="416"/>
      <c r="F2" s="416"/>
      <c r="G2" s="416"/>
      <c r="H2" s="416"/>
      <c r="I2" s="416"/>
      <c r="J2" s="416"/>
      <c r="K2" s="416"/>
      <c r="L2" s="416"/>
      <c r="M2" s="416"/>
      <c r="N2" s="416"/>
      <c r="O2" s="416"/>
      <c r="P2" s="416"/>
      <c r="Q2" s="416"/>
      <c r="R2" s="416"/>
      <c r="S2" s="416"/>
      <c r="T2" s="416"/>
      <c r="U2" s="416"/>
      <c r="V2" s="416"/>
    </row>
    <row r="3" spans="1:22" ht="13.5" thickTop="1" x14ac:dyDescent="0.2">
      <c r="A3" s="389" t="s">
        <v>305</v>
      </c>
      <c r="B3" s="389"/>
      <c r="C3" s="389"/>
      <c r="D3" s="519" t="s">
        <v>306</v>
      </c>
      <c r="E3" s="519"/>
      <c r="F3" s="519"/>
      <c r="G3" s="519"/>
      <c r="H3" s="519"/>
      <c r="I3" s="519"/>
      <c r="J3" s="519"/>
      <c r="K3" s="519"/>
      <c r="L3" s="520"/>
      <c r="M3" s="521"/>
      <c r="N3" s="417"/>
      <c r="O3" s="417"/>
      <c r="P3" s="417"/>
      <c r="Q3" s="417"/>
      <c r="R3" s="417"/>
      <c r="S3" s="417"/>
      <c r="T3" s="417"/>
      <c r="U3" s="417"/>
      <c r="V3" s="417"/>
    </row>
    <row r="4" spans="1:22" x14ac:dyDescent="0.2">
      <c r="A4" s="390" t="s">
        <v>309</v>
      </c>
      <c r="B4" s="390"/>
      <c r="C4" s="390"/>
      <c r="D4" s="390"/>
      <c r="E4" s="390"/>
      <c r="F4" s="390"/>
      <c r="G4" s="390"/>
      <c r="H4" s="390"/>
      <c r="I4" s="390"/>
      <c r="J4" s="390"/>
      <c r="K4" s="390"/>
      <c r="L4" s="391"/>
      <c r="M4" s="417"/>
      <c r="N4" s="417"/>
      <c r="O4" s="417"/>
      <c r="P4" s="417"/>
      <c r="Q4" s="417"/>
      <c r="R4" s="417"/>
      <c r="S4" s="417"/>
      <c r="T4" s="417"/>
      <c r="U4" s="417"/>
      <c r="V4" s="417"/>
    </row>
    <row r="5" spans="1:22" x14ac:dyDescent="0.2">
      <c r="A5" s="390" t="s">
        <v>307</v>
      </c>
      <c r="B5" s="390"/>
      <c r="C5" s="390"/>
      <c r="D5" s="390"/>
      <c r="E5" s="390"/>
      <c r="F5" s="390"/>
      <c r="G5" s="390"/>
      <c r="H5" s="390"/>
      <c r="I5" s="390"/>
      <c r="J5" s="390"/>
      <c r="K5" s="390"/>
      <c r="L5" s="391"/>
      <c r="M5" s="417"/>
      <c r="N5" s="417"/>
      <c r="O5" s="417"/>
      <c r="P5" s="417"/>
      <c r="Q5" s="417"/>
      <c r="R5" s="417"/>
      <c r="S5" s="417"/>
      <c r="T5" s="417"/>
      <c r="U5" s="417"/>
      <c r="V5" s="417"/>
    </row>
    <row r="6" spans="1:22" x14ac:dyDescent="0.2">
      <c r="A6" s="390" t="s">
        <v>323</v>
      </c>
      <c r="B6" s="390"/>
      <c r="C6" s="390"/>
      <c r="D6" s="390"/>
      <c r="E6" s="390"/>
      <c r="F6" s="390"/>
      <c r="G6" s="390"/>
      <c r="H6" s="390"/>
      <c r="I6" s="390"/>
      <c r="J6" s="390"/>
      <c r="K6" s="390"/>
      <c r="L6" s="391"/>
      <c r="M6" s="417"/>
      <c r="N6" s="417"/>
      <c r="O6" s="417"/>
      <c r="P6" s="417"/>
      <c r="Q6" s="417"/>
      <c r="R6" s="417"/>
      <c r="S6" s="417"/>
      <c r="T6" s="417"/>
      <c r="U6" s="417"/>
      <c r="V6" s="417"/>
    </row>
    <row r="7" spans="1:22" x14ac:dyDescent="0.2">
      <c r="A7" s="390" t="s">
        <v>308</v>
      </c>
      <c r="B7" s="390"/>
      <c r="C7" s="390"/>
      <c r="D7" s="390"/>
      <c r="E7" s="390"/>
      <c r="F7" s="390"/>
      <c r="G7" s="390"/>
      <c r="H7" s="390"/>
      <c r="I7" s="390"/>
      <c r="J7" s="390"/>
      <c r="K7" s="390"/>
      <c r="L7" s="391"/>
      <c r="M7" s="417"/>
      <c r="N7" s="417"/>
      <c r="O7" s="417"/>
      <c r="P7" s="417"/>
      <c r="Q7" s="417"/>
      <c r="R7" s="417"/>
      <c r="S7" s="417"/>
      <c r="T7" s="417"/>
      <c r="U7" s="417"/>
      <c r="V7" s="417"/>
    </row>
    <row r="8" spans="1:22" ht="13.5" thickBot="1" x14ac:dyDescent="0.25">
      <c r="A8" s="392" t="s">
        <v>310</v>
      </c>
      <c r="B8" s="393"/>
      <c r="C8" s="393"/>
      <c r="D8" s="393"/>
      <c r="E8" s="393"/>
      <c r="F8" s="393"/>
      <c r="G8" s="393"/>
      <c r="H8" s="390"/>
      <c r="I8" s="390"/>
      <c r="J8" s="390"/>
      <c r="K8" s="390"/>
      <c r="L8" s="391"/>
      <c r="M8" s="417"/>
      <c r="N8" s="417"/>
      <c r="O8" s="417"/>
      <c r="P8" s="417"/>
      <c r="Q8" s="417"/>
      <c r="R8" s="417"/>
      <c r="S8" s="417"/>
      <c r="T8" s="417"/>
      <c r="U8" s="417"/>
      <c r="V8" s="417"/>
    </row>
    <row r="9" spans="1:22" ht="14.25" thickTop="1" thickBot="1" x14ac:dyDescent="0.25">
      <c r="A9" s="433"/>
      <c r="B9" s="433"/>
      <c r="C9" s="433"/>
      <c r="D9" s="433"/>
      <c r="E9" s="433"/>
      <c r="F9" s="433"/>
      <c r="G9" s="433"/>
      <c r="H9" s="531" t="s">
        <v>127</v>
      </c>
      <c r="I9" s="532"/>
      <c r="J9" s="532"/>
      <c r="K9" s="532"/>
      <c r="L9" s="532"/>
      <c r="M9" s="532"/>
      <c r="N9" s="532"/>
      <c r="O9" s="532"/>
      <c r="P9" s="533"/>
      <c r="Q9" s="534"/>
      <c r="R9" s="534"/>
      <c r="S9" s="534"/>
      <c r="T9" s="534"/>
      <c r="U9" s="534"/>
      <c r="V9" s="534"/>
    </row>
    <row r="10" spans="1:22" ht="14.25" thickTop="1" thickBot="1" x14ac:dyDescent="0.25">
      <c r="A10" s="529" t="s">
        <v>126</v>
      </c>
      <c r="B10" s="527" t="s">
        <v>125</v>
      </c>
      <c r="C10" s="527"/>
      <c r="D10" s="527"/>
      <c r="E10" s="527"/>
      <c r="F10" s="527"/>
      <c r="G10" s="527"/>
      <c r="H10" s="527"/>
      <c r="I10" s="527"/>
      <c r="J10" s="527"/>
      <c r="K10" s="527"/>
      <c r="L10" s="527"/>
      <c r="M10" s="527"/>
      <c r="N10" s="527"/>
      <c r="O10" s="527"/>
      <c r="P10" s="527"/>
      <c r="Q10" s="527"/>
      <c r="R10" s="527"/>
      <c r="S10" s="527"/>
      <c r="T10" s="527"/>
      <c r="U10" s="527"/>
      <c r="V10" s="528"/>
    </row>
    <row r="11" spans="1:22" ht="13.5" thickBot="1" x14ac:dyDescent="0.25">
      <c r="A11" s="530"/>
      <c r="B11" s="379">
        <v>1</v>
      </c>
      <c r="C11" s="380">
        <f t="shared" ref="C11:V11" si="0">1+B11</f>
        <v>2</v>
      </c>
      <c r="D11" s="380">
        <f t="shared" si="0"/>
        <v>3</v>
      </c>
      <c r="E11" s="380">
        <f t="shared" si="0"/>
        <v>4</v>
      </c>
      <c r="F11" s="380">
        <f t="shared" si="0"/>
        <v>5</v>
      </c>
      <c r="G11" s="380">
        <f t="shared" si="0"/>
        <v>6</v>
      </c>
      <c r="H11" s="380">
        <f t="shared" si="0"/>
        <v>7</v>
      </c>
      <c r="I11" s="380">
        <f t="shared" si="0"/>
        <v>8</v>
      </c>
      <c r="J11" s="380">
        <f t="shared" si="0"/>
        <v>9</v>
      </c>
      <c r="K11" s="380">
        <f t="shared" si="0"/>
        <v>10</v>
      </c>
      <c r="L11" s="380">
        <f t="shared" si="0"/>
        <v>11</v>
      </c>
      <c r="M11" s="380">
        <f t="shared" si="0"/>
        <v>12</v>
      </c>
      <c r="N11" s="380">
        <f t="shared" si="0"/>
        <v>13</v>
      </c>
      <c r="O11" s="380">
        <f t="shared" si="0"/>
        <v>14</v>
      </c>
      <c r="P11" s="380">
        <f t="shared" si="0"/>
        <v>15</v>
      </c>
      <c r="Q11" s="380">
        <f t="shared" si="0"/>
        <v>16</v>
      </c>
      <c r="R11" s="380">
        <f t="shared" si="0"/>
        <v>17</v>
      </c>
      <c r="S11" s="380">
        <f t="shared" si="0"/>
        <v>18</v>
      </c>
      <c r="T11" s="380">
        <f t="shared" si="0"/>
        <v>19</v>
      </c>
      <c r="U11" s="380">
        <f t="shared" si="0"/>
        <v>20</v>
      </c>
      <c r="V11" s="381">
        <f t="shared" si="0"/>
        <v>21</v>
      </c>
    </row>
    <row r="12" spans="1:22" ht="13.5" thickTop="1" x14ac:dyDescent="0.2">
      <c r="A12" s="375" t="s">
        <v>52</v>
      </c>
      <c r="B12" s="382">
        <f>(1/3)</f>
        <v>0.33333333333333331</v>
      </c>
      <c r="C12" s="382">
        <f>(4/9)</f>
        <v>0.44444444444444442</v>
      </c>
      <c r="D12" s="382">
        <f>(2/9)*(1/1.5)</f>
        <v>0.14814814814814814</v>
      </c>
      <c r="E12" s="382">
        <f>1-SUM(B12:D12)</f>
        <v>7.4074074074074181E-2</v>
      </c>
      <c r="F12" s="383"/>
      <c r="G12" s="382"/>
      <c r="H12" s="382"/>
      <c r="I12" s="382"/>
      <c r="J12" s="382"/>
      <c r="K12" s="382"/>
      <c r="L12" s="382"/>
      <c r="M12" s="382"/>
      <c r="N12" s="382"/>
      <c r="O12" s="382"/>
      <c r="P12" s="382"/>
      <c r="Q12" s="382"/>
      <c r="R12" s="382"/>
      <c r="S12" s="382"/>
      <c r="T12" s="382"/>
      <c r="U12" s="382"/>
      <c r="V12" s="386"/>
    </row>
    <row r="13" spans="1:22" x14ac:dyDescent="0.2">
      <c r="A13" s="376" t="s">
        <v>322</v>
      </c>
      <c r="B13" s="384">
        <f>(1/5)</f>
        <v>0.2</v>
      </c>
      <c r="C13" s="384">
        <f>(0.8*2/5)</f>
        <v>0.32</v>
      </c>
      <c r="D13" s="384">
        <f>(0.192)</f>
        <v>0.192</v>
      </c>
      <c r="E13" s="384">
        <f>(0.1152)</f>
        <v>0.1152</v>
      </c>
      <c r="F13" s="384">
        <f>(0.1152)</f>
        <v>0.1152</v>
      </c>
      <c r="G13" s="384">
        <f>(0.0576)</f>
        <v>5.7599999999999998E-2</v>
      </c>
      <c r="H13" s="383"/>
      <c r="I13" s="382"/>
      <c r="J13" s="382"/>
      <c r="K13" s="382"/>
      <c r="L13" s="382"/>
      <c r="M13" s="382"/>
      <c r="N13" s="382"/>
      <c r="O13" s="382"/>
      <c r="P13" s="382"/>
      <c r="Q13" s="382"/>
      <c r="R13" s="382"/>
      <c r="S13" s="382"/>
      <c r="T13" s="382"/>
      <c r="U13" s="382"/>
      <c r="V13" s="387"/>
    </row>
    <row r="14" spans="1:22" x14ac:dyDescent="0.2">
      <c r="A14" s="377" t="s">
        <v>53</v>
      </c>
      <c r="B14" s="382">
        <f>(0.1429)</f>
        <v>0.1429</v>
      </c>
      <c r="C14" s="382">
        <f>(0.2449)*  1</f>
        <v>0.24490000000000001</v>
      </c>
      <c r="D14" s="382">
        <f>(0.1749)*  1</f>
        <v>0.1749</v>
      </c>
      <c r="E14" s="382">
        <f>(0.1249)*  1</f>
        <v>0.1249</v>
      </c>
      <c r="F14" s="382">
        <f>(0.0893)*  1</f>
        <v>8.9300000000000004E-2</v>
      </c>
      <c r="G14" s="382">
        <f>(0.0892)*  1</f>
        <v>8.9200000000000002E-2</v>
      </c>
      <c r="H14" s="382">
        <f>(0.0893)*  1</f>
        <v>8.9300000000000004E-2</v>
      </c>
      <c r="I14" s="382">
        <f>(0.0446)*  1</f>
        <v>4.4600000000000001E-2</v>
      </c>
      <c r="J14" s="383"/>
      <c r="K14" s="382"/>
      <c r="L14" s="382"/>
      <c r="M14" s="382"/>
      <c r="N14" s="382"/>
      <c r="O14" s="382"/>
      <c r="P14" s="382"/>
      <c r="Q14" s="382"/>
      <c r="R14" s="382"/>
      <c r="S14" s="382"/>
      <c r="T14" s="382"/>
      <c r="U14" s="382"/>
      <c r="V14" s="387"/>
    </row>
    <row r="15" spans="1:22" x14ac:dyDescent="0.2">
      <c r="A15" s="377" t="s">
        <v>54</v>
      </c>
      <c r="B15" s="382">
        <f>(0.1)*  1</f>
        <v>0.1</v>
      </c>
      <c r="C15" s="382">
        <f>(0.18)*  1</f>
        <v>0.18</v>
      </c>
      <c r="D15" s="382">
        <f>(0.144)*  1</f>
        <v>0.14399999999999999</v>
      </c>
      <c r="E15" s="382">
        <f>(0.1152)*  1</f>
        <v>0.1152</v>
      </c>
      <c r="F15" s="382">
        <f>(0.0922)*  1</f>
        <v>9.2200000000000004E-2</v>
      </c>
      <c r="G15" s="382">
        <f>(0.0737)*  1</f>
        <v>7.3700000000000002E-2</v>
      </c>
      <c r="H15" s="382">
        <f>(0.0655)*  1</f>
        <v>6.5500000000000003E-2</v>
      </c>
      <c r="I15" s="382">
        <f>(0.0655)*  1</f>
        <v>6.5500000000000003E-2</v>
      </c>
      <c r="J15" s="382">
        <f>(0.0656)*  1</f>
        <v>6.5600000000000006E-2</v>
      </c>
      <c r="K15" s="382">
        <f>(0.0655)*  1</f>
        <v>6.5500000000000003E-2</v>
      </c>
      <c r="L15" s="382">
        <f>(0.0328)*  1</f>
        <v>3.2800000000000003E-2</v>
      </c>
      <c r="M15" s="383"/>
      <c r="N15" s="382"/>
      <c r="O15" s="382"/>
      <c r="P15" s="382"/>
      <c r="Q15" s="382"/>
      <c r="R15" s="382"/>
      <c r="S15" s="382"/>
      <c r="T15" s="382"/>
      <c r="U15" s="382"/>
      <c r="V15" s="387"/>
    </row>
    <row r="16" spans="1:22" x14ac:dyDescent="0.2">
      <c r="A16" s="377" t="s">
        <v>55</v>
      </c>
      <c r="B16" s="382">
        <f>(0.05)*  1</f>
        <v>0.05</v>
      </c>
      <c r="C16" s="382">
        <f>(0.095)*  1</f>
        <v>9.5000000000000001E-2</v>
      </c>
      <c r="D16" s="382">
        <f>(0.0855)*  1</f>
        <v>8.5500000000000007E-2</v>
      </c>
      <c r="E16" s="382">
        <f>(0.077)*  1</f>
        <v>7.6999999999999999E-2</v>
      </c>
      <c r="F16" s="382">
        <f>(0.0693)*  1</f>
        <v>6.93E-2</v>
      </c>
      <c r="G16" s="382">
        <f>(0.0623)*  1</f>
        <v>6.2300000000000001E-2</v>
      </c>
      <c r="H16" s="382">
        <f>(0.059)*  1</f>
        <v>5.8999999999999997E-2</v>
      </c>
      <c r="I16" s="382">
        <f>(0.059)*  1</f>
        <v>5.8999999999999997E-2</v>
      </c>
      <c r="J16" s="382">
        <f>(0.0591)*  1</f>
        <v>5.91E-2</v>
      </c>
      <c r="K16" s="382">
        <f>(0.059)*  1</f>
        <v>5.8999999999999997E-2</v>
      </c>
      <c r="L16" s="382">
        <f>(0.0591)*  1</f>
        <v>5.91E-2</v>
      </c>
      <c r="M16" s="382">
        <f>(0.059)*  1</f>
        <v>5.8999999999999997E-2</v>
      </c>
      <c r="N16" s="382">
        <f>(0.0591)*  1</f>
        <v>5.91E-2</v>
      </c>
      <c r="O16" s="382">
        <f>(0.059)*  1</f>
        <v>5.8999999999999997E-2</v>
      </c>
      <c r="P16" s="382">
        <f>(0.0591)*  1</f>
        <v>5.91E-2</v>
      </c>
      <c r="Q16" s="382">
        <f>(0.0295)*  1</f>
        <v>2.9499999999999998E-2</v>
      </c>
      <c r="R16" s="382"/>
      <c r="S16" s="382"/>
      <c r="T16" s="382"/>
      <c r="U16" s="382"/>
      <c r="V16" s="387"/>
    </row>
    <row r="17" spans="1:22" ht="13.5" thickBot="1" x14ac:dyDescent="0.25">
      <c r="A17" s="378" t="s">
        <v>56</v>
      </c>
      <c r="B17" s="385">
        <f>(0.0375)*  1</f>
        <v>3.7499999999999999E-2</v>
      </c>
      <c r="C17" s="385">
        <f>(0.07219)*  1</f>
        <v>7.2190000000000004E-2</v>
      </c>
      <c r="D17" s="385">
        <f>(0.06677)*  1</f>
        <v>6.6769999999999996E-2</v>
      </c>
      <c r="E17" s="385">
        <f>(0.06177)*  1</f>
        <v>6.1769999999999999E-2</v>
      </c>
      <c r="F17" s="385">
        <f>(0.05713)*  1</f>
        <v>5.713E-2</v>
      </c>
      <c r="G17" s="385">
        <f>(0.05285)*  1</f>
        <v>5.2850000000000001E-2</v>
      </c>
      <c r="H17" s="385">
        <f>(0.04888)*  1</f>
        <v>4.888E-2</v>
      </c>
      <c r="I17" s="385">
        <f>(0.04522)*  1</f>
        <v>4.5220000000000003E-2</v>
      </c>
      <c r="J17" s="385">
        <f>(0.04462)*  1</f>
        <v>4.462E-2</v>
      </c>
      <c r="K17" s="385">
        <f>(0.04461)*  1</f>
        <v>4.4609999999999997E-2</v>
      </c>
      <c r="L17" s="385">
        <f>(0.04462)*  1</f>
        <v>4.462E-2</v>
      </c>
      <c r="M17" s="385">
        <f>(0.04461)*  1</f>
        <v>4.4609999999999997E-2</v>
      </c>
      <c r="N17" s="385">
        <f>(0.04462)*  1</f>
        <v>4.462E-2</v>
      </c>
      <c r="O17" s="385">
        <f>(0.04461)*  1</f>
        <v>4.4609999999999997E-2</v>
      </c>
      <c r="P17" s="385">
        <f>(0.04462)*  1</f>
        <v>4.462E-2</v>
      </c>
      <c r="Q17" s="385">
        <f>(0.04461)*  1</f>
        <v>4.4609999999999997E-2</v>
      </c>
      <c r="R17" s="385">
        <f>(0.04462)*  1</f>
        <v>4.462E-2</v>
      </c>
      <c r="S17" s="385">
        <f>(0.04461)*  1</f>
        <v>4.4609999999999997E-2</v>
      </c>
      <c r="T17" s="385">
        <f>(0.04462)*  1</f>
        <v>4.462E-2</v>
      </c>
      <c r="U17" s="385">
        <f>(0.04461)*  1</f>
        <v>4.4609999999999997E-2</v>
      </c>
      <c r="V17" s="388">
        <f>(0.02231)*  1</f>
        <v>2.231E-2</v>
      </c>
    </row>
    <row r="18" spans="1:22" x14ac:dyDescent="0.2">
      <c r="B18" s="7"/>
      <c r="D18" s="7"/>
      <c r="E18" s="7"/>
      <c r="F18" s="7"/>
      <c r="G18" s="7"/>
      <c r="J18" s="28"/>
      <c r="K18" s="28"/>
      <c r="L18" s="28"/>
      <c r="M18" s="28"/>
      <c r="N18" s="28"/>
      <c r="O18" s="28"/>
    </row>
    <row r="19" spans="1:22" x14ac:dyDescent="0.2">
      <c r="B19" s="7"/>
      <c r="C19" s="7"/>
      <c r="D19" s="7"/>
      <c r="E19" s="7"/>
      <c r="F19" s="7"/>
      <c r="G19" s="7"/>
      <c r="J19" s="28"/>
      <c r="K19" s="28"/>
      <c r="L19" s="28"/>
      <c r="M19" s="28"/>
      <c r="N19" s="28"/>
      <c r="O19" s="28"/>
    </row>
    <row r="20" spans="1:22" x14ac:dyDescent="0.2">
      <c r="B20" s="7"/>
      <c r="C20" s="7"/>
      <c r="E20" s="7"/>
      <c r="F20" s="7"/>
      <c r="G20" s="7"/>
    </row>
    <row r="21" spans="1:22" x14ac:dyDescent="0.2">
      <c r="B21" s="7"/>
      <c r="C21" s="7"/>
      <c r="D21" s="7"/>
      <c r="E21" s="7"/>
      <c r="F21" s="7"/>
      <c r="G21" s="7"/>
      <c r="O21" s="10"/>
    </row>
    <row r="22" spans="1:22" x14ac:dyDescent="0.2">
      <c r="B22" s="7"/>
      <c r="C22" s="7"/>
      <c r="D22" s="7"/>
      <c r="E22" s="7"/>
      <c r="F22" s="7"/>
      <c r="G22" s="7"/>
    </row>
    <row r="23" spans="1:22" x14ac:dyDescent="0.2">
      <c r="B23" s="7"/>
      <c r="C23" s="7"/>
      <c r="D23" s="7"/>
      <c r="F23" s="7"/>
      <c r="G23" s="7"/>
    </row>
    <row r="24" spans="1:22" x14ac:dyDescent="0.2">
      <c r="B24" s="7"/>
      <c r="C24" s="7"/>
      <c r="D24" s="7"/>
      <c r="E24" s="7"/>
      <c r="F24" s="7"/>
      <c r="G24" s="7"/>
    </row>
    <row r="25" spans="1:22" x14ac:dyDescent="0.2">
      <c r="B25" s="7"/>
      <c r="C25" s="7"/>
      <c r="D25" s="7"/>
      <c r="E25" s="7"/>
      <c r="F25" s="7"/>
      <c r="G25" s="7"/>
    </row>
    <row r="26" spans="1:22" x14ac:dyDescent="0.2">
      <c r="B26" s="7"/>
      <c r="C26" s="7"/>
      <c r="D26" s="7"/>
      <c r="E26" s="7"/>
      <c r="F26" s="7"/>
      <c r="G26" s="7"/>
    </row>
    <row r="27" spans="1:22" x14ac:dyDescent="0.2">
      <c r="B27" s="7"/>
      <c r="C27" s="7"/>
      <c r="D27" s="7"/>
      <c r="E27" s="7"/>
      <c r="F27" s="7"/>
      <c r="G27" s="7"/>
    </row>
    <row r="28" spans="1:22" x14ac:dyDescent="0.2">
      <c r="B28" s="7"/>
      <c r="C28" s="7"/>
      <c r="D28" s="7"/>
      <c r="E28" s="7"/>
      <c r="F28" s="7"/>
      <c r="G28" s="7"/>
    </row>
    <row r="29" spans="1:22" x14ac:dyDescent="0.2">
      <c r="B29" s="7"/>
      <c r="C29" s="7"/>
      <c r="D29" s="7"/>
      <c r="E29" s="7"/>
      <c r="F29" s="7"/>
      <c r="G29" s="7"/>
    </row>
    <row r="30" spans="1:22" x14ac:dyDescent="0.2">
      <c r="B30" s="7"/>
      <c r="C30" s="7"/>
      <c r="D30" s="7"/>
      <c r="E30" s="7"/>
      <c r="F30" s="7"/>
      <c r="G30" s="7"/>
    </row>
    <row r="31" spans="1:22" x14ac:dyDescent="0.2">
      <c r="A31" s="54"/>
      <c r="B31" s="7"/>
      <c r="C31" s="7"/>
      <c r="D31" s="7"/>
      <c r="E31" s="7"/>
      <c r="F31" s="7"/>
      <c r="G31" s="7"/>
    </row>
    <row r="32" spans="1:22" x14ac:dyDescent="0.2">
      <c r="B32" s="7"/>
      <c r="C32" s="7"/>
      <c r="D32" s="7"/>
      <c r="E32" s="7"/>
      <c r="F32" s="7"/>
      <c r="G32" s="7"/>
    </row>
    <row r="33" spans="1:23" x14ac:dyDescent="0.2">
      <c r="A33" s="54"/>
      <c r="B33" s="54"/>
      <c r="C33" s="15"/>
      <c r="D33" s="54"/>
      <c r="E33" s="54"/>
      <c r="F33" s="54"/>
      <c r="G33" s="54"/>
    </row>
    <row r="36" spans="1:23" x14ac:dyDescent="0.2">
      <c r="W36" s="7"/>
    </row>
    <row r="37" spans="1:23" x14ac:dyDescent="0.2">
      <c r="W37" s="7"/>
    </row>
    <row r="38" spans="1:23" x14ac:dyDescent="0.2">
      <c r="W38" s="7"/>
    </row>
    <row r="39" spans="1:23" x14ac:dyDescent="0.2">
      <c r="W39" s="7"/>
    </row>
    <row r="40" spans="1:23" x14ac:dyDescent="0.2">
      <c r="W40" s="7"/>
    </row>
    <row r="41" spans="1:23" x14ac:dyDescent="0.2">
      <c r="W41" s="7"/>
    </row>
  </sheetData>
  <mergeCells count="9">
    <mergeCell ref="D3:L3"/>
    <mergeCell ref="M3:V8"/>
    <mergeCell ref="A1:C2"/>
    <mergeCell ref="D1:V2"/>
    <mergeCell ref="B10:V10"/>
    <mergeCell ref="A10:A11"/>
    <mergeCell ref="H9:P9"/>
    <mergeCell ref="Q9:V9"/>
    <mergeCell ref="A9:G9"/>
  </mergeCells>
  <phoneticPr fontId="0" type="noConversion"/>
  <printOptions gridLines="1"/>
  <pageMargins left="0.75" right="0.75" top="1" bottom="1" header="0.5" footer="0.5"/>
  <pageSetup orientation="landscape" horizontalDpi="4294967293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8"/>
  <sheetViews>
    <sheetView zoomScaleNormal="100" workbookViewId="0">
      <selection sqref="A1:G1"/>
    </sheetView>
  </sheetViews>
  <sheetFormatPr defaultColWidth="10.28515625" defaultRowHeight="15.75" x14ac:dyDescent="0.25"/>
  <cols>
    <col min="1" max="1" width="11.7109375" style="31" customWidth="1"/>
    <col min="2" max="3" width="10.28515625" style="31" customWidth="1"/>
    <col min="4" max="4" width="10.7109375" style="31" bestFit="1" customWidth="1"/>
    <col min="5" max="5" width="16" style="31" customWidth="1"/>
    <col min="6" max="6" width="10" style="43" customWidth="1"/>
    <col min="7" max="7" width="9.7109375" style="43" customWidth="1"/>
    <col min="8" max="16384" width="10.28515625" style="31"/>
  </cols>
  <sheetData>
    <row r="1" spans="1:8" ht="15.75" customHeight="1" thickBot="1" x14ac:dyDescent="0.3">
      <c r="A1" s="573" t="s">
        <v>311</v>
      </c>
      <c r="B1" s="574"/>
      <c r="C1" s="574"/>
      <c r="D1" s="574"/>
      <c r="E1" s="574"/>
      <c r="F1" s="574"/>
      <c r="G1" s="575"/>
      <c r="H1" s="30"/>
    </row>
    <row r="2" spans="1:8" x14ac:dyDescent="0.25">
      <c r="A2" s="576" t="s">
        <v>58</v>
      </c>
      <c r="B2" s="576"/>
      <c r="C2" s="576"/>
      <c r="D2" s="572"/>
      <c r="E2" s="32"/>
      <c r="F2" s="577"/>
      <c r="G2" s="578"/>
      <c r="H2" s="30"/>
    </row>
    <row r="3" spans="1:8" x14ac:dyDescent="0.25">
      <c r="A3" s="78" t="s">
        <v>32</v>
      </c>
      <c r="B3" s="78"/>
      <c r="C3" s="79"/>
      <c r="D3" s="542"/>
      <c r="E3" s="34" t="s">
        <v>2</v>
      </c>
      <c r="F3" s="193" t="s">
        <v>150</v>
      </c>
      <c r="G3" s="192"/>
      <c r="H3" s="33"/>
    </row>
    <row r="4" spans="1:8" x14ac:dyDescent="0.25">
      <c r="A4" s="80" t="s">
        <v>128</v>
      </c>
      <c r="B4" s="80"/>
      <c r="C4" s="81"/>
      <c r="D4" s="542"/>
      <c r="E4" s="35" t="s">
        <v>59</v>
      </c>
      <c r="F4" s="33"/>
      <c r="G4" s="33"/>
      <c r="H4" s="33"/>
    </row>
    <row r="5" spans="1:8" x14ac:dyDescent="0.25">
      <c r="A5" s="548" t="s">
        <v>60</v>
      </c>
      <c r="B5" s="542"/>
      <c r="C5" s="542"/>
      <c r="D5" s="542"/>
      <c r="E5" s="542"/>
      <c r="F5" s="417"/>
      <c r="G5" s="417"/>
    </row>
    <row r="6" spans="1:8" x14ac:dyDescent="0.25">
      <c r="A6" s="566" t="s">
        <v>166</v>
      </c>
      <c r="B6" s="566"/>
      <c r="C6" s="566"/>
      <c r="D6" s="417"/>
      <c r="E6" s="417"/>
      <c r="F6" s="33"/>
      <c r="G6" s="33"/>
      <c r="H6" s="33"/>
    </row>
    <row r="7" spans="1:8" ht="18.75" x14ac:dyDescent="0.25">
      <c r="A7" s="558" t="s">
        <v>61</v>
      </c>
      <c r="B7" s="559"/>
      <c r="C7" s="559"/>
      <c r="D7" s="243">
        <v>30</v>
      </c>
      <c r="E7" s="82" t="s">
        <v>83</v>
      </c>
      <c r="F7" s="33"/>
      <c r="G7" s="33"/>
      <c r="H7" s="33"/>
    </row>
    <row r="8" spans="1:8" ht="16.5" thickBot="1" x14ac:dyDescent="0.3">
      <c r="A8" s="250" t="s">
        <v>62</v>
      </c>
      <c r="B8" s="251"/>
      <c r="C8" s="251"/>
      <c r="D8" s="252">
        <f>-Evaluation!R13</f>
        <v>50.11421184000001</v>
      </c>
      <c r="E8" s="253" t="s">
        <v>63</v>
      </c>
      <c r="F8" s="33"/>
      <c r="G8" s="33"/>
      <c r="H8" s="33"/>
    </row>
    <row r="9" spans="1:8" ht="17.45" customHeight="1" thickTop="1" x14ac:dyDescent="0.25">
      <c r="A9" s="561" t="s">
        <v>184</v>
      </c>
      <c r="B9" s="562"/>
      <c r="C9" s="562"/>
      <c r="D9" s="555" t="s">
        <v>185</v>
      </c>
      <c r="E9" s="555" t="s">
        <v>182</v>
      </c>
      <c r="F9" s="555" t="s">
        <v>292</v>
      </c>
      <c r="G9" s="555" t="s">
        <v>183</v>
      </c>
      <c r="H9" s="33"/>
    </row>
    <row r="10" spans="1:8" ht="16.5" customHeight="1" x14ac:dyDescent="0.25">
      <c r="A10" s="563"/>
      <c r="B10" s="563"/>
      <c r="C10" s="563"/>
      <c r="D10" s="560"/>
      <c r="E10" s="556"/>
      <c r="F10" s="556"/>
      <c r="G10" s="556"/>
    </row>
    <row r="11" spans="1:8" ht="16.5" thickBot="1" x14ac:dyDescent="0.3">
      <c r="A11" s="564"/>
      <c r="B11" s="564"/>
      <c r="C11" s="564"/>
      <c r="D11" s="557"/>
      <c r="E11" s="557"/>
      <c r="F11" s="557"/>
      <c r="G11" s="557"/>
      <c r="H11" s="30"/>
    </row>
    <row r="12" spans="1:8" ht="16.5" customHeight="1" thickBot="1" x14ac:dyDescent="0.3">
      <c r="A12" s="549" t="s">
        <v>84</v>
      </c>
      <c r="B12" s="550"/>
      <c r="C12" s="551"/>
      <c r="D12" s="83"/>
      <c r="E12" s="84"/>
      <c r="F12" s="254"/>
      <c r="G12" s="36">
        <f>Annual_Raw_Materials_Cost</f>
        <v>12.65</v>
      </c>
    </row>
    <row r="13" spans="1:8" ht="16.5" thickBot="1" x14ac:dyDescent="0.3">
      <c r="A13" s="552" t="s">
        <v>85</v>
      </c>
      <c r="B13" s="553"/>
      <c r="C13" s="554"/>
      <c r="D13" s="85"/>
      <c r="E13" s="86"/>
      <c r="F13" s="255"/>
      <c r="G13" s="37">
        <f>Annual_operating_labor</f>
        <v>0.88484760000000007</v>
      </c>
    </row>
    <row r="14" spans="1:8" ht="16.5" thickBot="1" x14ac:dyDescent="0.3">
      <c r="A14" s="565" t="s">
        <v>64</v>
      </c>
      <c r="B14" s="565"/>
      <c r="C14" s="565"/>
      <c r="D14" s="88">
        <v>0.15</v>
      </c>
      <c r="E14" s="87" t="s">
        <v>65</v>
      </c>
      <c r="F14" s="244">
        <f>+G13</f>
        <v>0.88484760000000007</v>
      </c>
      <c r="G14" s="246">
        <f>D14*F14</f>
        <v>0.13272713999999999</v>
      </c>
    </row>
    <row r="15" spans="1:8" ht="16.5" thickBot="1" x14ac:dyDescent="0.3">
      <c r="A15" s="567" t="s">
        <v>86</v>
      </c>
      <c r="B15" s="568"/>
      <c r="C15" s="569"/>
      <c r="D15" s="92" t="s">
        <v>57</v>
      </c>
      <c r="E15" s="92"/>
      <c r="F15" s="162"/>
      <c r="G15" s="38">
        <f>Utilities!$B$6</f>
        <v>2.0249999999999999</v>
      </c>
    </row>
    <row r="16" spans="1:8" ht="16.5" thickBot="1" x14ac:dyDescent="0.3">
      <c r="A16" s="565" t="s">
        <v>66</v>
      </c>
      <c r="B16" s="565"/>
      <c r="C16" s="565"/>
      <c r="D16" s="88">
        <v>0.06</v>
      </c>
      <c r="E16" s="89" t="s">
        <v>67</v>
      </c>
      <c r="F16" s="245">
        <f>$D$8</f>
        <v>50.11421184000001</v>
      </c>
      <c r="G16" s="246">
        <f>D16*F16</f>
        <v>3.0068527104000005</v>
      </c>
    </row>
    <row r="17" spans="1:10" ht="16.5" thickBot="1" x14ac:dyDescent="0.3">
      <c r="A17" s="570" t="s">
        <v>68</v>
      </c>
      <c r="B17" s="570"/>
      <c r="C17" s="571"/>
      <c r="D17" s="88">
        <v>0.15</v>
      </c>
      <c r="E17" s="90" t="s">
        <v>69</v>
      </c>
      <c r="F17" s="245">
        <f>G16</f>
        <v>3.0068527104000005</v>
      </c>
      <c r="G17" s="246">
        <f>D17*F17</f>
        <v>0.45102790656000002</v>
      </c>
    </row>
    <row r="18" spans="1:10" ht="16.5" thickBot="1" x14ac:dyDescent="0.3">
      <c r="A18" s="565" t="s">
        <v>70</v>
      </c>
      <c r="B18" s="565"/>
      <c r="C18" s="565"/>
      <c r="D18" s="88">
        <v>0.15</v>
      </c>
      <c r="E18" s="91" t="s">
        <v>65</v>
      </c>
      <c r="F18" s="245">
        <f>G13</f>
        <v>0.88484760000000007</v>
      </c>
      <c r="G18" s="246">
        <f>D18*F18</f>
        <v>0.13272713999999999</v>
      </c>
    </row>
    <row r="19" spans="1:10" ht="19.5" thickBot="1" x14ac:dyDescent="0.4">
      <c r="A19" s="565" t="s">
        <v>71</v>
      </c>
      <c r="B19" s="565"/>
      <c r="C19" s="565"/>
      <c r="D19" s="88">
        <v>0.01</v>
      </c>
      <c r="E19" s="91" t="s">
        <v>130</v>
      </c>
      <c r="F19" s="245">
        <f>G35</f>
        <v>26.673500902755563</v>
      </c>
      <c r="G19" s="246">
        <f>D19*F19</f>
        <v>0.26673500902755565</v>
      </c>
    </row>
    <row r="20" spans="1:10" ht="16.5" thickBot="1" x14ac:dyDescent="0.3">
      <c r="A20" s="565" t="s">
        <v>72</v>
      </c>
      <c r="B20" s="565"/>
      <c r="C20" s="565"/>
      <c r="D20" s="336">
        <v>0</v>
      </c>
      <c r="E20" s="342" t="s">
        <v>291</v>
      </c>
      <c r="F20" s="341"/>
      <c r="G20" s="246">
        <f>D20*F20</f>
        <v>0</v>
      </c>
    </row>
    <row r="21" spans="1:10" ht="16.5" thickBot="1" x14ac:dyDescent="0.3">
      <c r="A21" s="583" t="s">
        <v>189</v>
      </c>
      <c r="B21" s="583"/>
      <c r="C21" s="583"/>
      <c r="D21" s="583"/>
      <c r="E21" s="583"/>
      <c r="F21" s="583"/>
      <c r="G21" s="40">
        <f>SUM(G12:G20)</f>
        <v>19.549917505987558</v>
      </c>
      <c r="H21" s="579" t="s">
        <v>312</v>
      </c>
      <c r="I21" s="580"/>
      <c r="J21" s="394"/>
    </row>
    <row r="22" spans="1:10" ht="16.5" thickBot="1" x14ac:dyDescent="0.3">
      <c r="A22" s="565" t="s">
        <v>73</v>
      </c>
      <c r="B22" s="565"/>
      <c r="C22" s="565"/>
      <c r="D22" s="88">
        <v>0.02</v>
      </c>
      <c r="E22" s="91" t="s">
        <v>67</v>
      </c>
      <c r="F22" s="245">
        <f>$D$8</f>
        <v>50.11421184000001</v>
      </c>
      <c r="G22" s="247">
        <f>D22*F22</f>
        <v>1.0022842368000002</v>
      </c>
      <c r="H22" s="340"/>
      <c r="I22" s="395" t="s">
        <v>313</v>
      </c>
    </row>
    <row r="23" spans="1:10" ht="16.5" thickBot="1" x14ac:dyDescent="0.3">
      <c r="A23" s="565" t="s">
        <v>74</v>
      </c>
      <c r="B23" s="565"/>
      <c r="C23" s="565"/>
      <c r="D23" s="88">
        <v>0</v>
      </c>
      <c r="E23" s="91" t="s">
        <v>67</v>
      </c>
      <c r="F23" s="245">
        <f>$D$8</f>
        <v>50.11421184000001</v>
      </c>
      <c r="G23" s="247">
        <f>D23*F23</f>
        <v>0</v>
      </c>
    </row>
    <row r="24" spans="1:10" ht="16.5" thickBot="1" x14ac:dyDescent="0.3">
      <c r="A24" s="565" t="s">
        <v>75</v>
      </c>
      <c r="B24" s="565"/>
      <c r="C24" s="565"/>
      <c r="D24" s="88">
        <v>0.01</v>
      </c>
      <c r="E24" s="91" t="s">
        <v>67</v>
      </c>
      <c r="F24" s="245">
        <f>$D$8</f>
        <v>50.11421184000001</v>
      </c>
      <c r="G24" s="247">
        <f>D24*F24</f>
        <v>0.50114211840000011</v>
      </c>
    </row>
    <row r="25" spans="1:10" x14ac:dyDescent="0.25">
      <c r="A25" s="565" t="s">
        <v>76</v>
      </c>
      <c r="B25" s="565"/>
      <c r="C25" s="565"/>
      <c r="D25" s="256">
        <v>0</v>
      </c>
      <c r="E25" s="257" t="s">
        <v>67</v>
      </c>
      <c r="F25" s="258">
        <f>$D$8</f>
        <v>50.11421184000001</v>
      </c>
      <c r="G25" s="259">
        <f>D25*F25</f>
        <v>0</v>
      </c>
    </row>
    <row r="26" spans="1:10" ht="16.5" thickBot="1" x14ac:dyDescent="0.3">
      <c r="A26" s="539" t="s">
        <v>77</v>
      </c>
      <c r="B26" s="542"/>
      <c r="C26" s="542"/>
      <c r="D26" s="260" t="s">
        <v>129</v>
      </c>
      <c r="E26" s="261"/>
      <c r="F26" s="262"/>
      <c r="G26" s="263"/>
    </row>
    <row r="27" spans="1:10" ht="16.5" customHeight="1" thickBot="1" x14ac:dyDescent="0.3">
      <c r="A27" s="581" t="s">
        <v>186</v>
      </c>
      <c r="B27" s="542"/>
      <c r="C27" s="542"/>
      <c r="D27" s="542"/>
      <c r="E27" s="542"/>
      <c r="F27" s="582"/>
      <c r="G27" s="40">
        <f>SUM(G22:G26)</f>
        <v>1.5034263552000002</v>
      </c>
      <c r="H27" s="41"/>
    </row>
    <row r="28" spans="1:10" ht="16.5" thickBot="1" x14ac:dyDescent="0.3">
      <c r="A28" s="42" t="s">
        <v>78</v>
      </c>
      <c r="B28" s="39"/>
      <c r="C28" s="39"/>
      <c r="D28" s="88">
        <v>0.6</v>
      </c>
      <c r="E28" s="93" t="s">
        <v>79</v>
      </c>
      <c r="F28" s="264">
        <f>G13+G14+G16</f>
        <v>4.024427450400001</v>
      </c>
      <c r="G28" s="248">
        <f>D28*F28</f>
        <v>2.4146564702400006</v>
      </c>
    </row>
    <row r="29" spans="1:10" ht="16.5" customHeight="1" thickBot="1" x14ac:dyDescent="0.3">
      <c r="A29" s="540" t="s">
        <v>187</v>
      </c>
      <c r="B29" s="540"/>
      <c r="C29" s="540"/>
      <c r="D29" s="540"/>
      <c r="E29" s="540"/>
      <c r="F29" s="540"/>
      <c r="G29" s="40">
        <f>SUM(G28:G28)</f>
        <v>2.4146564702400006</v>
      </c>
    </row>
    <row r="30" spans="1:10" ht="16.5" customHeight="1" thickBot="1" x14ac:dyDescent="0.3">
      <c r="A30" s="540" t="s">
        <v>188</v>
      </c>
      <c r="B30" s="540"/>
      <c r="C30" s="540"/>
      <c r="D30" s="540"/>
      <c r="E30" s="540"/>
      <c r="F30" s="541"/>
      <c r="G30" s="40">
        <f>SUM(G21,G27,G29)</f>
        <v>23.468000331427557</v>
      </c>
    </row>
    <row r="31" spans="1:10" ht="16.5" customHeight="1" thickBot="1" x14ac:dyDescent="0.3">
      <c r="A31" s="539" t="s">
        <v>80</v>
      </c>
      <c r="B31" s="539"/>
      <c r="C31" s="539"/>
      <c r="D31" s="94">
        <v>0.2</v>
      </c>
      <c r="E31" s="93" t="s">
        <v>79</v>
      </c>
      <c r="F31" s="265">
        <f>G13+G14+G16</f>
        <v>4.024427450400001</v>
      </c>
      <c r="G31" s="249">
        <f>F31*D31</f>
        <v>0.80488549008000021</v>
      </c>
    </row>
    <row r="32" spans="1:10" ht="16.5" customHeight="1" thickBot="1" x14ac:dyDescent="0.4">
      <c r="A32" s="539" t="s">
        <v>81</v>
      </c>
      <c r="B32" s="539"/>
      <c r="C32" s="539"/>
      <c r="D32" s="94">
        <v>0.05</v>
      </c>
      <c r="E32" s="95" t="s">
        <v>130</v>
      </c>
      <c r="F32" s="266">
        <f>G35</f>
        <v>26.673500902755563</v>
      </c>
      <c r="G32" s="249">
        <f>F32*D32</f>
        <v>1.3336750451377783</v>
      </c>
    </row>
    <row r="33" spans="1:11" ht="19.5" thickBot="1" x14ac:dyDescent="0.4">
      <c r="A33" s="539" t="s">
        <v>82</v>
      </c>
      <c r="B33" s="539"/>
      <c r="C33" s="539"/>
      <c r="D33" s="94">
        <v>0.04</v>
      </c>
      <c r="E33" s="95" t="s">
        <v>130</v>
      </c>
      <c r="F33" s="266">
        <f>G35</f>
        <v>26.673500902755563</v>
      </c>
      <c r="G33" s="249">
        <f>F33*D33</f>
        <v>1.0669400361102226</v>
      </c>
    </row>
    <row r="34" spans="1:11" ht="16.5" thickBot="1" x14ac:dyDescent="0.3">
      <c r="A34" s="539" t="s">
        <v>190</v>
      </c>
      <c r="B34" s="539"/>
      <c r="C34" s="539"/>
      <c r="D34" s="542"/>
      <c r="E34" s="542"/>
      <c r="F34" s="542"/>
      <c r="G34" s="40">
        <f>SUM(G31:G33)</f>
        <v>3.2055005713280011</v>
      </c>
    </row>
    <row r="35" spans="1:11" ht="15" customHeight="1" x14ac:dyDescent="0.25">
      <c r="A35" s="543" t="s">
        <v>191</v>
      </c>
      <c r="B35" s="544"/>
      <c r="C35" s="544"/>
      <c r="D35" s="544"/>
      <c r="E35" s="544"/>
      <c r="F35" s="545"/>
      <c r="G35" s="546">
        <f>SUM(G12:G18,G22:G26,G28,G31)/(1-D19-D20-D32-D33)</f>
        <v>26.673500902755563</v>
      </c>
      <c r="K35" s="338"/>
    </row>
    <row r="36" spans="1:11" ht="15" customHeight="1" thickBot="1" x14ac:dyDescent="0.3">
      <c r="A36" s="544"/>
      <c r="B36" s="544"/>
      <c r="C36" s="544"/>
      <c r="D36" s="544"/>
      <c r="E36" s="544"/>
      <c r="F36" s="545"/>
      <c r="G36" s="547"/>
      <c r="K36" s="339"/>
    </row>
    <row r="37" spans="1:11" x14ac:dyDescent="0.25">
      <c r="A37" s="33"/>
      <c r="B37" s="33"/>
      <c r="C37" s="33"/>
      <c r="D37" s="33"/>
      <c r="E37" s="33"/>
      <c r="G37" s="535" t="s">
        <v>327</v>
      </c>
      <c r="H37" s="536"/>
    </row>
    <row r="38" spans="1:11" x14ac:dyDescent="0.25">
      <c r="F38" s="406"/>
      <c r="G38" s="537"/>
      <c r="H38" s="538"/>
    </row>
  </sheetData>
  <mergeCells count="38">
    <mergeCell ref="A24:C24"/>
    <mergeCell ref="A25:C25"/>
    <mergeCell ref="A21:F21"/>
    <mergeCell ref="A26:C26"/>
    <mergeCell ref="D2:D4"/>
    <mergeCell ref="A1:G1"/>
    <mergeCell ref="A2:C2"/>
    <mergeCell ref="F2:G2"/>
    <mergeCell ref="H21:I21"/>
    <mergeCell ref="A33:C33"/>
    <mergeCell ref="A22:C22"/>
    <mergeCell ref="A23:C23"/>
    <mergeCell ref="A29:F29"/>
    <mergeCell ref="A27:F27"/>
    <mergeCell ref="A19:C19"/>
    <mergeCell ref="A20:C20"/>
    <mergeCell ref="E9:E11"/>
    <mergeCell ref="A16:C16"/>
    <mergeCell ref="A14:C14"/>
    <mergeCell ref="A6:E6"/>
    <mergeCell ref="A15:C15"/>
    <mergeCell ref="A17:C17"/>
    <mergeCell ref="A18:C18"/>
    <mergeCell ref="A5:G5"/>
    <mergeCell ref="A12:C12"/>
    <mergeCell ref="A13:C13"/>
    <mergeCell ref="G9:G11"/>
    <mergeCell ref="A7:C7"/>
    <mergeCell ref="D9:D11"/>
    <mergeCell ref="A9:C11"/>
    <mergeCell ref="F9:F11"/>
    <mergeCell ref="G37:H38"/>
    <mergeCell ref="A31:C31"/>
    <mergeCell ref="A32:C32"/>
    <mergeCell ref="A30:F30"/>
    <mergeCell ref="A34:F34"/>
    <mergeCell ref="A35:F36"/>
    <mergeCell ref="G35:G36"/>
  </mergeCells>
  <phoneticPr fontId="1" type="noConversion"/>
  <printOptions gridLines="1"/>
  <pageMargins left="1.5" right="1" top="1.5" bottom="1.25" header="0.5" footer="0.5"/>
  <pageSetup scale="78" orientation="portrait" horizontalDpi="4294967293" verticalDpi="0" r:id="rId1"/>
  <headerFooter alignWithMargins="0"/>
  <colBreaks count="1" manualBreakCount="1">
    <brk id="9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zoomScaleNormal="100" workbookViewId="0">
      <selection sqref="A1:F1"/>
    </sheetView>
  </sheetViews>
  <sheetFormatPr defaultRowHeight="12.75" x14ac:dyDescent="0.2"/>
  <cols>
    <col min="3" max="3" width="12.28515625" customWidth="1"/>
    <col min="4" max="4" width="7" style="51" customWidth="1"/>
    <col min="5" max="17" width="7" customWidth="1"/>
    <col min="18" max="18" width="7" style="164" customWidth="1"/>
    <col min="19" max="19" width="9.140625" style="200"/>
    <col min="22" max="22" width="5.140625" customWidth="1"/>
  </cols>
  <sheetData>
    <row r="1" spans="1:27" ht="13.5" thickBot="1" x14ac:dyDescent="0.25">
      <c r="A1" s="588" t="s">
        <v>314</v>
      </c>
      <c r="B1" s="588"/>
      <c r="C1" s="588"/>
      <c r="D1" s="588"/>
      <c r="E1" s="588"/>
      <c r="F1" s="588"/>
      <c r="G1" s="589" t="s">
        <v>161</v>
      </c>
      <c r="H1" s="590"/>
      <c r="I1" s="590"/>
      <c r="J1" s="590"/>
      <c r="K1" s="590"/>
      <c r="L1" s="591"/>
    </row>
    <row r="2" spans="1:27" x14ac:dyDescent="0.2">
      <c r="A2" s="417" t="s">
        <v>167</v>
      </c>
      <c r="B2" s="417"/>
      <c r="C2" s="417"/>
      <c r="D2" s="417"/>
      <c r="E2" s="417"/>
      <c r="F2" s="417"/>
      <c r="G2" s="211" t="s">
        <v>89</v>
      </c>
      <c r="H2" s="211"/>
      <c r="I2" s="211"/>
      <c r="J2" s="211"/>
      <c r="K2" s="211"/>
      <c r="L2" s="211">
        <v>0.02</v>
      </c>
      <c r="M2" s="13"/>
      <c r="N2" s="13"/>
      <c r="Q2" s="19"/>
    </row>
    <row r="3" spans="1:27" x14ac:dyDescent="0.2">
      <c r="A3" s="44" t="s">
        <v>144</v>
      </c>
      <c r="B3" s="44"/>
      <c r="C3" s="44"/>
      <c r="D3" s="53"/>
      <c r="G3" s="66" t="s">
        <v>135</v>
      </c>
      <c r="H3" s="66"/>
      <c r="I3" s="66"/>
      <c r="J3" s="66"/>
      <c r="K3" s="66"/>
      <c r="L3" s="66">
        <v>0</v>
      </c>
      <c r="M3" s="13"/>
      <c r="O3" s="13"/>
    </row>
    <row r="4" spans="1:27" x14ac:dyDescent="0.2">
      <c r="A4" s="584" t="s">
        <v>91</v>
      </c>
      <c r="B4" s="585"/>
      <c r="C4" s="585"/>
      <c r="D4" s="585"/>
      <c r="G4" s="229" t="s">
        <v>90</v>
      </c>
      <c r="H4" s="229"/>
      <c r="I4" s="229"/>
      <c r="J4" s="229"/>
      <c r="K4" s="229"/>
      <c r="L4" s="229">
        <v>0.02</v>
      </c>
      <c r="M4" s="13"/>
      <c r="O4" s="13"/>
    </row>
    <row r="5" spans="1:27" ht="15.75" x14ac:dyDescent="0.3">
      <c r="A5" s="586" t="s">
        <v>92</v>
      </c>
      <c r="B5" s="587"/>
      <c r="C5" s="587"/>
      <c r="D5" s="587"/>
      <c r="G5" s="231" t="s">
        <v>94</v>
      </c>
      <c r="H5" s="231"/>
      <c r="I5" s="231"/>
      <c r="J5" s="231"/>
      <c r="K5" s="231"/>
      <c r="L5" s="231"/>
      <c r="M5" s="231"/>
      <c r="N5" s="231"/>
      <c r="O5" s="231"/>
      <c r="P5" s="231"/>
      <c r="Q5" s="148"/>
      <c r="R5" s="212">
        <v>0.15</v>
      </c>
    </row>
    <row r="6" spans="1:27" ht="15.75" x14ac:dyDescent="0.3">
      <c r="A6" s="592" t="s">
        <v>159</v>
      </c>
      <c r="B6" s="593"/>
      <c r="C6" s="593"/>
      <c r="D6" s="468"/>
      <c r="E6" s="46"/>
      <c r="G6" s="241" t="s">
        <v>96</v>
      </c>
      <c r="H6" s="241"/>
      <c r="I6" s="241"/>
      <c r="J6" s="241"/>
      <c r="K6" s="241"/>
      <c r="L6" s="241"/>
      <c r="M6" s="241"/>
      <c r="N6" s="241"/>
      <c r="O6" s="241"/>
      <c r="P6" s="241"/>
      <c r="Q6" s="241"/>
      <c r="R6" s="213">
        <f xml:space="preserve"> LN(1+R5)</f>
        <v>0.13976194237515863</v>
      </c>
    </row>
    <row r="7" spans="1:27" x14ac:dyDescent="0.2">
      <c r="A7" s="469"/>
      <c r="B7" s="475"/>
      <c r="C7" s="475"/>
      <c r="D7" s="470"/>
      <c r="E7" s="46"/>
      <c r="H7" s="47" t="s">
        <v>93</v>
      </c>
      <c r="I7" s="48"/>
      <c r="J7" s="49"/>
      <c r="K7" s="66">
        <v>0.35</v>
      </c>
    </row>
    <row r="8" spans="1:27" x14ac:dyDescent="0.2">
      <c r="A8" s="202" t="s">
        <v>136</v>
      </c>
      <c r="B8" s="105"/>
      <c r="C8" s="105"/>
      <c r="D8" s="242"/>
      <c r="E8" s="13"/>
      <c r="F8" s="397" t="s">
        <v>59</v>
      </c>
      <c r="H8" s="13"/>
      <c r="I8" s="13"/>
      <c r="J8" s="13"/>
      <c r="K8" s="13"/>
    </row>
    <row r="9" spans="1:27" ht="13.5" thickBot="1" x14ac:dyDescent="0.25">
      <c r="B9" s="13"/>
      <c r="C9" s="13"/>
      <c r="D9" s="64"/>
      <c r="E9" s="13"/>
      <c r="H9" s="13"/>
      <c r="I9" s="13"/>
      <c r="J9" s="13"/>
      <c r="K9" s="13"/>
    </row>
    <row r="10" spans="1:27" ht="14.25" thickTop="1" thickBot="1" x14ac:dyDescent="0.25">
      <c r="B10" s="54"/>
      <c r="C10" s="54"/>
      <c r="D10" s="55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618" t="s">
        <v>315</v>
      </c>
      <c r="S10" s="201" t="s">
        <v>131</v>
      </c>
      <c r="T10" s="97"/>
      <c r="U10" s="98"/>
    </row>
    <row r="11" spans="1:27" ht="14.25" thickTop="1" thickBot="1" x14ac:dyDescent="0.25">
      <c r="A11" s="57"/>
      <c r="B11" s="603" t="s">
        <v>163</v>
      </c>
      <c r="C11" s="603"/>
      <c r="D11" s="58">
        <v>-3</v>
      </c>
      <c r="E11" s="57">
        <v>-2</v>
      </c>
      <c r="F11" s="57">
        <v>-1</v>
      </c>
      <c r="G11" s="57">
        <v>0</v>
      </c>
      <c r="H11" s="57">
        <v>1</v>
      </c>
      <c r="I11" s="57">
        <v>2</v>
      </c>
      <c r="J11" s="57">
        <v>3</v>
      </c>
      <c r="K11" s="57">
        <v>4</v>
      </c>
      <c r="L11" s="57">
        <v>5</v>
      </c>
      <c r="M11" s="57">
        <v>6</v>
      </c>
      <c r="N11" s="57">
        <v>7</v>
      </c>
      <c r="O11" s="57">
        <v>8</v>
      </c>
      <c r="P11" s="57">
        <v>9</v>
      </c>
      <c r="Q11" s="57">
        <v>10</v>
      </c>
      <c r="R11" s="619"/>
      <c r="S11" s="202" t="s">
        <v>233</v>
      </c>
      <c r="T11" s="105"/>
      <c r="U11" s="105"/>
      <c r="V11" s="203"/>
      <c r="W11" s="107"/>
      <c r="X11" s="107"/>
      <c r="Y11" s="107"/>
      <c r="Z11" s="107"/>
      <c r="AA11" s="108"/>
    </row>
    <row r="12" spans="1:27" ht="15" thickBot="1" x14ac:dyDescent="0.25">
      <c r="A12" s="615" t="s">
        <v>318</v>
      </c>
      <c r="B12" s="616"/>
      <c r="C12" s="617"/>
      <c r="D12" s="307"/>
      <c r="E12" s="396">
        <v>0</v>
      </c>
      <c r="F12" s="396">
        <v>0</v>
      </c>
      <c r="G12" s="396">
        <v>0</v>
      </c>
      <c r="H12" s="54"/>
      <c r="I12" s="54"/>
      <c r="J12" s="54"/>
      <c r="K12" s="54"/>
      <c r="L12" s="54"/>
      <c r="M12" s="54"/>
      <c r="N12" s="54"/>
      <c r="O12" s="54"/>
      <c r="P12" s="54"/>
      <c r="Q12" s="174">
        <f>-E12</f>
        <v>0</v>
      </c>
      <c r="R12" s="164">
        <f>SUM(E12:Q12)</f>
        <v>0</v>
      </c>
      <c r="S12" s="490" t="s">
        <v>264</v>
      </c>
      <c r="T12" s="614"/>
      <c r="U12" s="614"/>
      <c r="V12" s="614"/>
      <c r="W12" s="614"/>
      <c r="X12" s="614"/>
      <c r="Y12" s="614"/>
      <c r="Z12" s="614"/>
      <c r="AA12" s="493"/>
    </row>
    <row r="13" spans="1:27" ht="14.25" x14ac:dyDescent="0.2">
      <c r="A13" s="56" t="s">
        <v>242</v>
      </c>
      <c r="B13" s="56"/>
      <c r="C13" s="56"/>
      <c r="D13" s="64"/>
      <c r="E13" s="174">
        <f>-'Capital Inv.'!$H$32*0.15*(1+$L$2)^(0)</f>
        <v>-7.3180800000000019</v>
      </c>
      <c r="F13" s="174">
        <f>-'Capital Inv.'!$H$32*0.35*(1+$L$2)^(1)</f>
        <v>-17.417030400000005</v>
      </c>
      <c r="G13" s="236">
        <f>-'Capital Inv.'!$H$32*0.5*(1+$L$2)^(2)</f>
        <v>-25.379101440000007</v>
      </c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164">
        <f>SUM(E13:G13)</f>
        <v>-50.11421184000001</v>
      </c>
      <c r="S13" s="203" t="s">
        <v>164</v>
      </c>
      <c r="T13" s="107"/>
      <c r="U13" s="107"/>
      <c r="V13" s="107"/>
      <c r="W13" s="107"/>
      <c r="X13" s="107"/>
      <c r="Y13" s="107"/>
      <c r="Z13" s="107"/>
      <c r="AA13" s="108"/>
    </row>
    <row r="14" spans="1:27" ht="14.25" x14ac:dyDescent="0.2">
      <c r="A14" s="46" t="s">
        <v>234</v>
      </c>
      <c r="B14" s="46"/>
      <c r="C14" s="46"/>
      <c r="D14" s="64"/>
      <c r="E14" s="51"/>
      <c r="F14" s="51"/>
      <c r="G14" s="237">
        <f>('Capital Inv.'!$H$34)*$R$13/('Capital Inv.'!$H$32)</f>
        <v>-8.8495334400000019</v>
      </c>
      <c r="H14" s="51"/>
      <c r="I14" s="51"/>
      <c r="J14" s="51"/>
      <c r="K14" s="51"/>
      <c r="L14" s="51"/>
      <c r="M14" s="51"/>
      <c r="N14" s="51"/>
      <c r="O14" s="51"/>
      <c r="P14" s="51"/>
      <c r="Q14" s="65">
        <f>-G14</f>
        <v>8.8495334400000019</v>
      </c>
      <c r="R14" s="164">
        <f>SUM(E14:Q14)</f>
        <v>0</v>
      </c>
      <c r="S14" s="203" t="s">
        <v>263</v>
      </c>
      <c r="T14" s="107"/>
      <c r="U14" s="107"/>
      <c r="V14" s="107"/>
      <c r="W14" s="107"/>
      <c r="X14" s="107"/>
      <c r="Y14" s="107"/>
      <c r="Z14" s="107"/>
      <c r="AA14" s="108"/>
    </row>
    <row r="15" spans="1:27" ht="14.25" x14ac:dyDescent="0.2">
      <c r="A15" s="46" t="s">
        <v>235</v>
      </c>
      <c r="B15" s="46"/>
      <c r="C15" s="46"/>
      <c r="D15" s="64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0">
        <f>0</f>
        <v>0</v>
      </c>
      <c r="R15" s="164">
        <f>SUM(E15:Q15)</f>
        <v>0</v>
      </c>
      <c r="S15" s="203" t="s">
        <v>165</v>
      </c>
      <c r="T15" s="107"/>
      <c r="U15" s="107"/>
      <c r="V15" s="107"/>
      <c r="W15" s="107"/>
      <c r="X15" s="107"/>
      <c r="Y15" s="107"/>
      <c r="Z15" s="107"/>
      <c r="AA15" s="108"/>
    </row>
    <row r="16" spans="1:27" ht="14.25" x14ac:dyDescent="0.2">
      <c r="A16" s="44" t="s">
        <v>236</v>
      </c>
      <c r="B16" s="44"/>
      <c r="C16" s="44"/>
      <c r="D16" s="64"/>
      <c r="E16" s="65">
        <f>E12+E13+(E14)*(1+$L$4)^-(D11-E11)</f>
        <v>-7.3180800000000019</v>
      </c>
      <c r="F16" s="65">
        <f>F12+(F13)+E14*(1+$L$4)^-(E11-F11)</f>
        <v>-17.417030400000005</v>
      </c>
      <c r="G16" s="65">
        <f>G12+G13+(G14)</f>
        <v>-34.228634880000008</v>
      </c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164">
        <f>SUM(E16:Q17)</f>
        <v>-58.963745280000012</v>
      </c>
      <c r="S16" s="203"/>
      <c r="T16" s="107"/>
      <c r="U16" s="107"/>
      <c r="V16" s="107"/>
      <c r="W16" s="107"/>
      <c r="X16" s="107"/>
      <c r="Y16" s="107"/>
      <c r="Z16" s="107"/>
      <c r="AA16" s="108"/>
    </row>
    <row r="17" spans="1:27" ht="14.25" x14ac:dyDescent="0.2">
      <c r="A17" s="44" t="s">
        <v>237</v>
      </c>
      <c r="B17" s="44"/>
      <c r="C17" s="44"/>
      <c r="E17" s="51"/>
      <c r="F17" s="51"/>
      <c r="G17" s="51"/>
      <c r="H17" s="50">
        <f>0*(1+$L$2)^(H11+2)</f>
        <v>0</v>
      </c>
      <c r="I17" s="50">
        <v>0</v>
      </c>
      <c r="J17" s="50">
        <f t="shared" ref="J17:Q17" si="0">0*(1+$L$2)^(J11+2)</f>
        <v>0</v>
      </c>
      <c r="K17" s="50">
        <f t="shared" si="0"/>
        <v>0</v>
      </c>
      <c r="L17" s="50">
        <f t="shared" si="0"/>
        <v>0</v>
      </c>
      <c r="M17" s="50">
        <f t="shared" si="0"/>
        <v>0</v>
      </c>
      <c r="N17" s="50">
        <f t="shared" si="0"/>
        <v>0</v>
      </c>
      <c r="O17" s="50">
        <f t="shared" si="0"/>
        <v>0</v>
      </c>
      <c r="P17" s="50">
        <v>0</v>
      </c>
      <c r="Q17" s="50">
        <f t="shared" si="0"/>
        <v>0</v>
      </c>
      <c r="R17" s="164">
        <f>SUM(E17:Q17)</f>
        <v>0</v>
      </c>
      <c r="S17" s="203" t="s">
        <v>137</v>
      </c>
      <c r="T17" s="107"/>
      <c r="U17" s="107"/>
      <c r="V17" s="107"/>
      <c r="W17" s="107"/>
      <c r="X17" s="107"/>
      <c r="Y17" s="107"/>
      <c r="Z17" s="107"/>
      <c r="AA17" s="108"/>
    </row>
    <row r="18" spans="1:27" ht="14.25" x14ac:dyDescent="0.2">
      <c r="A18" s="44" t="s">
        <v>238</v>
      </c>
      <c r="B18" s="412"/>
      <c r="C18" s="411"/>
      <c r="E18" s="51"/>
      <c r="F18" s="51"/>
      <c r="G18" s="51"/>
      <c r="H18" s="65">
        <f>0.1*($R$13)</f>
        <v>-5.0114211840000014</v>
      </c>
      <c r="I18" s="51"/>
      <c r="J18" s="51"/>
      <c r="K18" s="51"/>
      <c r="L18" s="51"/>
      <c r="M18" s="51"/>
      <c r="N18" s="51"/>
      <c r="O18" s="51"/>
      <c r="P18" s="51"/>
      <c r="Q18" s="51"/>
      <c r="S18" s="203" t="s">
        <v>227</v>
      </c>
      <c r="T18" s="107"/>
      <c r="U18" s="107"/>
      <c r="V18" s="107"/>
      <c r="W18" s="107"/>
      <c r="X18" s="107"/>
      <c r="Y18" s="107"/>
      <c r="Z18" s="107"/>
      <c r="AA18" s="108"/>
    </row>
    <row r="19" spans="1:27" x14ac:dyDescent="0.2">
      <c r="A19" t="s">
        <v>239</v>
      </c>
      <c r="E19" s="51"/>
      <c r="F19" s="51"/>
      <c r="G19" s="51"/>
      <c r="H19" s="50">
        <v>0.5</v>
      </c>
      <c r="I19" s="50">
        <v>0.9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S19" s="203" t="s">
        <v>228</v>
      </c>
      <c r="T19" s="107"/>
      <c r="U19" s="107"/>
      <c r="V19" s="107"/>
      <c r="W19" s="107"/>
      <c r="X19" s="107"/>
      <c r="Y19" s="107"/>
      <c r="Z19" s="107"/>
      <c r="AA19" s="108"/>
    </row>
    <row r="20" spans="1:27" ht="14.25" x14ac:dyDescent="0.2">
      <c r="A20" t="s">
        <v>240</v>
      </c>
      <c r="E20" s="51"/>
      <c r="F20" s="51"/>
      <c r="G20" s="51"/>
      <c r="H20" s="65">
        <f>'Materials&amp;Labor'!$D$17*H19*(1+$L$3)^(H11+2)</f>
        <v>25.5</v>
      </c>
      <c r="I20" s="65">
        <f>'Materials&amp;Labor'!$D$17*I19*(1+$L$3)^(I11+2)</f>
        <v>45.9</v>
      </c>
      <c r="J20" s="65">
        <f>'Materials&amp;Labor'!$D$17*J19*(1+$L$3)^(J11+2)</f>
        <v>51</v>
      </c>
      <c r="K20" s="65">
        <f>'Materials&amp;Labor'!$D$17*K19*(1+$L$3)^(K11+2)</f>
        <v>51</v>
      </c>
      <c r="L20" s="65">
        <f>'Materials&amp;Labor'!$D$17*L19*(1+$L$3)^(L11+2)</f>
        <v>51</v>
      </c>
      <c r="M20" s="65">
        <f>'Materials&amp;Labor'!$D$17*M19*(1+$L$3)^(M11+2)</f>
        <v>51</v>
      </c>
      <c r="N20" s="65">
        <f>'Materials&amp;Labor'!$D$17*N19*(1+$L$3)^(N11+2)</f>
        <v>51</v>
      </c>
      <c r="O20" s="65">
        <f>'Materials&amp;Labor'!$D$17*O19*(1+$L$3)^(O11+2)</f>
        <v>51</v>
      </c>
      <c r="P20" s="65">
        <f>'Materials&amp;Labor'!$D$17*P19*(1+$L$3)^(P11+2)</f>
        <v>51</v>
      </c>
      <c r="Q20" s="65">
        <f>'Materials&amp;Labor'!$D$17*Q19*(1+$L$3)^(Q11+2)</f>
        <v>51</v>
      </c>
      <c r="R20" s="164">
        <f>SUM(H20:Q20)</f>
        <v>479.4</v>
      </c>
      <c r="S20" s="203"/>
      <c r="T20" s="107"/>
      <c r="U20" s="107"/>
      <c r="V20" s="107"/>
      <c r="W20" s="107"/>
      <c r="X20" s="107"/>
      <c r="Y20" s="107"/>
      <c r="Z20" s="107"/>
      <c r="AA20" s="108"/>
    </row>
    <row r="21" spans="1:27" s="45" customFormat="1" ht="24.95" customHeight="1" x14ac:dyDescent="0.2">
      <c r="A21" s="600" t="s">
        <v>241</v>
      </c>
      <c r="B21" s="601"/>
      <c r="C21" s="602"/>
      <c r="D21" s="52"/>
      <c r="E21" s="52"/>
      <c r="F21" s="52"/>
      <c r="G21" s="52"/>
      <c r="H21" s="194">
        <f>('Annual TPC'!$G$21*(1-H$19)-'Annual TPC'!$G$35)*(1+$L$4)^(H$11+2)</f>
        <v>-17.932868117664402</v>
      </c>
      <c r="I21" s="194">
        <f>('Annual TPC'!$G$21*(1-I$19)-'Annual TPC'!$G$35)*(1+$L$4)^(I$11+2)</f>
        <v>-26.756109253548864</v>
      </c>
      <c r="J21" s="194">
        <f>('Annual TPC'!$G$21*(1-J$19)-'Annual TPC'!$G$35)*(1+$L$4)^(J$11+2)</f>
        <v>-29.449700300870287</v>
      </c>
      <c r="K21" s="194">
        <f>('Annual TPC'!$G$21*(1-K$19)-'Annual TPC'!$G$35)*(1+$L$4)^(K$11+2)</f>
        <v>-30.038694306887695</v>
      </c>
      <c r="L21" s="194">
        <f>('Annual TPC'!$G$21*(1-L$19)-'Annual TPC'!$G$35)*(1+$L$4)^(L$11+2)</f>
        <v>-30.639468193025444</v>
      </c>
      <c r="M21" s="194">
        <f>('Annual TPC'!$G$21*(1-M$19)-'Annual TPC'!$G$35)*(1+$L$4)^(M$11+2)</f>
        <v>-31.252257556885954</v>
      </c>
      <c r="N21" s="194">
        <f>('Annual TPC'!$G$21*(1-N$19)-'Annual TPC'!$G$35)*(1+$L$4)^(N$11+2)</f>
        <v>-31.877302708023674</v>
      </c>
      <c r="O21" s="194">
        <f>('Annual TPC'!$G$21*(1-O$19)-'Annual TPC'!$G$35)*(1+$L$4)^(O$11+2)</f>
        <v>-32.514848762184151</v>
      </c>
      <c r="P21" s="194">
        <f>('Annual TPC'!$G$21*(1-P$19)-'Annual TPC'!$G$35)*(1+$L$4)^(P$11+2)</f>
        <v>-33.165145737427828</v>
      </c>
      <c r="Q21" s="194">
        <f>('Annual TPC'!$G$21*(1-Q$19)-'Annual TPC'!$G$35)*(1+$L$4)^(Q$11+2)</f>
        <v>-33.828448652176384</v>
      </c>
      <c r="R21" s="164">
        <f>SUM(H21:Q21)</f>
        <v>-297.4548435886947</v>
      </c>
      <c r="S21" s="204" t="s">
        <v>229</v>
      </c>
      <c r="T21" s="109"/>
      <c r="U21" s="109"/>
      <c r="V21" s="109"/>
      <c r="W21" s="109"/>
      <c r="X21" s="109"/>
      <c r="Y21" s="109"/>
      <c r="Z21" s="109"/>
      <c r="AA21" s="110"/>
    </row>
    <row r="22" spans="1:27" s="45" customFormat="1" x14ac:dyDescent="0.2">
      <c r="A22" s="46" t="s">
        <v>243</v>
      </c>
      <c r="B22" s="46"/>
      <c r="C22" s="46"/>
      <c r="D22" s="52"/>
      <c r="E22" s="52"/>
      <c r="F22" s="52"/>
      <c r="G22" s="52"/>
      <c r="H22" s="206">
        <f>0.2</f>
        <v>0.2</v>
      </c>
      <c r="I22" s="207">
        <f>(0.8*2/5)</f>
        <v>0.32</v>
      </c>
      <c r="J22" s="207">
        <f>(0.192)</f>
        <v>0.192</v>
      </c>
      <c r="K22" s="207">
        <f>(0.1152)</f>
        <v>0.1152</v>
      </c>
      <c r="L22" s="207">
        <f>(0.1152)</f>
        <v>0.1152</v>
      </c>
      <c r="M22" s="207">
        <f>(0.0576)</f>
        <v>5.7599999999999998E-2</v>
      </c>
      <c r="N22" s="52"/>
      <c r="O22" s="52"/>
      <c r="P22" s="52"/>
      <c r="Q22" s="52"/>
      <c r="R22" s="164"/>
      <c r="S22" s="204" t="s">
        <v>230</v>
      </c>
      <c r="T22" s="109"/>
      <c r="U22" s="109"/>
      <c r="V22" s="109"/>
      <c r="W22" s="109"/>
      <c r="X22" s="109"/>
      <c r="Y22" s="109"/>
      <c r="Z22" s="109"/>
      <c r="AA22" s="110"/>
    </row>
    <row r="23" spans="1:27" ht="14.25" x14ac:dyDescent="0.2">
      <c r="A23" s="46" t="s">
        <v>244</v>
      </c>
      <c r="B23" s="46"/>
      <c r="C23" s="46"/>
      <c r="E23" s="51"/>
      <c r="F23" s="51"/>
      <c r="G23" s="51"/>
      <c r="H23" s="175">
        <f t="shared" ref="H23:M23" si="1">-H22*$R$13</f>
        <v>10.022842368000003</v>
      </c>
      <c r="I23" s="175">
        <f t="shared" si="1"/>
        <v>16.036547788800004</v>
      </c>
      <c r="J23" s="175">
        <f t="shared" si="1"/>
        <v>9.6219286732800029</v>
      </c>
      <c r="K23" s="175">
        <f t="shared" si="1"/>
        <v>5.773157203968001</v>
      </c>
      <c r="L23" s="175">
        <f t="shared" si="1"/>
        <v>5.773157203968001</v>
      </c>
      <c r="M23" s="175">
        <f t="shared" si="1"/>
        <v>2.8865786019840005</v>
      </c>
      <c r="N23" s="51"/>
      <c r="O23" s="51"/>
      <c r="P23" s="51"/>
      <c r="Q23" s="51"/>
      <c r="R23" s="164">
        <f>SUM(H23:Q23)</f>
        <v>50.11421184000001</v>
      </c>
      <c r="S23" s="203"/>
      <c r="T23" s="107"/>
      <c r="U23" s="107"/>
      <c r="V23" s="107"/>
      <c r="W23" s="107"/>
      <c r="X23" s="107"/>
      <c r="Y23" s="107"/>
      <c r="Z23" s="107"/>
      <c r="AA23" s="108"/>
    </row>
    <row r="24" spans="1:27" ht="14.25" x14ac:dyDescent="0.2">
      <c r="A24" s="46" t="s">
        <v>245</v>
      </c>
      <c r="B24" s="46"/>
      <c r="C24" s="46"/>
      <c r="E24" s="51"/>
      <c r="F24" s="51"/>
      <c r="G24" s="51"/>
      <c r="H24" s="51">
        <f>H20+H21-H23+H18</f>
        <v>-7.4671316696644059</v>
      </c>
      <c r="I24" s="51">
        <f t="shared" ref="I24:Q24" si="2">I20+I21-I23+I18</f>
        <v>3.1073429576511309</v>
      </c>
      <c r="J24" s="51">
        <f t="shared" si="2"/>
        <v>11.92837102584971</v>
      </c>
      <c r="K24" s="51">
        <f t="shared" si="2"/>
        <v>15.188148489144304</v>
      </c>
      <c r="L24" s="51">
        <f t="shared" si="2"/>
        <v>14.587374603006555</v>
      </c>
      <c r="M24" s="51">
        <f t="shared" si="2"/>
        <v>16.861163841130043</v>
      </c>
      <c r="N24" s="51">
        <f t="shared" si="2"/>
        <v>19.122697291976326</v>
      </c>
      <c r="O24" s="51">
        <f t="shared" si="2"/>
        <v>18.485151237815849</v>
      </c>
      <c r="P24" s="51">
        <f t="shared" si="2"/>
        <v>17.834854262572172</v>
      </c>
      <c r="Q24" s="51">
        <f t="shared" si="2"/>
        <v>17.171551347823616</v>
      </c>
      <c r="R24" s="164">
        <f>SUM(E24:Q24)</f>
        <v>126.81952338730531</v>
      </c>
      <c r="S24" s="203" t="s">
        <v>331</v>
      </c>
      <c r="T24" s="107"/>
      <c r="U24" s="107"/>
      <c r="V24" s="107"/>
      <c r="W24" s="107"/>
      <c r="X24" s="107"/>
      <c r="Y24" s="107"/>
      <c r="Z24" s="107"/>
      <c r="AA24" s="108"/>
    </row>
    <row r="25" spans="1:27" ht="14.25" x14ac:dyDescent="0.2">
      <c r="A25" s="15" t="s">
        <v>246</v>
      </c>
      <c r="E25" s="51"/>
      <c r="F25" s="51"/>
      <c r="G25" s="51"/>
      <c r="H25" s="51">
        <f t="shared" ref="H25:Q25" si="3">IF(H24&lt;0,H24,H24*(1-$K$7))</f>
        <v>-7.4671316696644059</v>
      </c>
      <c r="I25" s="51">
        <f t="shared" si="3"/>
        <v>2.0197729224732353</v>
      </c>
      <c r="J25" s="51">
        <f t="shared" si="3"/>
        <v>7.753441166802312</v>
      </c>
      <c r="K25" s="51">
        <f t="shared" si="3"/>
        <v>9.8722965179437985</v>
      </c>
      <c r="L25" s="51">
        <f t="shared" si="3"/>
        <v>9.4817934919542619</v>
      </c>
      <c r="M25" s="51">
        <f t="shared" si="3"/>
        <v>10.959756496734528</v>
      </c>
      <c r="N25" s="51">
        <f t="shared" si="3"/>
        <v>12.429753239784613</v>
      </c>
      <c r="O25" s="51">
        <f t="shared" si="3"/>
        <v>12.015348304580302</v>
      </c>
      <c r="P25" s="51">
        <f t="shared" si="3"/>
        <v>11.592655270671912</v>
      </c>
      <c r="Q25" s="51">
        <f t="shared" si="3"/>
        <v>11.161508376085351</v>
      </c>
      <c r="R25" s="164">
        <f>SUM(H25:Q25)</f>
        <v>79.81919411736591</v>
      </c>
      <c r="S25" s="203" t="s">
        <v>231</v>
      </c>
      <c r="T25" s="107"/>
      <c r="U25" s="107"/>
      <c r="V25" s="107"/>
      <c r="W25" s="107"/>
      <c r="X25" s="107"/>
      <c r="Y25" s="107"/>
      <c r="Z25" s="107"/>
      <c r="AA25" s="108"/>
    </row>
    <row r="26" spans="1:27" ht="14.25" x14ac:dyDescent="0.2">
      <c r="A26" s="15" t="s">
        <v>247</v>
      </c>
      <c r="E26" s="51"/>
      <c r="F26" s="51"/>
      <c r="G26" s="51"/>
      <c r="H26" s="51">
        <f>H25+H23</f>
        <v>2.5557106983355968</v>
      </c>
      <c r="I26" s="51">
        <f t="shared" ref="I26:Q26" si="4">I25+I23</f>
        <v>18.056320711273237</v>
      </c>
      <c r="J26" s="51">
        <f t="shared" si="4"/>
        <v>17.375369840082314</v>
      </c>
      <c r="K26" s="51">
        <f t="shared" si="4"/>
        <v>15.6454537219118</v>
      </c>
      <c r="L26" s="51">
        <f t="shared" si="4"/>
        <v>15.254950695922263</v>
      </c>
      <c r="M26" s="51">
        <f t="shared" si="4"/>
        <v>13.846335098718528</v>
      </c>
      <c r="N26" s="51">
        <f t="shared" si="4"/>
        <v>12.429753239784613</v>
      </c>
      <c r="O26" s="51">
        <f t="shared" si="4"/>
        <v>12.015348304580302</v>
      </c>
      <c r="P26" s="51">
        <f t="shared" si="4"/>
        <v>11.592655270671912</v>
      </c>
      <c r="Q26" s="51">
        <f t="shared" si="4"/>
        <v>11.161508376085351</v>
      </c>
      <c r="R26" s="164">
        <f>SUM(H26:Q26)</f>
        <v>129.93340595736592</v>
      </c>
      <c r="S26" s="203"/>
      <c r="T26" s="107"/>
      <c r="U26" s="107"/>
      <c r="V26" s="107"/>
      <c r="W26" s="107"/>
      <c r="X26" s="107"/>
      <c r="Y26" s="107"/>
      <c r="Z26" s="107"/>
      <c r="AA26" s="108"/>
    </row>
    <row r="27" spans="1:27" ht="14.25" x14ac:dyDescent="0.2">
      <c r="A27" s="15" t="s">
        <v>248</v>
      </c>
      <c r="D27" s="51">
        <f>D26+SUM(D16:D18)</f>
        <v>0</v>
      </c>
      <c r="E27" s="51">
        <f>E26+SUM(E16:E18)</f>
        <v>-7.3180800000000019</v>
      </c>
      <c r="F27" s="51">
        <f>F26+SUM(F16:F18)</f>
        <v>-17.417030400000005</v>
      </c>
      <c r="G27" s="51">
        <f>G26+SUM(G16:G18)</f>
        <v>-34.228634880000008</v>
      </c>
      <c r="H27" s="51">
        <f>H26+H17</f>
        <v>2.5557106983355968</v>
      </c>
      <c r="I27" s="51">
        <f t="shared" ref="I27:Q27" si="5">I26+I17</f>
        <v>18.056320711273237</v>
      </c>
      <c r="J27" s="51">
        <f t="shared" si="5"/>
        <v>17.375369840082314</v>
      </c>
      <c r="K27" s="51">
        <f t="shared" si="5"/>
        <v>15.6454537219118</v>
      </c>
      <c r="L27" s="51">
        <f t="shared" si="5"/>
        <v>15.254950695922263</v>
      </c>
      <c r="M27" s="51">
        <f t="shared" si="5"/>
        <v>13.846335098718528</v>
      </c>
      <c r="N27" s="51">
        <f t="shared" si="5"/>
        <v>12.429753239784613</v>
      </c>
      <c r="O27" s="51">
        <f t="shared" si="5"/>
        <v>12.015348304580302</v>
      </c>
      <c r="P27" s="51">
        <f t="shared" si="5"/>
        <v>11.592655270671912</v>
      </c>
      <c r="Q27" s="51">
        <f t="shared" si="5"/>
        <v>11.161508376085351</v>
      </c>
      <c r="R27" s="164">
        <f>SUM(D27:Q27)</f>
        <v>70.969660677365908</v>
      </c>
      <c r="S27" s="413" t="s">
        <v>330</v>
      </c>
      <c r="T27" s="107"/>
      <c r="U27" s="107"/>
      <c r="V27" s="107"/>
      <c r="W27" s="107"/>
      <c r="X27" s="107"/>
      <c r="Y27" s="107"/>
      <c r="Z27" s="107"/>
      <c r="AA27" s="108"/>
    </row>
    <row r="28" spans="1:27" ht="15" thickBot="1" x14ac:dyDescent="0.25">
      <c r="A28" s="15" t="s">
        <v>249</v>
      </c>
      <c r="D28" s="51">
        <f>D16</f>
        <v>0</v>
      </c>
      <c r="E28" s="51">
        <f>D28+E16</f>
        <v>-7.3180800000000019</v>
      </c>
      <c r="F28" s="51">
        <f>E28+F16</f>
        <v>-24.735110400000007</v>
      </c>
      <c r="G28" s="51">
        <f>F28+G16</f>
        <v>-58.963745280000012</v>
      </c>
      <c r="H28" s="51">
        <f t="shared" ref="H28:Q28" si="6">G28+H27</f>
        <v>-56.408034581664417</v>
      </c>
      <c r="I28" s="51">
        <f t="shared" si="6"/>
        <v>-38.35171387039118</v>
      </c>
      <c r="J28" s="51">
        <f t="shared" si="6"/>
        <v>-20.976344030308866</v>
      </c>
      <c r="K28" s="51">
        <f t="shared" si="6"/>
        <v>-5.3308903083970662</v>
      </c>
      <c r="L28" s="51">
        <f t="shared" si="6"/>
        <v>9.9240603875251967</v>
      </c>
      <c r="M28" s="51">
        <f t="shared" si="6"/>
        <v>23.770395486243725</v>
      </c>
      <c r="N28" s="51">
        <f t="shared" si="6"/>
        <v>36.200148726028338</v>
      </c>
      <c r="O28" s="51">
        <f t="shared" si="6"/>
        <v>48.215497030608638</v>
      </c>
      <c r="P28" s="51">
        <f t="shared" si="6"/>
        <v>59.80815230128055</v>
      </c>
      <c r="Q28" s="51">
        <f t="shared" si="6"/>
        <v>70.969660677365908</v>
      </c>
      <c r="S28" s="203"/>
      <c r="T28" s="107"/>
      <c r="U28" s="107"/>
      <c r="V28" s="107"/>
      <c r="W28" s="107"/>
      <c r="X28" s="107"/>
      <c r="Y28" s="107"/>
      <c r="Z28" s="107"/>
      <c r="AA28" s="108"/>
    </row>
    <row r="29" spans="1:27" ht="14.25" thickTop="1" thickBot="1" x14ac:dyDescent="0.25">
      <c r="A29" s="180" t="s">
        <v>145</v>
      </c>
      <c r="B29" s="104"/>
      <c r="C29" s="104"/>
      <c r="D29" s="195"/>
      <c r="E29" s="104"/>
      <c r="F29" s="104"/>
      <c r="G29" s="183"/>
      <c r="S29" s="203" t="s">
        <v>269</v>
      </c>
      <c r="T29" s="107"/>
      <c r="U29" s="107"/>
      <c r="V29" s="107"/>
      <c r="W29" s="107"/>
      <c r="X29" s="107"/>
      <c r="Y29" s="107"/>
      <c r="Z29" s="107"/>
      <c r="AA29" s="108"/>
    </row>
    <row r="30" spans="1:27" ht="14.25" thickTop="1" thickBot="1" x14ac:dyDescent="0.25">
      <c r="A30" s="61" t="s">
        <v>250</v>
      </c>
      <c r="B30" s="62"/>
      <c r="C30" s="63"/>
      <c r="D30" s="309">
        <f>100*R25/((Q11)*(-R16))</f>
        <v>13.536995273677075</v>
      </c>
      <c r="E30" s="197"/>
      <c r="F30" s="198"/>
      <c r="G30" s="199"/>
      <c r="S30" s="203" t="s">
        <v>267</v>
      </c>
      <c r="T30" s="107"/>
      <c r="U30" s="302">
        <f>$R$5*100</f>
        <v>15</v>
      </c>
      <c r="V30" s="303" t="s">
        <v>133</v>
      </c>
      <c r="W30" s="107"/>
      <c r="X30" s="107"/>
      <c r="Y30" s="107"/>
      <c r="Z30" s="107"/>
      <c r="AA30" s="108"/>
    </row>
    <row r="31" spans="1:27" ht="14.25" thickTop="1" thickBot="1" x14ac:dyDescent="0.25">
      <c r="A31" s="61" t="s">
        <v>251</v>
      </c>
      <c r="B31" s="62"/>
      <c r="C31" s="63"/>
      <c r="D31" s="309">
        <f>(-R13)/(R26/Q11)</f>
        <v>3.8569151228471306</v>
      </c>
      <c r="E31" s="197"/>
      <c r="F31" s="198"/>
      <c r="G31" s="199"/>
      <c r="S31" s="203" t="s">
        <v>225</v>
      </c>
      <c r="T31" s="107"/>
      <c r="U31" s="96"/>
      <c r="V31" s="304">
        <f>(R13/R16)/(($R$5)+(R13/(R16*Q11)))</f>
        <v>3.6167922497308931</v>
      </c>
      <c r="W31" s="303" t="s">
        <v>232</v>
      </c>
      <c r="X31" s="107"/>
      <c r="Y31" s="107"/>
      <c r="Z31" s="107"/>
      <c r="AA31" s="108"/>
    </row>
    <row r="32" spans="1:27" ht="17.25" thickTop="1" thickBot="1" x14ac:dyDescent="0.35">
      <c r="A32" s="606" t="s">
        <v>252</v>
      </c>
      <c r="B32" s="607"/>
      <c r="C32" s="608"/>
      <c r="D32" s="310">
        <f>(R25/Q11)-$R$5*(-R16)</f>
        <v>-0.86264238026341111</v>
      </c>
      <c r="E32" s="181" t="s">
        <v>134</v>
      </c>
      <c r="F32" s="196">
        <f>R5*100</f>
        <v>15</v>
      </c>
      <c r="G32" s="182" t="s">
        <v>133</v>
      </c>
      <c r="S32" s="203" t="s">
        <v>270</v>
      </c>
      <c r="T32" s="107"/>
      <c r="U32" s="107"/>
      <c r="V32" s="107"/>
      <c r="W32" s="107"/>
      <c r="X32" s="107"/>
      <c r="Y32" s="107"/>
      <c r="Z32" s="107"/>
      <c r="AA32" s="108"/>
    </row>
    <row r="33" spans="1:27" ht="14.25" thickTop="1" thickBot="1" x14ac:dyDescent="0.25">
      <c r="A33" s="72"/>
      <c r="B33" s="72"/>
      <c r="C33" s="72"/>
      <c r="D33" s="103"/>
      <c r="F33" s="100"/>
      <c r="S33" s="203"/>
      <c r="T33" s="107"/>
      <c r="U33" s="107"/>
      <c r="V33" s="107"/>
      <c r="W33" s="107"/>
      <c r="X33" s="107"/>
      <c r="Y33" s="107"/>
      <c r="Z33" s="107"/>
      <c r="AA33" s="108"/>
    </row>
    <row r="34" spans="1:27" ht="14.25" thickTop="1" thickBot="1" x14ac:dyDescent="0.25">
      <c r="A34" s="407" t="s">
        <v>215</v>
      </c>
      <c r="B34" s="408"/>
      <c r="C34" s="408"/>
      <c r="D34" s="409"/>
      <c r="E34" s="408"/>
      <c r="F34" s="410"/>
      <c r="G34" s="410"/>
      <c r="H34" s="410"/>
      <c r="I34" s="57"/>
      <c r="J34" s="57"/>
      <c r="K34" s="57"/>
      <c r="L34" s="57"/>
      <c r="M34" s="57"/>
      <c r="N34" s="104"/>
      <c r="O34" s="104"/>
      <c r="P34" s="104"/>
      <c r="Q34" s="104"/>
      <c r="R34" s="216"/>
      <c r="S34" s="203" t="s">
        <v>268</v>
      </c>
      <c r="T34" s="107"/>
      <c r="U34" s="107"/>
      <c r="V34" s="107"/>
      <c r="W34" s="107"/>
      <c r="X34" s="107"/>
      <c r="Y34" s="107"/>
      <c r="Z34" s="107"/>
      <c r="AA34" s="108"/>
    </row>
    <row r="35" spans="1:27" s="59" customFormat="1" x14ac:dyDescent="0.2">
      <c r="A35" s="420" t="s">
        <v>253</v>
      </c>
      <c r="B35" s="420"/>
      <c r="C35" s="420"/>
      <c r="D35" s="5">
        <f>(1+$R$5)^(-D$11)</f>
        <v>1.5208749999999995</v>
      </c>
      <c r="E35" s="5">
        <f t="shared" ref="E35:Q35" si="7">(1+$R$5)^(-E$11)</f>
        <v>1.3224999999999998</v>
      </c>
      <c r="F35" s="5">
        <f t="shared" si="7"/>
        <v>1.1499999999999999</v>
      </c>
      <c r="G35" s="5">
        <f t="shared" si="7"/>
        <v>1</v>
      </c>
      <c r="H35" s="5">
        <f t="shared" si="7"/>
        <v>0.86956521739130443</v>
      </c>
      <c r="I35" s="5">
        <f t="shared" si="7"/>
        <v>0.7561436672967865</v>
      </c>
      <c r="J35" s="5">
        <f t="shared" si="7"/>
        <v>0.65751623243198831</v>
      </c>
      <c r="K35" s="5">
        <f t="shared" si="7"/>
        <v>0.57175324559303342</v>
      </c>
      <c r="L35" s="5">
        <f t="shared" si="7"/>
        <v>0.49717673529828987</v>
      </c>
      <c r="M35" s="5">
        <f t="shared" si="7"/>
        <v>0.43232759591155645</v>
      </c>
      <c r="N35" s="5">
        <f t="shared" si="7"/>
        <v>0.37593703992309269</v>
      </c>
      <c r="O35" s="5">
        <f t="shared" si="7"/>
        <v>0.32690177384616753</v>
      </c>
      <c r="P35" s="5">
        <f t="shared" si="7"/>
        <v>0.28426241204014574</v>
      </c>
      <c r="Q35" s="5">
        <f t="shared" si="7"/>
        <v>0.24718470612186585</v>
      </c>
      <c r="R35" s="164"/>
      <c r="S35" s="205" t="s">
        <v>280</v>
      </c>
      <c r="T35" s="111"/>
      <c r="U35" s="111"/>
      <c r="V35" s="111"/>
      <c r="W35" s="111"/>
      <c r="X35" s="111"/>
      <c r="Y35" s="111"/>
      <c r="Z35" s="111"/>
      <c r="AA35" s="112"/>
    </row>
    <row r="36" spans="1:27" s="59" customFormat="1" ht="25.5" customHeight="1" thickBot="1" x14ac:dyDescent="0.25">
      <c r="A36" s="604" t="s">
        <v>254</v>
      </c>
      <c r="B36" s="605"/>
      <c r="C36" s="605"/>
      <c r="D36" s="164">
        <f>D35*D$27</f>
        <v>0</v>
      </c>
      <c r="E36" s="164">
        <f t="shared" ref="E36:Q36" si="8">E35*E$27</f>
        <v>-9.6781608000000006</v>
      </c>
      <c r="F36" s="164">
        <f t="shared" si="8"/>
        <v>-20.029584960000005</v>
      </c>
      <c r="G36" s="164">
        <f t="shared" si="8"/>
        <v>-34.228634880000008</v>
      </c>
      <c r="H36" s="164">
        <f t="shared" si="8"/>
        <v>2.2223571289874755</v>
      </c>
      <c r="I36" s="164">
        <f t="shared" si="8"/>
        <v>13.653172560509066</v>
      </c>
      <c r="J36" s="164">
        <f t="shared" si="8"/>
        <v>11.424587714363323</v>
      </c>
      <c r="K36" s="164">
        <f t="shared" si="8"/>
        <v>8.9453389442786762</v>
      </c>
      <c r="L36" s="164">
        <f t="shared" si="8"/>
        <v>7.5844065841350057</v>
      </c>
      <c r="M36" s="164">
        <f t="shared" si="8"/>
        <v>5.9861527654147846</v>
      </c>
      <c r="N36" s="164">
        <f t="shared" si="8"/>
        <v>4.6728046399390992</v>
      </c>
      <c r="O36" s="164">
        <f t="shared" si="8"/>
        <v>3.9278386741468423</v>
      </c>
      <c r="P36" s="164">
        <f t="shared" si="8"/>
        <v>3.2953561491911065</v>
      </c>
      <c r="Q36" s="164">
        <f t="shared" si="8"/>
        <v>2.7589541678194016</v>
      </c>
      <c r="R36" s="163">
        <f>SUM(D36:Q36)</f>
        <v>0.53458868878477839</v>
      </c>
      <c r="S36" s="611" t="s">
        <v>226</v>
      </c>
      <c r="T36" s="612"/>
      <c r="U36" s="612"/>
      <c r="V36" s="612"/>
      <c r="W36" s="612"/>
      <c r="X36" s="612"/>
      <c r="Y36" s="612"/>
      <c r="Z36" s="612"/>
      <c r="AA36" s="613"/>
    </row>
    <row r="37" spans="1:27" s="59" customFormat="1" ht="25.5" customHeight="1" thickTop="1" thickBot="1" x14ac:dyDescent="0.25">
      <c r="A37" s="595" t="s">
        <v>277</v>
      </c>
      <c r="B37" s="596"/>
      <c r="C37" s="597"/>
      <c r="D37" s="311">
        <f>R36</f>
        <v>0.53458868878477839</v>
      </c>
      <c r="E37" s="101" t="s">
        <v>132</v>
      </c>
      <c r="G37" s="102">
        <f>R5*100</f>
        <v>15</v>
      </c>
      <c r="H37" s="59" t="s">
        <v>133</v>
      </c>
      <c r="R37" s="5"/>
      <c r="S37" s="205" t="s">
        <v>271</v>
      </c>
      <c r="T37" s="111"/>
      <c r="U37" s="111"/>
      <c r="V37" s="111"/>
      <c r="W37" s="111"/>
      <c r="X37" s="111"/>
      <c r="Y37" s="111"/>
      <c r="Z37" s="111"/>
      <c r="AA37" s="112"/>
    </row>
    <row r="38" spans="1:27" s="29" customFormat="1" ht="25.5" customHeight="1" thickTop="1" thickBot="1" x14ac:dyDescent="0.25">
      <c r="A38" s="594" t="s">
        <v>255</v>
      </c>
      <c r="B38" s="594"/>
      <c r="C38" s="594"/>
      <c r="D38" s="312">
        <f>IF($R$27&lt;0,"No value",$C$39*100)</f>
        <v>15.184848705445065</v>
      </c>
      <c r="E38" s="620" t="s">
        <v>332</v>
      </c>
      <c r="F38" s="621"/>
      <c r="G38" s="621"/>
      <c r="H38" s="621"/>
      <c r="I38" s="621"/>
      <c r="J38" s="621"/>
      <c r="K38" s="621"/>
      <c r="L38" s="621"/>
      <c r="M38" s="621"/>
      <c r="N38" s="621"/>
      <c r="O38" s="622"/>
      <c r="R38" s="217"/>
      <c r="S38" s="609" t="s">
        <v>273</v>
      </c>
      <c r="T38" s="610"/>
      <c r="U38" s="610"/>
      <c r="V38" s="610"/>
      <c r="W38" s="610"/>
      <c r="X38" s="610"/>
      <c r="Y38" s="305"/>
      <c r="Z38" s="305"/>
      <c r="AA38" s="306"/>
    </row>
    <row r="39" spans="1:27" ht="13.5" thickTop="1" x14ac:dyDescent="0.2">
      <c r="A39" t="s">
        <v>95</v>
      </c>
      <c r="C39" s="6">
        <v>0.15184848705445064</v>
      </c>
      <c r="S39" s="203"/>
      <c r="T39" s="107"/>
      <c r="U39" s="107"/>
      <c r="V39" s="107"/>
      <c r="W39" s="107"/>
      <c r="X39" s="107"/>
      <c r="Y39" s="107"/>
      <c r="Z39" s="107"/>
      <c r="AA39" s="108"/>
    </row>
    <row r="40" spans="1:27" x14ac:dyDescent="0.2">
      <c r="A40" s="420" t="s">
        <v>256</v>
      </c>
      <c r="B40" s="420"/>
      <c r="C40" s="420"/>
      <c r="D40" s="5">
        <f t="shared" ref="D40:Q40" si="9">(1+$C$39)^(-D$11)</f>
        <v>1.528220667024784</v>
      </c>
      <c r="E40" s="5">
        <f t="shared" si="9"/>
        <v>1.3267549371296272</v>
      </c>
      <c r="F40" s="5">
        <f t="shared" si="9"/>
        <v>1.1518484870544508</v>
      </c>
      <c r="G40" s="5">
        <f t="shared" si="9"/>
        <v>1</v>
      </c>
      <c r="H40" s="5">
        <f t="shared" si="9"/>
        <v>0.8681697386756454</v>
      </c>
      <c r="I40" s="5">
        <f t="shared" si="9"/>
        <v>0.75371869515213841</v>
      </c>
      <c r="J40" s="5">
        <f t="shared" si="9"/>
        <v>0.65435576260518036</v>
      </c>
      <c r="K40" s="5">
        <f t="shared" si="9"/>
        <v>0.56809187142184203</v>
      </c>
      <c r="L40" s="5">
        <f t="shared" si="9"/>
        <v>0.49320017155605894</v>
      </c>
      <c r="M40" s="5">
        <f t="shared" si="9"/>
        <v>0.42818146405460716</v>
      </c>
      <c r="N40" s="5">
        <f t="shared" si="9"/>
        <v>0.37173418975404354</v>
      </c>
      <c r="O40" s="5">
        <f t="shared" si="9"/>
        <v>0.32272837437557078</v>
      </c>
      <c r="P40" s="5">
        <f t="shared" si="9"/>
        <v>0.28018300844485511</v>
      </c>
      <c r="Q40" s="5">
        <f t="shared" si="9"/>
        <v>0.24324640922292601</v>
      </c>
      <c r="S40" s="203"/>
      <c r="T40" s="107"/>
      <c r="U40" s="107"/>
      <c r="V40" s="107"/>
      <c r="W40" s="107"/>
      <c r="X40" s="107"/>
      <c r="Y40" s="107"/>
      <c r="Z40" s="107"/>
      <c r="AA40" s="108"/>
    </row>
    <row r="41" spans="1:27" ht="25.5" customHeight="1" thickBot="1" x14ac:dyDescent="0.25">
      <c r="A41" s="598" t="s">
        <v>257</v>
      </c>
      <c r="B41" s="599"/>
      <c r="C41" s="599"/>
      <c r="D41" s="163">
        <f t="shared" ref="D41:Q41" si="10">D40*D$27</f>
        <v>0</v>
      </c>
      <c r="E41" s="163">
        <f t="shared" si="10"/>
        <v>-9.7092987703095854</v>
      </c>
      <c r="F41" s="163">
        <f t="shared" si="10"/>
        <v>-20.061780115221381</v>
      </c>
      <c r="G41" s="163">
        <f t="shared" si="10"/>
        <v>-34.228634880000008</v>
      </c>
      <c r="H41" s="163">
        <f t="shared" si="10"/>
        <v>2.2187906891045661</v>
      </c>
      <c r="I41" s="163">
        <f t="shared" si="10"/>
        <v>13.609386485749395</v>
      </c>
      <c r="J41" s="163">
        <f t="shared" si="10"/>
        <v>11.369673382254113</v>
      </c>
      <c r="K41" s="163">
        <f t="shared" si="10"/>
        <v>8.8880550841246979</v>
      </c>
      <c r="L41" s="163">
        <f t="shared" si="10"/>
        <v>7.5237443003080804</v>
      </c>
      <c r="M41" s="163">
        <f t="shared" si="10"/>
        <v>5.9287440343599931</v>
      </c>
      <c r="N41" s="163">
        <f t="shared" si="10"/>
        <v>4.6205642494340307</v>
      </c>
      <c r="O41" s="163">
        <f t="shared" si="10"/>
        <v>3.8776938258934712</v>
      </c>
      <c r="P41" s="163">
        <f t="shared" si="10"/>
        <v>3.2480650296009625</v>
      </c>
      <c r="Q41" s="163">
        <f t="shared" si="10"/>
        <v>2.7149968339943737</v>
      </c>
      <c r="R41" s="163">
        <f>SUM(D41:Q41)</f>
        <v>1.4929271063834904E-7</v>
      </c>
      <c r="S41" s="203"/>
      <c r="T41" s="107"/>
      <c r="U41" s="107"/>
      <c r="V41" s="107"/>
      <c r="W41" s="107"/>
      <c r="X41" s="107"/>
      <c r="Y41" s="107"/>
      <c r="Z41" s="107"/>
      <c r="AA41" s="108"/>
    </row>
    <row r="42" spans="1:27" ht="13.5" thickTop="1" x14ac:dyDescent="0.2">
      <c r="S42" s="203"/>
      <c r="T42" s="107"/>
      <c r="U42" s="107"/>
      <c r="V42" s="107"/>
      <c r="W42" s="107"/>
      <c r="X42" s="107"/>
      <c r="Y42" s="107"/>
      <c r="Z42" s="107"/>
      <c r="AA42" s="108"/>
    </row>
    <row r="43" spans="1:27" ht="13.5" thickBot="1" x14ac:dyDescent="0.25">
      <c r="S43" s="203"/>
      <c r="T43" s="107"/>
      <c r="U43" s="107"/>
      <c r="V43" s="107"/>
      <c r="W43" s="107"/>
      <c r="X43" s="107"/>
      <c r="Y43" s="107"/>
      <c r="Z43" s="107"/>
      <c r="AA43" s="108"/>
    </row>
    <row r="44" spans="1:27" ht="14.25" thickTop="1" thickBot="1" x14ac:dyDescent="0.25">
      <c r="A44" s="407" t="s">
        <v>316</v>
      </c>
      <c r="B44" s="408"/>
      <c r="C44" s="408"/>
      <c r="D44" s="409"/>
      <c r="E44" s="408"/>
      <c r="F44" s="410"/>
      <c r="G44" s="410"/>
      <c r="H44" s="410"/>
      <c r="I44" s="57"/>
      <c r="J44" s="57"/>
      <c r="K44" s="57"/>
      <c r="L44" s="57"/>
      <c r="M44" s="104"/>
      <c r="N44" s="104"/>
      <c r="O44" s="104"/>
      <c r="P44" s="104"/>
      <c r="Q44" s="104"/>
      <c r="R44" s="216"/>
      <c r="S44" s="203" t="s">
        <v>268</v>
      </c>
      <c r="T44" s="107"/>
      <c r="U44" s="107"/>
      <c r="V44" s="107"/>
      <c r="W44" s="107"/>
      <c r="X44" s="107"/>
      <c r="Y44" s="107"/>
      <c r="Z44" s="107"/>
      <c r="AA44" s="108"/>
    </row>
    <row r="45" spans="1:27" x14ac:dyDescent="0.2">
      <c r="A45" s="420" t="s">
        <v>258</v>
      </c>
      <c r="B45" s="420"/>
      <c r="C45" s="420"/>
      <c r="D45" s="60">
        <f>((EXP($R$6)-1)/$R$6)*(EXP((-D$11)*($R$6)))</f>
        <v>1.6322844840524198</v>
      </c>
      <c r="E45" s="60">
        <f t="shared" ref="E45:Q45" si="11">((EXP($R$6)-1)/$R$6)*(EXP((-E11)*($R$6)))</f>
        <v>1.4193778122194955</v>
      </c>
      <c r="F45" s="60">
        <f t="shared" si="11"/>
        <v>1.2342415758430396</v>
      </c>
      <c r="G45" s="60">
        <f t="shared" si="11"/>
        <v>1.0732535442113389</v>
      </c>
      <c r="H45" s="60">
        <f t="shared" si="11"/>
        <v>0.93326395148812091</v>
      </c>
      <c r="I45" s="60">
        <f t="shared" si="11"/>
        <v>0.81153387085923556</v>
      </c>
      <c r="J45" s="60">
        <f t="shared" si="11"/>
        <v>0.70568162683411795</v>
      </c>
      <c r="K45" s="60">
        <f t="shared" si="11"/>
        <v>0.61363619724705909</v>
      </c>
      <c r="L45" s="60">
        <f t="shared" si="11"/>
        <v>0.53359669325831238</v>
      </c>
      <c r="M45" s="60">
        <f t="shared" si="11"/>
        <v>0.46399712457244552</v>
      </c>
      <c r="N45" s="60">
        <f t="shared" si="11"/>
        <v>0.40347576049777872</v>
      </c>
      <c r="O45" s="60">
        <f t="shared" si="11"/>
        <v>0.35084848738937285</v>
      </c>
      <c r="P45" s="60">
        <f t="shared" si="11"/>
        <v>0.30508564120815035</v>
      </c>
      <c r="Q45" s="60">
        <f t="shared" si="11"/>
        <v>0.26529186192013071</v>
      </c>
      <c r="S45" s="203" t="s">
        <v>275</v>
      </c>
      <c r="T45" s="107"/>
      <c r="U45" s="107"/>
      <c r="V45" s="107"/>
      <c r="W45" s="107"/>
      <c r="X45" s="107"/>
      <c r="Y45" s="107"/>
      <c r="Z45" s="107"/>
      <c r="AA45" s="108"/>
    </row>
    <row r="46" spans="1:27" ht="25.5" customHeight="1" thickBot="1" x14ac:dyDescent="0.25">
      <c r="A46" s="623" t="s">
        <v>259</v>
      </c>
      <c r="B46" s="624"/>
      <c r="C46" s="624"/>
      <c r="D46" s="164">
        <f>D45*$D$27</f>
        <v>0</v>
      </c>
      <c r="E46" s="164">
        <f>E45*E$27</f>
        <v>-10.387120380047248</v>
      </c>
      <c r="F46" s="164">
        <f t="shared" ref="F46:Q46" si="12">F45*F$27</f>
        <v>-21.496823047402135</v>
      </c>
      <c r="G46" s="164">
        <f t="shared" si="12"/>
        <v>-36.736003698475862</v>
      </c>
      <c r="H46" s="164">
        <f t="shared" si="12"/>
        <v>2.3851526651891439</v>
      </c>
      <c r="I46" s="164">
        <f t="shared" si="12"/>
        <v>14.653315840295356</v>
      </c>
      <c r="J46" s="164">
        <f t="shared" si="12"/>
        <v>12.261479255593756</v>
      </c>
      <c r="K46" s="164">
        <f t="shared" si="12"/>
        <v>9.6006167261188029</v>
      </c>
      <c r="L46" s="164">
        <f t="shared" si="12"/>
        <v>8.1399912471627101</v>
      </c>
      <c r="M46" s="164">
        <f t="shared" si="12"/>
        <v>6.4246596716719253</v>
      </c>
      <c r="N46" s="164">
        <f t="shared" si="12"/>
        <v>5.0151041412218262</v>
      </c>
      <c r="O46" s="164">
        <f t="shared" si="12"/>
        <v>4.2155667781184647</v>
      </c>
      <c r="P46" s="164">
        <f t="shared" si="12"/>
        <v>3.5367526665579843</v>
      </c>
      <c r="Q46" s="164">
        <f t="shared" si="12"/>
        <v>2.9610573389288173</v>
      </c>
      <c r="R46" s="163">
        <f>SUM(D46:Q46)</f>
        <v>0.57374920493353088</v>
      </c>
      <c r="S46" s="611" t="s">
        <v>226</v>
      </c>
      <c r="T46" s="612"/>
      <c r="U46" s="612"/>
      <c r="V46" s="612"/>
      <c r="W46" s="612"/>
      <c r="X46" s="612"/>
      <c r="Y46" s="612"/>
      <c r="Z46" s="612"/>
      <c r="AA46" s="613"/>
    </row>
    <row r="47" spans="1:27" ht="25.5" customHeight="1" thickTop="1" thickBot="1" x14ac:dyDescent="0.25">
      <c r="A47" s="595" t="s">
        <v>276</v>
      </c>
      <c r="B47" s="596"/>
      <c r="C47" s="597"/>
      <c r="D47" s="311">
        <f>R46</f>
        <v>0.57374920493353088</v>
      </c>
      <c r="E47" s="101" t="s">
        <v>132</v>
      </c>
      <c r="F47" s="59"/>
      <c r="G47" s="102">
        <f>$R$6*100</f>
        <v>13.976194237515863</v>
      </c>
      <c r="H47" s="59" t="s">
        <v>133</v>
      </c>
      <c r="I47" s="2"/>
      <c r="J47" s="2"/>
      <c r="K47" s="2"/>
      <c r="L47" s="2"/>
      <c r="M47" s="2"/>
      <c r="S47" s="205" t="s">
        <v>272</v>
      </c>
      <c r="T47" s="107"/>
      <c r="U47" s="107"/>
      <c r="V47" s="107"/>
      <c r="W47" s="107"/>
      <c r="X47" s="107"/>
      <c r="Y47" s="107"/>
      <c r="Z47" s="107"/>
      <c r="AA47" s="108"/>
    </row>
    <row r="48" spans="1:27" ht="25.5" customHeight="1" thickTop="1" thickBot="1" x14ac:dyDescent="0.25">
      <c r="A48" s="594" t="s">
        <v>260</v>
      </c>
      <c r="B48" s="594"/>
      <c r="C48" s="594"/>
      <c r="D48" s="312">
        <f>IF($R$27&lt;0,"No value",$C$49*100)</f>
        <v>14.1368032638724</v>
      </c>
      <c r="E48" s="620" t="s">
        <v>334</v>
      </c>
      <c r="F48" s="621"/>
      <c r="G48" s="621"/>
      <c r="H48" s="621"/>
      <c r="I48" s="621"/>
      <c r="J48" s="621"/>
      <c r="K48" s="621"/>
      <c r="L48" s="621"/>
      <c r="M48" s="621"/>
      <c r="N48" s="621"/>
      <c r="O48" s="622"/>
      <c r="P48" s="29"/>
      <c r="Q48" s="29"/>
      <c r="R48" s="218"/>
      <c r="S48" s="609" t="s">
        <v>274</v>
      </c>
      <c r="T48" s="610"/>
      <c r="U48" s="610"/>
      <c r="V48" s="610"/>
      <c r="W48" s="610"/>
      <c r="X48" s="610"/>
      <c r="Y48" s="107"/>
      <c r="Z48" s="107"/>
      <c r="AA48" s="108"/>
    </row>
    <row r="49" spans="1:27" ht="13.5" thickTop="1" x14ac:dyDescent="0.2">
      <c r="A49" t="s">
        <v>95</v>
      </c>
      <c r="C49" s="6">
        <v>0.14136803263872399</v>
      </c>
      <c r="S49" s="203"/>
      <c r="T49" s="107"/>
      <c r="U49" s="107"/>
      <c r="V49" s="107"/>
      <c r="W49" s="107"/>
      <c r="X49" s="107"/>
      <c r="Y49" s="107"/>
      <c r="Z49" s="107"/>
      <c r="AA49" s="108"/>
    </row>
    <row r="50" spans="1:27" x14ac:dyDescent="0.2">
      <c r="A50" s="420" t="s">
        <v>261</v>
      </c>
      <c r="B50" s="420"/>
      <c r="C50" s="420"/>
      <c r="D50" s="5">
        <f t="shared" ref="D50:Q50" si="13">((EXP($C$49)-1)/$C$49)*(EXP((-D$11)*($C$49)))</f>
        <v>1.6415167805947006</v>
      </c>
      <c r="E50" s="5">
        <f t="shared" si="13"/>
        <v>1.4251151934873594</v>
      </c>
      <c r="F50" s="5">
        <f t="shared" si="13"/>
        <v>1.2372418842850483</v>
      </c>
      <c r="G50" s="5">
        <f t="shared" si="13"/>
        <v>1.0741359626398472</v>
      </c>
      <c r="H50" s="5">
        <f t="shared" si="13"/>
        <v>0.93253233736339824</v>
      </c>
      <c r="I50" s="5">
        <f t="shared" si="13"/>
        <v>0.80959635509384897</v>
      </c>
      <c r="J50" s="5">
        <f t="shared" si="13"/>
        <v>0.70286705556444928</v>
      </c>
      <c r="K50" s="5">
        <f t="shared" si="13"/>
        <v>0.61020790754495347</v>
      </c>
      <c r="L50" s="5">
        <f t="shared" si="13"/>
        <v>0.52976403927676685</v>
      </c>
      <c r="M50" s="5">
        <f t="shared" si="13"/>
        <v>0.45992510723103108</v>
      </c>
      <c r="N50" s="5">
        <f t="shared" si="13"/>
        <v>0.39929305988805402</v>
      </c>
      <c r="O50" s="5">
        <f t="shared" si="13"/>
        <v>0.34665415122614118</v>
      </c>
      <c r="P50" s="5">
        <f t="shared" si="13"/>
        <v>0.30095464367952462</v>
      </c>
      <c r="Q50" s="5">
        <f t="shared" si="13"/>
        <v>0.26127971418171059</v>
      </c>
      <c r="S50" s="203"/>
      <c r="T50" s="107"/>
      <c r="U50" s="107"/>
      <c r="V50" s="107"/>
      <c r="W50" s="107"/>
      <c r="X50" s="107"/>
      <c r="Y50" s="107"/>
      <c r="Z50" s="107"/>
      <c r="AA50" s="108"/>
    </row>
    <row r="51" spans="1:27" ht="25.5" customHeight="1" thickBot="1" x14ac:dyDescent="0.25">
      <c r="A51" s="598" t="s">
        <v>262</v>
      </c>
      <c r="B51" s="599"/>
      <c r="C51" s="599"/>
      <c r="D51" s="163">
        <f t="shared" ref="D51:Q51" si="14">D50*D$27</f>
        <v>0</v>
      </c>
      <c r="E51" s="163">
        <f t="shared" si="14"/>
        <v>-10.429106995155978</v>
      </c>
      <c r="F51" s="163">
        <f t="shared" si="14"/>
        <v>-21.549079510745976</v>
      </c>
      <c r="G51" s="163">
        <f t="shared" si="14"/>
        <v>-36.766207676676657</v>
      </c>
      <c r="H51" s="163">
        <f t="shared" si="14"/>
        <v>2.3832828711435368</v>
      </c>
      <c r="I51" s="163">
        <f t="shared" si="14"/>
        <v>14.618331434252388</v>
      </c>
      <c r="J51" s="163">
        <f t="shared" si="14"/>
        <v>12.212575038841992</v>
      </c>
      <c r="K51" s="163">
        <f t="shared" si="14"/>
        <v>9.5469795782392026</v>
      </c>
      <c r="L51" s="163">
        <f t="shared" si="14"/>
        <v>8.0815242996397032</v>
      </c>
      <c r="M51" s="163">
        <f t="shared" si="14"/>
        <v>6.3682771550349084</v>
      </c>
      <c r="N51" s="163">
        <f t="shared" si="14"/>
        <v>4.9631142047670513</v>
      </c>
      <c r="O51" s="163">
        <f t="shared" si="14"/>
        <v>4.165170368210739</v>
      </c>
      <c r="P51" s="163">
        <f t="shared" si="14"/>
        <v>3.4888634362846282</v>
      </c>
      <c r="Q51" s="163">
        <f t="shared" si="14"/>
        <v>2.9162757183403492</v>
      </c>
      <c r="R51" s="163">
        <f>SUM(D51:Q51)</f>
        <v>-7.7824120037206512E-8</v>
      </c>
      <c r="S51" s="203"/>
      <c r="T51" s="107"/>
      <c r="U51" s="107"/>
      <c r="V51" s="107"/>
      <c r="W51" s="107"/>
      <c r="X51" s="107"/>
      <c r="Y51" s="107"/>
      <c r="Z51" s="107"/>
      <c r="AA51" s="108"/>
    </row>
    <row r="52" spans="1:27" ht="13.5" thickTop="1" x14ac:dyDescent="0.2"/>
    <row r="54" spans="1:27" x14ac:dyDescent="0.2">
      <c r="R54" s="165"/>
    </row>
  </sheetData>
  <mergeCells count="30">
    <mergeCell ref="R10:R11"/>
    <mergeCell ref="A50:C50"/>
    <mergeCell ref="A51:C51"/>
    <mergeCell ref="E38:O38"/>
    <mergeCell ref="E48:O48"/>
    <mergeCell ref="A46:C46"/>
    <mergeCell ref="A47:C47"/>
    <mergeCell ref="S48:X48"/>
    <mergeCell ref="S36:AA36"/>
    <mergeCell ref="S46:AA46"/>
    <mergeCell ref="S12:AA12"/>
    <mergeCell ref="A12:C12"/>
    <mergeCell ref="S38:X38"/>
    <mergeCell ref="A40:C40"/>
    <mergeCell ref="A41:C41"/>
    <mergeCell ref="A21:C21"/>
    <mergeCell ref="A35:C35"/>
    <mergeCell ref="B11:C11"/>
    <mergeCell ref="A36:C36"/>
    <mergeCell ref="A32:C32"/>
    <mergeCell ref="A4:D4"/>
    <mergeCell ref="A5:D5"/>
    <mergeCell ref="A1:F1"/>
    <mergeCell ref="G1:L1"/>
    <mergeCell ref="A6:D7"/>
    <mergeCell ref="A48:C48"/>
    <mergeCell ref="A37:C37"/>
    <mergeCell ref="A2:F2"/>
    <mergeCell ref="A45:C45"/>
    <mergeCell ref="A38:C38"/>
  </mergeCells>
  <phoneticPr fontId="0" type="noConversion"/>
  <printOptions gridLines="1"/>
  <pageMargins left="0.75" right="0.75" top="1" bottom="1" header="0.5" footer="0.5"/>
  <pageSetup scale="90" orientation="landscape" horizontalDpi="4294967293" verticalDpi="0" r:id="rId1"/>
  <headerFooter alignWithMargins="0"/>
  <rowBreaks count="2" manualBreakCount="2">
    <brk id="32" max="16383" man="1"/>
    <brk id="5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"/>
  <sheetViews>
    <sheetView zoomScaleNormal="100" workbookViewId="0">
      <selection sqref="A1:F1"/>
    </sheetView>
  </sheetViews>
  <sheetFormatPr defaultRowHeight="12.75" x14ac:dyDescent="0.2"/>
  <cols>
    <col min="3" max="3" width="12.28515625" customWidth="1"/>
    <col min="4" max="4" width="7" style="51" customWidth="1"/>
    <col min="5" max="17" width="7" customWidth="1"/>
    <col min="18" max="18" width="7" style="164" customWidth="1"/>
    <col min="19" max="19" width="9.140625" style="200"/>
  </cols>
  <sheetData>
    <row r="1" spans="1:27" ht="13.5" thickBot="1" x14ac:dyDescent="0.25">
      <c r="A1" s="432" t="s">
        <v>317</v>
      </c>
      <c r="B1" s="432"/>
      <c r="C1" s="432"/>
      <c r="D1" s="432"/>
      <c r="E1" s="432"/>
      <c r="F1" s="432"/>
      <c r="G1" s="625" t="s">
        <v>162</v>
      </c>
      <c r="H1" s="534"/>
      <c r="I1" s="534"/>
      <c r="J1" s="534"/>
      <c r="K1" s="534"/>
      <c r="L1" s="626"/>
      <c r="S1" s="627"/>
      <c r="T1" s="417"/>
      <c r="U1" s="417"/>
      <c r="V1" s="417"/>
      <c r="W1" s="417"/>
      <c r="X1" s="417"/>
      <c r="Y1" s="417"/>
      <c r="Z1" s="417"/>
      <c r="AA1" s="417"/>
    </row>
    <row r="2" spans="1:27" ht="13.5" thickTop="1" x14ac:dyDescent="0.2">
      <c r="A2" s="417" t="s">
        <v>167</v>
      </c>
      <c r="B2" s="417"/>
      <c r="C2" s="417"/>
      <c r="D2" s="417"/>
      <c r="E2" s="417"/>
      <c r="F2" s="417"/>
      <c r="G2" s="223" t="s">
        <v>89</v>
      </c>
      <c r="H2" s="224"/>
      <c r="I2" s="224"/>
      <c r="J2" s="224"/>
      <c r="K2" s="225"/>
      <c r="L2" s="211">
        <v>0.02</v>
      </c>
      <c r="M2" s="13"/>
      <c r="N2" s="13"/>
      <c r="Q2" s="19"/>
      <c r="S2" s="628"/>
      <c r="T2" s="417"/>
      <c r="U2" s="417"/>
      <c r="V2" s="417"/>
      <c r="W2" s="417"/>
      <c r="X2" s="417"/>
      <c r="Y2" s="417"/>
      <c r="Z2" s="417"/>
      <c r="AA2" s="417"/>
    </row>
    <row r="3" spans="1:27" x14ac:dyDescent="0.2">
      <c r="A3" s="44" t="s">
        <v>144</v>
      </c>
      <c r="B3" s="44"/>
      <c r="C3" s="44"/>
      <c r="D3" s="53"/>
      <c r="G3" s="47" t="s">
        <v>135</v>
      </c>
      <c r="H3" s="48"/>
      <c r="I3" s="48"/>
      <c r="J3" s="48"/>
      <c r="K3" s="49"/>
      <c r="L3" s="66">
        <v>0</v>
      </c>
      <c r="M3" s="13"/>
      <c r="O3" s="13"/>
      <c r="S3" s="628"/>
      <c r="T3" s="417"/>
      <c r="U3" s="417"/>
      <c r="V3" s="417"/>
      <c r="W3" s="417"/>
      <c r="X3" s="417"/>
      <c r="Y3" s="417"/>
      <c r="Z3" s="417"/>
      <c r="AA3" s="417"/>
    </row>
    <row r="4" spans="1:27" x14ac:dyDescent="0.2">
      <c r="A4" s="47" t="s">
        <v>91</v>
      </c>
      <c r="B4" s="48"/>
      <c r="C4" s="49"/>
      <c r="G4" s="226" t="s">
        <v>90</v>
      </c>
      <c r="H4" s="227"/>
      <c r="I4" s="227"/>
      <c r="J4" s="227"/>
      <c r="K4" s="228"/>
      <c r="L4" s="229">
        <v>0.02</v>
      </c>
      <c r="M4" s="13"/>
      <c r="O4" s="13"/>
      <c r="S4" s="628"/>
      <c r="T4" s="417"/>
      <c r="U4" s="417"/>
      <c r="V4" s="417"/>
      <c r="W4" s="417"/>
      <c r="X4" s="417"/>
      <c r="Y4" s="417"/>
      <c r="Z4" s="417"/>
      <c r="AA4" s="417"/>
    </row>
    <row r="5" spans="1:27" ht="15.75" x14ac:dyDescent="0.3">
      <c r="A5" s="219" t="s">
        <v>92</v>
      </c>
      <c r="B5" s="220"/>
      <c r="C5" s="221"/>
      <c r="G5" s="231" t="s">
        <v>94</v>
      </c>
      <c r="H5" s="231"/>
      <c r="I5" s="231"/>
      <c r="J5" s="231"/>
      <c r="K5" s="231"/>
      <c r="L5" s="231"/>
      <c r="M5" s="231"/>
      <c r="N5" s="231"/>
      <c r="O5" s="231"/>
      <c r="P5" s="231"/>
      <c r="Q5" s="148"/>
      <c r="R5" s="232">
        <v>0.15</v>
      </c>
      <c r="S5" s="628"/>
      <c r="T5" s="417"/>
      <c r="U5" s="417"/>
      <c r="V5" s="417"/>
      <c r="W5" s="417"/>
      <c r="X5" s="417"/>
      <c r="Y5" s="417"/>
      <c r="Z5" s="417"/>
      <c r="AA5" s="417"/>
    </row>
    <row r="6" spans="1:27" ht="15.75" x14ac:dyDescent="0.3">
      <c r="A6" s="629" t="s">
        <v>159</v>
      </c>
      <c r="B6" s="630"/>
      <c r="C6" s="630"/>
      <c r="D6" s="631"/>
      <c r="E6" s="13"/>
      <c r="G6" s="233" t="s">
        <v>96</v>
      </c>
      <c r="H6" s="234"/>
      <c r="I6" s="234"/>
      <c r="J6" s="234"/>
      <c r="K6" s="234"/>
      <c r="L6" s="234"/>
      <c r="M6" s="234"/>
      <c r="N6" s="234"/>
      <c r="O6" s="234"/>
      <c r="P6" s="234"/>
      <c r="Q6" s="235"/>
      <c r="R6" s="230">
        <f xml:space="preserve"> LN(1+R5)</f>
        <v>0.13976194237515863</v>
      </c>
      <c r="S6" s="628"/>
      <c r="T6" s="417"/>
      <c r="U6" s="417"/>
      <c r="V6" s="417"/>
      <c r="W6" s="417"/>
      <c r="X6" s="417"/>
      <c r="Y6" s="417"/>
      <c r="Z6" s="417"/>
      <c r="AA6" s="417"/>
    </row>
    <row r="7" spans="1:27" x14ac:dyDescent="0.2">
      <c r="A7" s="632"/>
      <c r="B7" s="633"/>
      <c r="C7" s="633"/>
      <c r="D7" s="634"/>
      <c r="E7" s="13"/>
      <c r="H7" s="47" t="s">
        <v>93</v>
      </c>
      <c r="I7" s="48"/>
      <c r="J7" s="49"/>
      <c r="K7" s="66">
        <v>0.35</v>
      </c>
      <c r="S7" s="628"/>
      <c r="T7" s="417"/>
      <c r="U7" s="417"/>
      <c r="V7" s="417"/>
      <c r="W7" s="417"/>
      <c r="X7" s="417"/>
      <c r="Y7" s="417"/>
      <c r="Z7" s="417"/>
      <c r="AA7" s="417"/>
    </row>
    <row r="8" spans="1:27" x14ac:dyDescent="0.2">
      <c r="A8" s="203" t="s">
        <v>136</v>
      </c>
      <c r="B8" s="107"/>
      <c r="C8" s="107"/>
      <c r="D8" s="222"/>
      <c r="E8" s="13"/>
      <c r="F8" s="397" t="s">
        <v>59</v>
      </c>
      <c r="H8" s="13"/>
      <c r="I8" s="13"/>
      <c r="J8" s="13"/>
      <c r="K8" s="13"/>
      <c r="S8" s="628"/>
      <c r="T8" s="417"/>
      <c r="U8" s="417"/>
      <c r="V8" s="417"/>
      <c r="W8" s="417"/>
      <c r="X8" s="417"/>
      <c r="Y8" s="417"/>
      <c r="Z8" s="417"/>
      <c r="AA8" s="417"/>
    </row>
    <row r="9" spans="1:27" ht="13.5" thickBot="1" x14ac:dyDescent="0.25">
      <c r="B9" s="13"/>
      <c r="C9" s="13"/>
      <c r="D9" s="64"/>
      <c r="E9" s="13"/>
      <c r="H9" s="13"/>
      <c r="I9" s="13"/>
      <c r="J9" s="13"/>
      <c r="K9" s="13"/>
    </row>
    <row r="10" spans="1:27" ht="14.25" thickTop="1" thickBot="1" x14ac:dyDescent="0.25">
      <c r="B10" s="54"/>
      <c r="C10" s="54"/>
      <c r="D10" s="55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214" t="s">
        <v>87</v>
      </c>
      <c r="S10" s="201" t="s">
        <v>131</v>
      </c>
      <c r="T10" s="97"/>
      <c r="U10" s="98"/>
    </row>
    <row r="11" spans="1:27" ht="14.25" thickTop="1" thickBot="1" x14ac:dyDescent="0.25">
      <c r="A11" s="57"/>
      <c r="B11" s="603" t="s">
        <v>160</v>
      </c>
      <c r="C11" s="603"/>
      <c r="D11" s="58">
        <v>-3</v>
      </c>
      <c r="E11" s="57">
        <v>-2</v>
      </c>
      <c r="F11" s="57">
        <v>-1</v>
      </c>
      <c r="G11" s="57">
        <v>0</v>
      </c>
      <c r="H11" s="57">
        <v>1</v>
      </c>
      <c r="I11" s="57">
        <v>2</v>
      </c>
      <c r="J11" s="57">
        <v>3</v>
      </c>
      <c r="K11" s="57">
        <v>4</v>
      </c>
      <c r="L11" s="57">
        <v>5</v>
      </c>
      <c r="M11" s="57">
        <v>6</v>
      </c>
      <c r="N11" s="57">
        <v>7</v>
      </c>
      <c r="O11" s="57">
        <v>8</v>
      </c>
      <c r="P11" s="57">
        <v>9</v>
      </c>
      <c r="Q11" s="57">
        <v>10</v>
      </c>
      <c r="R11" s="215" t="s">
        <v>88</v>
      </c>
      <c r="S11" s="202" t="s">
        <v>233</v>
      </c>
      <c r="T11" s="105"/>
      <c r="U11" s="105"/>
      <c r="V11" s="203"/>
      <c r="W11" s="107"/>
      <c r="X11" s="107"/>
      <c r="Y11" s="107"/>
      <c r="Z11" s="107"/>
      <c r="AA11" s="108"/>
    </row>
    <row r="12" spans="1:27" ht="15" thickBot="1" x14ac:dyDescent="0.25">
      <c r="A12" s="615" t="s">
        <v>266</v>
      </c>
      <c r="B12" s="616"/>
      <c r="C12" s="617"/>
      <c r="D12" s="307"/>
      <c r="E12" s="313">
        <f>0*(-(1+$L$2)^(0)*(1+$L$4)^2)</f>
        <v>0</v>
      </c>
      <c r="F12" s="313">
        <f>0*(-(1+$L$2)^(1)*(1+$L$4)^1)</f>
        <v>0</v>
      </c>
      <c r="G12" s="314">
        <f>0*(-(1+$L$2)^(2))</f>
        <v>0</v>
      </c>
      <c r="H12" s="54"/>
      <c r="I12" s="54"/>
      <c r="J12" s="54"/>
      <c r="K12" s="54"/>
      <c r="L12" s="54"/>
      <c r="M12" s="54"/>
      <c r="N12" s="54"/>
      <c r="O12" s="54"/>
      <c r="P12" s="54"/>
      <c r="Q12" s="308">
        <f>-(E12+F12+G12)</f>
        <v>0</v>
      </c>
      <c r="R12" s="164">
        <f>SUM(E12:Q12)</f>
        <v>0</v>
      </c>
      <c r="S12" s="490" t="s">
        <v>265</v>
      </c>
      <c r="T12" s="614"/>
      <c r="U12" s="614"/>
      <c r="V12" s="614"/>
      <c r="W12" s="614"/>
      <c r="X12" s="614"/>
      <c r="Y12" s="614"/>
      <c r="Z12" s="614"/>
      <c r="AA12" s="493"/>
    </row>
    <row r="13" spans="1:27" ht="14.25" x14ac:dyDescent="0.2">
      <c r="A13" s="56" t="s">
        <v>242</v>
      </c>
      <c r="B13" s="56"/>
      <c r="C13" s="56"/>
      <c r="D13" s="64"/>
      <c r="E13" s="174">
        <f>-'Capital Inv.'!$H$32*0.15*(1+$L$2)^(0)*(1+$L$4)^2</f>
        <v>-7.6137304320000023</v>
      </c>
      <c r="F13" s="174">
        <f>-'Capital Inv.'!$H$32*0.35*(1+$L$2)^(1)*(1+$L$4)^1</f>
        <v>-17.765371008000006</v>
      </c>
      <c r="G13" s="236">
        <f>-'Capital Inv.'!$H$32*0.5*(1+$L$2)^(2)</f>
        <v>-25.379101440000007</v>
      </c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164">
        <f>SUM(E13:G13)</f>
        <v>-50.758202880000013</v>
      </c>
      <c r="S13" s="203" t="s">
        <v>164</v>
      </c>
      <c r="T13" s="107"/>
      <c r="U13" s="107"/>
      <c r="V13" s="107"/>
      <c r="W13" s="107"/>
      <c r="X13" s="107"/>
      <c r="Y13" s="107"/>
      <c r="Z13" s="107"/>
      <c r="AA13" s="108"/>
    </row>
    <row r="14" spans="1:27" ht="14.25" x14ac:dyDescent="0.2">
      <c r="A14" s="46" t="s">
        <v>234</v>
      </c>
      <c r="B14" s="46"/>
      <c r="C14" s="46"/>
      <c r="D14" s="64"/>
      <c r="E14" s="51"/>
      <c r="F14" s="51"/>
      <c r="G14" s="237">
        <f>('Capital Inv.'!$H$34)*$R$13/('Capital Inv.'!$H$32)</f>
        <v>-8.9632540800000005</v>
      </c>
      <c r="H14" s="51"/>
      <c r="I14" s="51"/>
      <c r="J14" s="51"/>
      <c r="K14" s="51"/>
      <c r="L14" s="51"/>
      <c r="M14" s="51"/>
      <c r="N14" s="51"/>
      <c r="O14" s="51"/>
      <c r="P14" s="51"/>
      <c r="Q14" s="65">
        <f>-G14</f>
        <v>8.9632540800000005</v>
      </c>
      <c r="R14" s="164">
        <f>SUM(E14:Q14)</f>
        <v>0</v>
      </c>
      <c r="S14" s="203" t="s">
        <v>263</v>
      </c>
      <c r="T14" s="107"/>
      <c r="U14" s="107"/>
      <c r="V14" s="107"/>
      <c r="W14" s="107"/>
      <c r="X14" s="107"/>
      <c r="Y14" s="107"/>
      <c r="Z14" s="107"/>
      <c r="AA14" s="108"/>
    </row>
    <row r="15" spans="1:27" ht="14.25" x14ac:dyDescent="0.2">
      <c r="A15" s="46" t="s">
        <v>235</v>
      </c>
      <c r="B15" s="46"/>
      <c r="C15" s="46"/>
      <c r="D15" s="64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0">
        <f>0</f>
        <v>0</v>
      </c>
      <c r="R15" s="164">
        <f>SUM(E15:Q15)</f>
        <v>0</v>
      </c>
      <c r="S15" s="203" t="s">
        <v>165</v>
      </c>
      <c r="T15" s="107"/>
      <c r="U15" s="107"/>
      <c r="V15" s="107"/>
      <c r="W15" s="107"/>
      <c r="X15" s="107"/>
      <c r="Y15" s="107"/>
      <c r="Z15" s="107"/>
      <c r="AA15" s="108"/>
    </row>
    <row r="16" spans="1:27" ht="14.25" x14ac:dyDescent="0.2">
      <c r="A16" s="44" t="s">
        <v>236</v>
      </c>
      <c r="B16" s="44"/>
      <c r="C16" s="44"/>
      <c r="D16" s="64"/>
      <c r="E16" s="65">
        <f>E12+E13+(E14)</f>
        <v>-7.6137304320000023</v>
      </c>
      <c r="F16" s="65">
        <f>F12+F13+(F14)</f>
        <v>-17.765371008000006</v>
      </c>
      <c r="G16" s="65">
        <f>G12+G13+(G14)</f>
        <v>-34.342355520000005</v>
      </c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164">
        <f>SUM(E16:Q17)</f>
        <v>-59.721456960000012</v>
      </c>
      <c r="S16" s="203"/>
      <c r="T16" s="107"/>
      <c r="U16" s="107"/>
      <c r="V16" s="107"/>
      <c r="W16" s="107"/>
      <c r="X16" s="107"/>
      <c r="Y16" s="107"/>
      <c r="Z16" s="107"/>
      <c r="AA16" s="108"/>
    </row>
    <row r="17" spans="1:27" ht="14.25" x14ac:dyDescent="0.2">
      <c r="A17" s="44" t="s">
        <v>237</v>
      </c>
      <c r="B17" s="44"/>
      <c r="C17" s="44"/>
      <c r="E17" s="51"/>
      <c r="F17" s="51"/>
      <c r="G17" s="51"/>
      <c r="H17" s="50">
        <f>0*(1+$L$2)^H11</f>
        <v>0</v>
      </c>
      <c r="I17" s="50">
        <f>0</f>
        <v>0</v>
      </c>
      <c r="J17" s="50">
        <f>0</f>
        <v>0</v>
      </c>
      <c r="K17" s="50">
        <f>0</f>
        <v>0</v>
      </c>
      <c r="L17" s="50">
        <f>0</f>
        <v>0</v>
      </c>
      <c r="M17" s="50">
        <f>0</f>
        <v>0</v>
      </c>
      <c r="N17" s="50">
        <f>0</f>
        <v>0</v>
      </c>
      <c r="O17" s="50">
        <f>0</f>
        <v>0</v>
      </c>
      <c r="P17" s="50">
        <f>0</f>
        <v>0</v>
      </c>
      <c r="Q17" s="50">
        <f>0</f>
        <v>0</v>
      </c>
      <c r="R17" s="164">
        <f>SUM(E17:Q17)</f>
        <v>0</v>
      </c>
      <c r="S17" s="203" t="s">
        <v>137</v>
      </c>
      <c r="T17" s="107"/>
      <c r="U17" s="107"/>
      <c r="V17" s="107"/>
      <c r="W17" s="107"/>
      <c r="X17" s="107"/>
      <c r="Y17" s="107"/>
      <c r="Z17" s="107"/>
      <c r="AA17" s="108"/>
    </row>
    <row r="18" spans="1:27" ht="14.25" x14ac:dyDescent="0.2">
      <c r="A18" s="44" t="s">
        <v>238</v>
      </c>
      <c r="B18" s="412"/>
      <c r="C18" s="411"/>
      <c r="E18" s="51"/>
      <c r="F18" s="51"/>
      <c r="G18" s="51"/>
      <c r="H18" s="65">
        <f>0.1*($R$13)*(1+$L$4)^-1</f>
        <v>-4.9762944000000013</v>
      </c>
      <c r="I18" s="51"/>
      <c r="J18" s="51"/>
      <c r="K18" s="51"/>
      <c r="L18" s="51"/>
      <c r="M18" s="51"/>
      <c r="N18" s="51"/>
      <c r="O18" s="51"/>
      <c r="P18" s="51"/>
      <c r="Q18" s="51"/>
      <c r="S18" s="203" t="s">
        <v>227</v>
      </c>
      <c r="T18" s="107"/>
      <c r="U18" s="107"/>
      <c r="V18" s="107"/>
      <c r="W18" s="107"/>
      <c r="X18" s="107"/>
      <c r="Y18" s="107"/>
      <c r="Z18" s="107"/>
      <c r="AA18" s="108"/>
    </row>
    <row r="19" spans="1:27" x14ac:dyDescent="0.2">
      <c r="A19" t="s">
        <v>239</v>
      </c>
      <c r="E19" s="51"/>
      <c r="F19" s="51"/>
      <c r="G19" s="51"/>
      <c r="H19" s="50">
        <v>0.5</v>
      </c>
      <c r="I19" s="50">
        <v>0.9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S19" s="203" t="s">
        <v>228</v>
      </c>
      <c r="T19" s="107"/>
      <c r="U19" s="107"/>
      <c r="V19" s="107"/>
      <c r="W19" s="107"/>
      <c r="X19" s="107"/>
      <c r="Y19" s="107"/>
      <c r="Z19" s="107"/>
      <c r="AA19" s="108"/>
    </row>
    <row r="20" spans="1:27" ht="14.25" x14ac:dyDescent="0.2">
      <c r="A20" t="s">
        <v>240</v>
      </c>
      <c r="E20" s="51"/>
      <c r="F20" s="51"/>
      <c r="G20" s="51"/>
      <c r="H20" s="65">
        <f>'Materials&amp;Labor'!$D$17*H19*(1+$L$3)^(H11+2)/(1+$L$4)^(H11)</f>
        <v>25</v>
      </c>
      <c r="I20" s="65">
        <f>'Materials&amp;Labor'!$D$17*I19*(1+$L$3)^(I11+2)/(1+$L$4)^(I11)</f>
        <v>44.117647058823529</v>
      </c>
      <c r="J20" s="65">
        <f>'Materials&amp;Labor'!$D$17*J19*(1+$L$3)^(J11+2)/(1+$L$4)^(J11)</f>
        <v>48.058439061899271</v>
      </c>
      <c r="K20" s="65">
        <f>'Materials&amp;Labor'!$D$17*K19*(1+$L$3)^(K11+2)/(1+$L$4)^(K11)</f>
        <v>47.116116727352228</v>
      </c>
      <c r="L20" s="65">
        <f>'Materials&amp;Labor'!$D$17*L19*(1+$L$3)^(L11+2)/(1+$L$4)^(L11)</f>
        <v>46.192271301325711</v>
      </c>
      <c r="M20" s="65">
        <f>'Materials&amp;Labor'!$D$17*M19*(1+$L$3)^(M11+2)/(1+$L$4)^(M11)</f>
        <v>45.286540491495792</v>
      </c>
      <c r="N20" s="65">
        <f>'Materials&amp;Labor'!$D$17*N19*(1+$L$3)^(N11+2)/(1+$L$4)^(N11)</f>
        <v>44.398569109309612</v>
      </c>
      <c r="O20" s="65">
        <f>'Materials&amp;Labor'!$D$17*O19*(1+$L$3)^(O11+2)/(1+$L$4)^(O11)</f>
        <v>43.528008930695691</v>
      </c>
      <c r="P20" s="65">
        <f>'Materials&amp;Labor'!$D$17*P19*(1+$L$3)^(P11+2)/(1+$L$4)^(P11)</f>
        <v>42.674518559505579</v>
      </c>
      <c r="Q20" s="65">
        <f>'Materials&amp;Labor'!$D$17*Q19*(1+$L$3)^(Q11+2)/(1+$L$4)^(Q11)</f>
        <v>41.837763293632918</v>
      </c>
      <c r="R20" s="164">
        <f>SUM(E20:Q20)</f>
        <v>428.20987453404035</v>
      </c>
      <c r="S20" s="203"/>
      <c r="T20" s="107"/>
      <c r="U20" s="107"/>
      <c r="V20" s="107"/>
      <c r="W20" s="107"/>
      <c r="X20" s="107"/>
      <c r="Y20" s="107"/>
      <c r="Z20" s="107"/>
      <c r="AA20" s="108"/>
    </row>
    <row r="21" spans="1:27" s="45" customFormat="1" ht="25.5" customHeight="1" x14ac:dyDescent="0.2">
      <c r="A21" s="600" t="s">
        <v>241</v>
      </c>
      <c r="B21" s="601"/>
      <c r="C21" s="602"/>
      <c r="D21" s="52"/>
      <c r="E21" s="52"/>
      <c r="F21" s="52"/>
      <c r="G21" s="52"/>
      <c r="H21" s="194">
        <f>(('Annual TPC'!$G$21*(1-H$19)-'Annual TPC'!$G$35)*(1+$L$4)^(H$11+2))*(1+$L$4)^(-H11)</f>
        <v>-17.581243252612158</v>
      </c>
      <c r="I21" s="194">
        <f>(('Annual TPC'!$G$21*(1-I$19)-'Annual TPC'!$G$35)*(1+$L$4)^(I$11+2))*(1+$L$4)^(-I11)</f>
        <v>-25.717136921903947</v>
      </c>
      <c r="J21" s="194">
        <f>(('Annual TPC'!$G$21*(1-J$19)-'Annual TPC'!$G$35)*(1+$L$4)^(J$11+2))*(1+$L$4)^(-J11)</f>
        <v>-27.751110339226891</v>
      </c>
      <c r="K21" s="194">
        <f>(('Annual TPC'!$G$21*(1-K$19)-'Annual TPC'!$G$35)*(1+$L$4)^(K$11+2))*(1+$L$4)^(-K11)</f>
        <v>-27.751110339226891</v>
      </c>
      <c r="L21" s="194">
        <f>(('Annual TPC'!$G$21*(1-L$19)-'Annual TPC'!$G$35)*(1+$L$4)^(L$11+2))*(1+$L$4)^(-L11)</f>
        <v>-27.751110339226887</v>
      </c>
      <c r="M21" s="194">
        <f>(('Annual TPC'!$G$21*(1-M$19)-'Annual TPC'!$G$35)*(1+$L$4)^(M$11+2))*(1+$L$4)^(-M11)</f>
        <v>-27.751110339226884</v>
      </c>
      <c r="N21" s="194">
        <f>(('Annual TPC'!$G$21*(1-N$19)-'Annual TPC'!$G$35)*(1+$L$4)^(N$11+2))*(1+$L$4)^(-N11)</f>
        <v>-27.751110339226891</v>
      </c>
      <c r="O21" s="239">
        <f>(('Annual TPC'!$G$21*(1-O$19)-'Annual TPC'!$G$35)*(1+$L$4)^(O$11+2))*(1+$L$4)^(-O11)</f>
        <v>-27.751110339226891</v>
      </c>
      <c r="P21" s="239">
        <f>(('Annual TPC'!$G$21*(1-P$19)-'Annual TPC'!$G$35)*(1+$L$4)^(P$11+2))*(1+$L$4)^(-P11)</f>
        <v>-27.751110339226887</v>
      </c>
      <c r="Q21" s="239">
        <f>(('Annual TPC'!$G$21*(1-Q$19)-'Annual TPC'!$G$35)*(1+$L$4)^(Q$11+2))*(1+$L$4)^(-Q11)</f>
        <v>-27.751110339226887</v>
      </c>
      <c r="R21" s="164">
        <f>SUM(E21:Q21)</f>
        <v>-265.30726288833125</v>
      </c>
      <c r="S21" s="204" t="s">
        <v>229</v>
      </c>
      <c r="T21" s="109"/>
      <c r="U21" s="109"/>
      <c r="V21" s="109"/>
      <c r="W21" s="109"/>
      <c r="X21" s="109"/>
      <c r="Y21" s="109"/>
      <c r="Z21" s="109"/>
      <c r="AA21" s="110"/>
    </row>
    <row r="22" spans="1:27" s="45" customFormat="1" ht="14.25" customHeight="1" x14ac:dyDescent="0.2">
      <c r="A22" s="46" t="s">
        <v>243</v>
      </c>
      <c r="B22" s="46"/>
      <c r="C22" s="46"/>
      <c r="D22" s="52"/>
      <c r="E22" s="52"/>
      <c r="F22" s="52"/>
      <c r="G22" s="52"/>
      <c r="H22" s="206">
        <f>0.2</f>
        <v>0.2</v>
      </c>
      <c r="I22" s="207">
        <f>(0.8*2/5)</f>
        <v>0.32</v>
      </c>
      <c r="J22" s="207">
        <f>(0.192)</f>
        <v>0.192</v>
      </c>
      <c r="K22" s="207">
        <f>(0.1152)</f>
        <v>0.1152</v>
      </c>
      <c r="L22" s="207">
        <f>(0.1152)</f>
        <v>0.1152</v>
      </c>
      <c r="M22" s="207">
        <f>(0.0576)</f>
        <v>5.7599999999999998E-2</v>
      </c>
      <c r="N22" s="238"/>
      <c r="O22" s="51"/>
      <c r="P22" s="51"/>
      <c r="Q22" s="51"/>
      <c r="R22" s="240"/>
      <c r="S22" s="204" t="s">
        <v>230</v>
      </c>
      <c r="T22" s="109"/>
      <c r="U22" s="109"/>
      <c r="V22" s="109"/>
      <c r="W22" s="109"/>
      <c r="X22" s="109"/>
      <c r="Y22" s="109"/>
      <c r="Z22" s="109"/>
      <c r="AA22" s="110"/>
    </row>
    <row r="23" spans="1:27" ht="14.25" x14ac:dyDescent="0.2">
      <c r="A23" s="46" t="s">
        <v>244</v>
      </c>
      <c r="B23" s="46"/>
      <c r="C23" s="46"/>
      <c r="E23" s="51"/>
      <c r="F23" s="51"/>
      <c r="G23" s="51"/>
      <c r="H23" s="175">
        <f t="shared" ref="H23:M23" si="0">-H22*$R$13*(1+$L$4)^(-H11)</f>
        <v>9.9525888000000027</v>
      </c>
      <c r="I23" s="175">
        <f t="shared" si="0"/>
        <v>15.611904000000004</v>
      </c>
      <c r="J23" s="175">
        <f t="shared" si="0"/>
        <v>9.1834729411764737</v>
      </c>
      <c r="K23" s="175">
        <f t="shared" si="0"/>
        <v>5.4020429065743958</v>
      </c>
      <c r="L23" s="175">
        <f t="shared" si="0"/>
        <v>5.2961204966415645</v>
      </c>
      <c r="M23" s="175">
        <f t="shared" si="0"/>
        <v>2.5961374983537078</v>
      </c>
      <c r="N23" s="51"/>
      <c r="O23" s="51"/>
      <c r="P23" s="51"/>
      <c r="Q23" s="51"/>
      <c r="R23" s="164">
        <f>SUM(H23:Q23)</f>
        <v>48.042266642746142</v>
      </c>
      <c r="S23" s="203"/>
      <c r="T23" s="107"/>
      <c r="U23" s="107"/>
      <c r="V23" s="107"/>
      <c r="W23" s="107"/>
      <c r="X23" s="107"/>
      <c r="Y23" s="107"/>
      <c r="Z23" s="107"/>
      <c r="AA23" s="108"/>
    </row>
    <row r="24" spans="1:27" ht="14.25" x14ac:dyDescent="0.2">
      <c r="A24" s="46" t="s">
        <v>245</v>
      </c>
      <c r="B24" s="46"/>
      <c r="C24" s="46"/>
      <c r="E24" s="51"/>
      <c r="F24" s="51"/>
      <c r="G24" s="51"/>
      <c r="H24" s="51">
        <f>H20+H21-H23+H18</f>
        <v>-7.5101264526121616</v>
      </c>
      <c r="I24" s="51">
        <f t="shared" ref="I24:Q24" si="1">I20+I21-I23+I18</f>
        <v>2.7886061369195776</v>
      </c>
      <c r="J24" s="51">
        <f t="shared" si="1"/>
        <v>11.123855781495907</v>
      </c>
      <c r="K24" s="51">
        <f t="shared" si="1"/>
        <v>13.962963481550942</v>
      </c>
      <c r="L24" s="51">
        <f t="shared" si="1"/>
        <v>13.14504046545726</v>
      </c>
      <c r="M24" s="51">
        <f t="shared" si="1"/>
        <v>14.939292653915201</v>
      </c>
      <c r="N24" s="51">
        <f t="shared" si="1"/>
        <v>16.647458770082721</v>
      </c>
      <c r="O24" s="51">
        <f t="shared" si="1"/>
        <v>15.7768985914688</v>
      </c>
      <c r="P24" s="51">
        <f t="shared" si="1"/>
        <v>14.923408220278692</v>
      </c>
      <c r="Q24" s="51">
        <f t="shared" si="1"/>
        <v>14.086652954406031</v>
      </c>
      <c r="R24" s="164">
        <f>SUM(H24:Q24)</f>
        <v>109.88405060296299</v>
      </c>
      <c r="S24" s="203"/>
      <c r="T24" s="107"/>
      <c r="U24" s="107"/>
      <c r="V24" s="107"/>
      <c r="W24" s="107"/>
      <c r="X24" s="107"/>
      <c r="Y24" s="107"/>
      <c r="Z24" s="107"/>
      <c r="AA24" s="108"/>
    </row>
    <row r="25" spans="1:27" ht="14.25" x14ac:dyDescent="0.2">
      <c r="A25" s="15" t="s">
        <v>246</v>
      </c>
      <c r="E25" s="51"/>
      <c r="F25" s="51"/>
      <c r="G25" s="51"/>
      <c r="H25" s="51">
        <f t="shared" ref="H25:Q25" si="2">IF(H24&lt;0,H24,H24*(1-$K$7))</f>
        <v>-7.5101264526121616</v>
      </c>
      <c r="I25" s="51">
        <f t="shared" si="2"/>
        <v>1.8125939889977254</v>
      </c>
      <c r="J25" s="51">
        <f t="shared" si="2"/>
        <v>7.2305062579723396</v>
      </c>
      <c r="K25" s="51">
        <f t="shared" si="2"/>
        <v>9.0759262630081121</v>
      </c>
      <c r="L25" s="51">
        <f t="shared" si="2"/>
        <v>8.5442763025472193</v>
      </c>
      <c r="M25" s="51">
        <f t="shared" si="2"/>
        <v>9.7105402250448805</v>
      </c>
      <c r="N25" s="51">
        <f t="shared" si="2"/>
        <v>10.820848200553769</v>
      </c>
      <c r="O25" s="51">
        <f t="shared" si="2"/>
        <v>10.254984084454721</v>
      </c>
      <c r="P25" s="51">
        <f t="shared" si="2"/>
        <v>9.7002153431811493</v>
      </c>
      <c r="Q25" s="51">
        <f t="shared" si="2"/>
        <v>9.1563244203639194</v>
      </c>
      <c r="R25" s="164">
        <f>SUM(H25:Q25)</f>
        <v>68.796088633511673</v>
      </c>
      <c r="S25" s="203" t="s">
        <v>231</v>
      </c>
      <c r="T25" s="107"/>
      <c r="U25" s="107"/>
      <c r="V25" s="107"/>
      <c r="W25" s="107"/>
      <c r="X25" s="107"/>
      <c r="Y25" s="107"/>
      <c r="Z25" s="107"/>
      <c r="AA25" s="108"/>
    </row>
    <row r="26" spans="1:27" ht="14.25" x14ac:dyDescent="0.2">
      <c r="A26" s="15" t="s">
        <v>247</v>
      </c>
      <c r="E26" s="51"/>
      <c r="F26" s="51"/>
      <c r="G26" s="51"/>
      <c r="H26" s="51">
        <f>H25+H23</f>
        <v>2.4424623473878411</v>
      </c>
      <c r="I26" s="51">
        <f t="shared" ref="I26:Q26" si="3">I25+I23</f>
        <v>17.424497988997729</v>
      </c>
      <c r="J26" s="51">
        <f t="shared" si="3"/>
        <v>16.413979199148812</v>
      </c>
      <c r="K26" s="51">
        <f t="shared" si="3"/>
        <v>14.477969169582508</v>
      </c>
      <c r="L26" s="51">
        <f t="shared" si="3"/>
        <v>13.840396799188785</v>
      </c>
      <c r="M26" s="51">
        <f t="shared" si="3"/>
        <v>12.306677723398588</v>
      </c>
      <c r="N26" s="51">
        <f t="shared" si="3"/>
        <v>10.820848200553769</v>
      </c>
      <c r="O26" s="51">
        <f t="shared" si="3"/>
        <v>10.254984084454721</v>
      </c>
      <c r="P26" s="51">
        <f t="shared" si="3"/>
        <v>9.7002153431811493</v>
      </c>
      <c r="Q26" s="51">
        <f t="shared" si="3"/>
        <v>9.1563244203639194</v>
      </c>
      <c r="R26" s="164">
        <f>SUM(H26:Q26)</f>
        <v>116.83835527625783</v>
      </c>
      <c r="S26" s="203"/>
      <c r="T26" s="107"/>
      <c r="U26" s="107"/>
      <c r="V26" s="107"/>
      <c r="W26" s="107"/>
      <c r="X26" s="107"/>
      <c r="Y26" s="107"/>
      <c r="Z26" s="107"/>
      <c r="AA26" s="108"/>
    </row>
    <row r="27" spans="1:27" ht="14.25" x14ac:dyDescent="0.2">
      <c r="A27" s="15" t="s">
        <v>248</v>
      </c>
      <c r="D27" s="51">
        <f>D26+SUM(D16:D18)</f>
        <v>0</v>
      </c>
      <c r="E27" s="51">
        <f>E26+SUM(E16:E18)</f>
        <v>-7.6137304320000023</v>
      </c>
      <c r="F27" s="51">
        <f>F26+SUM(F16:F18)</f>
        <v>-17.765371008000006</v>
      </c>
      <c r="G27" s="51">
        <f>G26+SUM(G16:G18)</f>
        <v>-34.342355520000005</v>
      </c>
      <c r="H27" s="51">
        <f>H26+H17</f>
        <v>2.4424623473878411</v>
      </c>
      <c r="I27" s="51">
        <f t="shared" ref="I27:Q27" si="4">I26+I17</f>
        <v>17.424497988997729</v>
      </c>
      <c r="J27" s="51">
        <f t="shared" si="4"/>
        <v>16.413979199148812</v>
      </c>
      <c r="K27" s="51">
        <f t="shared" si="4"/>
        <v>14.477969169582508</v>
      </c>
      <c r="L27" s="51">
        <f t="shared" si="4"/>
        <v>13.840396799188785</v>
      </c>
      <c r="M27" s="51">
        <f t="shared" si="4"/>
        <v>12.306677723398588</v>
      </c>
      <c r="N27" s="51">
        <f t="shared" si="4"/>
        <v>10.820848200553769</v>
      </c>
      <c r="O27" s="51">
        <f t="shared" si="4"/>
        <v>10.254984084454721</v>
      </c>
      <c r="P27" s="51">
        <f t="shared" si="4"/>
        <v>9.7002153431811493</v>
      </c>
      <c r="Q27" s="51">
        <f t="shared" si="4"/>
        <v>9.1563244203639194</v>
      </c>
      <c r="R27" s="164">
        <f>SUM(D27:Q27)</f>
        <v>57.116898316257803</v>
      </c>
      <c r="S27" s="413" t="s">
        <v>329</v>
      </c>
      <c r="T27" s="107"/>
      <c r="U27" s="107"/>
      <c r="V27" s="107"/>
      <c r="W27" s="107"/>
      <c r="X27" s="107"/>
      <c r="Y27" s="107"/>
      <c r="Z27" s="107"/>
      <c r="AA27" s="108"/>
    </row>
    <row r="28" spans="1:27" ht="15" thickBot="1" x14ac:dyDescent="0.25">
      <c r="A28" s="15" t="s">
        <v>249</v>
      </c>
      <c r="D28" s="51">
        <f>D16</f>
        <v>0</v>
      </c>
      <c r="E28" s="51">
        <f>D28+E27</f>
        <v>-7.6137304320000023</v>
      </c>
      <c r="F28" s="51">
        <f>E28+F27</f>
        <v>-25.379101440000007</v>
      </c>
      <c r="G28" s="51">
        <f>F28+G27</f>
        <v>-59.721456960000012</v>
      </c>
      <c r="H28" s="51">
        <f t="shared" ref="H28:Q28" si="5">G28+H27</f>
        <v>-57.278994612612173</v>
      </c>
      <c r="I28" s="51">
        <f t="shared" si="5"/>
        <v>-39.854496623614445</v>
      </c>
      <c r="J28" s="51">
        <f t="shared" si="5"/>
        <v>-23.440517424465632</v>
      </c>
      <c r="K28" s="51">
        <f t="shared" si="5"/>
        <v>-8.9625482548831243</v>
      </c>
      <c r="L28" s="51">
        <f t="shared" si="5"/>
        <v>4.8778485443056603</v>
      </c>
      <c r="M28" s="51">
        <f t="shared" si="5"/>
        <v>17.18452626770425</v>
      </c>
      <c r="N28" s="51">
        <f t="shared" si="5"/>
        <v>28.005374468258019</v>
      </c>
      <c r="O28" s="51">
        <f t="shared" si="5"/>
        <v>38.260358552712738</v>
      </c>
      <c r="P28" s="51">
        <f t="shared" si="5"/>
        <v>47.960573895893887</v>
      </c>
      <c r="Q28" s="51">
        <f t="shared" si="5"/>
        <v>57.116898316257803</v>
      </c>
      <c r="S28" s="203"/>
      <c r="T28" s="107"/>
      <c r="U28" s="107"/>
      <c r="V28" s="107"/>
      <c r="W28" s="107"/>
      <c r="X28" s="107"/>
      <c r="Y28" s="107"/>
      <c r="Z28" s="107"/>
      <c r="AA28" s="108"/>
    </row>
    <row r="29" spans="1:27" ht="14.25" thickTop="1" thickBot="1" x14ac:dyDescent="0.25">
      <c r="A29" s="180" t="s">
        <v>145</v>
      </c>
      <c r="B29" s="104"/>
      <c r="C29" s="104"/>
      <c r="D29" s="195"/>
      <c r="E29" s="104"/>
      <c r="F29" s="104"/>
      <c r="G29" s="183"/>
      <c r="S29" s="203" t="s">
        <v>269</v>
      </c>
      <c r="T29" s="107"/>
      <c r="U29" s="107"/>
      <c r="V29" s="107"/>
      <c r="W29" s="107"/>
      <c r="X29" s="107"/>
      <c r="Y29" s="107"/>
      <c r="Z29" s="107"/>
      <c r="AA29" s="108"/>
    </row>
    <row r="30" spans="1:27" ht="14.25" thickTop="1" thickBot="1" x14ac:dyDescent="0.25">
      <c r="A30" s="61" t="s">
        <v>250</v>
      </c>
      <c r="B30" s="62"/>
      <c r="C30" s="63"/>
      <c r="D30" s="309">
        <f>100*R25/((Q11)*(-R16))</f>
        <v>11.519492680761227</v>
      </c>
      <c r="E30" s="208"/>
      <c r="F30" s="209"/>
      <c r="G30" s="210"/>
      <c r="S30" s="203" t="s">
        <v>267</v>
      </c>
      <c r="T30" s="107"/>
      <c r="U30" s="302">
        <f>$R$5*100</f>
        <v>15</v>
      </c>
      <c r="V30" s="303" t="s">
        <v>133</v>
      </c>
      <c r="W30" s="107"/>
      <c r="X30" s="107"/>
      <c r="Y30" s="107"/>
      <c r="Z30" s="107"/>
      <c r="AA30" s="108"/>
    </row>
    <row r="31" spans="1:27" ht="14.25" thickTop="1" thickBot="1" x14ac:dyDescent="0.25">
      <c r="A31" s="61" t="s">
        <v>251</v>
      </c>
      <c r="B31" s="62"/>
      <c r="C31" s="63"/>
      <c r="D31" s="309">
        <f>(-R13)/(R26/Q11)</f>
        <v>4.3443099451361711</v>
      </c>
      <c r="E31" s="197"/>
      <c r="F31" s="198"/>
      <c r="G31" s="199"/>
      <c r="S31" s="203" t="s">
        <v>225</v>
      </c>
      <c r="T31" s="107"/>
      <c r="U31" s="96"/>
      <c r="V31" s="315">
        <f>(R13/R16)/(($R$5)+(R13/(R16*Q11)))</f>
        <v>3.6167922497308935</v>
      </c>
      <c r="W31" s="303" t="s">
        <v>232</v>
      </c>
      <c r="X31" s="107"/>
      <c r="Y31" s="107"/>
      <c r="Z31" s="107"/>
      <c r="AA31" s="108"/>
    </row>
    <row r="32" spans="1:27" ht="17.25" thickTop="1" thickBot="1" x14ac:dyDescent="0.35">
      <c r="A32" s="606" t="s">
        <v>252</v>
      </c>
      <c r="B32" s="607"/>
      <c r="C32" s="608"/>
      <c r="D32" s="310">
        <f>R25/Q11+R16*$R$5</f>
        <v>-2.0786096806488334</v>
      </c>
      <c r="E32" s="181" t="s">
        <v>134</v>
      </c>
      <c r="F32" s="196">
        <f>R5*100</f>
        <v>15</v>
      </c>
      <c r="G32" s="182" t="s">
        <v>133</v>
      </c>
      <c r="S32" s="203" t="s">
        <v>270</v>
      </c>
      <c r="T32" s="107"/>
      <c r="U32" s="107"/>
      <c r="V32" s="107"/>
      <c r="W32" s="107"/>
      <c r="X32" s="107"/>
      <c r="Y32" s="107"/>
      <c r="Z32" s="107"/>
      <c r="AA32" s="108"/>
    </row>
    <row r="33" spans="1:27" ht="14.25" thickTop="1" thickBot="1" x14ac:dyDescent="0.25">
      <c r="A33" s="72"/>
      <c r="B33" s="72"/>
      <c r="C33" s="72"/>
      <c r="D33" s="103"/>
      <c r="F33" s="100"/>
      <c r="S33" s="203"/>
      <c r="T33" s="107"/>
      <c r="U33" s="107"/>
      <c r="V33" s="107"/>
      <c r="W33" s="107"/>
      <c r="X33" s="107"/>
      <c r="Y33" s="107"/>
      <c r="Z33" s="107"/>
      <c r="AA33" s="108"/>
    </row>
    <row r="34" spans="1:27" ht="14.25" thickTop="1" thickBot="1" x14ac:dyDescent="0.25">
      <c r="A34" s="407" t="s">
        <v>215</v>
      </c>
      <c r="B34" s="408"/>
      <c r="C34" s="408"/>
      <c r="D34" s="409"/>
      <c r="E34" s="408"/>
      <c r="F34" s="410"/>
      <c r="G34" s="410"/>
      <c r="H34" s="410"/>
      <c r="I34" s="57"/>
      <c r="J34" s="57"/>
      <c r="K34" s="57"/>
      <c r="L34" s="57"/>
      <c r="M34" s="57"/>
      <c r="N34" s="104"/>
      <c r="O34" s="104"/>
      <c r="P34" s="104"/>
      <c r="Q34" s="104"/>
      <c r="R34" s="216"/>
      <c r="S34" s="203" t="s">
        <v>268</v>
      </c>
      <c r="T34" s="107"/>
      <c r="U34" s="107"/>
      <c r="V34" s="107"/>
      <c r="W34" s="107"/>
      <c r="X34" s="107"/>
      <c r="Y34" s="107"/>
      <c r="Z34" s="107"/>
      <c r="AA34" s="108"/>
    </row>
    <row r="35" spans="1:27" s="59" customFormat="1" ht="12.75" customHeight="1" x14ac:dyDescent="0.2">
      <c r="A35" s="420" t="s">
        <v>253</v>
      </c>
      <c r="B35" s="420"/>
      <c r="C35" s="420"/>
      <c r="D35" s="5">
        <f t="shared" ref="D35:Q35" si="6">(1+$R$5)^(-D$11)</f>
        <v>1.5208749999999995</v>
      </c>
      <c r="E35" s="5">
        <f t="shared" si="6"/>
        <v>1.3224999999999998</v>
      </c>
      <c r="F35" s="5">
        <f t="shared" si="6"/>
        <v>1.1499999999999999</v>
      </c>
      <c r="G35" s="5">
        <f t="shared" si="6"/>
        <v>1</v>
      </c>
      <c r="H35" s="5">
        <f t="shared" si="6"/>
        <v>0.86956521739130443</v>
      </c>
      <c r="I35" s="5">
        <f t="shared" si="6"/>
        <v>0.7561436672967865</v>
      </c>
      <c r="J35" s="5">
        <f t="shared" si="6"/>
        <v>0.65751623243198831</v>
      </c>
      <c r="K35" s="5">
        <f t="shared" si="6"/>
        <v>0.57175324559303342</v>
      </c>
      <c r="L35" s="5">
        <f t="shared" si="6"/>
        <v>0.49717673529828987</v>
      </c>
      <c r="M35" s="5">
        <f t="shared" si="6"/>
        <v>0.43232759591155645</v>
      </c>
      <c r="N35" s="5">
        <f t="shared" si="6"/>
        <v>0.37593703992309269</v>
      </c>
      <c r="O35" s="5">
        <f t="shared" si="6"/>
        <v>0.32690177384616753</v>
      </c>
      <c r="P35" s="5">
        <f t="shared" si="6"/>
        <v>0.28426241204014574</v>
      </c>
      <c r="Q35" s="5">
        <f t="shared" si="6"/>
        <v>0.24718470612186585</v>
      </c>
      <c r="R35" s="164"/>
      <c r="S35" s="205" t="s">
        <v>280</v>
      </c>
      <c r="T35" s="111"/>
      <c r="U35" s="111"/>
      <c r="V35" s="111"/>
      <c r="W35" s="111"/>
      <c r="X35" s="111"/>
      <c r="Y35" s="111"/>
      <c r="Z35" s="111"/>
      <c r="AA35" s="112"/>
    </row>
    <row r="36" spans="1:27" s="59" customFormat="1" ht="25.5" customHeight="1" thickBot="1" x14ac:dyDescent="0.25">
      <c r="A36" s="604" t="s">
        <v>254</v>
      </c>
      <c r="B36" s="605"/>
      <c r="C36" s="605"/>
      <c r="D36" s="164">
        <f t="shared" ref="D36:Q36" si="7">D35*D$27</f>
        <v>0</v>
      </c>
      <c r="E36" s="164">
        <f t="shared" si="7"/>
        <v>-10.069158496320002</v>
      </c>
      <c r="F36" s="164">
        <f t="shared" si="7"/>
        <v>-20.430176659200004</v>
      </c>
      <c r="G36" s="164">
        <f t="shared" si="7"/>
        <v>-34.342355520000005</v>
      </c>
      <c r="H36" s="164">
        <f t="shared" si="7"/>
        <v>2.1238803020763837</v>
      </c>
      <c r="I36" s="164">
        <f t="shared" si="7"/>
        <v>13.175423810206224</v>
      </c>
      <c r="J36" s="164">
        <f t="shared" si="7"/>
        <v>10.792457762241352</v>
      </c>
      <c r="K36" s="164">
        <f t="shared" si="7"/>
        <v>8.2778258623046739</v>
      </c>
      <c r="L36" s="164">
        <f t="shared" si="7"/>
        <v>6.8811232958535804</v>
      </c>
      <c r="M36" s="164">
        <f t="shared" si="7"/>
        <v>5.3205163938152182</v>
      </c>
      <c r="N36" s="164">
        <f t="shared" si="7"/>
        <v>4.0679576419733081</v>
      </c>
      <c r="O36" s="164">
        <f t="shared" si="7"/>
        <v>3.3523724879724646</v>
      </c>
      <c r="P36" s="164">
        <f t="shared" si="7"/>
        <v>2.7574066107615036</v>
      </c>
      <c r="Q36" s="164">
        <f t="shared" si="7"/>
        <v>2.2633033610041191</v>
      </c>
      <c r="R36" s="163">
        <f>SUM(D36:Q36)</f>
        <v>-5.8294231473111768</v>
      </c>
      <c r="S36" s="611" t="s">
        <v>226</v>
      </c>
      <c r="T36" s="612"/>
      <c r="U36" s="612"/>
      <c r="V36" s="612"/>
      <c r="W36" s="612"/>
      <c r="X36" s="612"/>
      <c r="Y36" s="612"/>
      <c r="Z36" s="612"/>
      <c r="AA36" s="613"/>
    </row>
    <row r="37" spans="1:27" s="59" customFormat="1" ht="27.6" customHeight="1" thickTop="1" thickBot="1" x14ac:dyDescent="0.25">
      <c r="A37" s="595" t="s">
        <v>278</v>
      </c>
      <c r="B37" s="596"/>
      <c r="C37" s="597"/>
      <c r="D37" s="311">
        <f>R36</f>
        <v>-5.8294231473111768</v>
      </c>
      <c r="E37" s="101" t="s">
        <v>132</v>
      </c>
      <c r="G37" s="102">
        <f>R5*100</f>
        <v>15</v>
      </c>
      <c r="H37" s="59" t="s">
        <v>133</v>
      </c>
      <c r="R37" s="5"/>
      <c r="S37" s="205" t="s">
        <v>271</v>
      </c>
      <c r="T37" s="111"/>
      <c r="U37" s="111"/>
      <c r="V37" s="111"/>
      <c r="W37" s="111"/>
      <c r="X37" s="111"/>
      <c r="Y37" s="111"/>
      <c r="Z37" s="111"/>
      <c r="AA37" s="112"/>
    </row>
    <row r="38" spans="1:27" s="29" customFormat="1" ht="25.5" customHeight="1" thickTop="1" thickBot="1" x14ac:dyDescent="0.25">
      <c r="A38" s="594" t="s">
        <v>255</v>
      </c>
      <c r="B38" s="594"/>
      <c r="C38" s="594"/>
      <c r="D38" s="312">
        <f>IF($R$27&lt;0,"No value",$C$39*100)</f>
        <v>12.908010358975327</v>
      </c>
      <c r="E38" s="620" t="s">
        <v>332</v>
      </c>
      <c r="F38" s="621"/>
      <c r="G38" s="621"/>
      <c r="H38" s="621"/>
      <c r="I38" s="621"/>
      <c r="J38" s="621"/>
      <c r="K38" s="621"/>
      <c r="L38" s="621"/>
      <c r="M38" s="621"/>
      <c r="N38" s="621"/>
      <c r="O38" s="622"/>
      <c r="P38" s="99"/>
      <c r="Q38" s="99"/>
      <c r="R38" s="217"/>
      <c r="S38" s="609" t="s">
        <v>273</v>
      </c>
      <c r="T38" s="610"/>
      <c r="U38" s="610"/>
      <c r="V38" s="610"/>
      <c r="W38" s="610"/>
      <c r="X38" s="610"/>
      <c r="Y38" s="305"/>
      <c r="Z38" s="305"/>
      <c r="AA38" s="306"/>
    </row>
    <row r="39" spans="1:27" ht="13.5" thickTop="1" x14ac:dyDescent="0.2">
      <c r="A39" t="s">
        <v>95</v>
      </c>
      <c r="C39" s="6">
        <v>0.12908010358975328</v>
      </c>
      <c r="S39" s="203"/>
      <c r="T39" s="107"/>
      <c r="U39" s="107"/>
      <c r="V39" s="107"/>
      <c r="W39" s="107"/>
      <c r="X39" s="107"/>
      <c r="Y39" s="107"/>
      <c r="Z39" s="107"/>
      <c r="AA39" s="108"/>
    </row>
    <row r="40" spans="1:27" ht="12.75" customHeight="1" x14ac:dyDescent="0.2">
      <c r="A40" s="420" t="s">
        <v>256</v>
      </c>
      <c r="B40" s="420"/>
      <c r="C40" s="420"/>
      <c r="D40" s="164">
        <f t="shared" ref="D40:Q40" si="8">(1+$C$39)^(-D$11)</f>
        <v>1.4393760206927277</v>
      </c>
      <c r="E40" s="164">
        <f t="shared" si="8"/>
        <v>1.274821880322248</v>
      </c>
      <c r="F40" s="164">
        <f t="shared" si="8"/>
        <v>1.1290801035897533</v>
      </c>
      <c r="G40" s="164">
        <f t="shared" si="8"/>
        <v>1</v>
      </c>
      <c r="H40" s="164">
        <f t="shared" si="8"/>
        <v>0.88567675297849902</v>
      </c>
      <c r="I40" s="164">
        <f t="shared" si="8"/>
        <v>0.78442331076653715</v>
      </c>
      <c r="J40" s="164">
        <f t="shared" si="8"/>
        <v>0.69474549084035075</v>
      </c>
      <c r="K40" s="164">
        <f t="shared" si="8"/>
        <v>0.61531993047393541</v>
      </c>
      <c r="L40" s="164">
        <f t="shared" si="8"/>
        <v>0.54497455806511086</v>
      </c>
      <c r="M40" s="164">
        <f t="shared" si="8"/>
        <v>0.48267129704299983</v>
      </c>
      <c r="N40" s="164">
        <f t="shared" si="8"/>
        <v>0.42749074712096469</v>
      </c>
      <c r="O40" s="164">
        <f t="shared" si="8"/>
        <v>0.37861861683844861</v>
      </c>
      <c r="P40" s="164">
        <f t="shared" si="8"/>
        <v>0.3353337071786876</v>
      </c>
      <c r="Q40" s="164">
        <f t="shared" si="8"/>
        <v>0.29699726893826284</v>
      </c>
      <c r="S40" s="203"/>
      <c r="T40" s="107"/>
      <c r="U40" s="107"/>
      <c r="V40" s="107"/>
      <c r="W40" s="107"/>
      <c r="X40" s="107"/>
      <c r="Y40" s="107"/>
      <c r="Z40" s="107"/>
      <c r="AA40" s="108"/>
    </row>
    <row r="41" spans="1:27" ht="25.5" customHeight="1" thickBot="1" x14ac:dyDescent="0.25">
      <c r="A41" s="598" t="s">
        <v>257</v>
      </c>
      <c r="B41" s="599"/>
      <c r="C41" s="599"/>
      <c r="D41" s="163">
        <f t="shared" ref="D41:Q41" si="9">D40*D$27</f>
        <v>0</v>
      </c>
      <c r="E41" s="163">
        <f t="shared" si="9"/>
        <v>-9.7061501455889641</v>
      </c>
      <c r="F41" s="163">
        <f t="shared" si="9"/>
        <v>-20.058526938023046</v>
      </c>
      <c r="G41" s="163">
        <f t="shared" si="9"/>
        <v>-34.342355520000005</v>
      </c>
      <c r="H41" s="163">
        <f t="shared" si="9"/>
        <v>2.1632321211067058</v>
      </c>
      <c r="I41" s="163">
        <f t="shared" si="9"/>
        <v>13.668182400974468</v>
      </c>
      <c r="J41" s="163">
        <f t="shared" si="9"/>
        <v>11.403538035355949</v>
      </c>
      <c r="K41" s="163">
        <f t="shared" si="9"/>
        <v>8.9085829828312892</v>
      </c>
      <c r="L41" s="163">
        <f t="shared" si="9"/>
        <v>7.5426641290836827</v>
      </c>
      <c r="M41" s="163">
        <f t="shared" si="9"/>
        <v>5.9400800990429889</v>
      </c>
      <c r="N41" s="163">
        <f t="shared" si="9"/>
        <v>4.6258124817372774</v>
      </c>
      <c r="O41" s="163">
        <f t="shared" si="9"/>
        <v>3.8827278897565507</v>
      </c>
      <c r="P41" s="163">
        <f t="shared" si="9"/>
        <v>3.2528091714605201</v>
      </c>
      <c r="Q41" s="163">
        <f t="shared" si="9"/>
        <v>2.7194033463608065</v>
      </c>
      <c r="R41" s="163">
        <f>SUM(D41:Q41)</f>
        <v>5.4098223234433362E-8</v>
      </c>
      <c r="S41" s="203"/>
      <c r="T41" s="107"/>
      <c r="U41" s="107"/>
      <c r="V41" s="107"/>
      <c r="W41" s="107"/>
      <c r="X41" s="107"/>
      <c r="Y41" s="107"/>
      <c r="Z41" s="107"/>
      <c r="AA41" s="108"/>
    </row>
    <row r="42" spans="1:27" ht="13.5" thickTop="1" x14ac:dyDescent="0.2">
      <c r="S42" s="203"/>
      <c r="T42" s="107"/>
      <c r="U42" s="107"/>
      <c r="V42" s="107"/>
      <c r="W42" s="107"/>
      <c r="X42" s="107"/>
      <c r="Y42" s="107"/>
      <c r="Z42" s="107"/>
      <c r="AA42" s="108"/>
    </row>
    <row r="43" spans="1:27" ht="13.5" thickBot="1" x14ac:dyDescent="0.25">
      <c r="S43" s="203"/>
      <c r="T43" s="107"/>
      <c r="U43" s="107"/>
      <c r="V43" s="107"/>
      <c r="W43" s="107"/>
      <c r="X43" s="107"/>
      <c r="Y43" s="107"/>
      <c r="Z43" s="107"/>
      <c r="AA43" s="108"/>
    </row>
    <row r="44" spans="1:27" ht="12.75" customHeight="1" thickTop="1" thickBot="1" x14ac:dyDescent="0.25">
      <c r="A44" s="407" t="s">
        <v>316</v>
      </c>
      <c r="B44" s="408"/>
      <c r="C44" s="408"/>
      <c r="D44" s="409"/>
      <c r="E44" s="408"/>
      <c r="F44" s="410"/>
      <c r="G44" s="410"/>
      <c r="H44" s="410"/>
      <c r="I44" s="57"/>
      <c r="J44" s="57"/>
      <c r="K44" s="57"/>
      <c r="L44" s="57"/>
      <c r="M44" s="104"/>
      <c r="N44" s="104"/>
      <c r="O44" s="104"/>
      <c r="P44" s="104"/>
      <c r="Q44" s="316"/>
      <c r="R44" s="216"/>
      <c r="S44" s="203" t="s">
        <v>268</v>
      </c>
      <c r="T44" s="107"/>
      <c r="U44" s="107"/>
      <c r="V44" s="107"/>
      <c r="W44" s="107"/>
      <c r="X44" s="107"/>
      <c r="Y44" s="107"/>
      <c r="Z44" s="107"/>
      <c r="AA44" s="108"/>
    </row>
    <row r="45" spans="1:27" ht="12.2" customHeight="1" x14ac:dyDescent="0.2">
      <c r="A45" s="420" t="s">
        <v>258</v>
      </c>
      <c r="B45" s="420"/>
      <c r="C45" s="420"/>
      <c r="D45" s="164">
        <f>((EXP($R$6)-1)/$R$6)*(EXP((-D$11)*($R$6)))</f>
        <v>1.6322844840524198</v>
      </c>
      <c r="E45" s="164">
        <f t="shared" ref="E45:Q45" si="10">((EXP($R$6)-1)/$R$6)*(EXP((-E11)*($R$6)))</f>
        <v>1.4193778122194955</v>
      </c>
      <c r="F45" s="164">
        <f t="shared" si="10"/>
        <v>1.2342415758430396</v>
      </c>
      <c r="G45" s="164">
        <f t="shared" si="10"/>
        <v>1.0732535442113389</v>
      </c>
      <c r="H45" s="164">
        <f t="shared" si="10"/>
        <v>0.93326395148812091</v>
      </c>
      <c r="I45" s="164">
        <f t="shared" si="10"/>
        <v>0.81153387085923556</v>
      </c>
      <c r="J45" s="164">
        <f t="shared" si="10"/>
        <v>0.70568162683411795</v>
      </c>
      <c r="K45" s="164">
        <f t="shared" si="10"/>
        <v>0.61363619724705909</v>
      </c>
      <c r="L45" s="164">
        <f t="shared" si="10"/>
        <v>0.53359669325831238</v>
      </c>
      <c r="M45" s="164">
        <f t="shared" si="10"/>
        <v>0.46399712457244552</v>
      </c>
      <c r="N45" s="164">
        <f t="shared" si="10"/>
        <v>0.40347576049777872</v>
      </c>
      <c r="O45" s="164">
        <f t="shared" si="10"/>
        <v>0.35084848738937285</v>
      </c>
      <c r="P45" s="164">
        <f t="shared" si="10"/>
        <v>0.30508564120815035</v>
      </c>
      <c r="Q45" s="164">
        <f t="shared" si="10"/>
        <v>0.26529186192013071</v>
      </c>
      <c r="S45" s="203" t="s">
        <v>275</v>
      </c>
      <c r="T45" s="107"/>
      <c r="U45" s="107"/>
      <c r="V45" s="107"/>
      <c r="W45" s="107"/>
      <c r="X45" s="107"/>
      <c r="Y45" s="107"/>
      <c r="Z45" s="107"/>
      <c r="AA45" s="108"/>
    </row>
    <row r="46" spans="1:27" ht="25.5" customHeight="1" thickBot="1" x14ac:dyDescent="0.25">
      <c r="A46" s="623" t="s">
        <v>259</v>
      </c>
      <c r="B46" s="624"/>
      <c r="C46" s="624"/>
      <c r="D46" s="164">
        <f>D45*$D$27</f>
        <v>0</v>
      </c>
      <c r="E46" s="164">
        <f>E45*E$27</f>
        <v>-10.806760043401159</v>
      </c>
      <c r="F46" s="164">
        <f t="shared" ref="F46:Q46" si="11">F45*F$27</f>
        <v>-21.926759508350177</v>
      </c>
      <c r="G46" s="164">
        <f t="shared" si="11"/>
        <v>-36.858054778405844</v>
      </c>
      <c r="H46" s="164">
        <f t="shared" si="11"/>
        <v>2.2794620616841281</v>
      </c>
      <c r="I46" s="164">
        <f t="shared" si="11"/>
        <v>14.140570300790293</v>
      </c>
      <c r="J46" s="164">
        <f t="shared" si="11"/>
        <v>11.583043544076707</v>
      </c>
      <c r="K46" s="164">
        <f t="shared" si="11"/>
        <v>8.8842059450827726</v>
      </c>
      <c r="L46" s="164">
        <f t="shared" si="11"/>
        <v>7.3851899654300661</v>
      </c>
      <c r="M46" s="164">
        <f t="shared" si="11"/>
        <v>5.7102630766967151</v>
      </c>
      <c r="N46" s="164">
        <f t="shared" si="11"/>
        <v>4.3659499569494526</v>
      </c>
      <c r="O46" s="164">
        <f t="shared" si="11"/>
        <v>3.5979456542330315</v>
      </c>
      <c r="P46" s="164">
        <f t="shared" si="11"/>
        <v>2.959396417831559</v>
      </c>
      <c r="Q46" s="164">
        <f t="shared" si="11"/>
        <v>2.4290983538231057</v>
      </c>
      <c r="R46" s="163">
        <f>SUM(D46:Q46)</f>
        <v>-6.2564490535593542</v>
      </c>
      <c r="S46" s="611" t="s">
        <v>226</v>
      </c>
      <c r="T46" s="612"/>
      <c r="U46" s="612"/>
      <c r="V46" s="612"/>
      <c r="W46" s="612"/>
      <c r="X46" s="612"/>
      <c r="Y46" s="612"/>
      <c r="Z46" s="612"/>
      <c r="AA46" s="613"/>
    </row>
    <row r="47" spans="1:27" s="59" customFormat="1" ht="25.5" customHeight="1" thickTop="1" thickBot="1" x14ac:dyDescent="0.25">
      <c r="A47" s="595" t="s">
        <v>279</v>
      </c>
      <c r="B47" s="596"/>
      <c r="C47" s="597"/>
      <c r="D47" s="311">
        <f>R46</f>
        <v>-6.2564490535593542</v>
      </c>
      <c r="E47" s="101" t="s">
        <v>132</v>
      </c>
      <c r="G47" s="102">
        <f>$R$6*100</f>
        <v>13.976194237515863</v>
      </c>
      <c r="H47" s="59" t="s">
        <v>133</v>
      </c>
      <c r="R47" s="5"/>
      <c r="S47" s="205" t="s">
        <v>272</v>
      </c>
      <c r="T47" s="111"/>
      <c r="U47" s="111"/>
      <c r="V47" s="111"/>
      <c r="W47" s="111"/>
      <c r="X47" s="111"/>
      <c r="Y47" s="111"/>
      <c r="Z47" s="111"/>
      <c r="AA47" s="112"/>
    </row>
    <row r="48" spans="1:27" ht="25.5" customHeight="1" thickTop="1" thickBot="1" x14ac:dyDescent="0.25">
      <c r="A48" s="594" t="s">
        <v>260</v>
      </c>
      <c r="B48" s="594"/>
      <c r="C48" s="594"/>
      <c r="D48" s="312">
        <f>IF($R$27&lt;0,"No value",$C$49*100)</f>
        <v>12.140323424187629</v>
      </c>
      <c r="E48" s="620" t="s">
        <v>333</v>
      </c>
      <c r="F48" s="621"/>
      <c r="G48" s="621"/>
      <c r="H48" s="621"/>
      <c r="I48" s="621"/>
      <c r="J48" s="621"/>
      <c r="K48" s="621"/>
      <c r="L48" s="621"/>
      <c r="M48" s="621"/>
      <c r="N48" s="621"/>
      <c r="O48" s="622"/>
      <c r="P48" s="29"/>
      <c r="Q48" s="29"/>
      <c r="R48" s="218"/>
      <c r="S48" s="609" t="s">
        <v>274</v>
      </c>
      <c r="T48" s="610"/>
      <c r="U48" s="610"/>
      <c r="V48" s="610"/>
      <c r="W48" s="610"/>
      <c r="X48" s="610"/>
      <c r="Y48" s="107"/>
      <c r="Z48" s="107"/>
      <c r="AA48" s="108"/>
    </row>
    <row r="49" spans="1:27" ht="13.5" thickTop="1" x14ac:dyDescent="0.2">
      <c r="A49" t="s">
        <v>95</v>
      </c>
      <c r="C49" s="6">
        <v>0.1214032342418763</v>
      </c>
      <c r="S49" s="203"/>
      <c r="T49" s="107"/>
      <c r="U49" s="107"/>
      <c r="V49" s="107"/>
      <c r="W49" s="107"/>
      <c r="X49" s="107"/>
      <c r="Y49" s="107"/>
      <c r="Z49" s="107"/>
      <c r="AA49" s="108"/>
    </row>
    <row r="50" spans="1:27" ht="12.75" customHeight="1" x14ac:dyDescent="0.2">
      <c r="A50" s="420" t="s">
        <v>261</v>
      </c>
      <c r="B50" s="420"/>
      <c r="C50" s="420"/>
      <c r="D50" s="164">
        <f t="shared" ref="D50:Q50" si="12">((EXP($C$49)-1)/$C$49)*(EXP((-D$11)*($C$49)))</f>
        <v>1.5303942146089868</v>
      </c>
      <c r="E50" s="164">
        <f t="shared" si="12"/>
        <v>1.3554345778634223</v>
      </c>
      <c r="F50" s="164">
        <f t="shared" si="12"/>
        <v>1.2004768949921807</v>
      </c>
      <c r="G50" s="164">
        <f t="shared" si="12"/>
        <v>1.0632344776697009</v>
      </c>
      <c r="H50" s="164">
        <f t="shared" si="12"/>
        <v>0.94168205920608328</v>
      </c>
      <c r="I50" s="164">
        <f t="shared" si="12"/>
        <v>0.83402590797670451</v>
      </c>
      <c r="J50" s="164">
        <f t="shared" si="12"/>
        <v>0.7386773575816179</v>
      </c>
      <c r="K50" s="164">
        <f t="shared" si="12"/>
        <v>0.65422936312309621</v>
      </c>
      <c r="L50" s="164">
        <f t="shared" si="12"/>
        <v>0.57943573764566048</v>
      </c>
      <c r="M50" s="164">
        <f t="shared" si="12"/>
        <v>0.5131927623337178</v>
      </c>
      <c r="N50" s="164">
        <f t="shared" si="12"/>
        <v>0.45452289909112786</v>
      </c>
      <c r="O50" s="164">
        <f t="shared" si="12"/>
        <v>0.40256036515156857</v>
      </c>
      <c r="P50" s="164">
        <f t="shared" si="12"/>
        <v>0.35653835684629315</v>
      </c>
      <c r="Q50" s="164">
        <f t="shared" si="12"/>
        <v>0.31577773399224907</v>
      </c>
      <c r="S50" s="203"/>
      <c r="T50" s="107"/>
      <c r="U50" s="107"/>
      <c r="V50" s="107"/>
      <c r="W50" s="107"/>
      <c r="X50" s="107"/>
      <c r="Y50" s="107"/>
      <c r="Z50" s="107"/>
      <c r="AA50" s="108"/>
    </row>
    <row r="51" spans="1:27" ht="25.5" customHeight="1" thickBot="1" x14ac:dyDescent="0.25">
      <c r="A51" s="598" t="s">
        <v>262</v>
      </c>
      <c r="B51" s="599"/>
      <c r="C51" s="599"/>
      <c r="D51" s="163">
        <f t="shared" ref="D51:Q51" si="13">D50*D$27</f>
        <v>0</v>
      </c>
      <c r="E51" s="163">
        <f t="shared" si="13"/>
        <v>-10.319913494063815</v>
      </c>
      <c r="F51" s="163">
        <f t="shared" si="13"/>
        <v>-21.326917426067954</v>
      </c>
      <c r="G51" s="163">
        <f t="shared" si="13"/>
        <v>-36.513976433254378</v>
      </c>
      <c r="H51" s="163">
        <f t="shared" si="13"/>
        <v>2.3000229728215063</v>
      </c>
      <c r="I51" s="163">
        <f t="shared" si="13"/>
        <v>14.532482756312092</v>
      </c>
      <c r="J51" s="163">
        <f t="shared" si="13"/>
        <v>12.124634782226886</v>
      </c>
      <c r="K51" s="163">
        <f t="shared" si="13"/>
        <v>9.4719125491317868</v>
      </c>
      <c r="L51" s="163">
        <f t="shared" si="13"/>
        <v>8.0196205286465911</v>
      </c>
      <c r="M51" s="163">
        <f t="shared" si="13"/>
        <v>6.3156979360217509</v>
      </c>
      <c r="N51" s="163">
        <f t="shared" si="13"/>
        <v>4.9183232947407136</v>
      </c>
      <c r="O51" s="163">
        <f t="shared" si="13"/>
        <v>4.1282501376616167</v>
      </c>
      <c r="P51" s="163">
        <f t="shared" si="13"/>
        <v>3.4584988395130085</v>
      </c>
      <c r="Q51" s="163">
        <f t="shared" si="13"/>
        <v>2.8913633771604119</v>
      </c>
      <c r="R51" s="163">
        <f>SUM(D51:Q51)</f>
        <v>-1.7914978123201308E-7</v>
      </c>
      <c r="S51" s="203"/>
      <c r="T51" s="107"/>
      <c r="U51" s="107"/>
      <c r="V51" s="107"/>
      <c r="W51" s="107"/>
      <c r="X51" s="107"/>
      <c r="Y51" s="107"/>
      <c r="Z51" s="107"/>
      <c r="AA51" s="108"/>
    </row>
    <row r="52" spans="1:27" ht="12.75" customHeight="1" thickTop="1" x14ac:dyDescent="0.2"/>
    <row r="53" spans="1:27" ht="12.75" customHeight="1" x14ac:dyDescent="0.2"/>
    <row r="54" spans="1:27" ht="12.75" customHeight="1" x14ac:dyDescent="0.2">
      <c r="R54" s="165"/>
    </row>
    <row r="55" spans="1:27" ht="12.75" customHeight="1" x14ac:dyDescent="0.2"/>
    <row r="56" spans="1:27" ht="12.75" customHeight="1" x14ac:dyDescent="0.2"/>
  </sheetData>
  <mergeCells count="28">
    <mergeCell ref="A51:C51"/>
    <mergeCell ref="A46:C46"/>
    <mergeCell ref="A47:C47"/>
    <mergeCell ref="A48:C48"/>
    <mergeCell ref="A41:C41"/>
    <mergeCell ref="A21:C21"/>
    <mergeCell ref="A35:C35"/>
    <mergeCell ref="A32:C32"/>
    <mergeCell ref="A50:C50"/>
    <mergeCell ref="B11:C11"/>
    <mergeCell ref="A37:C37"/>
    <mergeCell ref="A36:C36"/>
    <mergeCell ref="A12:C12"/>
    <mergeCell ref="A45:C45"/>
    <mergeCell ref="A38:C38"/>
    <mergeCell ref="A40:C40"/>
    <mergeCell ref="E38:O38"/>
    <mergeCell ref="E48:O48"/>
    <mergeCell ref="S48:X48"/>
    <mergeCell ref="S38:X38"/>
    <mergeCell ref="S36:AA36"/>
    <mergeCell ref="S46:AA46"/>
    <mergeCell ref="A1:F1"/>
    <mergeCell ref="G1:L1"/>
    <mergeCell ref="S1:AA8"/>
    <mergeCell ref="S12:AA12"/>
    <mergeCell ref="A2:F2"/>
    <mergeCell ref="A6:D7"/>
  </mergeCells>
  <phoneticPr fontId="0" type="noConversion"/>
  <printOptions gridLines="1"/>
  <pageMargins left="0.75" right="0.75" top="1" bottom="1" header="0.5" footer="0.5"/>
  <pageSetup scale="90" orientation="landscape" horizontalDpi="4294967293" verticalDpi="0" r:id="rId1"/>
  <headerFooter alignWithMargins="0"/>
  <rowBreaks count="1" manualBreakCount="1">
    <brk id="3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Instructions</vt:lpstr>
      <vt:lpstr>Capital Inv.</vt:lpstr>
      <vt:lpstr>Materials&amp;Labor</vt:lpstr>
      <vt:lpstr>Utilities</vt:lpstr>
      <vt:lpstr>Depreciation</vt:lpstr>
      <vt:lpstr>Annual TPC</vt:lpstr>
      <vt:lpstr>Evaluation</vt:lpstr>
      <vt:lpstr>Year-0 $</vt:lpstr>
      <vt:lpstr>Annual_operating_labor</vt:lpstr>
      <vt:lpstr>Annual_Products_Value</vt:lpstr>
      <vt:lpstr>Annual_Raw_Materials_Cost</vt:lpstr>
      <vt:lpstr>'Annual TPC'!C0</vt:lpstr>
      <vt:lpstr>'Capital Inv.'!FCI</vt:lpstr>
      <vt:lpstr>'Annual TPC'!Operating_time</vt:lpstr>
      <vt:lpstr>'Annual TPC'!Print_Area</vt:lpstr>
      <vt:lpstr>'Capital Inv.'!TCI</vt:lpstr>
      <vt:lpstr>'Capital Inv.'!Working_Capital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E. West</dc:creator>
  <cp:lastModifiedBy>Andrew Biaglow</cp:lastModifiedBy>
  <cp:lastPrinted>2003-01-15T23:03:38Z</cp:lastPrinted>
  <dcterms:created xsi:type="dcterms:W3CDTF">2002-12-20T17:12:26Z</dcterms:created>
  <dcterms:modified xsi:type="dcterms:W3CDTF">2016-02-16T12:23:01Z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-700099090</vt:i4>
  </property>
  <property fmtid="{D5CDD505-2E9C-101B-9397-08002B2CF9AE}" pid="3" name="_EmailSubject">
    <vt:lpwstr>cost estimator for Peters</vt:lpwstr>
  </property>
  <property fmtid="{D5CDD505-2E9C-101B-9397-08002B2CF9AE}" pid="4" name="_AuthorEmail">
    <vt:lpwstr>Eric_Weber@mcgraw-hill.com</vt:lpwstr>
  </property>
  <property fmtid="{D5CDD505-2E9C-101B-9397-08002B2CF9AE}" pid="5" name="_AuthorEmailDisplayName">
    <vt:lpwstr>Weber, Eric</vt:lpwstr>
  </property>
  <property fmtid="{D5CDD505-2E9C-101B-9397-08002B2CF9AE}" pid="6" name="_ReviewingToolsShownOnce">
    <vt:lpwstr/>
  </property>
</Properties>
</file>