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BuÇalismaKitabi"/>
  <mc:AlternateContent xmlns:mc="http://schemas.openxmlformats.org/markup-compatibility/2006">
    <mc:Choice Requires="x15">
      <x15ac:absPath xmlns:x15ac="http://schemas.microsoft.com/office/spreadsheetml/2010/11/ac" url="C:\Zipperde\Z 5001\"/>
    </mc:Choice>
  </mc:AlternateContent>
  <xr:revisionPtr revIDLastSave="0" documentId="8_{855DEDF5-04C7-4085-8EC9-0D2934A58E0F}" xr6:coauthVersionLast="47" xr6:coauthVersionMax="47" xr10:uidLastSave="{00000000-0000-0000-0000-000000000000}"/>
  <bookViews>
    <workbookView xWindow="-120" yWindow="-120" windowWidth="21840" windowHeight="13140" tabRatio="886" xr2:uid="{D89EECA0-4C36-4E86-8071-6C1682D4306D}"/>
  </bookViews>
  <sheets>
    <sheet name="1PROJE" sheetId="2" r:id="rId1"/>
    <sheet name="2TEKLF" sheetId="6" r:id="rId2"/>
    <sheet name="3TEKLFX" sheetId="25" r:id="rId3"/>
    <sheet name="4POZ" sheetId="19" r:id="rId4"/>
    <sheet name="5IMALAT" sheetId="22" r:id="rId5"/>
    <sheet name="xHesaplama" sheetId="13" r:id="rId6"/>
    <sheet name="REÇETE" sheetId="21" state="hidden" r:id="rId7"/>
    <sheet name="6RECETE" sheetId="24" r:id="rId8"/>
    <sheet name="Poz Reçete" sheetId="23" r:id="rId9"/>
    <sheet name="ÇEKİ LİST" sheetId="10" state="hidden" r:id="rId10"/>
    <sheet name="x Açılır Listeler" sheetId="3" r:id="rId11"/>
    <sheet name="x Malzemeler ve Özellikleri" sheetId="1" r:id="rId12"/>
    <sheet name="zip etiket TR" sheetId="26" r:id="rId13"/>
    <sheet name="zip etiket ENG" sheetId="28" r:id="rId14"/>
    <sheet name="x Malzemeler ve Özellikleri (2)" sheetId="15" state="hidden" r:id="rId15"/>
  </sheets>
  <definedNames>
    <definedName name="_622_OPAK">'x Açılır Listeler'!$N$2:$N$4</definedName>
    <definedName name="_xlnm._FilterDatabase" localSheetId="8" hidden="1">'Poz Reçete'!$A$1:$AJ$820</definedName>
    <definedName name="_xlnm._FilterDatabase" localSheetId="11" hidden="1">'x Malzemeler ve Özellikleri'!$AG$87:$AJ$136</definedName>
    <definedName name="_xlnm._FilterDatabase" localSheetId="5" hidden="1">xHesaplama!$A$26:$DK$26</definedName>
    <definedName name="_xleta.CLEAN" hidden="1" xlm="1">#NAME?</definedName>
    <definedName name="_xleta.DATE" hidden="1" xlm="1">#NAME?</definedName>
    <definedName name="_xleta.MATCH" hidden="1" xlm="1">#NAME?</definedName>
    <definedName name="_xleta.OR" hidden="1" xlm="1">#NAME?</definedName>
    <definedName name="_xleta.VLOOKUP" hidden="1" xlm="1">#NAME?</definedName>
    <definedName name="BLACOUT_B92">'x Açılır Listeler'!$K$2:$K$3</definedName>
    <definedName name="COPACO">'x Açılır Listeler'!$G$2:$G$13</definedName>
    <definedName name="OPAK_622">'x Açılır Listeler'!$N$2:$N$4</definedName>
    <definedName name="SCREEN">'x Açılır Listeler'!$P$2:$P$9</definedName>
    <definedName name="SOLTİS_86">'x Açılır Listeler'!$H$2:$H$21</definedName>
    <definedName name="SOLTİS_88">'x Açılır Listeler'!$I$2:$I$4</definedName>
    <definedName name="SOLTİS_92">'x Açılır Listeler'!$J$2:$J$36</definedName>
    <definedName name="SOLTİS_96">'x Açılır Listeler'!$L$2:$L$7</definedName>
    <definedName name="SOLTİS_W96">'x Açılır Listeler'!$M$2:$M$6</definedName>
    <definedName name="ŞEFFAF">'x Açılır Listeler'!$O$2</definedName>
    <definedName name="_xlnm.Print_Area" localSheetId="1">'2TEKLF'!$A$1:$O$66</definedName>
    <definedName name="_xlnm.Print_Area" localSheetId="2">'3TEKLFX'!$A$1:$O$63</definedName>
    <definedName name="_xlnm.Print_Area" localSheetId="3">'4POZ'!$A$1:$U$207</definedName>
    <definedName name="_xlnm.Print_Area" localSheetId="4">'5IMALAT'!$A$1:$AJ$215</definedName>
    <definedName name="_xlnm.Print_Area" localSheetId="8">'Poz Reçete'!$A$1:$G$820</definedName>
    <definedName name="_xlnm.Print_Area" localSheetId="13">'zip etiket ENG'!$B$1:$G$8</definedName>
    <definedName name="_xlnm.Print_Area" localSheetId="12">'zip etiket TR'!$B$1:$G$8</definedName>
  </definedNames>
  <calcPr calcId="191029"/>
  <pivotCaches>
    <pivotCache cacheId="0"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2" i="19" l="1"/>
  <c r="T22" i="19"/>
  <c r="J22" i="19"/>
  <c r="K3" i="26"/>
  <c r="J43" i="22" l="1"/>
  <c r="AB23" i="22"/>
  <c r="J23" i="22"/>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950" i="13"/>
  <c r="G951" i="13"/>
  <c r="G952" i="13"/>
  <c r="G953" i="13"/>
  <c r="G954" i="13"/>
  <c r="G955" i="13"/>
  <c r="G956" i="13"/>
  <c r="G957" i="13"/>
  <c r="G958" i="13"/>
  <c r="G959" i="13"/>
  <c r="G960" i="13"/>
  <c r="G961" i="13"/>
  <c r="G962" i="13"/>
  <c r="G963" i="13"/>
  <c r="G964" i="13"/>
  <c r="G965" i="13"/>
  <c r="G966" i="13"/>
  <c r="G967" i="13"/>
  <c r="G968" i="13"/>
  <c r="G969" i="13"/>
  <c r="G970" i="13"/>
  <c r="G971" i="13"/>
  <c r="G972" i="13"/>
  <c r="G973" i="13"/>
  <c r="G974" i="13"/>
  <c r="G975" i="13"/>
  <c r="G976" i="13"/>
  <c r="G977" i="13"/>
  <c r="G978" i="13"/>
  <c r="G979" i="13"/>
  <c r="G980" i="13"/>
  <c r="G981" i="13"/>
  <c r="G982" i="13"/>
  <c r="G983" i="13"/>
  <c r="G984" i="13"/>
  <c r="G985" i="13"/>
  <c r="G986" i="13"/>
  <c r="G987" i="13"/>
  <c r="G988" i="13"/>
  <c r="G989" i="13"/>
  <c r="G990" i="13"/>
  <c r="G991" i="13"/>
  <c r="G992" i="13"/>
  <c r="G993" i="13"/>
  <c r="G994" i="13"/>
  <c r="G995" i="13"/>
  <c r="G996" i="13"/>
  <c r="G997" i="13"/>
  <c r="G998" i="13"/>
  <c r="G999" i="13"/>
  <c r="G1000" i="13"/>
  <c r="G1001" i="13"/>
  <c r="G1002" i="13"/>
  <c r="G1003" i="13"/>
  <c r="G1004" i="13"/>
  <c r="G1005" i="13"/>
  <c r="G1006" i="13"/>
  <c r="G1007" i="13"/>
  <c r="G1008" i="13"/>
  <c r="G1009" i="13"/>
  <c r="G1010" i="13"/>
  <c r="G1011" i="13"/>
  <c r="G1012" i="13"/>
  <c r="G1013" i="13"/>
  <c r="G1014" i="13"/>
  <c r="G1015" i="13"/>
  <c r="G1016" i="13"/>
  <c r="G1017" i="13"/>
  <c r="G1018" i="13"/>
  <c r="G1019" i="13"/>
  <c r="G1020" i="13"/>
  <c r="G1021" i="13"/>
  <c r="G1022" i="13"/>
  <c r="G1023" i="13"/>
  <c r="G1024" i="13"/>
  <c r="G1025" i="13"/>
  <c r="G1026" i="13"/>
  <c r="G1027" i="13"/>
  <c r="G1028" i="13"/>
  <c r="G1029" i="13"/>
  <c r="G1030" i="13"/>
  <c r="G1031" i="13"/>
  <c r="G1032" i="13"/>
  <c r="G1033" i="13"/>
  <c r="G1034" i="13"/>
  <c r="G1035" i="13"/>
  <c r="G1036" i="13"/>
  <c r="G1037" i="13"/>
  <c r="G1038" i="13"/>
  <c r="G1039" i="13"/>
  <c r="G1040" i="13"/>
  <c r="G1041" i="13"/>
  <c r="G1042" i="13"/>
  <c r="G1043" i="13"/>
  <c r="G1044" i="13"/>
  <c r="G1045" i="13"/>
  <c r="G1046" i="13"/>
  <c r="G1047" i="13"/>
  <c r="G1048" i="13"/>
  <c r="G1049" i="13"/>
  <c r="G1050" i="13"/>
  <c r="G1051" i="13"/>
  <c r="G1052" i="13"/>
  <c r="G1053" i="13"/>
  <c r="G1054" i="13"/>
  <c r="G1055" i="13"/>
  <c r="G1056" i="13"/>
  <c r="G1057" i="13"/>
  <c r="G1058" i="13"/>
  <c r="G1059" i="13"/>
  <c r="G1060" i="13"/>
  <c r="G1061" i="13"/>
  <c r="G1062" i="13"/>
  <c r="G1063" i="13"/>
  <c r="G1064" i="13"/>
  <c r="G1065" i="13"/>
  <c r="G1066" i="13"/>
  <c r="G1067" i="13"/>
  <c r="G1068" i="13"/>
  <c r="G1069" i="13"/>
  <c r="G1070" i="13"/>
  <c r="G1071" i="13"/>
  <c r="G1072" i="13"/>
  <c r="G1073" i="13"/>
  <c r="G1074" i="13"/>
  <c r="G1075" i="13"/>
  <c r="G1076" i="13"/>
  <c r="G1077" i="13"/>
  <c r="G1078" i="13"/>
  <c r="G1079" i="13"/>
  <c r="G1080" i="13"/>
  <c r="G1081" i="13"/>
  <c r="G1082" i="13"/>
  <c r="G1083" i="13"/>
  <c r="G1084" i="13"/>
  <c r="G1085" i="13"/>
  <c r="G1086" i="13"/>
  <c r="G1087" i="13"/>
  <c r="G1088" i="13"/>
  <c r="G1089" i="13"/>
  <c r="G1090" i="13"/>
  <c r="G1091" i="13"/>
  <c r="G1092" i="13"/>
  <c r="G1093" i="13"/>
  <c r="G1094" i="13"/>
  <c r="G1095" i="13"/>
  <c r="G1096" i="13"/>
  <c r="G1097" i="13"/>
  <c r="G1098" i="13"/>
  <c r="G1099" i="13"/>
  <c r="G1100" i="13"/>
  <c r="G1101" i="13"/>
  <c r="G1102" i="13"/>
  <c r="G1103" i="13"/>
  <c r="G1104" i="13"/>
  <c r="G1105" i="13"/>
  <c r="G1106" i="13"/>
  <c r="G1107" i="13"/>
  <c r="G1108" i="13"/>
  <c r="G1109" i="13"/>
  <c r="G1110" i="13"/>
  <c r="G1111" i="13"/>
  <c r="G1112" i="13"/>
  <c r="G1113" i="13"/>
  <c r="G1114" i="13"/>
  <c r="G1115" i="13"/>
  <c r="G1116" i="13"/>
  <c r="G1117" i="13"/>
  <c r="G1118" i="13"/>
  <c r="G1119" i="13"/>
  <c r="G1120" i="13"/>
  <c r="G1121" i="13"/>
  <c r="G1122" i="13"/>
  <c r="G1123" i="13"/>
  <c r="G1124" i="13"/>
  <c r="G1125" i="13"/>
  <c r="G1126" i="13"/>
  <c r="G1127" i="13"/>
  <c r="G1128" i="13"/>
  <c r="G1129" i="13"/>
  <c r="G1130" i="13"/>
  <c r="G1131" i="13"/>
  <c r="G1132" i="13"/>
  <c r="G1133" i="13"/>
  <c r="G1134" i="13"/>
  <c r="G1135" i="13"/>
  <c r="G1136" i="13"/>
  <c r="G1137" i="13"/>
  <c r="G1138" i="13"/>
  <c r="G1139" i="13"/>
  <c r="G1140" i="13"/>
  <c r="G1141" i="13"/>
  <c r="G1142" i="13"/>
  <c r="G1143" i="13"/>
  <c r="G1144" i="13"/>
  <c r="G1145" i="13"/>
  <c r="G1146" i="13"/>
  <c r="G1147" i="13"/>
  <c r="G1148" i="13"/>
  <c r="G1149" i="13"/>
  <c r="G1150" i="13"/>
  <c r="G1151" i="13"/>
  <c r="G1152" i="13"/>
  <c r="G1153" i="13"/>
  <c r="G1154" i="13"/>
  <c r="G1155" i="13"/>
  <c r="G1156" i="13"/>
  <c r="G1157" i="13"/>
  <c r="G1158" i="13"/>
  <c r="G1159" i="13"/>
  <c r="G1160" i="13"/>
  <c r="G1161" i="13"/>
  <c r="G1162" i="13"/>
  <c r="G1163" i="13"/>
  <c r="G1164" i="13"/>
  <c r="G1165" i="13"/>
  <c r="G1166" i="13"/>
  <c r="G1167" i="13"/>
  <c r="G1168" i="13"/>
  <c r="G1169" i="13"/>
  <c r="G1170" i="13"/>
  <c r="G1171" i="13"/>
  <c r="G1172" i="13"/>
  <c r="G1173" i="13"/>
  <c r="G1174" i="13"/>
  <c r="G1175" i="13"/>
  <c r="G1176" i="13"/>
  <c r="G1177" i="13"/>
  <c r="G1178" i="13"/>
  <c r="G1179" i="13"/>
  <c r="G1180" i="13"/>
  <c r="G1181" i="13"/>
  <c r="G1182" i="13"/>
  <c r="G1183" i="13"/>
  <c r="G1184" i="13"/>
  <c r="G1185" i="13"/>
  <c r="G1186" i="13"/>
  <c r="G1187" i="13"/>
  <c r="G1188" i="13"/>
  <c r="G1189" i="13"/>
  <c r="G1190" i="13"/>
  <c r="G1191" i="13"/>
  <c r="G1192" i="13"/>
  <c r="G1193" i="13"/>
  <c r="G1194" i="13"/>
  <c r="G1195" i="13"/>
  <c r="G1196" i="13"/>
  <c r="G1197" i="13"/>
  <c r="G1198" i="13"/>
  <c r="G1199" i="13"/>
  <c r="G1200" i="13"/>
  <c r="G1201" i="13"/>
  <c r="G1202" i="13"/>
  <c r="G1203" i="13"/>
  <c r="G1204" i="13"/>
  <c r="G1205" i="13"/>
  <c r="G1206" i="13"/>
  <c r="G1207" i="13"/>
  <c r="G1208" i="13"/>
  <c r="G1209" i="13"/>
  <c r="G1210" i="13"/>
  <c r="G1211" i="13"/>
  <c r="G1212" i="13"/>
  <c r="G1213" i="13"/>
  <c r="G1214" i="13"/>
  <c r="G1215" i="13"/>
  <c r="G1216" i="13"/>
  <c r="G1217" i="13"/>
  <c r="G1218" i="13"/>
  <c r="G1219" i="13"/>
  <c r="G1220" i="13"/>
  <c r="G1221" i="13"/>
  <c r="G1222" i="13"/>
  <c r="G1223" i="13"/>
  <c r="G1224" i="13"/>
  <c r="G1225" i="13"/>
  <c r="G1226" i="13"/>
  <c r="G1227" i="13"/>
  <c r="G1228" i="13"/>
  <c r="G1229" i="13"/>
  <c r="G1230" i="13"/>
  <c r="G1231" i="13"/>
  <c r="G1232" i="13"/>
  <c r="G1233" i="13"/>
  <c r="G1234" i="13"/>
  <c r="G1235" i="13"/>
  <c r="G1236" i="13"/>
  <c r="G1237" i="13"/>
  <c r="G1238" i="13"/>
  <c r="G1239" i="13"/>
  <c r="G1240" i="13"/>
  <c r="G1241" i="13"/>
  <c r="G1242" i="13"/>
  <c r="G1243" i="13"/>
  <c r="G1244" i="13"/>
  <c r="G1245" i="13"/>
  <c r="G1246" i="13"/>
  <c r="G1247" i="13"/>
  <c r="G1248" i="13"/>
  <c r="G1249" i="13"/>
  <c r="G1250" i="13"/>
  <c r="G1251" i="13"/>
  <c r="G1252" i="13"/>
  <c r="G1253" i="13"/>
  <c r="G1254" i="13"/>
  <c r="G1255" i="13"/>
  <c r="G1256" i="13"/>
  <c r="G1257" i="13"/>
  <c r="G1258" i="13"/>
  <c r="G1259" i="13"/>
  <c r="G1260" i="13"/>
  <c r="G1261" i="13"/>
  <c r="G1262" i="13"/>
  <c r="G1263" i="13"/>
  <c r="G1264" i="13"/>
  <c r="G1265" i="13"/>
  <c r="G1266" i="13"/>
  <c r="G1267" i="13"/>
  <c r="G1268" i="13"/>
  <c r="G1269" i="13"/>
  <c r="G1270" i="13"/>
  <c r="G1271" i="13"/>
  <c r="G1272" i="13"/>
  <c r="G1273" i="13"/>
  <c r="G1274" i="13"/>
  <c r="G1275" i="13"/>
  <c r="G1276" i="13"/>
  <c r="G1277" i="13"/>
  <c r="G1278" i="13"/>
  <c r="G1279" i="13"/>
  <c r="G1280" i="13"/>
  <c r="G1281" i="13"/>
  <c r="G1282" i="13"/>
  <c r="G1283" i="13"/>
  <c r="G1284" i="13"/>
  <c r="G1285" i="13"/>
  <c r="G1286" i="13"/>
  <c r="G1287" i="13"/>
  <c r="G1288" i="13"/>
  <c r="G1289" i="13"/>
  <c r="G1290" i="13"/>
  <c r="G1291" i="13"/>
  <c r="G1292" i="13"/>
  <c r="G1293" i="13"/>
  <c r="G1294" i="13"/>
  <c r="G1295" i="13"/>
  <c r="G1296" i="13"/>
  <c r="G1297" i="13"/>
  <c r="G1298" i="13"/>
  <c r="G1299" i="13"/>
  <c r="G1300" i="13"/>
  <c r="G1301" i="13"/>
  <c r="G1302" i="13"/>
  <c r="G1303" i="13"/>
  <c r="G1304" i="13"/>
  <c r="G1305" i="13"/>
  <c r="G1306" i="13"/>
  <c r="G1307" i="13"/>
  <c r="G1308" i="13"/>
  <c r="G1309" i="13"/>
  <c r="G1310" i="13"/>
  <c r="G1311" i="13"/>
  <c r="G1312" i="13"/>
  <c r="G1313" i="13"/>
  <c r="G1314" i="13"/>
  <c r="G1315" i="13"/>
  <c r="G1316" i="13"/>
  <c r="G1317" i="13"/>
  <c r="G1318" i="13"/>
  <c r="G1319" i="13"/>
  <c r="G1320" i="13"/>
  <c r="G1321" i="13"/>
  <c r="G1322" i="13"/>
  <c r="G1323" i="13"/>
  <c r="G1324" i="13"/>
  <c r="G1325" i="13"/>
  <c r="G1326" i="13"/>
  <c r="G1327" i="13"/>
  <c r="G1328" i="13"/>
  <c r="G1329" i="13"/>
  <c r="G1330" i="13"/>
  <c r="G1331" i="13"/>
  <c r="G1332" i="13"/>
  <c r="G1333" i="13"/>
  <c r="G1334" i="13"/>
  <c r="G1335" i="13"/>
  <c r="G1336" i="13"/>
  <c r="G1337" i="13"/>
  <c r="G1338" i="13"/>
  <c r="G1339" i="13"/>
  <c r="G1340" i="13"/>
  <c r="G1341" i="13"/>
  <c r="G1342" i="13"/>
  <c r="G1343" i="13"/>
  <c r="G1344" i="13"/>
  <c r="G1345" i="13"/>
  <c r="G1346" i="13"/>
  <c r="G1347" i="13"/>
  <c r="G1348" i="13"/>
  <c r="G1349" i="13"/>
  <c r="G1350" i="13"/>
  <c r="G1351" i="13"/>
  <c r="G1352" i="13"/>
  <c r="G1353" i="13"/>
  <c r="G1354" i="13"/>
  <c r="G1355" i="13"/>
  <c r="G1356" i="13"/>
  <c r="G1357" i="13"/>
  <c r="G1358" i="13"/>
  <c r="G1359" i="13"/>
  <c r="G1360" i="13"/>
  <c r="G1361" i="13"/>
  <c r="G1362" i="13"/>
  <c r="G1363" i="13"/>
  <c r="G1364" i="13"/>
  <c r="G1365" i="13"/>
  <c r="G1366" i="13"/>
  <c r="G1367" i="13"/>
  <c r="G1368" i="13"/>
  <c r="G1369" i="13"/>
  <c r="G1370" i="13"/>
  <c r="G1371" i="13"/>
  <c r="G1372" i="13"/>
  <c r="G1373" i="13"/>
  <c r="G1374" i="13"/>
  <c r="G1375" i="13"/>
  <c r="G1376" i="13"/>
  <c r="G1377" i="13"/>
  <c r="G1378" i="13"/>
  <c r="G1379" i="13"/>
  <c r="G1380" i="13"/>
  <c r="G1381" i="13"/>
  <c r="G1382" i="13"/>
  <c r="G1383" i="13"/>
  <c r="G1384" i="13"/>
  <c r="G1385" i="13"/>
  <c r="G1386" i="13"/>
  <c r="G1387" i="13"/>
  <c r="G1388" i="13"/>
  <c r="G1389" i="13"/>
  <c r="G1390" i="13"/>
  <c r="G1391" i="13"/>
  <c r="G1392" i="13"/>
  <c r="G1393" i="13"/>
  <c r="G1394" i="13"/>
  <c r="G1395" i="13"/>
  <c r="G1396" i="13"/>
  <c r="G1397" i="13"/>
  <c r="G1398" i="13"/>
  <c r="G1399" i="13"/>
  <c r="G1400" i="13"/>
  <c r="G1401" i="13"/>
  <c r="G1402" i="13"/>
  <c r="G1403" i="13"/>
  <c r="G1404" i="13"/>
  <c r="G1405" i="13"/>
  <c r="G1406" i="13"/>
  <c r="G1407" i="13"/>
  <c r="G1408" i="13"/>
  <c r="G1409" i="13"/>
  <c r="G1410" i="13"/>
  <c r="G1411" i="13"/>
  <c r="G1412" i="13"/>
  <c r="G1413" i="13"/>
  <c r="G1414" i="13"/>
  <c r="G1415" i="13"/>
  <c r="G1416" i="13"/>
  <c r="G1417" i="13"/>
  <c r="G1418" i="13"/>
  <c r="G1419" i="13"/>
  <c r="G1420" i="13"/>
  <c r="G1421" i="13"/>
  <c r="G1422" i="13"/>
  <c r="G1423" i="13"/>
  <c r="G1424" i="13"/>
  <c r="G1425" i="13"/>
  <c r="G1426" i="13"/>
  <c r="G1427" i="13"/>
  <c r="G1428" i="13"/>
  <c r="G1429" i="13"/>
  <c r="G1430" i="13"/>
  <c r="G1431" i="13"/>
  <c r="G1432" i="13"/>
  <c r="G1433" i="13"/>
  <c r="G1434" i="13"/>
  <c r="G1435" i="13"/>
  <c r="G1436" i="13"/>
  <c r="G1437" i="13"/>
  <c r="G1438" i="13"/>
  <c r="G1439" i="13"/>
  <c r="G1440" i="13"/>
  <c r="G1441" i="13"/>
  <c r="G1442" i="13"/>
  <c r="G1443" i="13"/>
  <c r="G1444" i="13"/>
  <c r="G1445" i="13"/>
  <c r="G1446" i="13"/>
  <c r="G1447" i="13"/>
  <c r="G1448" i="13"/>
  <c r="G1449" i="13"/>
  <c r="G1450" i="13"/>
  <c r="G1451" i="13"/>
  <c r="G1452" i="13"/>
  <c r="G1453" i="13"/>
  <c r="G1454" i="13"/>
  <c r="G1455" i="13"/>
  <c r="G1456" i="13"/>
  <c r="G1457" i="13"/>
  <c r="G1458" i="13"/>
  <c r="G1459" i="13"/>
  <c r="G1460" i="13"/>
  <c r="G1461" i="13"/>
  <c r="G1462" i="13"/>
  <c r="G1463" i="13"/>
  <c r="G1464" i="13"/>
  <c r="G1465" i="13"/>
  <c r="G1466" i="13"/>
  <c r="G1467" i="13"/>
  <c r="G1468" i="13"/>
  <c r="G1469" i="13"/>
  <c r="G1470" i="13"/>
  <c r="G1471" i="13"/>
  <c r="G1472" i="13"/>
  <c r="G1473" i="13"/>
  <c r="G1474" i="13"/>
  <c r="G1475" i="13"/>
  <c r="G1476" i="13"/>
  <c r="G1477" i="13"/>
  <c r="G1478" i="13"/>
  <c r="G1479" i="13"/>
  <c r="G1480" i="13"/>
  <c r="G1481" i="13"/>
  <c r="G1482" i="13"/>
  <c r="G1483" i="13"/>
  <c r="G1484" i="13"/>
  <c r="G1485" i="13"/>
  <c r="G1486" i="13"/>
  <c r="G1487" i="13"/>
  <c r="G1488" i="13"/>
  <c r="G1489" i="13"/>
  <c r="G1490" i="13"/>
  <c r="G1491" i="13"/>
  <c r="G1492" i="13"/>
  <c r="G1493" i="13"/>
  <c r="G1494" i="13"/>
  <c r="G1495" i="13"/>
  <c r="G1496" i="13"/>
  <c r="G1497" i="13"/>
  <c r="G1498" i="13"/>
  <c r="G1499" i="13"/>
  <c r="G1500" i="13"/>
  <c r="G1501" i="13"/>
  <c r="G1502" i="13"/>
  <c r="G1503" i="13"/>
  <c r="G1504" i="13"/>
  <c r="G1505" i="13"/>
  <c r="G1506" i="13"/>
  <c r="G1507" i="13"/>
  <c r="G1508" i="13"/>
  <c r="G1509" i="13"/>
  <c r="G1510" i="13"/>
  <c r="G1511" i="13"/>
  <c r="G1512" i="13"/>
  <c r="G1513" i="13"/>
  <c r="G1514" i="13"/>
  <c r="G1515" i="13"/>
  <c r="G1516" i="13"/>
  <c r="G1517" i="13"/>
  <c r="G1518" i="13"/>
  <c r="G1519" i="13"/>
  <c r="G1520" i="13"/>
  <c r="G1521" i="13"/>
  <c r="G1522" i="13"/>
  <c r="G1523" i="13"/>
  <c r="G1524" i="13"/>
  <c r="G1525" i="13"/>
  <c r="G1526" i="13"/>
  <c r="G1527" i="13"/>
  <c r="G1528" i="13"/>
  <c r="G1529" i="13"/>
  <c r="G1530" i="13"/>
  <c r="G1531" i="13"/>
  <c r="G1532" i="13"/>
  <c r="G1533" i="13"/>
  <c r="G1534" i="13"/>
  <c r="G1535" i="13"/>
  <c r="G1536" i="13"/>
  <c r="G1537" i="13"/>
  <c r="G1538" i="13"/>
  <c r="G1539" i="13"/>
  <c r="G1540" i="13"/>
  <c r="G1541" i="13"/>
  <c r="G1542" i="13"/>
  <c r="G1543" i="13"/>
  <c r="G1544" i="13"/>
  <c r="G1545" i="13"/>
  <c r="G1546" i="13"/>
  <c r="G1547" i="13"/>
  <c r="G1548" i="13"/>
  <c r="G1549" i="13"/>
  <c r="G1550" i="13"/>
  <c r="G1551" i="13"/>
  <c r="G1552" i="13"/>
  <c r="G1553" i="13"/>
  <c r="G1554" i="13"/>
  <c r="G1555" i="13"/>
  <c r="G1556" i="13"/>
  <c r="G1557" i="13"/>
  <c r="G1558" i="13"/>
  <c r="G1559" i="13"/>
  <c r="G1560" i="13"/>
  <c r="G1561" i="13"/>
  <c r="G1562" i="13"/>
  <c r="G1563" i="13"/>
  <c r="G1564" i="13"/>
  <c r="G1565" i="13"/>
  <c r="G1566" i="13"/>
  <c r="G1567" i="13"/>
  <c r="G1568" i="13"/>
  <c r="G1569" i="13"/>
  <c r="G1570" i="13"/>
  <c r="G1571" i="13"/>
  <c r="G1572" i="13"/>
  <c r="G1573" i="13"/>
  <c r="G1574" i="13"/>
  <c r="G1575" i="13"/>
  <c r="G1576" i="13"/>
  <c r="G1577" i="13"/>
  <c r="G1578" i="13"/>
  <c r="G1579" i="13"/>
  <c r="G1580" i="13"/>
  <c r="G1581" i="13"/>
  <c r="G1582" i="13"/>
  <c r="G1583" i="13"/>
  <c r="G1584" i="13"/>
  <c r="G1585" i="13"/>
  <c r="G1586" i="13"/>
  <c r="G1587" i="13"/>
  <c r="G1588" i="13"/>
  <c r="G1589" i="13"/>
  <c r="G1590" i="13"/>
  <c r="G1591" i="13"/>
  <c r="G1592" i="13"/>
  <c r="G1593" i="13"/>
  <c r="G1594" i="13"/>
  <c r="G1595" i="13"/>
  <c r="G1596" i="13"/>
  <c r="G1597" i="13"/>
  <c r="G1598" i="13"/>
  <c r="G1599" i="13"/>
  <c r="G1600" i="13"/>
  <c r="G1601" i="13"/>
  <c r="G1602" i="13"/>
  <c r="G1603" i="13"/>
  <c r="G1604" i="13"/>
  <c r="G1605" i="13"/>
  <c r="G1606" i="13"/>
  <c r="G1607" i="13"/>
  <c r="G1608" i="13"/>
  <c r="G1609" i="13"/>
  <c r="G1610" i="13"/>
  <c r="G1611" i="13"/>
  <c r="G1612" i="13"/>
  <c r="G1613" i="13"/>
  <c r="G1614" i="13"/>
  <c r="G1615" i="13"/>
  <c r="G1616" i="13"/>
  <c r="G1617" i="13"/>
  <c r="G1618" i="13"/>
  <c r="G1619" i="13"/>
  <c r="G1620" i="13"/>
  <c r="G1621" i="13"/>
  <c r="G1622" i="13"/>
  <c r="G1623" i="13"/>
  <c r="G1624" i="13"/>
  <c r="G1625" i="13"/>
  <c r="G1626" i="13"/>
  <c r="G1627" i="13"/>
  <c r="G1628" i="13"/>
  <c r="G1629" i="13"/>
  <c r="G1630" i="13"/>
  <c r="G1631" i="13"/>
  <c r="G1632" i="13"/>
  <c r="G1633" i="13"/>
  <c r="G1634" i="13"/>
  <c r="G1635" i="13"/>
  <c r="G1636" i="13"/>
  <c r="G1637" i="13"/>
  <c r="G1638" i="13"/>
  <c r="G1639" i="13"/>
  <c r="G1640" i="13"/>
  <c r="G1641" i="13"/>
  <c r="G1642" i="13"/>
  <c r="G1643" i="13"/>
  <c r="G1644" i="13"/>
  <c r="G1645" i="13"/>
  <c r="G1646" i="13"/>
  <c r="G1647" i="13"/>
  <c r="G1648" i="13"/>
  <c r="G1649" i="13"/>
  <c r="G1650" i="13"/>
  <c r="G1651" i="13"/>
  <c r="G1652" i="13"/>
  <c r="G1653" i="13"/>
  <c r="G1654" i="13"/>
  <c r="G1655" i="13"/>
  <c r="G1656" i="13"/>
  <c r="G1657" i="13"/>
  <c r="G1658" i="13"/>
  <c r="G1659" i="13"/>
  <c r="G1660" i="13"/>
  <c r="G1661" i="13"/>
  <c r="G1662" i="13"/>
  <c r="G1663" i="13"/>
  <c r="G1664" i="13"/>
  <c r="G1665" i="13"/>
  <c r="G1666" i="13"/>
  <c r="G1667" i="13"/>
  <c r="G1668" i="13"/>
  <c r="G1669" i="13"/>
  <c r="G1670" i="13"/>
  <c r="G1671" i="13"/>
  <c r="G1672" i="13"/>
  <c r="G1673" i="13"/>
  <c r="G1674" i="13"/>
  <c r="G1675" i="13"/>
  <c r="G1676" i="13"/>
  <c r="G1677" i="13"/>
  <c r="G1678" i="13"/>
  <c r="G1679" i="13"/>
  <c r="G1680" i="13"/>
  <c r="G1681" i="13"/>
  <c r="G1682" i="13"/>
  <c r="G1683" i="13"/>
  <c r="G1684" i="13"/>
  <c r="G1685" i="13"/>
  <c r="G1686" i="13"/>
  <c r="G1687" i="13"/>
  <c r="G1688" i="13"/>
  <c r="G1689" i="13"/>
  <c r="G1690" i="13"/>
  <c r="G1691" i="13"/>
  <c r="G1692" i="13"/>
  <c r="G1693" i="13"/>
  <c r="G1694" i="13"/>
  <c r="G1695" i="13"/>
  <c r="G1696" i="13"/>
  <c r="G1697" i="13"/>
  <c r="G1698" i="13"/>
  <c r="G1699" i="13"/>
  <c r="G1700" i="13"/>
  <c r="G1701" i="13"/>
  <c r="G1702" i="13"/>
  <c r="G1703" i="13"/>
  <c r="G1704" i="13"/>
  <c r="G1705" i="13"/>
  <c r="G1706" i="13"/>
  <c r="G1707" i="13"/>
  <c r="G1708" i="13"/>
  <c r="G1709" i="13"/>
  <c r="G1710" i="13"/>
  <c r="G1711" i="13"/>
  <c r="G1712" i="13"/>
  <c r="G1713" i="13"/>
  <c r="G1714" i="13"/>
  <c r="G1715" i="13"/>
  <c r="G1716" i="13"/>
  <c r="G1717" i="13"/>
  <c r="G1718" i="13"/>
  <c r="G1719" i="13"/>
  <c r="G1720" i="13"/>
  <c r="G1721" i="13"/>
  <c r="G1722" i="13"/>
  <c r="G1723" i="13"/>
  <c r="G1724" i="13"/>
  <c r="G1725" i="13"/>
  <c r="G1726" i="13"/>
  <c r="G1727" i="13"/>
  <c r="G1728" i="13"/>
  <c r="G1729" i="13"/>
  <c r="G1730" i="13"/>
  <c r="G1731" i="13"/>
  <c r="G1732" i="13"/>
  <c r="G1733" i="13"/>
  <c r="G1734" i="13"/>
  <c r="G1735" i="13"/>
  <c r="G1736" i="13"/>
  <c r="G1737" i="13"/>
  <c r="G1738" i="13"/>
  <c r="G1739" i="13"/>
  <c r="G1740" i="13"/>
  <c r="G1741" i="13"/>
  <c r="G1742" i="13"/>
  <c r="G1743" i="13"/>
  <c r="G1744" i="13"/>
  <c r="G1745" i="13"/>
  <c r="G1746" i="13"/>
  <c r="G1747" i="13"/>
  <c r="G1748" i="13"/>
  <c r="G1749" i="13"/>
  <c r="G1750" i="13"/>
  <c r="G1751" i="13"/>
  <c r="G1752" i="13"/>
  <c r="G1753" i="13"/>
  <c r="G1754" i="13"/>
  <c r="G1755" i="13"/>
  <c r="G1756" i="13"/>
  <c r="G1757" i="13"/>
  <c r="G1758" i="13"/>
  <c r="G1759" i="13"/>
  <c r="G1760" i="13"/>
  <c r="G1761" i="13"/>
  <c r="G1762" i="13"/>
  <c r="G1763" i="13"/>
  <c r="G1764" i="13"/>
  <c r="G1765" i="13"/>
  <c r="G1766" i="13"/>
  <c r="G1767" i="13"/>
  <c r="G1768" i="13"/>
  <c r="G1769" i="13"/>
  <c r="G1770" i="13"/>
  <c r="G1771" i="13"/>
  <c r="G1772" i="13"/>
  <c r="G1773" i="13"/>
  <c r="G1774" i="13"/>
  <c r="G1775" i="13"/>
  <c r="G1776" i="13"/>
  <c r="G1777" i="13"/>
  <c r="G1778" i="13"/>
  <c r="G1779" i="13"/>
  <c r="G1780" i="13"/>
  <c r="G1781" i="13"/>
  <c r="G1782" i="13"/>
  <c r="G1783" i="13"/>
  <c r="G1784" i="13"/>
  <c r="G1785" i="13"/>
  <c r="G1786" i="13"/>
  <c r="G1787" i="13"/>
  <c r="G1788" i="13"/>
  <c r="G1789" i="13"/>
  <c r="G1790" i="13"/>
  <c r="G1791" i="13"/>
  <c r="G1792" i="13"/>
  <c r="G1793" i="13"/>
  <c r="G1794" i="13"/>
  <c r="G1795" i="13"/>
  <c r="G1796" i="13"/>
  <c r="G1797" i="13"/>
  <c r="G1798" i="13"/>
  <c r="G1799" i="13"/>
  <c r="G1800" i="13"/>
  <c r="G1801" i="13"/>
  <c r="G1802" i="13"/>
  <c r="G1803" i="13"/>
  <c r="G1804" i="13"/>
  <c r="G1805" i="13"/>
  <c r="G1806" i="13"/>
  <c r="G1807" i="13"/>
  <c r="G1808" i="13"/>
  <c r="G1809" i="13"/>
  <c r="G1810" i="13"/>
  <c r="G1811" i="13"/>
  <c r="G1812" i="13"/>
  <c r="G1813" i="13"/>
  <c r="G1814" i="13"/>
  <c r="G1815" i="13"/>
  <c r="G1816" i="13"/>
  <c r="G1817" i="13"/>
  <c r="G1818" i="13"/>
  <c r="G1819" i="13"/>
  <c r="G1820" i="13"/>
  <c r="G1821" i="13"/>
  <c r="G1822" i="13"/>
  <c r="G1823" i="13"/>
  <c r="G1824" i="13"/>
  <c r="G1825" i="13"/>
  <c r="G1826" i="13"/>
  <c r="G1827" i="13"/>
  <c r="G1828" i="13"/>
  <c r="G1829" i="13"/>
  <c r="G1830" i="13"/>
  <c r="G1831" i="13"/>
  <c r="G1832" i="13"/>
  <c r="G1833" i="13"/>
  <c r="G1834" i="13"/>
  <c r="G1835" i="13"/>
  <c r="G1836" i="13"/>
  <c r="G1837" i="13"/>
  <c r="G1838" i="13"/>
  <c r="G1839" i="13"/>
  <c r="G1840" i="13"/>
  <c r="G1841" i="13"/>
  <c r="G1842" i="13"/>
  <c r="G1843" i="13"/>
  <c r="G1844" i="13"/>
  <c r="G1845" i="13"/>
  <c r="G1846" i="13"/>
  <c r="G1847" i="13"/>
  <c r="G1848" i="13"/>
  <c r="G1849" i="13"/>
  <c r="G1850" i="13"/>
  <c r="G1851" i="13"/>
  <c r="G1852" i="13"/>
  <c r="G1853" i="13"/>
  <c r="G1854" i="13"/>
  <c r="G1855" i="13"/>
  <c r="G1856" i="13"/>
  <c r="G1857" i="13"/>
  <c r="G1858" i="13"/>
  <c r="G1859" i="13"/>
  <c r="G1860" i="13"/>
  <c r="G1861" i="13"/>
  <c r="G1862" i="13"/>
  <c r="G1863" i="13"/>
  <c r="G1864" i="13"/>
  <c r="G1865" i="13"/>
  <c r="G1866" i="13"/>
  <c r="G1867" i="13"/>
  <c r="G1868" i="13"/>
  <c r="G1869" i="13"/>
  <c r="G1870" i="13"/>
  <c r="G1871" i="13"/>
  <c r="G1872" i="13"/>
  <c r="G1873" i="13"/>
  <c r="G1874" i="13"/>
  <c r="G1875" i="13"/>
  <c r="G1876" i="13"/>
  <c r="G1877" i="13"/>
  <c r="G1878" i="13"/>
  <c r="G1879" i="13"/>
  <c r="G1880" i="13"/>
  <c r="G1881" i="13"/>
  <c r="G1882" i="13"/>
  <c r="G1883" i="13"/>
  <c r="G1884" i="13"/>
  <c r="G1885" i="13"/>
  <c r="G1886" i="13"/>
  <c r="G1887" i="13"/>
  <c r="G1888" i="13"/>
  <c r="G1889" i="13"/>
  <c r="G1890" i="13"/>
  <c r="G1891" i="13"/>
  <c r="G1892" i="13"/>
  <c r="G1893" i="13"/>
  <c r="G1894" i="13"/>
  <c r="G1895" i="13"/>
  <c r="G1896" i="13"/>
  <c r="G1897" i="13"/>
  <c r="G1898" i="13"/>
  <c r="G1899" i="13"/>
  <c r="G1900" i="13"/>
  <c r="G1901" i="13"/>
  <c r="G1902" i="13"/>
  <c r="G1903" i="13"/>
  <c r="G1904" i="13"/>
  <c r="G1905" i="13"/>
  <c r="G1906" i="13"/>
  <c r="G1907" i="13"/>
  <c r="G1908" i="13"/>
  <c r="G1909" i="13"/>
  <c r="G1910" i="13"/>
  <c r="G1911" i="13"/>
  <c r="G1912" i="13"/>
  <c r="G1913" i="13"/>
  <c r="G1914" i="13"/>
  <c r="G1915" i="13"/>
  <c r="G1916" i="13"/>
  <c r="G1917" i="13"/>
  <c r="G1918" i="13"/>
  <c r="G1919" i="13"/>
  <c r="G1920" i="13"/>
  <c r="G1921" i="13"/>
  <c r="G1922" i="13"/>
  <c r="G1923" i="13"/>
  <c r="G1924" i="13"/>
  <c r="G1925" i="13"/>
  <c r="G1926" i="13"/>
  <c r="G1927" i="13"/>
  <c r="G1928" i="13"/>
  <c r="G1929" i="13"/>
  <c r="G1930" i="13"/>
  <c r="G1931" i="13"/>
  <c r="G1932" i="13"/>
  <c r="G1933" i="13"/>
  <c r="G1934" i="13"/>
  <c r="G1935" i="13"/>
  <c r="G1936" i="13"/>
  <c r="G1937" i="13"/>
  <c r="G1938" i="13"/>
  <c r="G1939" i="13"/>
  <c r="G1940" i="13"/>
  <c r="G1941" i="13"/>
  <c r="G1942" i="13"/>
  <c r="G1943" i="13"/>
  <c r="G1944" i="13"/>
  <c r="G1945" i="13"/>
  <c r="G1946" i="13"/>
  <c r="G1947" i="13"/>
  <c r="G1948" i="13"/>
  <c r="G1949" i="13"/>
  <c r="G1950" i="13"/>
  <c r="G1951" i="13"/>
  <c r="G1952" i="13"/>
  <c r="G1953" i="13"/>
  <c r="G1954" i="13"/>
  <c r="G1955" i="13"/>
  <c r="G1956" i="13"/>
  <c r="G1957" i="13"/>
  <c r="G1958" i="13"/>
  <c r="G1959" i="13"/>
  <c r="G1960" i="13"/>
  <c r="G1961" i="13"/>
  <c r="G1962" i="13"/>
  <c r="G1963" i="13"/>
  <c r="G1964" i="13"/>
  <c r="G1965" i="13"/>
  <c r="G1966" i="13"/>
  <c r="G1967" i="13"/>
  <c r="G1968" i="13"/>
  <c r="G1969" i="13"/>
  <c r="G1970" i="13"/>
  <c r="G1971" i="13"/>
  <c r="G1972" i="13"/>
  <c r="G1973" i="13"/>
  <c r="G1974" i="13"/>
  <c r="G1975" i="13"/>
  <c r="G1976" i="13"/>
  <c r="G1977" i="13"/>
  <c r="G1978" i="13"/>
  <c r="G1979" i="13"/>
  <c r="G1980" i="13"/>
  <c r="G1981" i="13"/>
  <c r="G1982" i="13"/>
  <c r="G1983" i="13"/>
  <c r="G1984" i="13"/>
  <c r="G1985" i="13"/>
  <c r="G1986" i="13"/>
  <c r="G1987" i="13"/>
  <c r="G1988" i="13"/>
  <c r="G1989" i="13"/>
  <c r="G1990" i="13"/>
  <c r="G1991" i="13"/>
  <c r="G1992" i="13"/>
  <c r="G1993" i="13"/>
  <c r="G1994" i="13"/>
  <c r="G1995" i="13"/>
  <c r="G1996" i="13"/>
  <c r="G1997" i="13"/>
  <c r="G1998" i="13"/>
  <c r="G1999" i="13"/>
  <c r="G2000" i="13"/>
  <c r="G2001" i="13"/>
  <c r="G2002" i="13"/>
  <c r="G2003" i="13"/>
  <c r="G2004" i="13"/>
  <c r="G2005" i="13"/>
  <c r="G2006" i="13"/>
  <c r="G2007" i="13"/>
  <c r="G2008" i="13"/>
  <c r="G2009" i="13"/>
  <c r="G2010" i="13"/>
  <c r="G2011" i="13"/>
  <c r="G2012" i="13"/>
  <c r="G2013" i="13"/>
  <c r="G2014" i="13"/>
  <c r="G2015" i="13"/>
  <c r="G2016" i="13"/>
  <c r="G2017" i="13"/>
  <c r="G2018" i="13"/>
  <c r="G2019" i="13"/>
  <c r="G2020" i="13"/>
  <c r="G2021" i="13"/>
  <c r="G2022" i="13"/>
  <c r="G2023" i="13"/>
  <c r="G2024" i="13"/>
  <c r="G2025" i="13"/>
  <c r="G2026" i="13"/>
  <c r="G2027" i="13"/>
  <c r="G2028" i="13"/>
  <c r="G2029" i="13"/>
  <c r="G2030" i="13"/>
  <c r="G2031" i="13"/>
  <c r="G2032" i="13"/>
  <c r="G2033" i="13"/>
  <c r="G2034" i="13"/>
  <c r="G2035" i="13"/>
  <c r="G2036" i="13"/>
  <c r="G2037" i="13"/>
  <c r="G2038" i="13"/>
  <c r="G2039" i="13"/>
  <c r="G2040" i="13"/>
  <c r="G2041" i="13"/>
  <c r="G2042" i="13"/>
  <c r="G2043" i="13"/>
  <c r="G2044" i="13"/>
  <c r="G2045" i="13"/>
  <c r="G2046" i="13"/>
  <c r="G2047" i="13"/>
  <c r="G2048" i="13"/>
  <c r="G2049" i="13"/>
  <c r="G2050" i="13"/>
  <c r="G2051" i="13"/>
  <c r="G2052" i="13"/>
  <c r="G2053" i="13"/>
  <c r="G2054" i="13"/>
  <c r="G2055" i="13"/>
  <c r="G2056" i="13"/>
  <c r="G2057" i="13"/>
  <c r="G2058" i="13"/>
  <c r="G2059" i="13"/>
  <c r="G2060" i="13"/>
  <c r="G2061" i="13"/>
  <c r="G2062" i="13"/>
  <c r="G2063" i="13"/>
  <c r="G2064" i="13"/>
  <c r="G2065" i="13"/>
  <c r="G2066" i="13"/>
  <c r="G2067" i="13"/>
  <c r="G2068" i="13"/>
  <c r="G2069" i="13"/>
  <c r="G2070" i="13"/>
  <c r="G2071" i="13"/>
  <c r="G2072" i="13"/>
  <c r="G2073" i="13"/>
  <c r="G2074" i="13"/>
  <c r="K4" i="26"/>
  <c r="K5" i="26"/>
  <c r="K6" i="26"/>
  <c r="K7" i="26"/>
  <c r="K8" i="26"/>
  <c r="K9" i="26"/>
  <c r="K10" i="26"/>
  <c r="K11" i="26"/>
  <c r="K12" i="26"/>
  <c r="K13" i="26"/>
  <c r="K14" i="26"/>
  <c r="K15" i="26"/>
  <c r="K16" i="26"/>
  <c r="K17" i="26"/>
  <c r="K18" i="26"/>
  <c r="K19" i="26"/>
  <c r="K20" i="26"/>
  <c r="K21" i="26"/>
  <c r="K2" i="26"/>
  <c r="D1551" i="26" a="1"/>
  <c r="D1583" i="26" a="1"/>
  <c r="D1575" i="26" a="1"/>
  <c r="D1559" i="26" a="1"/>
  <c r="D1599" i="26" a="1"/>
  <c r="D1591" i="26" a="1"/>
  <c r="D1567" i="26" a="1"/>
  <c r="D1543" i="26" a="1"/>
  <c r="D1551" i="26" l="1"/>
  <c r="F1551" i="26" s="1"/>
  <c r="D1591" i="26"/>
  <c r="F1591" i="26" s="1"/>
  <c r="D1543" i="26"/>
  <c r="F1543" i="26" s="1"/>
  <c r="D1559" i="26"/>
  <c r="F1559" i="26" s="1"/>
  <c r="D1567" i="26"/>
  <c r="F1567" i="26" s="1"/>
  <c r="D1575" i="26"/>
  <c r="F1575" i="26" s="1"/>
  <c r="D1583" i="26"/>
  <c r="F1583" i="26" s="1"/>
  <c r="D1599" i="26"/>
  <c r="F1599" i="26" s="1"/>
  <c r="L20" i="6"/>
  <c r="L21" i="6"/>
  <c r="L22" i="6"/>
  <c r="L23" i="6"/>
  <c r="L24" i="6"/>
  <c r="L25" i="6"/>
  <c r="L26" i="6"/>
  <c r="L27" i="6"/>
  <c r="L28" i="6"/>
  <c r="L29" i="6"/>
  <c r="L30" i="6"/>
  <c r="L31" i="6"/>
  <c r="L32" i="6"/>
  <c r="L33" i="6"/>
  <c r="L34" i="6"/>
  <c r="L35" i="6"/>
  <c r="L36" i="6"/>
  <c r="L37" i="6"/>
  <c r="L19" i="6"/>
  <c r="L18" i="6"/>
  <c r="E40" i="6"/>
  <c r="P198" i="19"/>
  <c r="F198" i="19"/>
  <c r="P178" i="19"/>
  <c r="F178" i="19"/>
  <c r="P158" i="19"/>
  <c r="F158" i="19"/>
  <c r="P138" i="19"/>
  <c r="F138" i="19"/>
  <c r="P118" i="19"/>
  <c r="F118" i="19"/>
  <c r="P98" i="19"/>
  <c r="F98" i="19"/>
  <c r="P78" i="19"/>
  <c r="F78" i="19"/>
  <c r="P58" i="19"/>
  <c r="F58" i="19"/>
  <c r="P38" i="19"/>
  <c r="F38" i="19"/>
  <c r="P18" i="19"/>
  <c r="F18" i="19"/>
  <c r="X203" i="22"/>
  <c r="F203" i="22"/>
  <c r="X183" i="22"/>
  <c r="F183" i="22"/>
  <c r="X162" i="22"/>
  <c r="F162" i="22"/>
  <c r="X142" i="22"/>
  <c r="F142" i="22"/>
  <c r="X122" i="22"/>
  <c r="F122" i="22"/>
  <c r="X102" i="22"/>
  <c r="F102" i="22"/>
  <c r="X79" i="22"/>
  <c r="F79" i="22"/>
  <c r="X59" i="22"/>
  <c r="F59" i="22"/>
  <c r="X39" i="22"/>
  <c r="F39" i="22"/>
  <c r="X19" i="22"/>
  <c r="F19" i="22"/>
  <c r="R10" i="1"/>
  <c r="E19" i="6"/>
  <c r="E20" i="6"/>
  <c r="W27" i="6"/>
  <c r="X27" i="6" s="1"/>
  <c r="W28" i="6"/>
  <c r="X28" i="6" s="1"/>
  <c r="W29" i="6"/>
  <c r="X29" i="6" s="1"/>
  <c r="W30" i="6"/>
  <c r="X30" i="6" s="1"/>
  <c r="W31" i="6"/>
  <c r="X31" i="6" s="1"/>
  <c r="W32" i="6"/>
  <c r="X32" i="6" s="1"/>
  <c r="W33" i="6"/>
  <c r="X33" i="6" s="1"/>
  <c r="W34" i="6"/>
  <c r="X34" i="6" s="1"/>
  <c r="W35" i="6"/>
  <c r="X35" i="6" s="1"/>
  <c r="W36" i="6"/>
  <c r="X36" i="6" s="1"/>
  <c r="W37" i="6"/>
  <c r="X37" i="6" s="1"/>
  <c r="W19" i="6"/>
  <c r="X19" i="6" s="1"/>
  <c r="W20" i="6"/>
  <c r="X20" i="6" s="1"/>
  <c r="W21" i="6"/>
  <c r="X21" i="6" s="1"/>
  <c r="W22" i="6"/>
  <c r="X22" i="6" s="1"/>
  <c r="W23" i="6"/>
  <c r="X23" i="6" s="1"/>
  <c r="W24" i="6"/>
  <c r="X24" i="6" s="1"/>
  <c r="W25" i="6"/>
  <c r="X25" i="6" s="1"/>
  <c r="W26" i="6"/>
  <c r="X26" i="6" s="1"/>
  <c r="W18" i="6"/>
  <c r="X18" i="6" s="1"/>
  <c r="X8" i="22"/>
  <c r="Z6" i="22"/>
  <c r="X6" i="22"/>
  <c r="B167" i="1"/>
  <c r="D1598" i="26"/>
  <c r="D1597" i="26"/>
  <c r="D1595" i="26"/>
  <c r="D1594" i="26"/>
  <c r="D1590" i="26"/>
  <c r="D1589" i="26"/>
  <c r="D1587" i="26"/>
  <c r="D1586" i="26"/>
  <c r="D1582" i="26"/>
  <c r="D1581" i="26"/>
  <c r="D1579" i="26"/>
  <c r="D1578" i="26"/>
  <c r="D1574" i="26"/>
  <c r="D1573" i="26"/>
  <c r="D1571" i="26"/>
  <c r="D1570" i="26"/>
  <c r="D1566" i="26"/>
  <c r="D1565" i="26"/>
  <c r="D1563" i="26"/>
  <c r="D1562" i="26"/>
  <c r="D1558" i="26"/>
  <c r="D1557" i="26"/>
  <c r="D1555" i="26"/>
  <c r="D1554" i="26"/>
  <c r="D1550" i="26"/>
  <c r="D1549" i="26"/>
  <c r="D1547" i="26"/>
  <c r="D1546" i="26"/>
  <c r="D1542" i="26"/>
  <c r="D1541" i="26"/>
  <c r="D1539" i="26"/>
  <c r="D1538" i="26"/>
  <c r="D1534" i="26"/>
  <c r="D1533" i="26"/>
  <c r="D1531" i="26"/>
  <c r="D1530" i="26"/>
  <c r="D1526" i="26"/>
  <c r="D1525" i="26"/>
  <c r="D1523" i="26"/>
  <c r="D1522" i="26"/>
  <c r="D1518" i="26"/>
  <c r="D1517" i="26"/>
  <c r="D1515" i="26"/>
  <c r="D1514" i="26"/>
  <c r="D1510" i="26"/>
  <c r="D1509" i="26"/>
  <c r="D1507" i="26"/>
  <c r="D1506" i="26"/>
  <c r="D1502" i="26"/>
  <c r="D1501" i="26"/>
  <c r="D1499" i="26"/>
  <c r="D1498" i="26"/>
  <c r="D1494" i="26"/>
  <c r="D1493" i="26"/>
  <c r="D1491" i="26"/>
  <c r="D1490" i="26"/>
  <c r="D1486" i="26"/>
  <c r="D1485" i="26"/>
  <c r="D1483" i="26"/>
  <c r="D1482" i="26"/>
  <c r="D1478" i="26"/>
  <c r="D1477" i="26"/>
  <c r="D1475" i="26"/>
  <c r="D1474" i="26"/>
  <c r="D1470" i="26"/>
  <c r="D1469" i="26"/>
  <c r="D1467" i="26"/>
  <c r="D1466" i="26"/>
  <c r="D1462" i="26"/>
  <c r="D1461" i="26"/>
  <c r="D1459" i="26"/>
  <c r="D1458" i="26"/>
  <c r="D1454" i="26"/>
  <c r="D1453" i="26"/>
  <c r="D1451" i="26"/>
  <c r="D1450" i="26"/>
  <c r="D1446" i="26"/>
  <c r="D1445" i="26"/>
  <c r="D1443" i="26"/>
  <c r="D1442" i="26"/>
  <c r="D1438" i="26"/>
  <c r="D1437" i="26"/>
  <c r="D1435" i="26"/>
  <c r="D1434" i="26"/>
  <c r="D1430" i="26"/>
  <c r="D1429" i="26"/>
  <c r="D1427" i="26"/>
  <c r="D1426" i="26"/>
  <c r="D1422" i="26"/>
  <c r="D1421" i="26"/>
  <c r="D1419" i="26"/>
  <c r="D1418" i="26"/>
  <c r="D1414" i="26"/>
  <c r="D1413" i="26"/>
  <c r="D1411" i="26"/>
  <c r="D1410" i="26"/>
  <c r="D1406" i="26"/>
  <c r="D1405" i="26"/>
  <c r="D1403" i="26"/>
  <c r="D1402" i="26"/>
  <c r="D1398" i="26"/>
  <c r="D1397" i="26"/>
  <c r="D1395" i="26"/>
  <c r="D1394" i="26"/>
  <c r="D1390" i="26"/>
  <c r="D1389" i="26"/>
  <c r="D1387" i="26"/>
  <c r="D1386" i="26"/>
  <c r="D1382" i="26"/>
  <c r="D1381" i="26"/>
  <c r="D1379" i="26"/>
  <c r="D1378" i="26"/>
  <c r="D1374" i="26"/>
  <c r="D1373" i="26"/>
  <c r="D1371" i="26"/>
  <c r="D1370" i="26"/>
  <c r="D1366" i="26"/>
  <c r="D1365" i="26"/>
  <c r="D1363" i="26"/>
  <c r="D1362" i="26"/>
  <c r="D1358" i="26"/>
  <c r="D1357" i="26"/>
  <c r="D1355" i="26"/>
  <c r="D1354" i="26"/>
  <c r="E42" i="6"/>
  <c r="M8" i="25" l="1"/>
  <c r="D12" i="25"/>
  <c r="M8" i="6"/>
  <c r="K6" i="22" s="1"/>
  <c r="D12" i="6"/>
  <c r="B3" i="2"/>
  <c r="AB195" i="22"/>
  <c r="J195" i="22"/>
  <c r="AB175" i="22"/>
  <c r="J175" i="22"/>
  <c r="AB154" i="22"/>
  <c r="J154" i="22"/>
  <c r="AB134" i="22"/>
  <c r="J134" i="22"/>
  <c r="AB114" i="22"/>
  <c r="J114" i="22"/>
  <c r="AB94" i="22"/>
  <c r="J94" i="22"/>
  <c r="AB71" i="22"/>
  <c r="J71" i="22"/>
  <c r="AB51" i="22"/>
  <c r="J51" i="22"/>
  <c r="AB31" i="22"/>
  <c r="J31" i="22"/>
  <c r="AB11" i="22"/>
  <c r="J11" i="22"/>
  <c r="T190" i="19"/>
  <c r="J190" i="19"/>
  <c r="T170" i="19"/>
  <c r="J170" i="19"/>
  <c r="T150" i="19"/>
  <c r="J150" i="19"/>
  <c r="T130" i="19"/>
  <c r="J130" i="19"/>
  <c r="T110" i="19"/>
  <c r="J110" i="19"/>
  <c r="T90" i="19"/>
  <c r="J90" i="19"/>
  <c r="T70" i="19"/>
  <c r="J70" i="19"/>
  <c r="T50" i="19"/>
  <c r="J50" i="19"/>
  <c r="T30" i="19"/>
  <c r="J30" i="19"/>
  <c r="T10" i="19"/>
  <c r="J10" i="19"/>
  <c r="B182" i="1"/>
  <c r="B183" i="1"/>
  <c r="D1350" i="28"/>
  <c r="D1349" i="28"/>
  <c r="D1347" i="28"/>
  <c r="D1346" i="28"/>
  <c r="D1342" i="28"/>
  <c r="D1341" i="28"/>
  <c r="D1339" i="28"/>
  <c r="D1338" i="28"/>
  <c r="D1334" i="28"/>
  <c r="D1333" i="28"/>
  <c r="D1331" i="28"/>
  <c r="D1330" i="28"/>
  <c r="D1326" i="28"/>
  <c r="D1325" i="28"/>
  <c r="D1323" i="28"/>
  <c r="D1322" i="28"/>
  <c r="D1318" i="28"/>
  <c r="D1317" i="28"/>
  <c r="D1315" i="28"/>
  <c r="D1314" i="28"/>
  <c r="D1310" i="28"/>
  <c r="D1309" i="28"/>
  <c r="D1307" i="28"/>
  <c r="D1306" i="28"/>
  <c r="D1302" i="28"/>
  <c r="D1301" i="28"/>
  <c r="D1299" i="28"/>
  <c r="D1298" i="28"/>
  <c r="D1294" i="28"/>
  <c r="D1293" i="28"/>
  <c r="D1291" i="28"/>
  <c r="D1290" i="28"/>
  <c r="D1286" i="28"/>
  <c r="D1285" i="28"/>
  <c r="D1283" i="28"/>
  <c r="D1282" i="28"/>
  <c r="D1278" i="28"/>
  <c r="D1277" i="28"/>
  <c r="D1275" i="28"/>
  <c r="D1274" i="28"/>
  <c r="D1270" i="28"/>
  <c r="D1269" i="28"/>
  <c r="D1267" i="28"/>
  <c r="D1266" i="28"/>
  <c r="D1262" i="28"/>
  <c r="D1261" i="28"/>
  <c r="D1259" i="28"/>
  <c r="D1258" i="28"/>
  <c r="D1254" i="28"/>
  <c r="D1253" i="28"/>
  <c r="D1251" i="28"/>
  <c r="D1250" i="28"/>
  <c r="D1246" i="28"/>
  <c r="D1245" i="28"/>
  <c r="D1243" i="28"/>
  <c r="D1242" i="28"/>
  <c r="D1238" i="28"/>
  <c r="D1237" i="28"/>
  <c r="D1235" i="28"/>
  <c r="D1234" i="28"/>
  <c r="D1230" i="28"/>
  <c r="D1229" i="28"/>
  <c r="D1227" i="28"/>
  <c r="D1226" i="28"/>
  <c r="D1222" i="28"/>
  <c r="D1221" i="28"/>
  <c r="D1219" i="28"/>
  <c r="D1218" i="28"/>
  <c r="D1214" i="28"/>
  <c r="D1213" i="28"/>
  <c r="D1211" i="28"/>
  <c r="D1210" i="28"/>
  <c r="D1206" i="28"/>
  <c r="D1205" i="28"/>
  <c r="D1203" i="28"/>
  <c r="D1202" i="28"/>
  <c r="D1198" i="28"/>
  <c r="D1197" i="28"/>
  <c r="D1195" i="28"/>
  <c r="D1194" i="28"/>
  <c r="D1190" i="28"/>
  <c r="D1189" i="28"/>
  <c r="D1187" i="28"/>
  <c r="D1186" i="28"/>
  <c r="D1182" i="28"/>
  <c r="D1181" i="28"/>
  <c r="D1179" i="28"/>
  <c r="D1178" i="28"/>
  <c r="D1174" i="28"/>
  <c r="D1173" i="28"/>
  <c r="D1171" i="28"/>
  <c r="D1170" i="28"/>
  <c r="D1166" i="28"/>
  <c r="D1165" i="28"/>
  <c r="D1163" i="28"/>
  <c r="D1162" i="28"/>
  <c r="D1158" i="28"/>
  <c r="D1157" i="28"/>
  <c r="D1155" i="28"/>
  <c r="D1154" i="28"/>
  <c r="D1150" i="28"/>
  <c r="D1149" i="28"/>
  <c r="D1147" i="28"/>
  <c r="D1146" i="28"/>
  <c r="D1142" i="28"/>
  <c r="D1141" i="28"/>
  <c r="D1139" i="28"/>
  <c r="D1138" i="28"/>
  <c r="D1134" i="28"/>
  <c r="D1133" i="28"/>
  <c r="D1131" i="28"/>
  <c r="D1130" i="28"/>
  <c r="D1126" i="28"/>
  <c r="D1125" i="28"/>
  <c r="D1123" i="28"/>
  <c r="D1122" i="28"/>
  <c r="D1118" i="28"/>
  <c r="D1117" i="28"/>
  <c r="D1115" i="28"/>
  <c r="D1114" i="28"/>
  <c r="D1110" i="28"/>
  <c r="D1109" i="28"/>
  <c r="D1107" i="28"/>
  <c r="D1106" i="28"/>
  <c r="D1102" i="28"/>
  <c r="D1101" i="28"/>
  <c r="D1099" i="28"/>
  <c r="D1098" i="28"/>
  <c r="D1094" i="28"/>
  <c r="D1093" i="28"/>
  <c r="D1091" i="28"/>
  <c r="D1090" i="28"/>
  <c r="D1086" i="28"/>
  <c r="D1085" i="28"/>
  <c r="D1083" i="28"/>
  <c r="D1082" i="28"/>
  <c r="D1078" i="28"/>
  <c r="D1077" i="28"/>
  <c r="D1075" i="28"/>
  <c r="D1074" i="28"/>
  <c r="D1070" i="28"/>
  <c r="D1069" i="28"/>
  <c r="D1067" i="28"/>
  <c r="D1066" i="28"/>
  <c r="D1062" i="28"/>
  <c r="D1061" i="28"/>
  <c r="D1059" i="28"/>
  <c r="D1058" i="28"/>
  <c r="D1054" i="28"/>
  <c r="D1053" i="28"/>
  <c r="D1051" i="28"/>
  <c r="D1050" i="28"/>
  <c r="D1046" i="28"/>
  <c r="D1045" i="28"/>
  <c r="D1043" i="28"/>
  <c r="D1042" i="28"/>
  <c r="D1038" i="28"/>
  <c r="D1037" i="28"/>
  <c r="D1035" i="28"/>
  <c r="D1034" i="28"/>
  <c r="D1030" i="28"/>
  <c r="D1029" i="28"/>
  <c r="D1027" i="28"/>
  <c r="D1026" i="28"/>
  <c r="D1022" i="28"/>
  <c r="D1021" i="28"/>
  <c r="D1019" i="28"/>
  <c r="D1018" i="28"/>
  <c r="D1014" i="28"/>
  <c r="D1013" i="28"/>
  <c r="D1011" i="28"/>
  <c r="D1010" i="28"/>
  <c r="D1006" i="28"/>
  <c r="D1005" i="28"/>
  <c r="D1003" i="28"/>
  <c r="D1002" i="28"/>
  <c r="D998" i="28"/>
  <c r="D997" i="28"/>
  <c r="D995" i="28"/>
  <c r="D994" i="28"/>
  <c r="D990" i="28"/>
  <c r="D989" i="28"/>
  <c r="D987" i="28"/>
  <c r="D986" i="28"/>
  <c r="D982" i="28"/>
  <c r="D981" i="28"/>
  <c r="D979" i="28"/>
  <c r="D978" i="28"/>
  <c r="D974" i="28"/>
  <c r="D973" i="28"/>
  <c r="D971" i="28"/>
  <c r="D970" i="28"/>
  <c r="D966" i="28"/>
  <c r="D965" i="28"/>
  <c r="D963" i="28"/>
  <c r="D962" i="28"/>
  <c r="D958" i="28"/>
  <c r="D957" i="28"/>
  <c r="D955" i="28"/>
  <c r="D954" i="28"/>
  <c r="D950" i="28"/>
  <c r="D949" i="28"/>
  <c r="D947" i="28"/>
  <c r="D946" i="28"/>
  <c r="D942" i="28"/>
  <c r="D941" i="28"/>
  <c r="D939" i="28"/>
  <c r="D938" i="28"/>
  <c r="D934" i="28"/>
  <c r="D933" i="28"/>
  <c r="D931" i="28"/>
  <c r="D930" i="28"/>
  <c r="D926" i="28"/>
  <c r="D925" i="28"/>
  <c r="D923" i="28"/>
  <c r="D922" i="28"/>
  <c r="D918" i="28"/>
  <c r="D917" i="28"/>
  <c r="D915" i="28"/>
  <c r="D914" i="28"/>
  <c r="D910" i="28"/>
  <c r="D909" i="28"/>
  <c r="D907" i="28"/>
  <c r="D906" i="28"/>
  <c r="D902" i="28"/>
  <c r="D901" i="28"/>
  <c r="D899" i="28"/>
  <c r="D898" i="28"/>
  <c r="D894" i="28"/>
  <c r="D893" i="28"/>
  <c r="D891" i="28"/>
  <c r="D890" i="28"/>
  <c r="D886" i="28"/>
  <c r="D885" i="28"/>
  <c r="D883" i="28"/>
  <c r="D882" i="28"/>
  <c r="D878" i="28"/>
  <c r="D877" i="28"/>
  <c r="D875" i="28"/>
  <c r="D874" i="28"/>
  <c r="D870" i="28"/>
  <c r="D869" i="28"/>
  <c r="D867" i="28"/>
  <c r="D866" i="28"/>
  <c r="D862" i="28"/>
  <c r="D861" i="28"/>
  <c r="D859" i="28"/>
  <c r="D858" i="28"/>
  <c r="D854" i="28"/>
  <c r="D853" i="28"/>
  <c r="D851" i="28"/>
  <c r="D850" i="28"/>
  <c r="D846" i="28"/>
  <c r="D845" i="28"/>
  <c r="D843" i="28"/>
  <c r="D842" i="28"/>
  <c r="D838" i="28"/>
  <c r="D837" i="28"/>
  <c r="D835" i="28"/>
  <c r="D834" i="28"/>
  <c r="D830" i="28"/>
  <c r="D829" i="28"/>
  <c r="D827" i="28"/>
  <c r="D826" i="28"/>
  <c r="D822" i="28"/>
  <c r="D821" i="28"/>
  <c r="D819" i="28"/>
  <c r="D818" i="28"/>
  <c r="D814" i="28"/>
  <c r="D813" i="28"/>
  <c r="D811" i="28"/>
  <c r="D810" i="28"/>
  <c r="D806" i="28"/>
  <c r="D805" i="28"/>
  <c r="D803" i="28"/>
  <c r="D802" i="28"/>
  <c r="D798" i="28"/>
  <c r="D797" i="28"/>
  <c r="D795" i="28"/>
  <c r="D794" i="28"/>
  <c r="D790" i="28"/>
  <c r="D789" i="28"/>
  <c r="D787" i="28"/>
  <c r="D786" i="28"/>
  <c r="D782" i="28"/>
  <c r="D781" i="28"/>
  <c r="D779" i="28"/>
  <c r="D778" i="28"/>
  <c r="D774" i="28"/>
  <c r="D773" i="28"/>
  <c r="D771" i="28"/>
  <c r="D770" i="28"/>
  <c r="D766" i="28"/>
  <c r="D765" i="28"/>
  <c r="D763" i="28"/>
  <c r="D762" i="28"/>
  <c r="D758" i="28"/>
  <c r="D757" i="28"/>
  <c r="D755" i="28"/>
  <c r="D754" i="28"/>
  <c r="D750" i="28"/>
  <c r="D749" i="28"/>
  <c r="D747" i="28"/>
  <c r="D746" i="28"/>
  <c r="D742" i="28"/>
  <c r="D741" i="28"/>
  <c r="D739" i="28"/>
  <c r="D738" i="28"/>
  <c r="D734" i="28"/>
  <c r="D733" i="28"/>
  <c r="D731" i="28"/>
  <c r="D730" i="28"/>
  <c r="D726" i="28"/>
  <c r="D725" i="28"/>
  <c r="D723" i="28"/>
  <c r="D722" i="28"/>
  <c r="D718" i="28"/>
  <c r="D717" i="28"/>
  <c r="D715" i="28"/>
  <c r="D714" i="28"/>
  <c r="D710" i="28"/>
  <c r="D709" i="28"/>
  <c r="D707" i="28"/>
  <c r="D706" i="28"/>
  <c r="D702" i="28"/>
  <c r="D701" i="28"/>
  <c r="D699" i="28"/>
  <c r="D698" i="28"/>
  <c r="D694" i="28"/>
  <c r="D693" i="28"/>
  <c r="D691" i="28"/>
  <c r="D690" i="28"/>
  <c r="D686" i="28"/>
  <c r="D685" i="28"/>
  <c r="D683" i="28"/>
  <c r="D682" i="28"/>
  <c r="D678" i="28"/>
  <c r="D677" i="28"/>
  <c r="D675" i="28"/>
  <c r="D674" i="28"/>
  <c r="D670" i="28"/>
  <c r="D669" i="28"/>
  <c r="D667" i="28"/>
  <c r="D666" i="28"/>
  <c r="D662" i="28"/>
  <c r="D661" i="28"/>
  <c r="D659" i="28"/>
  <c r="D658" i="28"/>
  <c r="D654" i="28"/>
  <c r="D653" i="28"/>
  <c r="D651" i="28"/>
  <c r="D650" i="28"/>
  <c r="D646" i="28"/>
  <c r="D645" i="28"/>
  <c r="D643" i="28"/>
  <c r="D642" i="28"/>
  <c r="D638" i="28"/>
  <c r="D637" i="28"/>
  <c r="D635" i="28"/>
  <c r="D634" i="28"/>
  <c r="D630" i="28"/>
  <c r="D629" i="28"/>
  <c r="D627" i="28"/>
  <c r="D626" i="28"/>
  <c r="D622" i="28"/>
  <c r="D621" i="28"/>
  <c r="D619" i="28"/>
  <c r="D618" i="28"/>
  <c r="D614" i="28"/>
  <c r="D613" i="28"/>
  <c r="D611" i="28"/>
  <c r="D610" i="28"/>
  <c r="D606" i="28"/>
  <c r="D605" i="28"/>
  <c r="D603" i="28"/>
  <c r="D602" i="28"/>
  <c r="D598" i="28"/>
  <c r="D597" i="28"/>
  <c r="D595" i="28"/>
  <c r="D594" i="28"/>
  <c r="D590" i="28"/>
  <c r="D589" i="28"/>
  <c r="D587" i="28"/>
  <c r="D586" i="28"/>
  <c r="D582" i="28"/>
  <c r="D581" i="28"/>
  <c r="D579" i="28"/>
  <c r="D578" i="28"/>
  <c r="D574" i="28"/>
  <c r="D573" i="28"/>
  <c r="D571" i="28"/>
  <c r="D570" i="28"/>
  <c r="D566" i="28"/>
  <c r="D565" i="28"/>
  <c r="D563" i="28"/>
  <c r="D562" i="28"/>
  <c r="D558" i="28"/>
  <c r="D557" i="28"/>
  <c r="D555" i="28"/>
  <c r="D554" i="28"/>
  <c r="D550" i="28"/>
  <c r="D549" i="28"/>
  <c r="D547" i="28"/>
  <c r="D546" i="28"/>
  <c r="D542" i="28"/>
  <c r="D541" i="28"/>
  <c r="D539" i="28"/>
  <c r="D538" i="28"/>
  <c r="D534" i="28"/>
  <c r="D533" i="28"/>
  <c r="D531" i="28"/>
  <c r="D530" i="28"/>
  <c r="D526" i="28"/>
  <c r="D525" i="28"/>
  <c r="D523" i="28"/>
  <c r="D522" i="28"/>
  <c r="D518" i="28"/>
  <c r="D517" i="28"/>
  <c r="D515" i="28"/>
  <c r="D514" i="28"/>
  <c r="D510" i="28"/>
  <c r="D509" i="28"/>
  <c r="D507" i="28"/>
  <c r="D506" i="28"/>
  <c r="D502" i="28"/>
  <c r="D501" i="28"/>
  <c r="D499" i="28"/>
  <c r="D498" i="28"/>
  <c r="D494" i="28"/>
  <c r="D493" i="28"/>
  <c r="D491" i="28"/>
  <c r="D490" i="28"/>
  <c r="D486" i="28"/>
  <c r="D485" i="28"/>
  <c r="D483" i="28"/>
  <c r="D482" i="28"/>
  <c r="D478" i="28"/>
  <c r="D477" i="28"/>
  <c r="D475" i="28"/>
  <c r="D474" i="28"/>
  <c r="D470" i="28"/>
  <c r="D469" i="28"/>
  <c r="D467" i="28"/>
  <c r="D466" i="28"/>
  <c r="D462" i="28"/>
  <c r="D461" i="28"/>
  <c r="D459" i="28"/>
  <c r="D458" i="28"/>
  <c r="D454" i="28"/>
  <c r="D453" i="28"/>
  <c r="D451" i="28"/>
  <c r="D450" i="28"/>
  <c r="D446" i="28"/>
  <c r="D445" i="28"/>
  <c r="D443" i="28"/>
  <c r="D442" i="28"/>
  <c r="D438" i="28"/>
  <c r="D437" i="28"/>
  <c r="D435" i="28"/>
  <c r="D434" i="28"/>
  <c r="D430" i="28"/>
  <c r="D429" i="28"/>
  <c r="D427" i="28"/>
  <c r="D426" i="28"/>
  <c r="D422" i="28"/>
  <c r="D421" i="28"/>
  <c r="D419" i="28"/>
  <c r="D418" i="28"/>
  <c r="D414" i="28"/>
  <c r="D413" i="28"/>
  <c r="D411" i="28"/>
  <c r="D410" i="28"/>
  <c r="D406" i="28"/>
  <c r="D405" i="28"/>
  <c r="D403" i="28"/>
  <c r="D402" i="28"/>
  <c r="D398" i="28"/>
  <c r="D397" i="28"/>
  <c r="D395" i="28"/>
  <c r="D394" i="28"/>
  <c r="D390" i="28"/>
  <c r="D389" i="28"/>
  <c r="D387" i="28"/>
  <c r="D386" i="28"/>
  <c r="D382" i="28"/>
  <c r="D381" i="28"/>
  <c r="D379" i="28"/>
  <c r="D378" i="28"/>
  <c r="D374" i="28"/>
  <c r="D373" i="28"/>
  <c r="D371" i="28"/>
  <c r="D370" i="28"/>
  <c r="D366" i="28"/>
  <c r="D365" i="28"/>
  <c r="D363" i="28"/>
  <c r="D362" i="28"/>
  <c r="D358" i="28"/>
  <c r="D357" i="28"/>
  <c r="D355" i="28"/>
  <c r="D354" i="28"/>
  <c r="D350" i="28"/>
  <c r="D349" i="28"/>
  <c r="D347" i="28"/>
  <c r="D346" i="28"/>
  <c r="D342" i="28"/>
  <c r="D341" i="28"/>
  <c r="D339" i="28"/>
  <c r="D338" i="28"/>
  <c r="D334" i="28"/>
  <c r="D333" i="28"/>
  <c r="D331" i="28"/>
  <c r="D330" i="28"/>
  <c r="D326" i="28"/>
  <c r="D325" i="28"/>
  <c r="D323" i="28"/>
  <c r="D322" i="28"/>
  <c r="D318" i="28"/>
  <c r="D317" i="28"/>
  <c r="D315" i="28"/>
  <c r="D314" i="28"/>
  <c r="D310" i="28"/>
  <c r="D309" i="28"/>
  <c r="D307" i="28"/>
  <c r="D306" i="28"/>
  <c r="D302" i="28"/>
  <c r="D301" i="28"/>
  <c r="D299" i="28"/>
  <c r="D298" i="28"/>
  <c r="D294" i="28"/>
  <c r="D293" i="28"/>
  <c r="D291" i="28"/>
  <c r="D290" i="28"/>
  <c r="D286" i="28"/>
  <c r="D285" i="28"/>
  <c r="D283" i="28"/>
  <c r="D282" i="28"/>
  <c r="D278" i="28"/>
  <c r="D277" i="28"/>
  <c r="D275" i="28"/>
  <c r="D274" i="28"/>
  <c r="D270" i="28"/>
  <c r="D269" i="28"/>
  <c r="D267" i="28"/>
  <c r="D266" i="28"/>
  <c r="D262" i="28"/>
  <c r="D261" i="28"/>
  <c r="D259" i="28"/>
  <c r="D258" i="28"/>
  <c r="D254" i="28"/>
  <c r="D253" i="28"/>
  <c r="D251" i="28"/>
  <c r="D250" i="28"/>
  <c r="D246" i="28"/>
  <c r="D245" i="28"/>
  <c r="D243" i="28"/>
  <c r="D242" i="28"/>
  <c r="D238" i="28"/>
  <c r="D237" i="28"/>
  <c r="D235" i="28"/>
  <c r="D234" i="28"/>
  <c r="D230" i="28"/>
  <c r="D229" i="28"/>
  <c r="D227" i="28"/>
  <c r="D226" i="28"/>
  <c r="D222" i="28"/>
  <c r="D221" i="28"/>
  <c r="D219" i="28"/>
  <c r="D218" i="28"/>
  <c r="D214" i="28"/>
  <c r="D213" i="28"/>
  <c r="D211" i="28"/>
  <c r="D210" i="28"/>
  <c r="D206" i="28"/>
  <c r="D205" i="28"/>
  <c r="D203" i="28"/>
  <c r="D202" i="28"/>
  <c r="D198" i="28"/>
  <c r="D197" i="28"/>
  <c r="D195" i="28"/>
  <c r="D194" i="28"/>
  <c r="D190" i="28"/>
  <c r="D189" i="28"/>
  <c r="D187" i="28"/>
  <c r="D186" i="28"/>
  <c r="D182" i="28"/>
  <c r="D181" i="28"/>
  <c r="D179" i="28"/>
  <c r="D178" i="28"/>
  <c r="D174" i="28"/>
  <c r="D173" i="28"/>
  <c r="D171" i="28"/>
  <c r="D170" i="28"/>
  <c r="D166" i="28"/>
  <c r="D165" i="28"/>
  <c r="D163" i="28"/>
  <c r="D162" i="28"/>
  <c r="D158" i="28"/>
  <c r="D157" i="28"/>
  <c r="D155" i="28"/>
  <c r="D154" i="28"/>
  <c r="D150" i="28"/>
  <c r="D149" i="28"/>
  <c r="D147" i="28"/>
  <c r="D146" i="28"/>
  <c r="D142" i="28"/>
  <c r="D141" i="28"/>
  <c r="D139" i="28"/>
  <c r="D138" i="28"/>
  <c r="D134" i="28"/>
  <c r="D133" i="28"/>
  <c r="D131" i="28"/>
  <c r="D130" i="28"/>
  <c r="D126" i="28"/>
  <c r="D125" i="28"/>
  <c r="D123" i="28"/>
  <c r="D122" i="28"/>
  <c r="D118" i="28"/>
  <c r="D117" i="28"/>
  <c r="D115" i="28"/>
  <c r="D114" i="28"/>
  <c r="D110" i="28"/>
  <c r="D109" i="28"/>
  <c r="D107" i="28"/>
  <c r="D106" i="28"/>
  <c r="D102" i="28"/>
  <c r="D101" i="28"/>
  <c r="D99" i="28"/>
  <c r="D98" i="28"/>
  <c r="D94" i="28"/>
  <c r="D93" i="28"/>
  <c r="D91" i="28"/>
  <c r="D90" i="28"/>
  <c r="D86" i="28"/>
  <c r="D85" i="28"/>
  <c r="D83" i="28"/>
  <c r="D82" i="28"/>
  <c r="D78" i="28"/>
  <c r="D77" i="28"/>
  <c r="D75" i="28"/>
  <c r="D74" i="28"/>
  <c r="D70" i="28"/>
  <c r="D69" i="28"/>
  <c r="D67" i="28"/>
  <c r="D66" i="28"/>
  <c r="D62" i="28"/>
  <c r="D61" i="28"/>
  <c r="D59" i="28"/>
  <c r="D58" i="28"/>
  <c r="D54" i="28"/>
  <c r="D53" i="28"/>
  <c r="D51" i="28"/>
  <c r="D50" i="28"/>
  <c r="D46" i="28"/>
  <c r="D45" i="28"/>
  <c r="D43" i="28"/>
  <c r="D42" i="28"/>
  <c r="D38" i="28"/>
  <c r="D37" i="28"/>
  <c r="D35" i="28"/>
  <c r="D34" i="28"/>
  <c r="D30" i="28"/>
  <c r="D29" i="28"/>
  <c r="D27" i="28"/>
  <c r="D26" i="28"/>
  <c r="D22" i="28"/>
  <c r="D21" i="28"/>
  <c r="D19" i="28"/>
  <c r="D18" i="28"/>
  <c r="D14" i="28"/>
  <c r="D13" i="28"/>
  <c r="D11" i="28"/>
  <c r="D10" i="28"/>
  <c r="D6" i="28"/>
  <c r="D5" i="28"/>
  <c r="D3" i="28"/>
  <c r="D2" i="28"/>
  <c r="D1350" i="26"/>
  <c r="D1349" i="26"/>
  <c r="D1347" i="26"/>
  <c r="D1346" i="26"/>
  <c r="D1342" i="26"/>
  <c r="D1341" i="26"/>
  <c r="D1339" i="26"/>
  <c r="D1338" i="26"/>
  <c r="D1334" i="26"/>
  <c r="D1333" i="26"/>
  <c r="D1331" i="26"/>
  <c r="D1330" i="26"/>
  <c r="D1326" i="26"/>
  <c r="D1325" i="26"/>
  <c r="D1323" i="26"/>
  <c r="D1322" i="26"/>
  <c r="D1318" i="26"/>
  <c r="D1317" i="26"/>
  <c r="D1315" i="26"/>
  <c r="D1314" i="26"/>
  <c r="D1310" i="26"/>
  <c r="D1309" i="26"/>
  <c r="D1307" i="26"/>
  <c r="D1306" i="26"/>
  <c r="D1302" i="26"/>
  <c r="D1301" i="26"/>
  <c r="D1299" i="26"/>
  <c r="D1298" i="26"/>
  <c r="D1294" i="26"/>
  <c r="D1293" i="26"/>
  <c r="D1291" i="26"/>
  <c r="D1290" i="26"/>
  <c r="D1286" i="26"/>
  <c r="D1285" i="26"/>
  <c r="D1283" i="26"/>
  <c r="D1282" i="26"/>
  <c r="D1278" i="26"/>
  <c r="D1277" i="26"/>
  <c r="D1275" i="26"/>
  <c r="D1274" i="26"/>
  <c r="D1270" i="26"/>
  <c r="D1269" i="26"/>
  <c r="D1267" i="26"/>
  <c r="D1266" i="26"/>
  <c r="D1262" i="26"/>
  <c r="D1261" i="26"/>
  <c r="D1259" i="26"/>
  <c r="D1258" i="26"/>
  <c r="D1254" i="26"/>
  <c r="D1253" i="26"/>
  <c r="D1251" i="26"/>
  <c r="D1250" i="26"/>
  <c r="D1246" i="26"/>
  <c r="D1245" i="26"/>
  <c r="D1243" i="26"/>
  <c r="D1242" i="26"/>
  <c r="D1238" i="26"/>
  <c r="D1237" i="26"/>
  <c r="D1235" i="26"/>
  <c r="D1234" i="26"/>
  <c r="D1230" i="26"/>
  <c r="D1229" i="26"/>
  <c r="D1227" i="26"/>
  <c r="D1226" i="26"/>
  <c r="D1222" i="26"/>
  <c r="D1221" i="26"/>
  <c r="D1219" i="26"/>
  <c r="D1218" i="26"/>
  <c r="D1214" i="26"/>
  <c r="D1213" i="26"/>
  <c r="D1211" i="26"/>
  <c r="D1210" i="26"/>
  <c r="D1206" i="26"/>
  <c r="D1205" i="26"/>
  <c r="D1203" i="26"/>
  <c r="D1202" i="26"/>
  <c r="D1198" i="26"/>
  <c r="D1197" i="26"/>
  <c r="D1195" i="26"/>
  <c r="D1194" i="26"/>
  <c r="D1190" i="26"/>
  <c r="D1189" i="26"/>
  <c r="D1187" i="26"/>
  <c r="D1186" i="26"/>
  <c r="D1182" i="26"/>
  <c r="D1181" i="26"/>
  <c r="D1179" i="26"/>
  <c r="D1178" i="26"/>
  <c r="D1174" i="26"/>
  <c r="D1173" i="26"/>
  <c r="D1171" i="26"/>
  <c r="D1170" i="26"/>
  <c r="D1166" i="26"/>
  <c r="D1165" i="26"/>
  <c r="D1163" i="26"/>
  <c r="D1162" i="26"/>
  <c r="D1158" i="26"/>
  <c r="D1157" i="26"/>
  <c r="D1155" i="26"/>
  <c r="D1154" i="26"/>
  <c r="D1150" i="26"/>
  <c r="D1149" i="26"/>
  <c r="D1147" i="26"/>
  <c r="D1146" i="26"/>
  <c r="D1142" i="26"/>
  <c r="D1141" i="26"/>
  <c r="D1139" i="26"/>
  <c r="D1138" i="26"/>
  <c r="D1134" i="26"/>
  <c r="D1133" i="26"/>
  <c r="D1131" i="26"/>
  <c r="D1130" i="26"/>
  <c r="D1126" i="26"/>
  <c r="D1125" i="26"/>
  <c r="D1123" i="26"/>
  <c r="D1122" i="26"/>
  <c r="D1118" i="26"/>
  <c r="D1117" i="26"/>
  <c r="D1115" i="26"/>
  <c r="D1114" i="26"/>
  <c r="D1110" i="26"/>
  <c r="D1109" i="26"/>
  <c r="D1107" i="26"/>
  <c r="D1106" i="26"/>
  <c r="D1102" i="26"/>
  <c r="D1101" i="26"/>
  <c r="D1099" i="26"/>
  <c r="D1098" i="26"/>
  <c r="D1094" i="26"/>
  <c r="D1093" i="26"/>
  <c r="D1091" i="26"/>
  <c r="D1090" i="26"/>
  <c r="D1086" i="26"/>
  <c r="D1085" i="26"/>
  <c r="D1083" i="26"/>
  <c r="D1082" i="26"/>
  <c r="D1078" i="26"/>
  <c r="D1077" i="26"/>
  <c r="D1075" i="26"/>
  <c r="D1074" i="26"/>
  <c r="D1070" i="26"/>
  <c r="D1069" i="26"/>
  <c r="D1067" i="26"/>
  <c r="D1066" i="26"/>
  <c r="D1062" i="26"/>
  <c r="D1061" i="26"/>
  <c r="D1059" i="26"/>
  <c r="D1058" i="26"/>
  <c r="D1054" i="26"/>
  <c r="D1053" i="26"/>
  <c r="D1051" i="26"/>
  <c r="D1050" i="26"/>
  <c r="D1046" i="26"/>
  <c r="D1045" i="26"/>
  <c r="D1043" i="26"/>
  <c r="D1042" i="26"/>
  <c r="D1038" i="26"/>
  <c r="D1037" i="26"/>
  <c r="D1035" i="26"/>
  <c r="D1034" i="26"/>
  <c r="D1030" i="26"/>
  <c r="D1029" i="26"/>
  <c r="D1027" i="26"/>
  <c r="D1026" i="26"/>
  <c r="D1022" i="26"/>
  <c r="D1021" i="26"/>
  <c r="D1019" i="26"/>
  <c r="D1018" i="26"/>
  <c r="D1014" i="26"/>
  <c r="D1013" i="26"/>
  <c r="D1011" i="26"/>
  <c r="D1010" i="26"/>
  <c r="D1006" i="26"/>
  <c r="D1005" i="26"/>
  <c r="D1003" i="26"/>
  <c r="D1002" i="26"/>
  <c r="D998" i="26"/>
  <c r="D997" i="26"/>
  <c r="D995" i="26"/>
  <c r="D994" i="26"/>
  <c r="D990" i="26"/>
  <c r="D989" i="26"/>
  <c r="D987" i="26"/>
  <c r="D986" i="26"/>
  <c r="D982" i="26"/>
  <c r="D981" i="26"/>
  <c r="D979" i="26"/>
  <c r="D978" i="26"/>
  <c r="D974" i="26"/>
  <c r="D973" i="26"/>
  <c r="D971" i="26"/>
  <c r="D970" i="26"/>
  <c r="D966" i="26"/>
  <c r="D965" i="26"/>
  <c r="D963" i="26"/>
  <c r="D962" i="26"/>
  <c r="D958" i="26"/>
  <c r="D957" i="26"/>
  <c r="D955" i="26"/>
  <c r="D954" i="26"/>
  <c r="D950" i="26"/>
  <c r="D949" i="26"/>
  <c r="D947" i="26"/>
  <c r="D946" i="26"/>
  <c r="D942" i="26"/>
  <c r="D941" i="26"/>
  <c r="D939" i="26"/>
  <c r="D938" i="26"/>
  <c r="D934" i="26"/>
  <c r="D933" i="26"/>
  <c r="D931" i="26"/>
  <c r="D930" i="26"/>
  <c r="D926" i="26"/>
  <c r="D925" i="26"/>
  <c r="D923" i="26"/>
  <c r="D922" i="26"/>
  <c r="D918" i="26"/>
  <c r="D917" i="26"/>
  <c r="D915" i="26"/>
  <c r="D914" i="26"/>
  <c r="D910" i="26"/>
  <c r="D909" i="26"/>
  <c r="D907" i="26"/>
  <c r="D906" i="26"/>
  <c r="D902" i="26"/>
  <c r="D901" i="26"/>
  <c r="D899" i="26"/>
  <c r="D898" i="26"/>
  <c r="D894" i="26"/>
  <c r="D893" i="26"/>
  <c r="D891" i="26"/>
  <c r="D890" i="26"/>
  <c r="D886" i="26"/>
  <c r="D885" i="26"/>
  <c r="D883" i="26"/>
  <c r="D882" i="26"/>
  <c r="D878" i="26"/>
  <c r="D877" i="26"/>
  <c r="D875" i="26"/>
  <c r="D874" i="26"/>
  <c r="D870" i="26"/>
  <c r="D869" i="26"/>
  <c r="D867" i="26"/>
  <c r="D866" i="26"/>
  <c r="D862" i="26"/>
  <c r="D861" i="26"/>
  <c r="D859" i="26"/>
  <c r="D858" i="26"/>
  <c r="D854" i="26"/>
  <c r="D853" i="26"/>
  <c r="D851" i="26"/>
  <c r="D850" i="26"/>
  <c r="D846" i="26"/>
  <c r="D845" i="26"/>
  <c r="D843" i="26"/>
  <c r="D842" i="26"/>
  <c r="D838" i="26"/>
  <c r="D837" i="26"/>
  <c r="D835" i="26"/>
  <c r="D834" i="26"/>
  <c r="D830" i="26"/>
  <c r="D829" i="26"/>
  <c r="D827" i="26"/>
  <c r="D826" i="26"/>
  <c r="D822" i="26"/>
  <c r="D821" i="26"/>
  <c r="D819" i="26"/>
  <c r="D818" i="26"/>
  <c r="D814" i="26"/>
  <c r="D813" i="26"/>
  <c r="D811" i="26"/>
  <c r="D810" i="26"/>
  <c r="D806" i="26"/>
  <c r="D805" i="26"/>
  <c r="D803" i="26"/>
  <c r="D802" i="26"/>
  <c r="D798" i="26"/>
  <c r="D797" i="26"/>
  <c r="D795" i="26"/>
  <c r="D794" i="26"/>
  <c r="D790" i="26"/>
  <c r="D789" i="26"/>
  <c r="D787" i="26"/>
  <c r="D786" i="26"/>
  <c r="D782" i="26"/>
  <c r="D781" i="26"/>
  <c r="D779" i="26"/>
  <c r="D778" i="26"/>
  <c r="D774" i="26"/>
  <c r="D773" i="26"/>
  <c r="D771" i="26"/>
  <c r="D770" i="26"/>
  <c r="D766" i="26"/>
  <c r="D765" i="26"/>
  <c r="D763" i="26"/>
  <c r="D762" i="26"/>
  <c r="D758" i="26"/>
  <c r="D757" i="26"/>
  <c r="D755" i="26"/>
  <c r="D754" i="26"/>
  <c r="D750" i="26"/>
  <c r="D749" i="26"/>
  <c r="D747" i="26"/>
  <c r="D746" i="26"/>
  <c r="D742" i="26"/>
  <c r="D741" i="26"/>
  <c r="D739" i="26"/>
  <c r="D738" i="26"/>
  <c r="D734" i="26"/>
  <c r="D733" i="26"/>
  <c r="D731" i="26"/>
  <c r="D730" i="26"/>
  <c r="D726" i="26"/>
  <c r="D725" i="26"/>
  <c r="D723" i="26"/>
  <c r="D722" i="26"/>
  <c r="D718" i="26"/>
  <c r="D717" i="26"/>
  <c r="D715" i="26"/>
  <c r="D714" i="26"/>
  <c r="D710" i="26"/>
  <c r="D709" i="26"/>
  <c r="D707" i="26"/>
  <c r="D706" i="26"/>
  <c r="D702" i="26"/>
  <c r="D701" i="26"/>
  <c r="D699" i="26"/>
  <c r="D698" i="26"/>
  <c r="D694" i="26"/>
  <c r="D693" i="26"/>
  <c r="D691" i="26"/>
  <c r="D690" i="26"/>
  <c r="D686" i="26"/>
  <c r="D685" i="26"/>
  <c r="D683" i="26"/>
  <c r="D682" i="26"/>
  <c r="D678" i="26"/>
  <c r="D677" i="26"/>
  <c r="D675" i="26"/>
  <c r="D674" i="26"/>
  <c r="D670" i="26"/>
  <c r="D669" i="26"/>
  <c r="D667" i="26"/>
  <c r="D666" i="26"/>
  <c r="D662" i="26"/>
  <c r="D661" i="26"/>
  <c r="D659" i="26"/>
  <c r="D658" i="26"/>
  <c r="D654" i="26"/>
  <c r="D653" i="26"/>
  <c r="D651" i="26"/>
  <c r="D650" i="26"/>
  <c r="D646" i="26"/>
  <c r="D645" i="26"/>
  <c r="D643" i="26"/>
  <c r="D642" i="26"/>
  <c r="D638" i="26"/>
  <c r="D637" i="26"/>
  <c r="D635" i="26"/>
  <c r="D634" i="26"/>
  <c r="D630" i="26"/>
  <c r="D629" i="26"/>
  <c r="D627" i="26"/>
  <c r="D626" i="26"/>
  <c r="D622" i="26"/>
  <c r="D621" i="26"/>
  <c r="D619" i="26"/>
  <c r="D618" i="26"/>
  <c r="D614" i="26"/>
  <c r="D613" i="26"/>
  <c r="D611" i="26"/>
  <c r="D610" i="26"/>
  <c r="D606" i="26"/>
  <c r="D605" i="26"/>
  <c r="D603" i="26"/>
  <c r="D602" i="26"/>
  <c r="D598" i="26"/>
  <c r="D597" i="26"/>
  <c r="D595" i="26"/>
  <c r="D594" i="26"/>
  <c r="D590" i="26"/>
  <c r="D589" i="26"/>
  <c r="D587" i="26"/>
  <c r="D586" i="26"/>
  <c r="D582" i="26"/>
  <c r="D581" i="26"/>
  <c r="D579" i="26"/>
  <c r="D578" i="26"/>
  <c r="D574" i="26"/>
  <c r="D573" i="26"/>
  <c r="D571" i="26"/>
  <c r="D570" i="26"/>
  <c r="D566" i="26"/>
  <c r="D565" i="26"/>
  <c r="D563" i="26"/>
  <c r="D562" i="26"/>
  <c r="D558" i="26"/>
  <c r="D557" i="26"/>
  <c r="D555" i="26"/>
  <c r="D554" i="26"/>
  <c r="D550" i="26"/>
  <c r="D549" i="26"/>
  <c r="D547" i="26"/>
  <c r="D546" i="26"/>
  <c r="D542" i="26"/>
  <c r="D541" i="26"/>
  <c r="D539" i="26"/>
  <c r="D538" i="26"/>
  <c r="D534" i="26"/>
  <c r="D533" i="26"/>
  <c r="D531" i="26"/>
  <c r="D530" i="26"/>
  <c r="D526" i="26"/>
  <c r="D525" i="26"/>
  <c r="D523" i="26"/>
  <c r="D522" i="26"/>
  <c r="D518" i="26"/>
  <c r="D517" i="26"/>
  <c r="D515" i="26"/>
  <c r="D514" i="26"/>
  <c r="D510" i="26"/>
  <c r="D509" i="26"/>
  <c r="D507" i="26"/>
  <c r="D506" i="26"/>
  <c r="D502" i="26"/>
  <c r="D501" i="26"/>
  <c r="D499" i="26"/>
  <c r="D498" i="26"/>
  <c r="D494" i="26"/>
  <c r="D493" i="26"/>
  <c r="D491" i="26"/>
  <c r="D490" i="26"/>
  <c r="D486" i="26"/>
  <c r="D485" i="26"/>
  <c r="D483" i="26"/>
  <c r="D482" i="26"/>
  <c r="D478" i="26"/>
  <c r="D477" i="26"/>
  <c r="D475" i="26"/>
  <c r="D474" i="26"/>
  <c r="D470" i="26"/>
  <c r="D469" i="26"/>
  <c r="D467" i="26"/>
  <c r="D466" i="26"/>
  <c r="D462" i="26"/>
  <c r="D461" i="26"/>
  <c r="D459" i="26"/>
  <c r="D458" i="26"/>
  <c r="D454" i="26"/>
  <c r="D453" i="26"/>
  <c r="D451" i="26"/>
  <c r="D450" i="26"/>
  <c r="D446" i="26"/>
  <c r="D445" i="26"/>
  <c r="D443" i="26"/>
  <c r="D442" i="26"/>
  <c r="D438" i="26"/>
  <c r="D437" i="26"/>
  <c r="D435" i="26"/>
  <c r="D434" i="26"/>
  <c r="D430" i="26"/>
  <c r="D429" i="26"/>
  <c r="D427" i="26"/>
  <c r="D426" i="26"/>
  <c r="D422" i="26"/>
  <c r="D421" i="26"/>
  <c r="D419" i="26"/>
  <c r="D418" i="26"/>
  <c r="D414" i="26"/>
  <c r="D413" i="26"/>
  <c r="D411" i="26"/>
  <c r="D410" i="26"/>
  <c r="D406" i="26"/>
  <c r="D405" i="26"/>
  <c r="D403" i="26"/>
  <c r="D402" i="26"/>
  <c r="D398" i="26"/>
  <c r="D397" i="26"/>
  <c r="D395" i="26"/>
  <c r="D394" i="26"/>
  <c r="D390" i="26"/>
  <c r="D389" i="26"/>
  <c r="D387" i="26"/>
  <c r="D386" i="26"/>
  <c r="D382" i="26"/>
  <c r="D381" i="26"/>
  <c r="D379" i="26"/>
  <c r="D378" i="26"/>
  <c r="D374" i="26"/>
  <c r="D373" i="26"/>
  <c r="D371" i="26"/>
  <c r="D370" i="26"/>
  <c r="D366" i="26"/>
  <c r="D365" i="26"/>
  <c r="D363" i="26"/>
  <c r="D362" i="26"/>
  <c r="D358" i="26"/>
  <c r="D357" i="26"/>
  <c r="D355" i="26"/>
  <c r="D354" i="26"/>
  <c r="D350" i="26"/>
  <c r="D349" i="26"/>
  <c r="D347" i="26"/>
  <c r="D346" i="26"/>
  <c r="D342" i="26"/>
  <c r="D341" i="26"/>
  <c r="D339" i="26"/>
  <c r="D338" i="26"/>
  <c r="D334" i="26"/>
  <c r="D333" i="26"/>
  <c r="D331" i="26"/>
  <c r="D330" i="26"/>
  <c r="D326" i="26"/>
  <c r="D325" i="26"/>
  <c r="D323" i="26"/>
  <c r="D322" i="26"/>
  <c r="D318" i="26"/>
  <c r="D317" i="26"/>
  <c r="D315" i="26"/>
  <c r="D314" i="26"/>
  <c r="D310" i="26"/>
  <c r="D309" i="26"/>
  <c r="D307" i="26"/>
  <c r="D306" i="26"/>
  <c r="D302" i="26"/>
  <c r="D301" i="26"/>
  <c r="D299" i="26"/>
  <c r="D298" i="26"/>
  <c r="D294" i="26"/>
  <c r="D293" i="26"/>
  <c r="D291" i="26"/>
  <c r="D290" i="26"/>
  <c r="D286" i="26"/>
  <c r="D285" i="26"/>
  <c r="D283" i="26"/>
  <c r="D282" i="26"/>
  <c r="D278" i="26"/>
  <c r="D277" i="26"/>
  <c r="D275" i="26"/>
  <c r="D274" i="26"/>
  <c r="D270" i="26"/>
  <c r="D269" i="26"/>
  <c r="D267" i="26"/>
  <c r="D266" i="26"/>
  <c r="D262" i="26"/>
  <c r="D261" i="26"/>
  <c r="D259" i="26"/>
  <c r="D258" i="26"/>
  <c r="D254" i="26"/>
  <c r="D253" i="26"/>
  <c r="D251" i="26"/>
  <c r="D250" i="26"/>
  <c r="D246" i="26"/>
  <c r="D245" i="26"/>
  <c r="D243" i="26"/>
  <c r="D242" i="26"/>
  <c r="D238" i="26"/>
  <c r="D237" i="26"/>
  <c r="D235" i="26"/>
  <c r="D234" i="26"/>
  <c r="D230" i="26"/>
  <c r="D229" i="26"/>
  <c r="D227" i="26"/>
  <c r="D226" i="26"/>
  <c r="D222" i="26"/>
  <c r="D221" i="26"/>
  <c r="D219" i="26"/>
  <c r="D218" i="26"/>
  <c r="D214" i="26"/>
  <c r="D213" i="26"/>
  <c r="D211" i="26"/>
  <c r="D210" i="26"/>
  <c r="D206" i="26"/>
  <c r="D205" i="26"/>
  <c r="D203" i="26"/>
  <c r="D202" i="26"/>
  <c r="D198" i="26"/>
  <c r="D197" i="26"/>
  <c r="D195" i="26"/>
  <c r="D194" i="26"/>
  <c r="D190" i="26"/>
  <c r="D189" i="26"/>
  <c r="D187" i="26"/>
  <c r="D186" i="26"/>
  <c r="D182" i="26"/>
  <c r="D181" i="26"/>
  <c r="D179" i="26"/>
  <c r="D178" i="26"/>
  <c r="D174" i="26"/>
  <c r="D173" i="26"/>
  <c r="D171" i="26"/>
  <c r="D170" i="26"/>
  <c r="D166" i="26"/>
  <c r="D165" i="26"/>
  <c r="D163" i="26"/>
  <c r="D162" i="26"/>
  <c r="D158" i="26"/>
  <c r="D157" i="26"/>
  <c r="D155" i="26"/>
  <c r="D154" i="26"/>
  <c r="D150" i="26"/>
  <c r="D149" i="26"/>
  <c r="D147" i="26"/>
  <c r="D146" i="26"/>
  <c r="D142" i="26"/>
  <c r="D141" i="26"/>
  <c r="D139" i="26"/>
  <c r="D138" i="26"/>
  <c r="D134" i="26"/>
  <c r="D133" i="26"/>
  <c r="D131" i="26"/>
  <c r="D130" i="26"/>
  <c r="D126" i="26"/>
  <c r="D125" i="26"/>
  <c r="D123" i="26"/>
  <c r="D122" i="26"/>
  <c r="D118" i="26"/>
  <c r="D117" i="26"/>
  <c r="D115" i="26"/>
  <c r="D114" i="26"/>
  <c r="D110" i="26"/>
  <c r="D109" i="26"/>
  <c r="D107" i="26"/>
  <c r="D106" i="26"/>
  <c r="D102" i="26"/>
  <c r="D101" i="26"/>
  <c r="D99" i="26"/>
  <c r="D98" i="26"/>
  <c r="D94" i="26"/>
  <c r="D93" i="26"/>
  <c r="D91" i="26"/>
  <c r="D90" i="26"/>
  <c r="D86" i="26"/>
  <c r="D85" i="26"/>
  <c r="D83" i="26"/>
  <c r="D82" i="26"/>
  <c r="D78" i="26"/>
  <c r="D77" i="26"/>
  <c r="D75" i="26"/>
  <c r="D74" i="26"/>
  <c r="D70" i="26"/>
  <c r="D69" i="26"/>
  <c r="D67" i="26"/>
  <c r="D66" i="26"/>
  <c r="D62" i="26"/>
  <c r="D61" i="26"/>
  <c r="D59" i="26"/>
  <c r="D58" i="26"/>
  <c r="D54" i="26"/>
  <c r="D53" i="26"/>
  <c r="D51" i="26"/>
  <c r="D50" i="26"/>
  <c r="D46" i="26"/>
  <c r="D45" i="26"/>
  <c r="D43" i="26"/>
  <c r="D42" i="26"/>
  <c r="D38" i="26"/>
  <c r="D37" i="26"/>
  <c r="D35" i="26"/>
  <c r="D34" i="26"/>
  <c r="D30" i="26"/>
  <c r="D29" i="26"/>
  <c r="D27" i="26"/>
  <c r="D26" i="26"/>
  <c r="D21" i="26"/>
  <c r="D13" i="26"/>
  <c r="D5" i="26"/>
  <c r="D22" i="26"/>
  <c r="D19" i="26"/>
  <c r="D18" i="26"/>
  <c r="D14" i="26"/>
  <c r="D11" i="26"/>
  <c r="D10" i="26"/>
  <c r="D6" i="26"/>
  <c r="D3" i="26"/>
  <c r="D2" i="26"/>
  <c r="F2074" i="13"/>
  <c r="K2074" i="13" s="1"/>
  <c r="I2074" i="13" l="1"/>
  <c r="J2074" i="13"/>
  <c r="FK48" i="13"/>
  <c r="FK49" i="13"/>
  <c r="FK50" i="13"/>
  <c r="FK51" i="13"/>
  <c r="FK52" i="13"/>
  <c r="FK53" i="13"/>
  <c r="FK54" i="13"/>
  <c r="FK55" i="13"/>
  <c r="FK56" i="13"/>
  <c r="FK57" i="13"/>
  <c r="FK58" i="13"/>
  <c r="FK59" i="13"/>
  <c r="FK60" i="13"/>
  <c r="FK61" i="13"/>
  <c r="FK62" i="13"/>
  <c r="FK63" i="13"/>
  <c r="FK64" i="13"/>
  <c r="FK65" i="13"/>
  <c r="FK66" i="13"/>
  <c r="FK47" i="13"/>
  <c r="C27" i="13" l="1"/>
  <c r="D189" i="19"/>
  <c r="N189" i="19"/>
  <c r="N169" i="19"/>
  <c r="D169" i="19"/>
  <c r="D149" i="19"/>
  <c r="N149" i="19"/>
  <c r="N129" i="19"/>
  <c r="D129" i="19"/>
  <c r="D109" i="19"/>
  <c r="N109" i="19"/>
  <c r="N89" i="19"/>
  <c r="D89" i="19"/>
  <c r="D69" i="19"/>
  <c r="N69" i="19"/>
  <c r="N49" i="19"/>
  <c r="D49" i="19"/>
  <c r="D29" i="19"/>
  <c r="N29" i="19"/>
  <c r="N9" i="19"/>
  <c r="D9" i="19"/>
  <c r="B69" i="13" l="1"/>
  <c r="B62" i="13"/>
  <c r="B148" i="13"/>
  <c r="B131" i="13"/>
  <c r="B84" i="13"/>
  <c r="B83" i="13"/>
  <c r="B68" i="13"/>
  <c r="B116" i="13"/>
  <c r="B115" i="13"/>
  <c r="B99" i="13"/>
  <c r="B147" i="13"/>
  <c r="B132" i="13"/>
  <c r="B100" i="13"/>
  <c r="B63" i="13"/>
  <c r="B81" i="13"/>
  <c r="B114" i="13"/>
  <c r="B129" i="13"/>
  <c r="B128" i="13"/>
  <c r="B144" i="13"/>
  <c r="B79" i="13"/>
  <c r="B78" i="13"/>
  <c r="B130" i="13"/>
  <c r="B145" i="13"/>
  <c r="B112" i="13"/>
  <c r="B127" i="13"/>
  <c r="B95" i="13"/>
  <c r="B158" i="13"/>
  <c r="B142" i="13"/>
  <c r="B126" i="13"/>
  <c r="B110" i="13"/>
  <c r="B94" i="13"/>
  <c r="B157" i="13"/>
  <c r="B141" i="13"/>
  <c r="B125" i="13"/>
  <c r="B109" i="13"/>
  <c r="B93" i="13"/>
  <c r="B77" i="13"/>
  <c r="B82" i="13"/>
  <c r="B156" i="13"/>
  <c r="B76" i="13"/>
  <c r="B146" i="13"/>
  <c r="B98" i="13"/>
  <c r="B161" i="13"/>
  <c r="B113" i="13"/>
  <c r="B80" i="13"/>
  <c r="B159" i="13"/>
  <c r="B111" i="13"/>
  <c r="B140" i="13"/>
  <c r="B108" i="13"/>
  <c r="B92" i="13"/>
  <c r="B155" i="13"/>
  <c r="B139" i="13"/>
  <c r="B123" i="13"/>
  <c r="B107" i="13"/>
  <c r="B91" i="13"/>
  <c r="B75" i="13"/>
  <c r="B143" i="13"/>
  <c r="B124" i="13"/>
  <c r="B154" i="13"/>
  <c r="B138" i="13"/>
  <c r="B122" i="13"/>
  <c r="B106" i="13"/>
  <c r="B90" i="13"/>
  <c r="B74" i="13"/>
  <c r="B89" i="13"/>
  <c r="B160" i="13"/>
  <c r="B104" i="13"/>
  <c r="B137" i="13"/>
  <c r="B120" i="13"/>
  <c r="B151" i="13"/>
  <c r="B135" i="13"/>
  <c r="B119" i="13"/>
  <c r="B103" i="13"/>
  <c r="B87" i="13"/>
  <c r="B71" i="13"/>
  <c r="B105" i="13"/>
  <c r="B152" i="13"/>
  <c r="B72" i="13"/>
  <c r="B150" i="13"/>
  <c r="B134" i="13"/>
  <c r="B118" i="13"/>
  <c r="B102" i="13"/>
  <c r="B86" i="13"/>
  <c r="B70" i="13"/>
  <c r="B97" i="13"/>
  <c r="B96" i="13"/>
  <c r="B153" i="13"/>
  <c r="B121" i="13"/>
  <c r="B73" i="13"/>
  <c r="B136" i="13"/>
  <c r="B88" i="13"/>
  <c r="B149" i="13"/>
  <c r="B133" i="13"/>
  <c r="B117" i="13"/>
  <c r="B101" i="13"/>
  <c r="B85" i="13"/>
  <c r="B67" i="13"/>
  <c r="B66" i="13"/>
  <c r="B65" i="13"/>
  <c r="B64" i="13"/>
  <c r="AM4" i="1" l="1"/>
  <c r="AT11" i="1" l="1"/>
  <c r="R132" i="1"/>
  <c r="AZ3" i="1"/>
  <c r="AX3" i="1"/>
  <c r="R14" i="1"/>
  <c r="R6" i="1"/>
  <c r="R5" i="1"/>
  <c r="R4" i="1"/>
  <c r="R3" i="1"/>
  <c r="R2" i="1"/>
  <c r="C28" i="13"/>
  <c r="B162" i="13" s="1"/>
  <c r="C34" i="13"/>
  <c r="B762" i="13" s="1"/>
  <c r="R28" i="1" l="1"/>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32" i="13"/>
  <c r="B839" i="13"/>
  <c r="B838" i="13"/>
  <c r="B837" i="13"/>
  <c r="B847" i="13"/>
  <c r="B848" i="13"/>
  <c r="B849" i="13"/>
  <c r="B850" i="13"/>
  <c r="B851" i="13"/>
  <c r="B852" i="13"/>
  <c r="B853" i="13"/>
  <c r="B854" i="13"/>
  <c r="B855" i="13"/>
  <c r="B856" i="13"/>
  <c r="B857" i="13"/>
  <c r="B858" i="13"/>
  <c r="B859" i="13"/>
  <c r="B860" i="13"/>
  <c r="B861" i="13"/>
  <c r="B830" i="13"/>
  <c r="B836" i="13"/>
  <c r="B846" i="13"/>
  <c r="B845" i="13"/>
  <c r="B835" i="13"/>
  <c r="B844" i="13"/>
  <c r="B829" i="13"/>
  <c r="B843" i="13"/>
  <c r="B834" i="13"/>
  <c r="B842" i="13"/>
  <c r="B831" i="13"/>
  <c r="B840" i="13"/>
  <c r="B841" i="13"/>
  <c r="B833" i="13"/>
  <c r="B169" i="13"/>
  <c r="B185" i="13"/>
  <c r="B201" i="13"/>
  <c r="B217" i="13"/>
  <c r="B233" i="13"/>
  <c r="B170" i="13"/>
  <c r="B186" i="13"/>
  <c r="B202" i="13"/>
  <c r="B218" i="13"/>
  <c r="B234" i="13"/>
  <c r="B172" i="13"/>
  <c r="B168" i="13"/>
  <c r="B189" i="13"/>
  <c r="B207" i="13"/>
  <c r="B225" i="13"/>
  <c r="B243" i="13"/>
  <c r="B259" i="13"/>
  <c r="B229" i="13"/>
  <c r="B195" i="13"/>
  <c r="B232" i="13"/>
  <c r="B181" i="13"/>
  <c r="B183" i="13"/>
  <c r="B258" i="13"/>
  <c r="B171" i="13"/>
  <c r="B190" i="13"/>
  <c r="B208" i="13"/>
  <c r="B226" i="13"/>
  <c r="B244" i="13"/>
  <c r="B260" i="13"/>
  <c r="B175" i="13"/>
  <c r="B177" i="13"/>
  <c r="B250" i="13"/>
  <c r="B237" i="13"/>
  <c r="B182" i="13"/>
  <c r="B187" i="13"/>
  <c r="B173" i="13"/>
  <c r="B191" i="13"/>
  <c r="B209" i="13"/>
  <c r="B227" i="13"/>
  <c r="B245" i="13"/>
  <c r="B261" i="13"/>
  <c r="B211" i="13"/>
  <c r="B213" i="13"/>
  <c r="B235" i="13"/>
  <c r="B236" i="13"/>
  <c r="B238" i="13"/>
  <c r="B184" i="13"/>
  <c r="B174" i="13"/>
  <c r="B192" i="13"/>
  <c r="B210" i="13"/>
  <c r="B228" i="13"/>
  <c r="B246" i="13"/>
  <c r="B193" i="13"/>
  <c r="B179" i="13"/>
  <c r="B220" i="13"/>
  <c r="B204" i="13"/>
  <c r="B257" i="13"/>
  <c r="B242" i="13"/>
  <c r="B247" i="13"/>
  <c r="B196" i="13"/>
  <c r="B251" i="13"/>
  <c r="B198" i="13"/>
  <c r="B253" i="13"/>
  <c r="B163" i="13"/>
  <c r="B165" i="13"/>
  <c r="B176" i="13"/>
  <c r="B194" i="13"/>
  <c r="B212" i="13"/>
  <c r="B230" i="13"/>
  <c r="B248" i="13"/>
  <c r="B231" i="13"/>
  <c r="B197" i="13"/>
  <c r="B216" i="13"/>
  <c r="B219" i="13"/>
  <c r="B239" i="13"/>
  <c r="B249" i="13"/>
  <c r="B206" i="13"/>
  <c r="B178" i="13"/>
  <c r="B214" i="13"/>
  <c r="B200" i="13"/>
  <c r="B256" i="13"/>
  <c r="B166" i="13"/>
  <c r="B224" i="13"/>
  <c r="B215" i="13"/>
  <c r="B252" i="13"/>
  <c r="B199" i="13"/>
  <c r="B164" i="13"/>
  <c r="B180" i="13"/>
  <c r="B203" i="13"/>
  <c r="B255" i="13"/>
  <c r="B205" i="13"/>
  <c r="B254" i="13"/>
  <c r="B222" i="13"/>
  <c r="B221" i="13"/>
  <c r="B241" i="13"/>
  <c r="B167" i="13"/>
  <c r="B240" i="13"/>
  <c r="B223" i="13"/>
  <c r="B188" i="13"/>
  <c r="V3" i="13"/>
  <c r="V5" i="13" s="1"/>
  <c r="AJ3" i="3" l="1"/>
  <c r="AJ4" i="3"/>
  <c r="AJ5" i="3"/>
  <c r="AJ6" i="3"/>
  <c r="AJ7" i="3"/>
  <c r="AJ8" i="3"/>
  <c r="AJ9" i="3"/>
  <c r="AJ10" i="3"/>
  <c r="AJ11" i="3"/>
  <c r="AJ12" i="3"/>
  <c r="AJ13" i="3"/>
  <c r="AJ14" i="3"/>
  <c r="AJ15" i="3"/>
  <c r="AJ16" i="3"/>
  <c r="AJ17" i="3"/>
  <c r="AJ18" i="3"/>
  <c r="AJ19" i="3"/>
  <c r="AJ20" i="3"/>
  <c r="AJ21" i="3"/>
  <c r="AI3" i="3"/>
  <c r="AI4" i="3"/>
  <c r="AI5" i="3"/>
  <c r="AI6" i="3"/>
  <c r="AI7" i="3"/>
  <c r="AI8" i="3"/>
  <c r="AI9" i="3"/>
  <c r="AI10" i="3"/>
  <c r="AI11" i="3"/>
  <c r="AI12" i="3"/>
  <c r="AI13" i="3"/>
  <c r="AI14" i="3"/>
  <c r="AI15" i="3"/>
  <c r="AI16" i="3"/>
  <c r="AI17" i="3"/>
  <c r="AI18" i="3"/>
  <c r="AI19" i="3"/>
  <c r="AI20" i="3"/>
  <c r="AI21" i="3"/>
  <c r="AJ2" i="3"/>
  <c r="AI2" i="3"/>
  <c r="AM5" i="1"/>
  <c r="AM2" i="1" s="1"/>
  <c r="AK5" i="3" l="1"/>
  <c r="AL5" i="3" s="1"/>
  <c r="AQ2" i="3" s="1" a="1"/>
  <c r="AQ2" i="3" s="1"/>
  <c r="AK4" i="3"/>
  <c r="AL4" i="3" s="1"/>
  <c r="AP2" i="3" s="1" a="1"/>
  <c r="AP2" i="3" s="1"/>
  <c r="AK3" i="3"/>
  <c r="AL3" i="3" s="1"/>
  <c r="AO2" i="3" s="1" a="1"/>
  <c r="AO2" i="3" s="1"/>
  <c r="AK20" i="3"/>
  <c r="AL20" i="3" s="1"/>
  <c r="BF2" i="3" s="1" a="1"/>
  <c r="BF2" i="3" s="1"/>
  <c r="AK19" i="3"/>
  <c r="AL19" i="3" s="1"/>
  <c r="BE2" i="3" s="1" a="1"/>
  <c r="BE2" i="3" s="1"/>
  <c r="AK14" i="3"/>
  <c r="AL14" i="3" s="1"/>
  <c r="AZ2" i="3" s="1" a="1"/>
  <c r="AZ2" i="3" s="1"/>
  <c r="AK10" i="3"/>
  <c r="AL10" i="3" s="1"/>
  <c r="AV2" i="3" s="1" a="1"/>
  <c r="AV2" i="3" s="1"/>
  <c r="AK8" i="3"/>
  <c r="AL8" i="3" s="1"/>
  <c r="AT2" i="3" s="1" a="1"/>
  <c r="AT2" i="3" s="1"/>
  <c r="AK7" i="3"/>
  <c r="AL7" i="3" s="1"/>
  <c r="AS2" i="3" s="1" a="1"/>
  <c r="AS2" i="3" s="1"/>
  <c r="AK9" i="3"/>
  <c r="AL9" i="3" s="1"/>
  <c r="AU2" i="3" s="1" a="1"/>
  <c r="AU2" i="3" s="1"/>
  <c r="AK2" i="3"/>
  <c r="AK15" i="3"/>
  <c r="AL15" i="3" s="1"/>
  <c r="BA2" i="3" s="1" a="1"/>
  <c r="BA2" i="3" s="1"/>
  <c r="AK21" i="3"/>
  <c r="AL21" i="3" s="1"/>
  <c r="BG2" i="3" s="1" a="1"/>
  <c r="BG2" i="3" s="1"/>
  <c r="AK6" i="3"/>
  <c r="AL6" i="3" s="1"/>
  <c r="AR2" i="3" s="1" a="1"/>
  <c r="AR2" i="3" s="1"/>
  <c r="AK13" i="3"/>
  <c r="AL13" i="3" s="1"/>
  <c r="AY2" i="3" s="1" a="1"/>
  <c r="AY2" i="3" s="1"/>
  <c r="AK11" i="3"/>
  <c r="AL11" i="3" s="1"/>
  <c r="AW2" i="3" s="1" a="1"/>
  <c r="AW2" i="3" s="1"/>
  <c r="AK12" i="3"/>
  <c r="AL12" i="3" s="1"/>
  <c r="AX2" i="3" s="1" a="1"/>
  <c r="AX2" i="3" s="1"/>
  <c r="AK18" i="3"/>
  <c r="AL18" i="3" s="1"/>
  <c r="BD2" i="3" s="1" a="1"/>
  <c r="BD2" i="3" s="1"/>
  <c r="AK17" i="3"/>
  <c r="AL17" i="3" s="1"/>
  <c r="BC2" i="3" s="1" a="1"/>
  <c r="BC2" i="3" s="1"/>
  <c r="AK16" i="3"/>
  <c r="AL16" i="3" s="1"/>
  <c r="BB2" i="3" s="1" a="1"/>
  <c r="BB2" i="3" s="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8" i="1"/>
  <c r="B169" i="1"/>
  <c r="B170" i="1"/>
  <c r="B171" i="1"/>
  <c r="B172" i="1"/>
  <c r="B173" i="1"/>
  <c r="B174" i="1"/>
  <c r="B175" i="1"/>
  <c r="B176" i="1"/>
  <c r="B177" i="1"/>
  <c r="B178" i="1"/>
  <c r="B179" i="1"/>
  <c r="B180" i="1"/>
  <c r="B181" i="1"/>
  <c r="B114" i="1"/>
  <c r="B115"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87" i="1"/>
  <c r="B86" i="1"/>
  <c r="B61" i="1"/>
  <c r="B62" i="1"/>
  <c r="B63" i="1"/>
  <c r="B64" i="1"/>
  <c r="B65" i="1"/>
  <c r="B66" i="1"/>
  <c r="B67" i="1"/>
  <c r="B68" i="1"/>
  <c r="B69" i="1"/>
  <c r="B70" i="1"/>
  <c r="B71" i="1"/>
  <c r="B72" i="1"/>
  <c r="B73" i="1"/>
  <c r="B74" i="1"/>
  <c r="B75" i="1"/>
  <c r="B76" i="1"/>
  <c r="B77" i="1"/>
  <c r="B78" i="1"/>
  <c r="B79" i="1"/>
  <c r="B80" i="1"/>
  <c r="B81" i="1"/>
  <c r="B82" i="1"/>
  <c r="B83" i="1"/>
  <c r="B84" i="1"/>
  <c r="B85" i="1"/>
  <c r="B60" i="1"/>
  <c r="B40" i="1"/>
  <c r="B41" i="1"/>
  <c r="B42" i="1"/>
  <c r="B43" i="1"/>
  <c r="B44" i="1"/>
  <c r="B45" i="1"/>
  <c r="B46" i="1"/>
  <c r="B47" i="1"/>
  <c r="B48" i="1"/>
  <c r="B49" i="1"/>
  <c r="B50" i="1"/>
  <c r="B51" i="1"/>
  <c r="B52" i="1"/>
  <c r="B53" i="1"/>
  <c r="B54" i="1"/>
  <c r="B55" i="1"/>
  <c r="B56" i="1"/>
  <c r="B57" i="1"/>
  <c r="B58" i="1"/>
  <c r="B59" i="1"/>
  <c r="B36" i="1"/>
  <c r="B37" i="1"/>
  <c r="B38" i="1"/>
  <c r="B39"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2" i="1"/>
  <c r="K41" i="25"/>
  <c r="K40" i="25"/>
  <c r="K39" i="25"/>
  <c r="D11" i="25"/>
  <c r="K8" i="25"/>
  <c r="G8" i="25"/>
  <c r="E8" i="25"/>
  <c r="AN782" i="23" a="1"/>
  <c r="AN782" i="23" s="1"/>
  <c r="AN741" i="23" a="1"/>
  <c r="AN741" i="23" s="1"/>
  <c r="AN700" i="23" a="1"/>
  <c r="AN700" i="23" s="1"/>
  <c r="AN659" i="23" a="1"/>
  <c r="AN659" i="23" s="1"/>
  <c r="AN618" i="23" a="1"/>
  <c r="AN618" i="23" s="1"/>
  <c r="AN577" i="23" a="1"/>
  <c r="AN577" i="23" s="1"/>
  <c r="AN536" i="23" a="1"/>
  <c r="AN536" i="23" s="1"/>
  <c r="AN495" i="23" a="1"/>
  <c r="AN495" i="23" s="1"/>
  <c r="AN454" i="23" a="1"/>
  <c r="AN454" i="23" s="1"/>
  <c r="AN413" i="23" a="1"/>
  <c r="AN413" i="23" s="1"/>
  <c r="AN372" i="23" a="1"/>
  <c r="AN372" i="23" s="1"/>
  <c r="AN331" i="23" a="1"/>
  <c r="AN331" i="23" s="1"/>
  <c r="AN290" i="23" a="1"/>
  <c r="AN290" i="23" s="1"/>
  <c r="J19" i="6"/>
  <c r="J20" i="6"/>
  <c r="J21" i="6"/>
  <c r="J22" i="6"/>
  <c r="J23" i="6"/>
  <c r="J24" i="6"/>
  <c r="J25" i="6"/>
  <c r="J26" i="6"/>
  <c r="J27" i="6"/>
  <c r="J28" i="6"/>
  <c r="J29" i="6"/>
  <c r="J30" i="6"/>
  <c r="J31" i="6"/>
  <c r="J32" i="6"/>
  <c r="J33" i="6"/>
  <c r="J34" i="6"/>
  <c r="J35" i="6"/>
  <c r="J36" i="6"/>
  <c r="J37" i="6"/>
  <c r="J18" i="6"/>
  <c r="Q131" i="1"/>
  <c r="Q130" i="1"/>
  <c r="Q121" i="1"/>
  <c r="Q109" i="1"/>
  <c r="Q108" i="1"/>
  <c r="Q104" i="1"/>
  <c r="Q129" i="1" s="1"/>
  <c r="Q103" i="1"/>
  <c r="Q128" i="1" s="1"/>
  <c r="Q101" i="1"/>
  <c r="Q126" i="1" s="1"/>
  <c r="Q100" i="1"/>
  <c r="Q125" i="1" s="1"/>
  <c r="Q99" i="1"/>
  <c r="Q124" i="1" s="1"/>
  <c r="Q98" i="1"/>
  <c r="Q123" i="1" s="1"/>
  <c r="Q97" i="1"/>
  <c r="Q122" i="1" s="1"/>
  <c r="Q96" i="1"/>
  <c r="Q95" i="1"/>
  <c r="Q120" i="1" s="1"/>
  <c r="Q94" i="1"/>
  <c r="Q93" i="1"/>
  <c r="Q92" i="1"/>
  <c r="Q119" i="1" s="1"/>
  <c r="AW62" i="23" l="1"/>
  <c r="AW188" i="23"/>
  <c r="AW48" i="23"/>
  <c r="AW110" i="23"/>
  <c r="AW61" i="23"/>
  <c r="AW94" i="23"/>
  <c r="AW204" i="23"/>
  <c r="AW172" i="23"/>
  <c r="AW156" i="23"/>
  <c r="AW140" i="23"/>
  <c r="AW124" i="23"/>
  <c r="AW108" i="23"/>
  <c r="AW92" i="23"/>
  <c r="AW76" i="23"/>
  <c r="AW60" i="23"/>
  <c r="AW44" i="23"/>
  <c r="AW203" i="23"/>
  <c r="AW187" i="23"/>
  <c r="AW171" i="23"/>
  <c r="AW155" i="23"/>
  <c r="AW139" i="23"/>
  <c r="AW123" i="23"/>
  <c r="AW107" i="23"/>
  <c r="AW91" i="23"/>
  <c r="AW75" i="23"/>
  <c r="AW59" i="23"/>
  <c r="AW43" i="23"/>
  <c r="AW190" i="23"/>
  <c r="AW158" i="23"/>
  <c r="AW142" i="23"/>
  <c r="AW46" i="23"/>
  <c r="AW189" i="23"/>
  <c r="AW45" i="23"/>
  <c r="AW170" i="23"/>
  <c r="AW58" i="23"/>
  <c r="AW137" i="23"/>
  <c r="AW200" i="23"/>
  <c r="AW168" i="23"/>
  <c r="AW136" i="23"/>
  <c r="AW88" i="23"/>
  <c r="AW72" i="23"/>
  <c r="AW183" i="23"/>
  <c r="AW151" i="23"/>
  <c r="AW39" i="23"/>
  <c r="AW198" i="23"/>
  <c r="AW182" i="23"/>
  <c r="AW150" i="23"/>
  <c r="AW118" i="23"/>
  <c r="AW70" i="23"/>
  <c r="AW213" i="23"/>
  <c r="AW197" i="23"/>
  <c r="AW181" i="23"/>
  <c r="AW165" i="23"/>
  <c r="AW149" i="23"/>
  <c r="AW133" i="23"/>
  <c r="AW117" i="23"/>
  <c r="AW101" i="23"/>
  <c r="AW85" i="23"/>
  <c r="AW69" i="23"/>
  <c r="AW53" i="23"/>
  <c r="AW37" i="23"/>
  <c r="AW212" i="23"/>
  <c r="AW196" i="23"/>
  <c r="AW180" i="23"/>
  <c r="AW164" i="23"/>
  <c r="AW148" i="23"/>
  <c r="AW132" i="23"/>
  <c r="AW116" i="23"/>
  <c r="AW100" i="23"/>
  <c r="AW84" i="23"/>
  <c r="AW68" i="23"/>
  <c r="AW52" i="23"/>
  <c r="AW36" i="23"/>
  <c r="AW109" i="23"/>
  <c r="AW186" i="23"/>
  <c r="AW73" i="23"/>
  <c r="AW214" i="23"/>
  <c r="AW126" i="23"/>
  <c r="AW77" i="23"/>
  <c r="AW74" i="23"/>
  <c r="AW57" i="23"/>
  <c r="AW215" i="23"/>
  <c r="AW93" i="23"/>
  <c r="AW138" i="23"/>
  <c r="AW89" i="23"/>
  <c r="AW184" i="23"/>
  <c r="AW104" i="23"/>
  <c r="AW40" i="23"/>
  <c r="AW38" i="23"/>
  <c r="AW206" i="23"/>
  <c r="AW78" i="23"/>
  <c r="AW205" i="23"/>
  <c r="AW173" i="23"/>
  <c r="AW157" i="23"/>
  <c r="AW141" i="23"/>
  <c r="AW125" i="23"/>
  <c r="AW106" i="23"/>
  <c r="AW201" i="23"/>
  <c r="AW169" i="23"/>
  <c r="AW153" i="23"/>
  <c r="AW121" i="23"/>
  <c r="AW41" i="23"/>
  <c r="AW152" i="23"/>
  <c r="AW120" i="23"/>
  <c r="AW56" i="23"/>
  <c r="AW199" i="23"/>
  <c r="AW166" i="23"/>
  <c r="AW134" i="23"/>
  <c r="AW102" i="23"/>
  <c r="AW54" i="23"/>
  <c r="AW211" i="23"/>
  <c r="AW179" i="23"/>
  <c r="AW147" i="23"/>
  <c r="AW115" i="23"/>
  <c r="AW83" i="23"/>
  <c r="AW51" i="23"/>
  <c r="AW178" i="23"/>
  <c r="AW66" i="23"/>
  <c r="AW209" i="23"/>
  <c r="AW193" i="23"/>
  <c r="AW177" i="23"/>
  <c r="AW161" i="23"/>
  <c r="AW145" i="23"/>
  <c r="AW129" i="23"/>
  <c r="AW113" i="23"/>
  <c r="AW97" i="23"/>
  <c r="AW81" i="23"/>
  <c r="AW65" i="23"/>
  <c r="AW49" i="23"/>
  <c r="AW208" i="23"/>
  <c r="AW192" i="23"/>
  <c r="AW176" i="23"/>
  <c r="AW160" i="23"/>
  <c r="AW144" i="23"/>
  <c r="AW128" i="23"/>
  <c r="AW112" i="23"/>
  <c r="AW96" i="23"/>
  <c r="AW80" i="23"/>
  <c r="AW64" i="23"/>
  <c r="AW174" i="23"/>
  <c r="C818" i="23"/>
  <c r="C820" i="23"/>
  <c r="C609" i="23"/>
  <c r="C570" i="23"/>
  <c r="C531" i="23"/>
  <c r="C492" i="23"/>
  <c r="C281" i="23"/>
  <c r="C241" i="23"/>
  <c r="C158" i="23"/>
  <c r="C119" i="23"/>
  <c r="C80" i="23"/>
  <c r="C82" i="23"/>
  <c r="C691" i="23"/>
  <c r="C653" i="23"/>
  <c r="C649" i="23"/>
  <c r="C610" i="23"/>
  <c r="C571" i="23"/>
  <c r="C532" i="23"/>
  <c r="C321" i="23"/>
  <c r="C282" i="23"/>
  <c r="C242" i="23"/>
  <c r="C159" i="23"/>
  <c r="C120" i="23"/>
  <c r="C81" i="23"/>
  <c r="C650" i="23"/>
  <c r="C611" i="23"/>
  <c r="C572" i="23"/>
  <c r="C533" i="23"/>
  <c r="C322" i="23"/>
  <c r="C283" i="23"/>
  <c r="C243" i="23"/>
  <c r="C160" i="23"/>
  <c r="C121" i="23"/>
  <c r="C574" i="23"/>
  <c r="C363" i="23"/>
  <c r="C285" i="23"/>
  <c r="C162" i="23"/>
  <c r="C731" i="23"/>
  <c r="C692" i="23"/>
  <c r="C614" i="23"/>
  <c r="C403" i="23"/>
  <c r="C364" i="23"/>
  <c r="C325" i="23"/>
  <c r="C286" i="23"/>
  <c r="C163" i="23"/>
  <c r="C34" i="23"/>
  <c r="C732" i="23"/>
  <c r="C693" i="23"/>
  <c r="C654" i="23"/>
  <c r="C615" i="23"/>
  <c r="C404" i="23"/>
  <c r="C365" i="23"/>
  <c r="C326" i="23"/>
  <c r="C287" i="23"/>
  <c r="C198" i="23"/>
  <c r="C164" i="23"/>
  <c r="C35" i="23"/>
  <c r="C733" i="23"/>
  <c r="C694" i="23"/>
  <c r="C655" i="23"/>
  <c r="C444" i="23"/>
  <c r="C405" i="23"/>
  <c r="C366" i="23"/>
  <c r="C327" i="23"/>
  <c r="C246" i="23"/>
  <c r="C199" i="23"/>
  <c r="C36" i="23"/>
  <c r="C773" i="23"/>
  <c r="C734" i="23"/>
  <c r="C690" i="23"/>
  <c r="C651" i="23"/>
  <c r="C612" i="23"/>
  <c r="C573" i="23"/>
  <c r="C362" i="23"/>
  <c r="C323" i="23"/>
  <c r="C284" i="23"/>
  <c r="C244" i="23"/>
  <c r="C161" i="23"/>
  <c r="C122" i="23"/>
  <c r="C41" i="23"/>
  <c r="C613" i="23"/>
  <c r="C324" i="23"/>
  <c r="C245" i="23"/>
  <c r="C123" i="23"/>
  <c r="C772" i="23"/>
  <c r="C652" i="23"/>
  <c r="C779" i="23"/>
  <c r="C569" i="23"/>
  <c r="C491" i="23"/>
  <c r="C280" i="23"/>
  <c r="C157" i="23"/>
  <c r="C79" i="23"/>
  <c r="C656" i="23"/>
  <c r="C445" i="23"/>
  <c r="C367" i="23"/>
  <c r="C37" i="23"/>
  <c r="C735" i="23"/>
  <c r="C446" i="23"/>
  <c r="C368" i="23"/>
  <c r="C38" i="23"/>
  <c r="C447" i="23"/>
  <c r="C369" i="23"/>
  <c r="C39" i="23"/>
  <c r="C737" i="23"/>
  <c r="C526" i="23"/>
  <c r="C40" i="23"/>
  <c r="C813" i="23"/>
  <c r="C738" i="23"/>
  <c r="C449" i="23"/>
  <c r="C814" i="23"/>
  <c r="C528" i="23"/>
  <c r="C450" i="23"/>
  <c r="C116" i="23"/>
  <c r="C608" i="23"/>
  <c r="C118" i="23"/>
  <c r="C817" i="23"/>
  <c r="C406" i="23"/>
  <c r="C328" i="23"/>
  <c r="C200" i="23"/>
  <c r="C819" i="23"/>
  <c r="C696" i="23"/>
  <c r="C485" i="23"/>
  <c r="C407" i="23"/>
  <c r="C201" i="23"/>
  <c r="C490" i="23"/>
  <c r="C78" i="23"/>
  <c r="C774" i="23"/>
  <c r="C202" i="23"/>
  <c r="C487" i="23"/>
  <c r="C409" i="23"/>
  <c r="C203" i="23"/>
  <c r="C488" i="23"/>
  <c r="C410" i="23"/>
  <c r="C204" i="23"/>
  <c r="C76" i="23"/>
  <c r="C777" i="23"/>
  <c r="C567" i="23"/>
  <c r="C489" i="23"/>
  <c r="C205" i="23"/>
  <c r="C77" i="23"/>
  <c r="C778" i="23"/>
  <c r="C568" i="23"/>
  <c r="C736" i="23"/>
  <c r="C448" i="23"/>
  <c r="C527" i="23"/>
  <c r="C240" i="23"/>
  <c r="C695" i="23"/>
  <c r="C815" i="23"/>
  <c r="C529" i="23"/>
  <c r="C451" i="23"/>
  <c r="C239" i="23"/>
  <c r="C117" i="23"/>
  <c r="C816" i="23"/>
  <c r="C530" i="23"/>
  <c r="C697" i="23"/>
  <c r="C486" i="23"/>
  <c r="C408" i="23"/>
  <c r="C776" i="23"/>
  <c r="C775" i="23"/>
  <c r="C75" i="23"/>
  <c r="AW202" i="23"/>
  <c r="AW154" i="23"/>
  <c r="AW122" i="23"/>
  <c r="AW90" i="23"/>
  <c r="AW42" i="23"/>
  <c r="AW185" i="23"/>
  <c r="AW105" i="23"/>
  <c r="AW167" i="23"/>
  <c r="AW135" i="23"/>
  <c r="AW119" i="23"/>
  <c r="AW103" i="23"/>
  <c r="AW87" i="23"/>
  <c r="AW71" i="23"/>
  <c r="AW55" i="23"/>
  <c r="AW86" i="23"/>
  <c r="AW195" i="23"/>
  <c r="AW163" i="23"/>
  <c r="AW131" i="23"/>
  <c r="AW99" i="23"/>
  <c r="AW67" i="23"/>
  <c r="AW35" i="23"/>
  <c r="AW210" i="23"/>
  <c r="AW194" i="23"/>
  <c r="AW162" i="23"/>
  <c r="AW146" i="23"/>
  <c r="AW130" i="23"/>
  <c r="AW114" i="23"/>
  <c r="AW98" i="23"/>
  <c r="AW82" i="23"/>
  <c r="AW50" i="23"/>
  <c r="AW207" i="23"/>
  <c r="AW191" i="23"/>
  <c r="AW175" i="23"/>
  <c r="AW159" i="23"/>
  <c r="AW143" i="23"/>
  <c r="AW127" i="23"/>
  <c r="AW111" i="23"/>
  <c r="AW95" i="23"/>
  <c r="AW79" i="23"/>
  <c r="AW63" i="23"/>
  <c r="AW47" i="23"/>
  <c r="AL2" i="3"/>
  <c r="AN2" i="3" s="1" a="1"/>
  <c r="AN2" i="3" s="1"/>
  <c r="M14" i="25"/>
  <c r="BW19" i="22"/>
  <c r="BT19" i="22"/>
  <c r="BT18" i="22"/>
  <c r="BR19" i="22"/>
  <c r="BR18" i="22"/>
  <c r="BQ19" i="22"/>
  <c r="BQ18" i="22"/>
  <c r="BN19" i="22"/>
  <c r="BY19" i="22" s="1"/>
  <c r="BM19" i="22"/>
  <c r="BX19" i="22" s="1"/>
  <c r="BN18" i="22"/>
  <c r="BV18" i="22" s="1"/>
  <c r="BM18" i="22"/>
  <c r="BU18" i="22" s="1"/>
  <c r="BV19" i="22" l="1"/>
  <c r="BU19" i="22"/>
  <c r="V194" i="22"/>
  <c r="D194" i="22"/>
  <c r="V174" i="22"/>
  <c r="D174" i="22"/>
  <c r="V153" i="22"/>
  <c r="D153" i="22"/>
  <c r="V133" i="22"/>
  <c r="D133" i="22"/>
  <c r="V113" i="22"/>
  <c r="D113" i="22"/>
  <c r="V93" i="22"/>
  <c r="D93" i="22"/>
  <c r="V70" i="22"/>
  <c r="D70" i="22"/>
  <c r="V50" i="22"/>
  <c r="D50" i="22"/>
  <c r="V30" i="22"/>
  <c r="D30" i="22"/>
  <c r="V10" i="22"/>
  <c r="D10" i="22"/>
  <c r="BX15" i="22"/>
  <c r="BY15" i="22"/>
  <c r="BW17" i="22"/>
  <c r="BX17" i="22" s="1"/>
  <c r="BW16" i="22"/>
  <c r="BW18" i="22" s="1"/>
  <c r="BW14" i="22"/>
  <c r="BX14" i="22" s="1"/>
  <c r="BT17" i="22"/>
  <c r="BV17" i="22" s="1"/>
  <c r="BT16" i="22"/>
  <c r="BV16" i="22" s="1"/>
  <c r="BT15" i="22"/>
  <c r="BV15" i="22" s="1"/>
  <c r="BT14" i="22"/>
  <c r="BV14" i="22" s="1"/>
  <c r="BS17" i="22"/>
  <c r="BS16" i="22"/>
  <c r="BS15" i="22"/>
  <c r="BS14" i="22"/>
  <c r="BP17" i="22"/>
  <c r="BP16" i="22"/>
  <c r="BP15" i="22"/>
  <c r="BP14" i="22"/>
  <c r="BL15" i="22"/>
  <c r="BN15" i="22" s="1"/>
  <c r="BL17" i="22"/>
  <c r="BN17" i="22" s="1"/>
  <c r="BL16" i="22"/>
  <c r="BN16" i="22" s="1"/>
  <c r="BL14" i="22"/>
  <c r="BN14" i="22" s="1"/>
  <c r="G820" i="23"/>
  <c r="D820" i="23"/>
  <c r="B820" i="23"/>
  <c r="E820" i="23" s="1"/>
  <c r="A820" i="23"/>
  <c r="G819" i="23"/>
  <c r="D819" i="23"/>
  <c r="B819" i="23"/>
  <c r="E819" i="23" s="1"/>
  <c r="A819" i="23"/>
  <c r="G818" i="23"/>
  <c r="D818" i="23"/>
  <c r="B818" i="23"/>
  <c r="E818" i="23" s="1"/>
  <c r="A818" i="23"/>
  <c r="G817" i="23"/>
  <c r="D817" i="23"/>
  <c r="B817" i="23"/>
  <c r="E817" i="23" s="1"/>
  <c r="A817" i="23"/>
  <c r="G816" i="23"/>
  <c r="D816" i="23"/>
  <c r="B816" i="23"/>
  <c r="E816" i="23" s="1"/>
  <c r="A816" i="23"/>
  <c r="G815" i="23"/>
  <c r="D815" i="23"/>
  <c r="B815" i="23"/>
  <c r="E815" i="23" s="1"/>
  <c r="A815" i="23"/>
  <c r="G814" i="23"/>
  <c r="D814" i="23"/>
  <c r="B814" i="23"/>
  <c r="E814" i="23" s="1"/>
  <c r="A814" i="23"/>
  <c r="G813" i="23"/>
  <c r="D813" i="23"/>
  <c r="B813" i="23"/>
  <c r="A813" i="23"/>
  <c r="A780" i="23"/>
  <c r="G779" i="23"/>
  <c r="D779" i="23"/>
  <c r="B779" i="23"/>
  <c r="E779" i="23" s="1"/>
  <c r="A779" i="23"/>
  <c r="G778" i="23"/>
  <c r="D778" i="23"/>
  <c r="B778" i="23"/>
  <c r="E778" i="23" s="1"/>
  <c r="A778" i="23"/>
  <c r="G777" i="23"/>
  <c r="D777" i="23"/>
  <c r="B777" i="23"/>
  <c r="E777" i="23" s="1"/>
  <c r="A777" i="23"/>
  <c r="G776" i="23"/>
  <c r="D776" i="23"/>
  <c r="B776" i="23"/>
  <c r="E776" i="23" s="1"/>
  <c r="A776" i="23"/>
  <c r="G775" i="23"/>
  <c r="D775" i="23"/>
  <c r="B775" i="23"/>
  <c r="E775" i="23" s="1"/>
  <c r="A775" i="23"/>
  <c r="G774" i="23"/>
  <c r="D774" i="23"/>
  <c r="B774" i="23"/>
  <c r="E774" i="23" s="1"/>
  <c r="A774" i="23"/>
  <c r="G773" i="23"/>
  <c r="D773" i="23"/>
  <c r="B773" i="23"/>
  <c r="E773" i="23" s="1"/>
  <c r="A773" i="23"/>
  <c r="G772" i="23"/>
  <c r="D772" i="23"/>
  <c r="B772" i="23"/>
  <c r="E772" i="23" s="1"/>
  <c r="A772" i="23"/>
  <c r="A739" i="23"/>
  <c r="G738" i="23"/>
  <c r="D738" i="23"/>
  <c r="B738" i="23"/>
  <c r="E738" i="23" s="1"/>
  <c r="A738" i="23"/>
  <c r="G737" i="23"/>
  <c r="D737" i="23"/>
  <c r="B737" i="23"/>
  <c r="E737" i="23" s="1"/>
  <c r="A737" i="23"/>
  <c r="G736" i="23"/>
  <c r="D736" i="23"/>
  <c r="B736" i="23"/>
  <c r="E736" i="23" s="1"/>
  <c r="A736" i="23"/>
  <c r="G735" i="23"/>
  <c r="D735" i="23"/>
  <c r="B735" i="23"/>
  <c r="E735" i="23" s="1"/>
  <c r="A735" i="23"/>
  <c r="G734" i="23"/>
  <c r="D734" i="23"/>
  <c r="B734" i="23"/>
  <c r="E734" i="23" s="1"/>
  <c r="A734" i="23"/>
  <c r="G733" i="23"/>
  <c r="D733" i="23"/>
  <c r="B733" i="23"/>
  <c r="E733" i="23" s="1"/>
  <c r="A733" i="23"/>
  <c r="G732" i="23"/>
  <c r="D732" i="23"/>
  <c r="B732" i="23"/>
  <c r="E732" i="23" s="1"/>
  <c r="A732" i="23"/>
  <c r="G731" i="23"/>
  <c r="D731" i="23"/>
  <c r="B731" i="23"/>
  <c r="E731" i="23" s="1"/>
  <c r="A731" i="23"/>
  <c r="A698" i="23"/>
  <c r="G697" i="23"/>
  <c r="D697" i="23"/>
  <c r="B697" i="23"/>
  <c r="E697" i="23" s="1"/>
  <c r="A697" i="23"/>
  <c r="G696" i="23"/>
  <c r="D696" i="23"/>
  <c r="B696" i="23"/>
  <c r="E696" i="23" s="1"/>
  <c r="A696" i="23"/>
  <c r="G695" i="23"/>
  <c r="D695" i="23"/>
  <c r="B695" i="23"/>
  <c r="E695" i="23" s="1"/>
  <c r="A695" i="23"/>
  <c r="G694" i="23"/>
  <c r="D694" i="23"/>
  <c r="B694" i="23"/>
  <c r="E694" i="23" s="1"/>
  <c r="A694" i="23"/>
  <c r="G693" i="23"/>
  <c r="D693" i="23"/>
  <c r="B693" i="23"/>
  <c r="E693" i="23" s="1"/>
  <c r="A693" i="23"/>
  <c r="G692" i="23"/>
  <c r="D692" i="23"/>
  <c r="B692" i="23"/>
  <c r="E692" i="23" s="1"/>
  <c r="A692" i="23"/>
  <c r="G691" i="23"/>
  <c r="D691" i="23"/>
  <c r="B691" i="23"/>
  <c r="E691" i="23" s="1"/>
  <c r="A691" i="23"/>
  <c r="G690" i="23"/>
  <c r="D690" i="23"/>
  <c r="B690" i="23"/>
  <c r="E690" i="23" s="1"/>
  <c r="A690" i="23"/>
  <c r="A657" i="23"/>
  <c r="G656" i="23"/>
  <c r="D656" i="23"/>
  <c r="B656" i="23"/>
  <c r="E656" i="23" s="1"/>
  <c r="A656" i="23"/>
  <c r="G655" i="23"/>
  <c r="D655" i="23"/>
  <c r="B655" i="23"/>
  <c r="E655" i="23" s="1"/>
  <c r="A655" i="23"/>
  <c r="G654" i="23"/>
  <c r="D654" i="23"/>
  <c r="B654" i="23"/>
  <c r="E654" i="23" s="1"/>
  <c r="A654" i="23"/>
  <c r="G653" i="23"/>
  <c r="D653" i="23"/>
  <c r="B653" i="23"/>
  <c r="E653" i="23" s="1"/>
  <c r="A653" i="23"/>
  <c r="G652" i="23"/>
  <c r="D652" i="23"/>
  <c r="B652" i="23"/>
  <c r="E652" i="23" s="1"/>
  <c r="A652" i="23"/>
  <c r="G651" i="23"/>
  <c r="D651" i="23"/>
  <c r="B651" i="23"/>
  <c r="E651" i="23" s="1"/>
  <c r="A651" i="23"/>
  <c r="G650" i="23"/>
  <c r="D650" i="23"/>
  <c r="B650" i="23"/>
  <c r="E650" i="23" s="1"/>
  <c r="A650" i="23"/>
  <c r="G649" i="23"/>
  <c r="D649" i="23"/>
  <c r="B649" i="23"/>
  <c r="E649" i="23" s="1"/>
  <c r="A649" i="23"/>
  <c r="A616" i="23"/>
  <c r="G615" i="23"/>
  <c r="D615" i="23"/>
  <c r="B615" i="23"/>
  <c r="E615" i="23" s="1"/>
  <c r="A615" i="23"/>
  <c r="G614" i="23"/>
  <c r="D614" i="23"/>
  <c r="B614" i="23"/>
  <c r="E614" i="23" s="1"/>
  <c r="A614" i="23"/>
  <c r="G613" i="23"/>
  <c r="D613" i="23"/>
  <c r="B613" i="23"/>
  <c r="E613" i="23" s="1"/>
  <c r="A613" i="23"/>
  <c r="G612" i="23"/>
  <c r="D612" i="23"/>
  <c r="B612" i="23"/>
  <c r="E612" i="23" s="1"/>
  <c r="A612" i="23"/>
  <c r="G611" i="23"/>
  <c r="D611" i="23"/>
  <c r="B611" i="23"/>
  <c r="E611" i="23" s="1"/>
  <c r="A611" i="23"/>
  <c r="G610" i="23"/>
  <c r="D610" i="23"/>
  <c r="B610" i="23"/>
  <c r="E610" i="23" s="1"/>
  <c r="A610" i="23"/>
  <c r="G609" i="23"/>
  <c r="D609" i="23"/>
  <c r="B609" i="23"/>
  <c r="E609" i="23" s="1"/>
  <c r="A609" i="23"/>
  <c r="G608" i="23"/>
  <c r="D608" i="23"/>
  <c r="B608" i="23"/>
  <c r="E608" i="23" s="1"/>
  <c r="A608" i="23"/>
  <c r="A575" i="23"/>
  <c r="G574" i="23"/>
  <c r="D574" i="23"/>
  <c r="B574" i="23"/>
  <c r="E574" i="23" s="1"/>
  <c r="A574" i="23"/>
  <c r="G573" i="23"/>
  <c r="D573" i="23"/>
  <c r="B573" i="23"/>
  <c r="E573" i="23" s="1"/>
  <c r="A573" i="23"/>
  <c r="G572" i="23"/>
  <c r="D572" i="23"/>
  <c r="B572" i="23"/>
  <c r="E572" i="23" s="1"/>
  <c r="A572" i="23"/>
  <c r="G571" i="23"/>
  <c r="D571" i="23"/>
  <c r="B571" i="23"/>
  <c r="E571" i="23" s="1"/>
  <c r="A571" i="23"/>
  <c r="G570" i="23"/>
  <c r="D570" i="23"/>
  <c r="B570" i="23"/>
  <c r="E570" i="23" s="1"/>
  <c r="A570" i="23"/>
  <c r="G569" i="23"/>
  <c r="D569" i="23"/>
  <c r="B569" i="23"/>
  <c r="E569" i="23" s="1"/>
  <c r="A569" i="23"/>
  <c r="G568" i="23"/>
  <c r="D568" i="23"/>
  <c r="B568" i="23"/>
  <c r="E568" i="23" s="1"/>
  <c r="A568" i="23"/>
  <c r="G567" i="23"/>
  <c r="D567" i="23"/>
  <c r="B567" i="23"/>
  <c r="E567" i="23" s="1"/>
  <c r="A567" i="23"/>
  <c r="A534" i="23"/>
  <c r="G533" i="23"/>
  <c r="D533" i="23"/>
  <c r="B533" i="23"/>
  <c r="E533" i="23" s="1"/>
  <c r="A533" i="23"/>
  <c r="G532" i="23"/>
  <c r="D532" i="23"/>
  <c r="B532" i="23"/>
  <c r="E532" i="23" s="1"/>
  <c r="A532" i="23"/>
  <c r="G531" i="23"/>
  <c r="D531" i="23"/>
  <c r="B531" i="23"/>
  <c r="A531" i="23"/>
  <c r="G530" i="23"/>
  <c r="D530" i="23"/>
  <c r="B530" i="23"/>
  <c r="E530" i="23" s="1"/>
  <c r="A530" i="23"/>
  <c r="G529" i="23"/>
  <c r="D529" i="23"/>
  <c r="B529" i="23"/>
  <c r="E529" i="23" s="1"/>
  <c r="A529" i="23"/>
  <c r="G528" i="23"/>
  <c r="D528" i="23"/>
  <c r="B528" i="23"/>
  <c r="E528" i="23" s="1"/>
  <c r="A528" i="23"/>
  <c r="G527" i="23"/>
  <c r="D527" i="23"/>
  <c r="B527" i="23"/>
  <c r="E527" i="23" s="1"/>
  <c r="A527" i="23"/>
  <c r="G526" i="23"/>
  <c r="D526" i="23"/>
  <c r="B526" i="23"/>
  <c r="E526" i="23" s="1"/>
  <c r="A526" i="23"/>
  <c r="A493" i="23"/>
  <c r="G492" i="23"/>
  <c r="D492" i="23"/>
  <c r="B492" i="23"/>
  <c r="E492" i="23" s="1"/>
  <c r="A492" i="23"/>
  <c r="G491" i="23"/>
  <c r="D491" i="23"/>
  <c r="B491" i="23"/>
  <c r="E491" i="23" s="1"/>
  <c r="A491" i="23"/>
  <c r="G490" i="23"/>
  <c r="D490" i="23"/>
  <c r="B490" i="23"/>
  <c r="E490" i="23" s="1"/>
  <c r="A490" i="23"/>
  <c r="G489" i="23"/>
  <c r="D489" i="23"/>
  <c r="B489" i="23"/>
  <c r="E489" i="23" s="1"/>
  <c r="A489" i="23"/>
  <c r="G488" i="23"/>
  <c r="D488" i="23"/>
  <c r="B488" i="23"/>
  <c r="E488" i="23" s="1"/>
  <c r="A488" i="23"/>
  <c r="G487" i="23"/>
  <c r="D487" i="23"/>
  <c r="B487" i="23"/>
  <c r="E487" i="23" s="1"/>
  <c r="A487" i="23"/>
  <c r="G486" i="23"/>
  <c r="D486" i="23"/>
  <c r="B486" i="23"/>
  <c r="E486" i="23" s="1"/>
  <c r="A486" i="23"/>
  <c r="G485" i="23"/>
  <c r="D485" i="23"/>
  <c r="B485" i="23"/>
  <c r="E485" i="23" s="1"/>
  <c r="A485" i="23"/>
  <c r="A452" i="23"/>
  <c r="G451" i="23"/>
  <c r="D451" i="23"/>
  <c r="B451" i="23"/>
  <c r="E451" i="23" s="1"/>
  <c r="A451" i="23"/>
  <c r="G450" i="23"/>
  <c r="D450" i="23"/>
  <c r="B450" i="23"/>
  <c r="E450" i="23" s="1"/>
  <c r="A450" i="23"/>
  <c r="G449" i="23"/>
  <c r="D449" i="23"/>
  <c r="B449" i="23"/>
  <c r="E449" i="23" s="1"/>
  <c r="A449" i="23"/>
  <c r="G448" i="23"/>
  <c r="D448" i="23"/>
  <c r="B448" i="23"/>
  <c r="E448" i="23" s="1"/>
  <c r="A448" i="23"/>
  <c r="G447" i="23"/>
  <c r="D447" i="23"/>
  <c r="B447" i="23"/>
  <c r="E447" i="23" s="1"/>
  <c r="A447" i="23"/>
  <c r="G446" i="23"/>
  <c r="D446" i="23"/>
  <c r="B446" i="23"/>
  <c r="E446" i="23" s="1"/>
  <c r="A446" i="23"/>
  <c r="G445" i="23"/>
  <c r="D445" i="23"/>
  <c r="B445" i="23"/>
  <c r="E445" i="23" s="1"/>
  <c r="A445" i="23"/>
  <c r="G444" i="23"/>
  <c r="D444" i="23"/>
  <c r="B444" i="23"/>
  <c r="E444" i="23" s="1"/>
  <c r="A444" i="23"/>
  <c r="A411" i="23"/>
  <c r="G410" i="23"/>
  <c r="D410" i="23"/>
  <c r="B410" i="23"/>
  <c r="E410" i="23" s="1"/>
  <c r="A410" i="23"/>
  <c r="G409" i="23"/>
  <c r="D409" i="23"/>
  <c r="B409" i="23"/>
  <c r="E409" i="23" s="1"/>
  <c r="A409" i="23"/>
  <c r="G408" i="23"/>
  <c r="D408" i="23"/>
  <c r="B408" i="23"/>
  <c r="E408" i="23" s="1"/>
  <c r="A408" i="23"/>
  <c r="G407" i="23"/>
  <c r="D407" i="23"/>
  <c r="B407" i="23"/>
  <c r="E407" i="23" s="1"/>
  <c r="A407" i="23"/>
  <c r="G406" i="23"/>
  <c r="D406" i="23"/>
  <c r="B406" i="23"/>
  <c r="E406" i="23" s="1"/>
  <c r="A406" i="23"/>
  <c r="G405" i="23"/>
  <c r="D405" i="23"/>
  <c r="B405" i="23"/>
  <c r="E405" i="23" s="1"/>
  <c r="A405" i="23"/>
  <c r="G404" i="23"/>
  <c r="D404" i="23"/>
  <c r="B404" i="23"/>
  <c r="E404" i="23" s="1"/>
  <c r="A404" i="23"/>
  <c r="G403" i="23"/>
  <c r="D403" i="23"/>
  <c r="B403" i="23"/>
  <c r="E403" i="23" s="1"/>
  <c r="A403" i="23"/>
  <c r="A370" i="23"/>
  <c r="G369" i="23"/>
  <c r="D369" i="23"/>
  <c r="B369" i="23"/>
  <c r="E369" i="23" s="1"/>
  <c r="A369" i="23"/>
  <c r="G368" i="23"/>
  <c r="D368" i="23"/>
  <c r="B368" i="23"/>
  <c r="E368" i="23" s="1"/>
  <c r="A368" i="23"/>
  <c r="G367" i="23"/>
  <c r="D367" i="23"/>
  <c r="B367" i="23"/>
  <c r="E367" i="23" s="1"/>
  <c r="A367" i="23"/>
  <c r="G366" i="23"/>
  <c r="D366" i="23"/>
  <c r="B366" i="23"/>
  <c r="E366" i="23" s="1"/>
  <c r="A366" i="23"/>
  <c r="G365" i="23"/>
  <c r="D365" i="23"/>
  <c r="B365" i="23"/>
  <c r="E365" i="23" s="1"/>
  <c r="A365" i="23"/>
  <c r="G364" i="23"/>
  <c r="D364" i="23"/>
  <c r="B364" i="23"/>
  <c r="E364" i="23" s="1"/>
  <c r="A364" i="23"/>
  <c r="G363" i="23"/>
  <c r="D363" i="23"/>
  <c r="B363" i="23"/>
  <c r="E363" i="23" s="1"/>
  <c r="A363" i="23"/>
  <c r="G362" i="23"/>
  <c r="D362" i="23"/>
  <c r="B362" i="23"/>
  <c r="E362" i="23" s="1"/>
  <c r="A362" i="23"/>
  <c r="A329" i="23"/>
  <c r="G328" i="23"/>
  <c r="D328" i="23"/>
  <c r="B328" i="23"/>
  <c r="E328" i="23" s="1"/>
  <c r="A328" i="23"/>
  <c r="G327" i="23"/>
  <c r="D327" i="23"/>
  <c r="B327" i="23"/>
  <c r="E327" i="23" s="1"/>
  <c r="A327" i="23"/>
  <c r="G326" i="23"/>
  <c r="D326" i="23"/>
  <c r="B326" i="23"/>
  <c r="E326" i="23" s="1"/>
  <c r="A326" i="23"/>
  <c r="G325" i="23"/>
  <c r="D325" i="23"/>
  <c r="B325" i="23"/>
  <c r="E325" i="23" s="1"/>
  <c r="A325" i="23"/>
  <c r="G324" i="23"/>
  <c r="D324" i="23"/>
  <c r="B324" i="23"/>
  <c r="E324" i="23" s="1"/>
  <c r="A324" i="23"/>
  <c r="G323" i="23"/>
  <c r="D323" i="23"/>
  <c r="B323" i="23"/>
  <c r="E323" i="23" s="1"/>
  <c r="A323" i="23"/>
  <c r="G322" i="23"/>
  <c r="D322" i="23"/>
  <c r="B322" i="23"/>
  <c r="E322" i="23" s="1"/>
  <c r="A322" i="23"/>
  <c r="G321" i="23"/>
  <c r="D321" i="23"/>
  <c r="B321" i="23"/>
  <c r="E321" i="23" s="1"/>
  <c r="A321" i="23"/>
  <c r="A288" i="23"/>
  <c r="G287" i="23"/>
  <c r="D287" i="23"/>
  <c r="B287" i="23"/>
  <c r="E287" i="23" s="1"/>
  <c r="A287" i="23"/>
  <c r="G286" i="23"/>
  <c r="D286" i="23"/>
  <c r="B286" i="23"/>
  <c r="E286" i="23" s="1"/>
  <c r="A286" i="23"/>
  <c r="G285" i="23"/>
  <c r="D285" i="23"/>
  <c r="B285" i="23"/>
  <c r="E285" i="23" s="1"/>
  <c r="A285" i="23"/>
  <c r="G284" i="23"/>
  <c r="D284" i="23"/>
  <c r="B284" i="23"/>
  <c r="E284" i="23" s="1"/>
  <c r="A284" i="23"/>
  <c r="G283" i="23"/>
  <c r="D283" i="23"/>
  <c r="B283" i="23"/>
  <c r="E283" i="23" s="1"/>
  <c r="A283" i="23"/>
  <c r="G282" i="23"/>
  <c r="D282" i="23"/>
  <c r="B282" i="23"/>
  <c r="E282" i="23" s="1"/>
  <c r="A282" i="23"/>
  <c r="G281" i="23"/>
  <c r="D281" i="23"/>
  <c r="B281" i="23"/>
  <c r="E281" i="23" s="1"/>
  <c r="A281" i="23"/>
  <c r="G280" i="23"/>
  <c r="D280" i="23"/>
  <c r="B280" i="23"/>
  <c r="E280" i="23" s="1"/>
  <c r="A280" i="23"/>
  <c r="A247" i="23"/>
  <c r="G246" i="23"/>
  <c r="D246" i="23"/>
  <c r="B246" i="23"/>
  <c r="E246" i="23" s="1"/>
  <c r="A246" i="23"/>
  <c r="G245" i="23"/>
  <c r="D245" i="23"/>
  <c r="B245" i="23"/>
  <c r="E245" i="23" s="1"/>
  <c r="A245" i="23"/>
  <c r="G244" i="23"/>
  <c r="D244" i="23"/>
  <c r="B244" i="23"/>
  <c r="E244" i="23" s="1"/>
  <c r="A244" i="23"/>
  <c r="G243" i="23"/>
  <c r="D243" i="23"/>
  <c r="B243" i="23"/>
  <c r="E243" i="23" s="1"/>
  <c r="A243" i="23"/>
  <c r="G242" i="23"/>
  <c r="D242" i="23"/>
  <c r="B242" i="23"/>
  <c r="E242" i="23" s="1"/>
  <c r="A242" i="23"/>
  <c r="G241" i="23"/>
  <c r="D241" i="23"/>
  <c r="B241" i="23"/>
  <c r="E241" i="23" s="1"/>
  <c r="A241" i="23"/>
  <c r="G240" i="23"/>
  <c r="D240" i="23"/>
  <c r="B240" i="23"/>
  <c r="E240" i="23" s="1"/>
  <c r="A240" i="23"/>
  <c r="G239" i="23"/>
  <c r="D239" i="23"/>
  <c r="B239" i="23"/>
  <c r="E239" i="23" s="1"/>
  <c r="A239" i="23"/>
  <c r="A206" i="23"/>
  <c r="G205" i="23"/>
  <c r="D205" i="23"/>
  <c r="B205" i="23"/>
  <c r="E205" i="23" s="1"/>
  <c r="A205" i="23"/>
  <c r="G204" i="23"/>
  <c r="D204" i="23"/>
  <c r="B204" i="23"/>
  <c r="E204" i="23" s="1"/>
  <c r="A204" i="23"/>
  <c r="G203" i="23"/>
  <c r="D203" i="23"/>
  <c r="B203" i="23"/>
  <c r="E203" i="23" s="1"/>
  <c r="A203" i="23"/>
  <c r="G202" i="23"/>
  <c r="D202" i="23"/>
  <c r="B202" i="23"/>
  <c r="E202" i="23" s="1"/>
  <c r="A202" i="23"/>
  <c r="G201" i="23"/>
  <c r="D201" i="23"/>
  <c r="B201" i="23"/>
  <c r="E201" i="23" s="1"/>
  <c r="A201" i="23"/>
  <c r="G200" i="23"/>
  <c r="D200" i="23"/>
  <c r="B200" i="23"/>
  <c r="E200" i="23" s="1"/>
  <c r="A200" i="23"/>
  <c r="G199" i="23"/>
  <c r="D199" i="23"/>
  <c r="B199" i="23"/>
  <c r="E199" i="23" s="1"/>
  <c r="A199" i="23"/>
  <c r="G198" i="23"/>
  <c r="D198" i="23"/>
  <c r="B198" i="23"/>
  <c r="E198" i="23" s="1"/>
  <c r="A198" i="23"/>
  <c r="A165" i="23"/>
  <c r="G164" i="23"/>
  <c r="D164" i="23"/>
  <c r="B164" i="23"/>
  <c r="E164" i="23" s="1"/>
  <c r="A164" i="23"/>
  <c r="G163" i="23"/>
  <c r="D163" i="23"/>
  <c r="B163" i="23"/>
  <c r="E163" i="23" s="1"/>
  <c r="A163" i="23"/>
  <c r="G162" i="23"/>
  <c r="D162" i="23"/>
  <c r="B162" i="23"/>
  <c r="E162" i="23" s="1"/>
  <c r="A162" i="23"/>
  <c r="G161" i="23"/>
  <c r="D161" i="23"/>
  <c r="B161" i="23"/>
  <c r="E161" i="23" s="1"/>
  <c r="A161" i="23"/>
  <c r="G160" i="23"/>
  <c r="D160" i="23"/>
  <c r="B160" i="23"/>
  <c r="E160" i="23" s="1"/>
  <c r="A160" i="23"/>
  <c r="G159" i="23"/>
  <c r="D159" i="23"/>
  <c r="B159" i="23"/>
  <c r="E159" i="23" s="1"/>
  <c r="A159" i="23"/>
  <c r="G158" i="23"/>
  <c r="D158" i="23"/>
  <c r="B158" i="23"/>
  <c r="E158" i="23" s="1"/>
  <c r="A158" i="23"/>
  <c r="G157" i="23"/>
  <c r="D157" i="23"/>
  <c r="B157" i="23"/>
  <c r="E157" i="23" s="1"/>
  <c r="A157" i="23"/>
  <c r="A124" i="23"/>
  <c r="G123" i="23"/>
  <c r="D123" i="23"/>
  <c r="B123" i="23"/>
  <c r="E123" i="23" s="1"/>
  <c r="A123" i="23"/>
  <c r="G122" i="23"/>
  <c r="D122" i="23"/>
  <c r="B122" i="23"/>
  <c r="E122" i="23" s="1"/>
  <c r="A122" i="23"/>
  <c r="G121" i="23"/>
  <c r="D121" i="23"/>
  <c r="B121" i="23"/>
  <c r="E121" i="23" s="1"/>
  <c r="A121" i="23"/>
  <c r="G120" i="23"/>
  <c r="D120" i="23"/>
  <c r="B120" i="23"/>
  <c r="E120" i="23" s="1"/>
  <c r="A120" i="23"/>
  <c r="G119" i="23"/>
  <c r="D119" i="23"/>
  <c r="B119" i="23"/>
  <c r="E119" i="23" s="1"/>
  <c r="A119" i="23"/>
  <c r="G118" i="23"/>
  <c r="D118" i="23"/>
  <c r="B118" i="23"/>
  <c r="E118" i="23" s="1"/>
  <c r="A118" i="23"/>
  <c r="G117" i="23"/>
  <c r="D117" i="23"/>
  <c r="B117" i="23"/>
  <c r="E117" i="23" s="1"/>
  <c r="A117" i="23"/>
  <c r="G116" i="23"/>
  <c r="D116" i="23"/>
  <c r="B116" i="23"/>
  <c r="E116" i="23" s="1"/>
  <c r="A116" i="23"/>
  <c r="A83" i="23"/>
  <c r="G82" i="23"/>
  <c r="D82" i="23"/>
  <c r="B82" i="23"/>
  <c r="E82" i="23" s="1"/>
  <c r="A82" i="23"/>
  <c r="G81" i="23"/>
  <c r="D81" i="23"/>
  <c r="B81" i="23"/>
  <c r="E81" i="23" s="1"/>
  <c r="A81" i="23"/>
  <c r="G80" i="23"/>
  <c r="D80" i="23"/>
  <c r="B80" i="23"/>
  <c r="E80" i="23" s="1"/>
  <c r="A80" i="23"/>
  <c r="G79" i="23"/>
  <c r="D79" i="23"/>
  <c r="B79" i="23"/>
  <c r="E79" i="23" s="1"/>
  <c r="A79" i="23"/>
  <c r="G78" i="23"/>
  <c r="D78" i="23"/>
  <c r="B78" i="23"/>
  <c r="E78" i="23" s="1"/>
  <c r="A78" i="23"/>
  <c r="G77" i="23"/>
  <c r="D77" i="23"/>
  <c r="B77" i="23"/>
  <c r="E77" i="23" s="1"/>
  <c r="A77" i="23"/>
  <c r="G76" i="23"/>
  <c r="D76" i="23"/>
  <c r="B76" i="23"/>
  <c r="E76" i="23" s="1"/>
  <c r="A76" i="23"/>
  <c r="G75" i="23"/>
  <c r="D75" i="23"/>
  <c r="B75" i="23"/>
  <c r="E75" i="23" s="1"/>
  <c r="A75" i="23"/>
  <c r="A42" i="23"/>
  <c r="G34" i="23"/>
  <c r="G35" i="23"/>
  <c r="G36" i="23"/>
  <c r="G37" i="23"/>
  <c r="G38" i="23"/>
  <c r="G39" i="23"/>
  <c r="G40" i="23"/>
  <c r="G41" i="23"/>
  <c r="D34" i="23"/>
  <c r="D35" i="23"/>
  <c r="D36" i="23"/>
  <c r="D37" i="23"/>
  <c r="D38" i="23"/>
  <c r="D39" i="23"/>
  <c r="D40" i="23"/>
  <c r="D41" i="23"/>
  <c r="B34" i="23"/>
  <c r="B35" i="23"/>
  <c r="E35" i="23" s="1"/>
  <c r="B36" i="23"/>
  <c r="E36" i="23" s="1"/>
  <c r="B37" i="23"/>
  <c r="E37" i="23" s="1"/>
  <c r="B38" i="23"/>
  <c r="B39" i="23"/>
  <c r="E39" i="23" s="1"/>
  <c r="B40" i="23"/>
  <c r="E40" i="23" s="1"/>
  <c r="B41" i="23"/>
  <c r="E41" i="23" s="1"/>
  <c r="A34" i="23"/>
  <c r="A35" i="23"/>
  <c r="A36" i="23"/>
  <c r="A37" i="23"/>
  <c r="A38" i="23"/>
  <c r="A39" i="23"/>
  <c r="A40" i="23"/>
  <c r="A41" i="23"/>
  <c r="A1" i="23"/>
  <c r="E34" i="23"/>
  <c r="E38" i="23"/>
  <c r="H18" i="21"/>
  <c r="H19" i="21"/>
  <c r="H22" i="21"/>
  <c r="H23" i="21"/>
  <c r="H24" i="21"/>
  <c r="H25" i="21"/>
  <c r="H27" i="21"/>
  <c r="H28" i="21"/>
  <c r="H29" i="21"/>
  <c r="H30" i="21"/>
  <c r="H31" i="21"/>
  <c r="H32" i="21"/>
  <c r="H33" i="21"/>
  <c r="H34" i="21"/>
  <c r="H35" i="21"/>
  <c r="H36" i="21"/>
  <c r="H37" i="21"/>
  <c r="H38" i="21"/>
  <c r="H39" i="21"/>
  <c r="H41" i="21"/>
  <c r="H42" i="21"/>
  <c r="H43" i="21"/>
  <c r="H44" i="21"/>
  <c r="H45" i="21"/>
  <c r="H51" i="21"/>
  <c r="H55" i="21"/>
  <c r="H59" i="21"/>
  <c r="H60" i="21"/>
  <c r="H68" i="21"/>
  <c r="H73" i="21"/>
  <c r="H75" i="21"/>
  <c r="H76" i="21"/>
  <c r="H77" i="21"/>
  <c r="H78" i="21"/>
  <c r="H79" i="21"/>
  <c r="H82" i="21"/>
  <c r="H83" i="21"/>
  <c r="H85" i="21"/>
  <c r="H88" i="21"/>
  <c r="H92" i="21"/>
  <c r="H93" i="21"/>
  <c r="H98" i="21"/>
  <c r="H100" i="21"/>
  <c r="H101" i="21"/>
  <c r="H102" i="21"/>
  <c r="H105" i="21"/>
  <c r="H106" i="21"/>
  <c r="H108" i="21"/>
  <c r="H111" i="21"/>
  <c r="H115" i="21"/>
  <c r="H116" i="21"/>
  <c r="H117" i="21"/>
  <c r="H120" i="21"/>
  <c r="H126" i="21"/>
  <c r="H129" i="21"/>
  <c r="H130" i="21"/>
  <c r="H132" i="21"/>
  <c r="H135" i="21"/>
  <c r="H136" i="21"/>
  <c r="H137" i="21"/>
  <c r="BO20" i="13"/>
  <c r="BO21" i="13"/>
  <c r="BO22" i="13"/>
  <c r="BO23" i="13"/>
  <c r="BO24" i="13"/>
  <c r="BO25" i="13"/>
  <c r="E122" i="21"/>
  <c r="E123" i="21"/>
  <c r="E124" i="21"/>
  <c r="E125" i="21"/>
  <c r="E126" i="21"/>
  <c r="E127" i="21"/>
  <c r="E128" i="21"/>
  <c r="E129" i="21"/>
  <c r="E130" i="21"/>
  <c r="E131" i="21"/>
  <c r="E132" i="21"/>
  <c r="E133" i="21"/>
  <c r="E134" i="21"/>
  <c r="E135" i="21"/>
  <c r="E136" i="21"/>
  <c r="E137" i="21"/>
  <c r="E138" i="21"/>
  <c r="E139" i="21"/>
  <c r="E140" i="21"/>
  <c r="E141" i="21"/>
  <c r="E142" i="21"/>
  <c r="E121"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94" i="21"/>
  <c r="E70" i="21"/>
  <c r="E71" i="21"/>
  <c r="E72" i="21"/>
  <c r="E73" i="21"/>
  <c r="E74" i="21"/>
  <c r="E75" i="21"/>
  <c r="E76" i="21"/>
  <c r="E77" i="21"/>
  <c r="E78" i="21"/>
  <c r="E79" i="21"/>
  <c r="E80" i="21"/>
  <c r="E81" i="21"/>
  <c r="E82" i="21"/>
  <c r="E83" i="21"/>
  <c r="E84" i="21"/>
  <c r="E85" i="21"/>
  <c r="E86" i="21"/>
  <c r="E87" i="21"/>
  <c r="E88" i="21"/>
  <c r="E89" i="21"/>
  <c r="E90" i="21"/>
  <c r="E91" i="21"/>
  <c r="E92" i="21"/>
  <c r="E93" i="21"/>
  <c r="E69" i="21"/>
  <c r="E47" i="21"/>
  <c r="E48" i="21"/>
  <c r="E49" i="21"/>
  <c r="E50" i="21"/>
  <c r="E51" i="21"/>
  <c r="E52" i="21"/>
  <c r="E53" i="21"/>
  <c r="E54" i="21"/>
  <c r="E55" i="21"/>
  <c r="E56" i="21"/>
  <c r="E57" i="21"/>
  <c r="E58" i="21"/>
  <c r="E59" i="21"/>
  <c r="E60" i="21"/>
  <c r="E61" i="21"/>
  <c r="E62" i="21"/>
  <c r="E63" i="21"/>
  <c r="E64" i="21"/>
  <c r="E65" i="21"/>
  <c r="E66" i="21"/>
  <c r="E67" i="21"/>
  <c r="E68" i="21"/>
  <c r="E46"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12" i="21"/>
  <c r="BY14" i="22" l="1"/>
  <c r="BR14" i="22"/>
  <c r="BY17" i="22"/>
  <c r="BQ15" i="22"/>
  <c r="BQ16" i="22"/>
  <c r="BY16" i="22"/>
  <c r="BY18" i="22" s="1"/>
  <c r="BQ17" i="22"/>
  <c r="BX16" i="22"/>
  <c r="BX18" i="22" s="1"/>
  <c r="E531" i="23"/>
  <c r="E813" i="23"/>
  <c r="BQ14" i="22"/>
  <c r="BU14" i="22"/>
  <c r="BR17" i="22"/>
  <c r="BU17" i="22"/>
  <c r="BR16" i="22"/>
  <c r="BU16" i="22"/>
  <c r="BM14" i="22"/>
  <c r="BR15" i="22"/>
  <c r="BU15" i="22"/>
  <c r="BM17" i="22"/>
  <c r="BM16" i="22"/>
  <c r="BM15" i="22"/>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10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2" i="21"/>
  <c r="DM25" i="13"/>
  <c r="DN25" i="13"/>
  <c r="DO25" i="13"/>
  <c r="DP25" i="13"/>
  <c r="DQ25" i="13"/>
  <c r="DR25" i="13"/>
  <c r="DS25" i="13"/>
  <c r="DT25" i="13"/>
  <c r="DU25" i="13"/>
  <c r="DV25" i="13"/>
  <c r="DW25" i="13"/>
  <c r="DX25" i="13"/>
  <c r="DY25" i="13"/>
  <c r="DZ25" i="13"/>
  <c r="EA25" i="13"/>
  <c r="EB25" i="13"/>
  <c r="EC25" i="13"/>
  <c r="ED25" i="13"/>
  <c r="EE25" i="13"/>
  <c r="EF25" i="13"/>
  <c r="EG25" i="13"/>
  <c r="EH25" i="13"/>
  <c r="EI25" i="13"/>
  <c r="EJ25" i="13"/>
  <c r="EK25" i="13"/>
  <c r="EL25" i="13"/>
  <c r="EM25" i="13"/>
  <c r="EN25" i="13"/>
  <c r="EO25" i="13"/>
  <c r="EP25" i="13"/>
  <c r="EQ25" i="13"/>
  <c r="ER25" i="13"/>
  <c r="ES25" i="13"/>
  <c r="ET25" i="13"/>
  <c r="EU25" i="13"/>
  <c r="EV25" i="13"/>
  <c r="EW25" i="13"/>
  <c r="EX25" i="13"/>
  <c r="EY25" i="13"/>
  <c r="EZ25" i="13"/>
  <c r="FA25" i="13"/>
  <c r="FB25" i="13"/>
  <c r="FC25" i="13"/>
  <c r="FD25" i="13"/>
  <c r="FE25" i="13"/>
  <c r="FF25" i="13"/>
  <c r="FG25" i="13"/>
  <c r="FH25" i="13"/>
  <c r="DL25" i="13"/>
  <c r="DM24" i="13"/>
  <c r="DN24" i="13"/>
  <c r="DO24" i="13"/>
  <c r="DP24" i="13"/>
  <c r="DQ24" i="13"/>
  <c r="DR24" i="13"/>
  <c r="DS24" i="13"/>
  <c r="DT24" i="13"/>
  <c r="DU24" i="13"/>
  <c r="DV24" i="13"/>
  <c r="DW24" i="13"/>
  <c r="DX24" i="13"/>
  <c r="DY24" i="13"/>
  <c r="DZ24" i="13"/>
  <c r="EA24" i="13"/>
  <c r="EB24" i="13"/>
  <c r="EC24" i="13"/>
  <c r="ED24" i="13"/>
  <c r="EE24" i="13"/>
  <c r="EF24" i="13"/>
  <c r="EG24" i="13"/>
  <c r="EH24" i="13"/>
  <c r="EI24" i="13"/>
  <c r="EJ24" i="13"/>
  <c r="EK24" i="13"/>
  <c r="EL24" i="13"/>
  <c r="EM24" i="13"/>
  <c r="EN24" i="13"/>
  <c r="EO24" i="13"/>
  <c r="EP24" i="13"/>
  <c r="EQ24" i="13"/>
  <c r="ER24" i="13"/>
  <c r="ES24" i="13"/>
  <c r="ET24" i="13"/>
  <c r="EU24" i="13"/>
  <c r="EV24" i="13"/>
  <c r="EW24" i="13"/>
  <c r="EX24" i="13"/>
  <c r="EY24" i="13"/>
  <c r="EZ24" i="13"/>
  <c r="FA24" i="13"/>
  <c r="FB24" i="13"/>
  <c r="FC24" i="13"/>
  <c r="FD24" i="13"/>
  <c r="FE24" i="13"/>
  <c r="FF24" i="13"/>
  <c r="FG24" i="13"/>
  <c r="FH24" i="13"/>
  <c r="DL24" i="13"/>
  <c r="DM23" i="13"/>
  <c r="DN23" i="13"/>
  <c r="DO23" i="13"/>
  <c r="DP23" i="13"/>
  <c r="DQ23" i="13"/>
  <c r="DR23" i="13"/>
  <c r="DS23" i="13"/>
  <c r="DT23" i="13"/>
  <c r="DU23" i="13"/>
  <c r="DV23" i="13"/>
  <c r="DW23" i="13"/>
  <c r="DX23" i="13"/>
  <c r="DY23" i="13"/>
  <c r="DZ23" i="13"/>
  <c r="EA23" i="13"/>
  <c r="EB23" i="13"/>
  <c r="EC23" i="13"/>
  <c r="ED23" i="13"/>
  <c r="EE23" i="13"/>
  <c r="EF23" i="13"/>
  <c r="EG23" i="13"/>
  <c r="EH23" i="13"/>
  <c r="EI23" i="13"/>
  <c r="EJ23" i="13"/>
  <c r="EK23" i="13"/>
  <c r="EL23" i="13"/>
  <c r="EM23" i="13"/>
  <c r="EN23" i="13"/>
  <c r="EO23" i="13"/>
  <c r="EP23" i="13"/>
  <c r="EQ23" i="13"/>
  <c r="ER23" i="13"/>
  <c r="ES23" i="13"/>
  <c r="ET23" i="13"/>
  <c r="EU23" i="13"/>
  <c r="EV23" i="13"/>
  <c r="EW23" i="13"/>
  <c r="EX23" i="13"/>
  <c r="EY23" i="13"/>
  <c r="EZ23" i="13"/>
  <c r="FA23" i="13"/>
  <c r="FB23" i="13"/>
  <c r="FC23" i="13"/>
  <c r="FD23" i="13"/>
  <c r="FE23" i="13"/>
  <c r="FF23" i="13"/>
  <c r="FG23" i="13"/>
  <c r="FH23" i="13"/>
  <c r="DL23" i="13"/>
  <c r="DP22" i="13"/>
  <c r="DR22" i="13"/>
  <c r="DS22" i="13"/>
  <c r="DT22" i="13"/>
  <c r="DW22" i="13"/>
  <c r="DX22" i="13"/>
  <c r="DZ22" i="13"/>
  <c r="EC22" i="13"/>
  <c r="EG22" i="13"/>
  <c r="EH22" i="13"/>
  <c r="EI22" i="13"/>
  <c r="EL22" i="13"/>
  <c r="ER22" i="13"/>
  <c r="EU22" i="13"/>
  <c r="EV22" i="13"/>
  <c r="EX22" i="13"/>
  <c r="FA22" i="13"/>
  <c r="FB22" i="13"/>
  <c r="FC22" i="13"/>
  <c r="DM21" i="13"/>
  <c r="DN21" i="13"/>
  <c r="DO21" i="13"/>
  <c r="DP21" i="13"/>
  <c r="DQ21" i="13"/>
  <c r="DR21" i="13"/>
  <c r="DS21" i="13"/>
  <c r="DT21" i="13"/>
  <c r="DU21" i="13"/>
  <c r="DV21" i="13"/>
  <c r="DW21" i="13"/>
  <c r="DX21" i="13"/>
  <c r="DY21" i="13"/>
  <c r="DZ21" i="13"/>
  <c r="EA21" i="13"/>
  <c r="EB21" i="13"/>
  <c r="EC21" i="13"/>
  <c r="ED21" i="13"/>
  <c r="EE21" i="13"/>
  <c r="EF21" i="13"/>
  <c r="EG21" i="13"/>
  <c r="EH21" i="13"/>
  <c r="EI21" i="13"/>
  <c r="EJ21" i="13"/>
  <c r="EK21" i="13"/>
  <c r="EL21" i="13"/>
  <c r="EM21" i="13"/>
  <c r="EN21" i="13"/>
  <c r="EO21" i="13"/>
  <c r="EP21" i="13"/>
  <c r="EQ21" i="13"/>
  <c r="ER21" i="13"/>
  <c r="ES21" i="13"/>
  <c r="ET21" i="13"/>
  <c r="EU21" i="13"/>
  <c r="EV21" i="13"/>
  <c r="EW21" i="13"/>
  <c r="EX21" i="13"/>
  <c r="EY21" i="13"/>
  <c r="EZ21" i="13"/>
  <c r="FA21" i="13"/>
  <c r="FB21" i="13"/>
  <c r="FC21" i="13"/>
  <c r="FD21" i="13"/>
  <c r="FE21" i="13"/>
  <c r="FF21" i="13"/>
  <c r="FG21" i="13"/>
  <c r="FH21" i="13"/>
  <c r="DL21" i="13"/>
  <c r="R122" i="1"/>
  <c r="H128" i="21" s="1"/>
  <c r="ET22" i="13" l="1"/>
  <c r="DM20" i="13"/>
  <c r="DN20" i="13"/>
  <c r="DO20" i="13"/>
  <c r="DP20" i="13"/>
  <c r="DQ20" i="13"/>
  <c r="DR20" i="13"/>
  <c r="DS20" i="13"/>
  <c r="DT20" i="13"/>
  <c r="DU20" i="13"/>
  <c r="DV20" i="13"/>
  <c r="DW20" i="13"/>
  <c r="DX20" i="13"/>
  <c r="DY20" i="13"/>
  <c r="DZ20" i="13"/>
  <c r="EA20" i="13"/>
  <c r="EB20" i="13"/>
  <c r="EC20" i="13"/>
  <c r="ED20" i="13"/>
  <c r="EE20" i="13"/>
  <c r="EF20" i="13"/>
  <c r="EG20" i="13"/>
  <c r="EH20" i="13"/>
  <c r="EI20" i="13"/>
  <c r="EJ20" i="13"/>
  <c r="EK20" i="13"/>
  <c r="EL20" i="13"/>
  <c r="EM20" i="13"/>
  <c r="EN20" i="13"/>
  <c r="EO20" i="13"/>
  <c r="EP20" i="13"/>
  <c r="EQ20" i="13"/>
  <c r="ER20" i="13"/>
  <c r="ES20" i="13"/>
  <c r="ET20" i="13"/>
  <c r="EU20" i="13"/>
  <c r="EV20" i="13"/>
  <c r="EW20" i="13"/>
  <c r="EX20" i="13"/>
  <c r="EY20" i="13"/>
  <c r="EZ20" i="13"/>
  <c r="FA20" i="13"/>
  <c r="FB20" i="13"/>
  <c r="FC20" i="13"/>
  <c r="FD20" i="13"/>
  <c r="FE20" i="13"/>
  <c r="FF20" i="13"/>
  <c r="FG20" i="13"/>
  <c r="FH20" i="13"/>
  <c r="DL20" i="13"/>
  <c r="DK21" i="13"/>
  <c r="DK22" i="13"/>
  <c r="DK23" i="13"/>
  <c r="DK24" i="13"/>
  <c r="DK25" i="13"/>
  <c r="R135" i="1"/>
  <c r="R134" i="1"/>
  <c r="R133" i="1"/>
  <c r="R112" i="1"/>
  <c r="R111" i="1"/>
  <c r="R97" i="1"/>
  <c r="R16" i="1"/>
  <c r="H26" i="21" s="1"/>
  <c r="R30" i="1"/>
  <c r="H40" i="21" s="1"/>
  <c r="R11" i="1"/>
  <c r="H21" i="21" s="1"/>
  <c r="H20" i="21"/>
  <c r="H104" i="21" l="1"/>
  <c r="DV22" i="13"/>
  <c r="H118" i="21"/>
  <c r="EJ22" i="13"/>
  <c r="H119" i="21"/>
  <c r="EK22" i="13"/>
  <c r="H138" i="21"/>
  <c r="FD22" i="13"/>
  <c r="H139" i="21"/>
  <c r="FE22" i="13"/>
  <c r="H140" i="21"/>
  <c r="FF22" i="13"/>
  <c r="H141" i="21"/>
  <c r="FG22" i="13"/>
  <c r="AB202" i="22"/>
  <c r="X202" i="22"/>
  <c r="J202" i="22"/>
  <c r="F202" i="22"/>
  <c r="W199" i="22"/>
  <c r="E199" i="22"/>
  <c r="AB198" i="22"/>
  <c r="J198" i="22"/>
  <c r="X197" i="22"/>
  <c r="F197" i="22"/>
  <c r="W196" i="22"/>
  <c r="Y197" i="22" s="1"/>
  <c r="E196" i="22"/>
  <c r="G197" i="22" s="1"/>
  <c r="U195" i="22"/>
  <c r="C195" i="22"/>
  <c r="U194" i="22"/>
  <c r="C194" i="22"/>
  <c r="AB182" i="22"/>
  <c r="X182" i="22"/>
  <c r="J182" i="22"/>
  <c r="F182" i="22"/>
  <c r="W179" i="22"/>
  <c r="E179" i="22"/>
  <c r="AB178" i="22"/>
  <c r="J178" i="22"/>
  <c r="X177" i="22"/>
  <c r="F177" i="22"/>
  <c r="W176" i="22"/>
  <c r="Y177" i="22" s="1"/>
  <c r="E176" i="22"/>
  <c r="G177" i="22" s="1"/>
  <c r="U175" i="22"/>
  <c r="C175" i="22"/>
  <c r="U174" i="22"/>
  <c r="C174" i="22"/>
  <c r="AB161" i="22"/>
  <c r="X161" i="22"/>
  <c r="J161" i="22"/>
  <c r="F161" i="22"/>
  <c r="W158" i="22"/>
  <c r="E158" i="22"/>
  <c r="AB157" i="22"/>
  <c r="J157" i="22"/>
  <c r="X156" i="22"/>
  <c r="F156" i="22"/>
  <c r="W155" i="22"/>
  <c r="Y156" i="22" s="1"/>
  <c r="E155" i="22"/>
  <c r="G156" i="22" s="1"/>
  <c r="U154" i="22"/>
  <c r="C154" i="22"/>
  <c r="U153" i="22"/>
  <c r="C153" i="22"/>
  <c r="AB141" i="22"/>
  <c r="X141" i="22"/>
  <c r="J141" i="22"/>
  <c r="F141" i="22"/>
  <c r="W138" i="22"/>
  <c r="E138" i="22"/>
  <c r="AB137" i="22"/>
  <c r="J137" i="22"/>
  <c r="X136" i="22"/>
  <c r="F136" i="22"/>
  <c r="W135" i="22"/>
  <c r="Y136" i="22" s="1"/>
  <c r="E135" i="22"/>
  <c r="G136" i="22" s="1"/>
  <c r="U134" i="22"/>
  <c r="C134" i="22"/>
  <c r="U133" i="22"/>
  <c r="C133" i="22"/>
  <c r="AB121" i="22"/>
  <c r="X121" i="22"/>
  <c r="J121" i="22"/>
  <c r="F121" i="22"/>
  <c r="W118" i="22"/>
  <c r="E118" i="22"/>
  <c r="AB117" i="22"/>
  <c r="J117" i="22"/>
  <c r="X116" i="22"/>
  <c r="F116" i="22"/>
  <c r="W115" i="22"/>
  <c r="Y116" i="22" s="1"/>
  <c r="E115" i="22"/>
  <c r="G116" i="22" s="1"/>
  <c r="U114" i="22"/>
  <c r="C114" i="22"/>
  <c r="U113" i="22"/>
  <c r="C113" i="22"/>
  <c r="AB101" i="22"/>
  <c r="X101" i="22"/>
  <c r="J101" i="22"/>
  <c r="F101" i="22"/>
  <c r="W98" i="22"/>
  <c r="E98" i="22"/>
  <c r="AB97" i="22"/>
  <c r="J97" i="22"/>
  <c r="X96" i="22"/>
  <c r="F96" i="22"/>
  <c r="W95" i="22"/>
  <c r="Y96" i="22" s="1"/>
  <c r="E95" i="22"/>
  <c r="G96" i="22" s="1"/>
  <c r="U94" i="22"/>
  <c r="C94" i="22"/>
  <c r="U93" i="22"/>
  <c r="C93" i="22"/>
  <c r="AB78" i="22"/>
  <c r="X78" i="22"/>
  <c r="J78" i="22"/>
  <c r="F78" i="22"/>
  <c r="W75" i="22"/>
  <c r="E75" i="22"/>
  <c r="AB74" i="22"/>
  <c r="J74" i="22"/>
  <c r="X73" i="22"/>
  <c r="F73" i="22"/>
  <c r="W72" i="22"/>
  <c r="Y73" i="22" s="1"/>
  <c r="E72" i="22"/>
  <c r="G73" i="22" s="1"/>
  <c r="U71" i="22"/>
  <c r="C71" i="22"/>
  <c r="U70" i="22"/>
  <c r="C70" i="22"/>
  <c r="J63" i="22"/>
  <c r="AB58" i="22"/>
  <c r="X58" i="22"/>
  <c r="J58" i="22"/>
  <c r="F58" i="22"/>
  <c r="W55" i="22"/>
  <c r="E55" i="22"/>
  <c r="AB54" i="22"/>
  <c r="J54" i="22"/>
  <c r="X53" i="22"/>
  <c r="F53" i="22"/>
  <c r="W52" i="22"/>
  <c r="Y53" i="22" s="1"/>
  <c r="E52" i="22"/>
  <c r="G53" i="22" s="1"/>
  <c r="U51" i="22"/>
  <c r="C51" i="22"/>
  <c r="U50" i="22"/>
  <c r="C50" i="22"/>
  <c r="AB43" i="22"/>
  <c r="AB38" i="22"/>
  <c r="X38" i="22"/>
  <c r="J38" i="22"/>
  <c r="F38" i="22"/>
  <c r="W35" i="22"/>
  <c r="E35" i="22"/>
  <c r="AB34" i="22"/>
  <c r="J34" i="22"/>
  <c r="X33" i="22"/>
  <c r="F33" i="22"/>
  <c r="W32" i="22"/>
  <c r="Y33" i="22" s="1"/>
  <c r="E32" i="22"/>
  <c r="G33" i="22" s="1"/>
  <c r="U31" i="22"/>
  <c r="C31" i="22"/>
  <c r="U30" i="22"/>
  <c r="C30" i="22"/>
  <c r="AB18" i="22"/>
  <c r="X18" i="22"/>
  <c r="J18" i="22"/>
  <c r="F18" i="22"/>
  <c r="X204" i="22" s="1"/>
  <c r="W15" i="22"/>
  <c r="E15" i="22"/>
  <c r="AB14" i="22"/>
  <c r="J14" i="22"/>
  <c r="X13" i="22"/>
  <c r="F13" i="22"/>
  <c r="W12" i="22"/>
  <c r="Y13" i="22" s="1"/>
  <c r="E12" i="22"/>
  <c r="G13" i="22" s="1"/>
  <c r="U11" i="22"/>
  <c r="C11" i="22"/>
  <c r="U10" i="22"/>
  <c r="C10" i="22"/>
  <c r="E13" i="22" l="1"/>
  <c r="E33" i="22"/>
  <c r="E53" i="22"/>
  <c r="E73" i="22"/>
  <c r="E96" i="22"/>
  <c r="E116" i="22"/>
  <c r="E136" i="22"/>
  <c r="E156" i="22"/>
  <c r="E177" i="22"/>
  <c r="E197" i="22"/>
  <c r="W13" i="22"/>
  <c r="W33" i="22"/>
  <c r="W53" i="22"/>
  <c r="W73" i="22"/>
  <c r="W96" i="22"/>
  <c r="W116" i="22"/>
  <c r="W136" i="22"/>
  <c r="W156" i="22"/>
  <c r="W177" i="22"/>
  <c r="W197" i="22"/>
  <c r="T193" i="19" l="1"/>
  <c r="J193" i="19"/>
  <c r="T173" i="19"/>
  <c r="J173" i="19"/>
  <c r="T153" i="19"/>
  <c r="J153" i="19"/>
  <c r="T133" i="19"/>
  <c r="J133" i="19"/>
  <c r="J62" i="19"/>
  <c r="T42" i="19"/>
  <c r="T197" i="19"/>
  <c r="J197" i="19"/>
  <c r="T177" i="19"/>
  <c r="J177" i="19"/>
  <c r="T157" i="19"/>
  <c r="J157" i="19"/>
  <c r="T137" i="19"/>
  <c r="J137" i="19"/>
  <c r="T117" i="19"/>
  <c r="J117" i="19"/>
  <c r="T97" i="19"/>
  <c r="J97" i="19"/>
  <c r="T77" i="19"/>
  <c r="J77" i="19"/>
  <c r="T57" i="19"/>
  <c r="J57" i="19"/>
  <c r="T37" i="19"/>
  <c r="J37" i="19"/>
  <c r="P197" i="19"/>
  <c r="P196" i="19"/>
  <c r="F197" i="19"/>
  <c r="F196" i="19"/>
  <c r="P177" i="19"/>
  <c r="P176" i="19"/>
  <c r="F177" i="19"/>
  <c r="F176" i="19"/>
  <c r="P157" i="19"/>
  <c r="P156" i="19"/>
  <c r="F157" i="19"/>
  <c r="F156" i="19"/>
  <c r="P137" i="19"/>
  <c r="P136" i="19"/>
  <c r="F137" i="19"/>
  <c r="F136" i="19"/>
  <c r="P117" i="19"/>
  <c r="P116" i="19"/>
  <c r="F117" i="19"/>
  <c r="F116" i="19"/>
  <c r="P97" i="19"/>
  <c r="P96" i="19"/>
  <c r="F97" i="19"/>
  <c r="F96" i="19"/>
  <c r="P77" i="19"/>
  <c r="P76" i="19"/>
  <c r="F77" i="19"/>
  <c r="F76" i="19"/>
  <c r="P57" i="19"/>
  <c r="P56" i="19"/>
  <c r="F57" i="19"/>
  <c r="F56" i="19"/>
  <c r="P37" i="19"/>
  <c r="P36" i="19"/>
  <c r="F37" i="19"/>
  <c r="F36" i="19"/>
  <c r="P192" i="19"/>
  <c r="F192" i="19"/>
  <c r="P172" i="19"/>
  <c r="F172" i="19"/>
  <c r="P152" i="19"/>
  <c r="F152" i="19"/>
  <c r="P132" i="19"/>
  <c r="F132" i="19"/>
  <c r="P112" i="19"/>
  <c r="F112" i="19"/>
  <c r="P92" i="19"/>
  <c r="F92" i="19"/>
  <c r="P72" i="19"/>
  <c r="F72" i="19"/>
  <c r="P52" i="19"/>
  <c r="F52" i="19"/>
  <c r="P32" i="19"/>
  <c r="F32" i="19"/>
  <c r="P12" i="19"/>
  <c r="O191" i="19"/>
  <c r="O192" i="19" s="1"/>
  <c r="E191" i="19"/>
  <c r="G192" i="19" s="1"/>
  <c r="O171" i="19"/>
  <c r="Q172" i="19" s="1"/>
  <c r="E171" i="19"/>
  <c r="E172" i="19" s="1"/>
  <c r="O151" i="19"/>
  <c r="O152" i="19" s="1"/>
  <c r="E151" i="19"/>
  <c r="G152" i="19" s="1"/>
  <c r="O131" i="19"/>
  <c r="O132" i="19" s="1"/>
  <c r="E131" i="19"/>
  <c r="E132" i="19" s="1"/>
  <c r="O111" i="19"/>
  <c r="O112" i="19" s="1"/>
  <c r="E111" i="19"/>
  <c r="G112" i="19" s="1"/>
  <c r="O91" i="19"/>
  <c r="Q92" i="19" s="1"/>
  <c r="E91" i="19"/>
  <c r="G92" i="19" s="1"/>
  <c r="O71" i="19"/>
  <c r="Q72" i="19" s="1"/>
  <c r="E71" i="19"/>
  <c r="G72" i="19" s="1"/>
  <c r="O51" i="19"/>
  <c r="O52" i="19" s="1"/>
  <c r="E51" i="19"/>
  <c r="G52" i="19" s="1"/>
  <c r="O31" i="19"/>
  <c r="O32" i="19" s="1"/>
  <c r="E31" i="19"/>
  <c r="G32" i="19" s="1"/>
  <c r="M190" i="19"/>
  <c r="C190" i="19"/>
  <c r="M170" i="19"/>
  <c r="C170" i="19"/>
  <c r="M150" i="19"/>
  <c r="C150" i="19"/>
  <c r="M130" i="19"/>
  <c r="C130" i="19"/>
  <c r="M110" i="19"/>
  <c r="C110" i="19"/>
  <c r="M90" i="19"/>
  <c r="C90" i="19"/>
  <c r="M70" i="19"/>
  <c r="C70" i="19"/>
  <c r="M50" i="19"/>
  <c r="C50" i="19"/>
  <c r="M30" i="19"/>
  <c r="C30" i="19"/>
  <c r="M189" i="19"/>
  <c r="C189" i="19"/>
  <c r="M169" i="19"/>
  <c r="C169" i="19"/>
  <c r="M149" i="19"/>
  <c r="C149" i="19"/>
  <c r="M129" i="19"/>
  <c r="C129" i="19"/>
  <c r="M109" i="19"/>
  <c r="C109" i="19"/>
  <c r="M89" i="19"/>
  <c r="C89" i="19"/>
  <c r="M69" i="19"/>
  <c r="C69" i="19"/>
  <c r="M49" i="19"/>
  <c r="C49" i="19"/>
  <c r="M29" i="19"/>
  <c r="C29" i="19"/>
  <c r="T113" i="19"/>
  <c r="J113" i="19"/>
  <c r="T93" i="19"/>
  <c r="J93" i="19"/>
  <c r="T73" i="19"/>
  <c r="J73" i="19"/>
  <c r="T53" i="19"/>
  <c r="J53" i="19"/>
  <c r="T33" i="19"/>
  <c r="J33" i="19"/>
  <c r="AI20" i="13"/>
  <c r="CF20" i="13"/>
  <c r="CF21" i="13"/>
  <c r="CF23" i="13"/>
  <c r="CF24" i="13"/>
  <c r="CF25" i="13"/>
  <c r="AH20" i="13"/>
  <c r="AJ20" i="13"/>
  <c r="AK20" i="13"/>
  <c r="AL20" i="13"/>
  <c r="AM20" i="13"/>
  <c r="AN20" i="13"/>
  <c r="AO20" i="13"/>
  <c r="AP20" i="13"/>
  <c r="AQ20" i="13"/>
  <c r="AR20" i="13"/>
  <c r="AS20" i="13"/>
  <c r="AT20" i="13"/>
  <c r="AU20" i="13"/>
  <c r="AV20" i="13"/>
  <c r="AW20" i="13"/>
  <c r="AX20" i="13"/>
  <c r="AY20" i="13"/>
  <c r="AZ20" i="13"/>
  <c r="BA20" i="13"/>
  <c r="BB20" i="13"/>
  <c r="BC20" i="13"/>
  <c r="BD20" i="13"/>
  <c r="BE20" i="13"/>
  <c r="BF20" i="13"/>
  <c r="BG20" i="13"/>
  <c r="BH20" i="13"/>
  <c r="BI20" i="13"/>
  <c r="BJ20" i="13"/>
  <c r="BK20" i="13"/>
  <c r="BL20" i="13"/>
  <c r="BM20" i="13"/>
  <c r="BN20" i="13"/>
  <c r="BQ20" i="13"/>
  <c r="BR20" i="13"/>
  <c r="BS20" i="13"/>
  <c r="BT20" i="13"/>
  <c r="BU20" i="13"/>
  <c r="BV20" i="13"/>
  <c r="BW20" i="13"/>
  <c r="BX20" i="13"/>
  <c r="BY20" i="13"/>
  <c r="BZ20" i="13"/>
  <c r="CA20" i="13"/>
  <c r="CB20" i="13"/>
  <c r="CC20" i="13"/>
  <c r="CD20" i="13"/>
  <c r="CE20" i="13"/>
  <c r="CG20" i="13"/>
  <c r="CH20" i="13"/>
  <c r="CI20" i="13"/>
  <c r="CJ20" i="13"/>
  <c r="CK20" i="13"/>
  <c r="CL20" i="13"/>
  <c r="CM20" i="13"/>
  <c r="CN20" i="13"/>
  <c r="CO20" i="13"/>
  <c r="CP20" i="13"/>
  <c r="CQ20" i="13"/>
  <c r="CR20" i="13"/>
  <c r="CS20" i="13"/>
  <c r="CT20" i="13"/>
  <c r="CU20" i="13"/>
  <c r="CV20" i="13"/>
  <c r="CW20" i="13"/>
  <c r="CX20" i="13"/>
  <c r="CY20" i="13"/>
  <c r="CZ20" i="13"/>
  <c r="DA20" i="13"/>
  <c r="DB20" i="13"/>
  <c r="DC20" i="13"/>
  <c r="DD20" i="13"/>
  <c r="DE20" i="13"/>
  <c r="DF20" i="13"/>
  <c r="DG20" i="13"/>
  <c r="DH20" i="13"/>
  <c r="DI20" i="13"/>
  <c r="DJ20" i="13"/>
  <c r="DK20" i="13"/>
  <c r="BP20" i="13"/>
  <c r="E52" i="19" l="1"/>
  <c r="Q152" i="19"/>
  <c r="E112" i="19"/>
  <c r="E152" i="19"/>
  <c r="G172" i="19"/>
  <c r="Q112" i="19"/>
  <c r="O172" i="19"/>
  <c r="E192" i="19"/>
  <c r="E92" i="19"/>
  <c r="O92" i="19"/>
  <c r="Q132" i="19"/>
  <c r="G132" i="19"/>
  <c r="Q192" i="19"/>
  <c r="Q52" i="19"/>
  <c r="E72" i="19"/>
  <c r="O72" i="19"/>
  <c r="Q32" i="19"/>
  <c r="E32" i="19"/>
  <c r="K40" i="6" l="1"/>
  <c r="K41" i="6"/>
  <c r="K39" i="6"/>
  <c r="AI11" i="13"/>
  <c r="AI21" i="13"/>
  <c r="AJ21" i="13"/>
  <c r="AK21" i="13"/>
  <c r="AL21" i="13"/>
  <c r="AM21" i="13"/>
  <c r="AN21" i="13"/>
  <c r="AO21" i="13"/>
  <c r="AP21" i="13"/>
  <c r="AQ21" i="13"/>
  <c r="AR21" i="13"/>
  <c r="AS21" i="13"/>
  <c r="AT21" i="13"/>
  <c r="AU21" i="13"/>
  <c r="AV21" i="13"/>
  <c r="AW21" i="13"/>
  <c r="AX21" i="13"/>
  <c r="AY21" i="13"/>
  <c r="AZ21" i="13"/>
  <c r="BA21" i="13"/>
  <c r="BB21" i="13"/>
  <c r="BC21" i="13"/>
  <c r="BD21" i="13"/>
  <c r="BE21" i="13"/>
  <c r="BF21" i="13"/>
  <c r="BG21" i="13"/>
  <c r="BH21" i="13"/>
  <c r="BI21" i="13"/>
  <c r="BJ21" i="13"/>
  <c r="BK21" i="13"/>
  <c r="BL21" i="13"/>
  <c r="BM21" i="13"/>
  <c r="BN21" i="13"/>
  <c r="BP21" i="13"/>
  <c r="BQ21" i="13"/>
  <c r="BR21" i="13"/>
  <c r="BS21" i="13"/>
  <c r="BT21" i="13"/>
  <c r="BU21" i="13"/>
  <c r="BV21" i="13"/>
  <c r="BW21" i="13"/>
  <c r="BX21" i="13"/>
  <c r="BY21" i="13"/>
  <c r="BZ21" i="13"/>
  <c r="CA21" i="13"/>
  <c r="CB21" i="13"/>
  <c r="CC21" i="13"/>
  <c r="CD21" i="13"/>
  <c r="CE21" i="13"/>
  <c r="CG21" i="13"/>
  <c r="CH21" i="13"/>
  <c r="CI21" i="13"/>
  <c r="CJ21" i="13"/>
  <c r="CK21" i="13"/>
  <c r="CL21" i="13"/>
  <c r="CM21" i="13"/>
  <c r="CN21" i="13"/>
  <c r="CO21" i="13"/>
  <c r="CP21" i="13"/>
  <c r="CQ21" i="13"/>
  <c r="CR21" i="13"/>
  <c r="CS21" i="13"/>
  <c r="CT21" i="13"/>
  <c r="CU21" i="13"/>
  <c r="CV21" i="13"/>
  <c r="CW21" i="13"/>
  <c r="CX21" i="13"/>
  <c r="CY21" i="13"/>
  <c r="CZ21" i="13"/>
  <c r="DA21" i="13"/>
  <c r="DB21" i="13"/>
  <c r="DC21" i="13"/>
  <c r="DD21" i="13"/>
  <c r="DE21" i="13"/>
  <c r="DF21" i="13"/>
  <c r="DG21" i="13"/>
  <c r="DH21" i="13"/>
  <c r="DI21" i="13"/>
  <c r="DJ21" i="13"/>
  <c r="AH21" i="13"/>
  <c r="AN22" i="13"/>
  <c r="AO22" i="13"/>
  <c r="AP22" i="13"/>
  <c r="AQ22" i="13"/>
  <c r="AR22" i="13"/>
  <c r="AS22" i="13"/>
  <c r="AT22" i="13"/>
  <c r="AU22" i="13"/>
  <c r="AV22" i="13"/>
  <c r="AW22" i="13"/>
  <c r="AX22" i="13"/>
  <c r="AY22" i="13"/>
  <c r="AZ22" i="13"/>
  <c r="BA22" i="13"/>
  <c r="BB22" i="13"/>
  <c r="BC22" i="13"/>
  <c r="BD22" i="13"/>
  <c r="BE22" i="13"/>
  <c r="BF22" i="13"/>
  <c r="BG22" i="13"/>
  <c r="BH22" i="13"/>
  <c r="BI22" i="13"/>
  <c r="BJ22" i="13"/>
  <c r="BK22" i="13"/>
  <c r="BL22" i="13"/>
  <c r="BM22" i="13"/>
  <c r="BN22" i="13"/>
  <c r="BU22" i="13"/>
  <c r="BX22" i="13"/>
  <c r="CB22" i="13"/>
  <c r="CC22" i="13"/>
  <c r="CL22" i="13"/>
  <c r="CQ22" i="13"/>
  <c r="CS22" i="13"/>
  <c r="CT22" i="13"/>
  <c r="CU22" i="13"/>
  <c r="CV22" i="13"/>
  <c r="CW22" i="13"/>
  <c r="CZ22" i="13"/>
  <c r="DA22" i="13"/>
  <c r="DC22" i="13"/>
  <c r="DF22" i="13"/>
  <c r="DJ22" i="13"/>
  <c r="AT2" i="1"/>
  <c r="R73" i="1"/>
  <c r="R53" i="1"/>
  <c r="AQ23" i="13"/>
  <c r="AQ24" i="13"/>
  <c r="AQ25" i="13"/>
  <c r="CE22" i="13" l="1"/>
  <c r="H62" i="21"/>
  <c r="CY22" i="13"/>
  <c r="H81" i="21"/>
  <c r="AA28" i="13"/>
  <c r="AA48" i="13" s="1"/>
  <c r="FJ48" i="13" s="1"/>
  <c r="AA29" i="13"/>
  <c r="AA49" i="13" s="1"/>
  <c r="FJ49" i="13" s="1"/>
  <c r="AA30" i="13"/>
  <c r="AA50" i="13" s="1"/>
  <c r="FJ50" i="13" s="1"/>
  <c r="AA31" i="13"/>
  <c r="AA51" i="13" s="1"/>
  <c r="FJ51" i="13" s="1"/>
  <c r="AA32" i="13"/>
  <c r="AA52" i="13" s="1"/>
  <c r="FJ52" i="13" s="1"/>
  <c r="AA33" i="13"/>
  <c r="AA53" i="13" s="1"/>
  <c r="FJ53" i="13" s="1"/>
  <c r="AA34" i="13"/>
  <c r="AA54" i="13" s="1"/>
  <c r="FJ54" i="13" s="1"/>
  <c r="AA35" i="13"/>
  <c r="AA55" i="13" s="1"/>
  <c r="FJ55" i="13" s="1"/>
  <c r="AA36" i="13"/>
  <c r="AA56" i="13" s="1"/>
  <c r="FJ56" i="13" s="1"/>
  <c r="AA37" i="13"/>
  <c r="AA57" i="13" s="1"/>
  <c r="FJ57" i="13" s="1"/>
  <c r="AA38" i="13"/>
  <c r="AA58" i="13" s="1"/>
  <c r="FJ58" i="13" s="1"/>
  <c r="AA39" i="13"/>
  <c r="AA59" i="13" s="1"/>
  <c r="FJ59" i="13" s="1"/>
  <c r="AA40" i="13"/>
  <c r="AA60" i="13" s="1"/>
  <c r="FJ60" i="13" s="1"/>
  <c r="AA41" i="13"/>
  <c r="AA61" i="13" s="1"/>
  <c r="FJ61" i="13" s="1"/>
  <c r="AA42" i="13"/>
  <c r="AA62" i="13" s="1"/>
  <c r="FJ62" i="13" s="1"/>
  <c r="AA43" i="13"/>
  <c r="AA63" i="13" s="1"/>
  <c r="FJ63" i="13" s="1"/>
  <c r="AA44" i="13"/>
  <c r="AA64" i="13" s="1"/>
  <c r="FJ64" i="13" s="1"/>
  <c r="AA45" i="13"/>
  <c r="AA65" i="13" s="1"/>
  <c r="FJ65" i="13" s="1"/>
  <c r="AA46" i="13"/>
  <c r="AA66" i="13" s="1"/>
  <c r="FJ66" i="13" s="1"/>
  <c r="AA27" i="13"/>
  <c r="AA47" i="13" s="1"/>
  <c r="FJ47" i="13" s="1"/>
  <c r="AT8" i="1"/>
  <c r="AT4" i="1"/>
  <c r="AT5" i="1"/>
  <c r="AT6" i="1"/>
  <c r="AT7" i="1"/>
  <c r="AT3" i="1"/>
  <c r="AK3" i="1" l="1"/>
  <c r="AM3" i="1" s="1"/>
  <c r="AN3" i="1" s="1"/>
  <c r="AH23" i="13"/>
  <c r="AQ2" i="1"/>
  <c r="AN2" i="1" s="1"/>
  <c r="AI23" i="13"/>
  <c r="AJ23" i="13"/>
  <c r="AK23" i="13"/>
  <c r="AL23" i="13"/>
  <c r="AM23" i="13"/>
  <c r="AN23" i="13"/>
  <c r="AO23" i="13"/>
  <c r="AP23" i="13"/>
  <c r="AR23" i="13"/>
  <c r="AS23" i="13"/>
  <c r="AT23" i="13"/>
  <c r="AU23" i="13"/>
  <c r="AV23" i="13"/>
  <c r="AW23" i="13"/>
  <c r="AX23" i="13"/>
  <c r="AY23" i="13"/>
  <c r="AZ23" i="13"/>
  <c r="BA23" i="13"/>
  <c r="BB23" i="13"/>
  <c r="BC23" i="13"/>
  <c r="BD23" i="13"/>
  <c r="BE23" i="13"/>
  <c r="BF23" i="13"/>
  <c r="BG23" i="13"/>
  <c r="BH23" i="13"/>
  <c r="BI23" i="13"/>
  <c r="BJ23" i="13"/>
  <c r="BK23" i="13"/>
  <c r="BL23" i="13"/>
  <c r="BM23" i="13"/>
  <c r="BN23" i="13"/>
  <c r="BP23" i="13"/>
  <c r="BQ23" i="13"/>
  <c r="BR23" i="13"/>
  <c r="BS23" i="13"/>
  <c r="BT23" i="13"/>
  <c r="BU23" i="13"/>
  <c r="BV23" i="13"/>
  <c r="BW23" i="13"/>
  <c r="BX23" i="13"/>
  <c r="BY23" i="13"/>
  <c r="BZ23" i="13"/>
  <c r="CA23" i="13"/>
  <c r="CB23" i="13"/>
  <c r="CC23" i="13"/>
  <c r="CD23" i="13"/>
  <c r="CE23" i="13"/>
  <c r="CG23" i="13"/>
  <c r="CH23" i="13"/>
  <c r="CI23" i="13"/>
  <c r="CJ23" i="13"/>
  <c r="CK23" i="13"/>
  <c r="CL23" i="13"/>
  <c r="CM23" i="13"/>
  <c r="CN23" i="13"/>
  <c r="CO23" i="13"/>
  <c r="CP23" i="13"/>
  <c r="CQ23" i="13"/>
  <c r="CR23" i="13"/>
  <c r="CS23" i="13"/>
  <c r="CT23" i="13"/>
  <c r="CU23" i="13"/>
  <c r="CV23" i="13"/>
  <c r="CW23" i="13"/>
  <c r="CX23" i="13"/>
  <c r="CY23" i="13"/>
  <c r="CZ23" i="13"/>
  <c r="DA23" i="13"/>
  <c r="DB23" i="13"/>
  <c r="DC23" i="13"/>
  <c r="DD23" i="13"/>
  <c r="DE23" i="13"/>
  <c r="DF23" i="13"/>
  <c r="DG23" i="13"/>
  <c r="DH23" i="13"/>
  <c r="DI23" i="13"/>
  <c r="DJ23" i="13"/>
  <c r="R76" i="1" l="1"/>
  <c r="R79" i="1"/>
  <c r="R136" i="1"/>
  <c r="H142" i="21" s="1"/>
  <c r="R7" i="1"/>
  <c r="R128" i="1"/>
  <c r="R125" i="1"/>
  <c r="R121" i="1"/>
  <c r="R119" i="1"/>
  <c r="R92" i="1"/>
  <c r="R100" i="1"/>
  <c r="R103" i="1"/>
  <c r="R96" i="1"/>
  <c r="R48" i="1"/>
  <c r="R47" i="1"/>
  <c r="R44" i="1"/>
  <c r="R43" i="1"/>
  <c r="R41" i="1"/>
  <c r="R58" i="1"/>
  <c r="R45" i="1"/>
  <c r="H54" i="21" s="1"/>
  <c r="R52" i="1"/>
  <c r="R57" i="1"/>
  <c r="R54" i="1"/>
  <c r="R66" i="1"/>
  <c r="K19" i="6"/>
  <c r="K20" i="6"/>
  <c r="K21" i="6"/>
  <c r="K22" i="6"/>
  <c r="K23" i="6"/>
  <c r="K24" i="6"/>
  <c r="K25" i="6"/>
  <c r="K26" i="6"/>
  <c r="K27" i="6"/>
  <c r="K28" i="6"/>
  <c r="K29" i="6"/>
  <c r="K30" i="6"/>
  <c r="K31" i="6"/>
  <c r="K32" i="6"/>
  <c r="K33" i="6"/>
  <c r="K34" i="6"/>
  <c r="K35" i="6"/>
  <c r="K36" i="6"/>
  <c r="K37" i="6"/>
  <c r="K18" i="6"/>
  <c r="F19" i="6"/>
  <c r="F20" i="6"/>
  <c r="F21" i="6"/>
  <c r="F22" i="6"/>
  <c r="F23" i="6"/>
  <c r="F24" i="6"/>
  <c r="F25" i="6"/>
  <c r="F26" i="6"/>
  <c r="F27" i="6"/>
  <c r="F28" i="6"/>
  <c r="F29" i="6"/>
  <c r="F30" i="6"/>
  <c r="F31" i="6"/>
  <c r="F32" i="6"/>
  <c r="F33" i="6"/>
  <c r="F34" i="6"/>
  <c r="F35" i="6"/>
  <c r="F36" i="6"/>
  <c r="F37" i="6"/>
  <c r="F18" i="6"/>
  <c r="E21" i="6"/>
  <c r="E22" i="6"/>
  <c r="E23" i="6"/>
  <c r="E24" i="6"/>
  <c r="E25" i="6"/>
  <c r="E26" i="6"/>
  <c r="E27" i="6"/>
  <c r="E28" i="6"/>
  <c r="E29" i="6"/>
  <c r="E30" i="6"/>
  <c r="E31" i="6"/>
  <c r="E32" i="6"/>
  <c r="E33" i="6"/>
  <c r="E34" i="6"/>
  <c r="E35" i="6"/>
  <c r="E36" i="6"/>
  <c r="E37" i="6"/>
  <c r="E18" i="6"/>
  <c r="D18" i="6"/>
  <c r="D19" i="6"/>
  <c r="D20" i="6"/>
  <c r="D21" i="6"/>
  <c r="D22" i="6"/>
  <c r="D23" i="6"/>
  <c r="D24" i="6"/>
  <c r="D25" i="6"/>
  <c r="D26" i="6"/>
  <c r="D27" i="6"/>
  <c r="D28" i="6"/>
  <c r="D29" i="6"/>
  <c r="D30" i="6"/>
  <c r="D31" i="6"/>
  <c r="D32" i="6"/>
  <c r="D33" i="6"/>
  <c r="D34" i="6"/>
  <c r="D35" i="6"/>
  <c r="D36" i="6"/>
  <c r="D37" i="6"/>
  <c r="C18" i="6"/>
  <c r="C19" i="6"/>
  <c r="C20" i="6"/>
  <c r="C21" i="6"/>
  <c r="C22" i="6"/>
  <c r="C23" i="6"/>
  <c r="C24" i="6"/>
  <c r="C25" i="6"/>
  <c r="C26" i="6"/>
  <c r="C27" i="6"/>
  <c r="C28" i="6"/>
  <c r="C29" i="6"/>
  <c r="C30" i="6"/>
  <c r="C31" i="6"/>
  <c r="C32" i="6"/>
  <c r="C33" i="6"/>
  <c r="C34" i="6"/>
  <c r="C35" i="6"/>
  <c r="Y35" i="6" s="1"/>
  <c r="C36" i="6"/>
  <c r="Y36" i="6" s="1"/>
  <c r="C37" i="6"/>
  <c r="Y34" i="6" l="1"/>
  <c r="Y32" i="6"/>
  <c r="Y33" i="6"/>
  <c r="Y31" i="6"/>
  <c r="H17" i="21"/>
  <c r="AM22" i="13"/>
  <c r="FH22" i="13"/>
  <c r="Y30" i="6"/>
  <c r="Y37" i="6"/>
  <c r="Y29" i="6"/>
  <c r="Y28" i="6"/>
  <c r="Y27" i="6"/>
  <c r="Y21" i="6"/>
  <c r="Y22" i="6"/>
  <c r="Y20" i="6"/>
  <c r="Y19" i="6"/>
  <c r="Y18" i="6"/>
  <c r="Y26" i="6"/>
  <c r="Y24" i="6"/>
  <c r="Y25" i="6"/>
  <c r="Y23" i="6"/>
  <c r="H110" i="21"/>
  <c r="EB22" i="13"/>
  <c r="BV22" i="13"/>
  <c r="H52" i="21"/>
  <c r="H107" i="21"/>
  <c r="DY22" i="13"/>
  <c r="CR22" i="13"/>
  <c r="H74" i="21"/>
  <c r="H99" i="21"/>
  <c r="DQ22" i="13"/>
  <c r="CK22" i="13"/>
  <c r="H67" i="21"/>
  <c r="BT22" i="13"/>
  <c r="H50" i="21"/>
  <c r="BZ22" i="13"/>
  <c r="H57" i="21"/>
  <c r="CX22" i="13"/>
  <c r="H80" i="21"/>
  <c r="CG22" i="13"/>
  <c r="H63" i="21"/>
  <c r="H125" i="21"/>
  <c r="EQ22" i="13"/>
  <c r="BY22" i="13"/>
  <c r="H56" i="21"/>
  <c r="H103" i="21"/>
  <c r="DU22" i="13"/>
  <c r="CJ22" i="13"/>
  <c r="H66" i="21"/>
  <c r="H127" i="21"/>
  <c r="ES22" i="13"/>
  <c r="CD22" i="13"/>
  <c r="H61" i="21"/>
  <c r="H131" i="21"/>
  <c r="EW22" i="13"/>
  <c r="DB22" i="13"/>
  <c r="H84" i="21"/>
  <c r="BW22" i="13"/>
  <c r="H53" i="21"/>
  <c r="DE22" i="13"/>
  <c r="H87" i="21"/>
  <c r="H134" i="21"/>
  <c r="EZ22" i="13"/>
  <c r="R118" i="1"/>
  <c r="R117" i="1"/>
  <c r="R116" i="1"/>
  <c r="R115" i="1"/>
  <c r="R127" i="1"/>
  <c r="R107" i="1"/>
  <c r="R106" i="1"/>
  <c r="R105" i="1"/>
  <c r="R90" i="1"/>
  <c r="R102" i="1"/>
  <c r="R88" i="1"/>
  <c r="R87" i="1"/>
  <c r="R89" i="1"/>
  <c r="CF22" i="13"/>
  <c r="R37" i="1"/>
  <c r="R63" i="1"/>
  <c r="R62" i="1"/>
  <c r="R61" i="1"/>
  <c r="R64" i="1"/>
  <c r="R49" i="1"/>
  <c r="R40" i="1"/>
  <c r="R81" i="1"/>
  <c r="R56" i="1"/>
  <c r="R83" i="1"/>
  <c r="R55" i="1"/>
  <c r="R39" i="1"/>
  <c r="R82" i="1"/>
  <c r="R78" i="1"/>
  <c r="R38" i="1"/>
  <c r="M10" i="19"/>
  <c r="C10" i="19"/>
  <c r="G7" i="19"/>
  <c r="T13" i="19"/>
  <c r="BP22" i="13" l="1"/>
  <c r="H46" i="21"/>
  <c r="H121" i="21"/>
  <c r="EM22" i="13"/>
  <c r="H122" i="21"/>
  <c r="EN22" i="13"/>
  <c r="BQ22" i="13"/>
  <c r="H47" i="21"/>
  <c r="AH22" i="13"/>
  <c r="H12" i="21"/>
  <c r="H123" i="21"/>
  <c r="EO22" i="13"/>
  <c r="CN22" i="13"/>
  <c r="H70" i="21"/>
  <c r="DH22" i="13"/>
  <c r="H90" i="21"/>
  <c r="CH22" i="13"/>
  <c r="H64" i="21"/>
  <c r="AI22" i="13"/>
  <c r="H13" i="21"/>
  <c r="CM22" i="13"/>
  <c r="H69" i="21"/>
  <c r="BR22" i="13"/>
  <c r="H48" i="21"/>
  <c r="AJ22" i="13"/>
  <c r="H14" i="21"/>
  <c r="DI22" i="13"/>
  <c r="H91" i="21"/>
  <c r="H96" i="21"/>
  <c r="DN22" i="13"/>
  <c r="AK22" i="13"/>
  <c r="H15" i="21"/>
  <c r="CI22" i="13"/>
  <c r="H65" i="21"/>
  <c r="H94" i="21"/>
  <c r="DL22" i="13"/>
  <c r="DG22" i="13"/>
  <c r="H89" i="21"/>
  <c r="H95" i="21"/>
  <c r="DM22" i="13"/>
  <c r="CO22" i="13"/>
  <c r="H71" i="21"/>
  <c r="H133" i="21"/>
  <c r="EY22" i="13"/>
  <c r="AL22" i="13"/>
  <c r="H16" i="21"/>
  <c r="H124" i="21"/>
  <c r="EP22" i="13"/>
  <c r="BS22" i="13"/>
  <c r="H49" i="21"/>
  <c r="H97" i="21"/>
  <c r="DO22" i="13"/>
  <c r="CP22" i="13"/>
  <c r="H72" i="21"/>
  <c r="CA22" i="13"/>
  <c r="H58" i="21"/>
  <c r="H112" i="21"/>
  <c r="ED22" i="13"/>
  <c r="H113" i="21"/>
  <c r="EE22" i="13"/>
  <c r="H114" i="21"/>
  <c r="EF22" i="13"/>
  <c r="H109" i="21"/>
  <c r="EA22" i="13"/>
  <c r="DD22" i="13"/>
  <c r="H86" i="21"/>
  <c r="M9" i="19"/>
  <c r="O11" i="19"/>
  <c r="O12" i="19" s="1"/>
  <c r="T17" i="19"/>
  <c r="P16" i="19"/>
  <c r="P17" i="19"/>
  <c r="C9" i="19"/>
  <c r="E11" i="19"/>
  <c r="J17" i="19"/>
  <c r="F17" i="19"/>
  <c r="F16" i="19"/>
  <c r="J13" i="19"/>
  <c r="F12" i="19"/>
  <c r="D11" i="6"/>
  <c r="G6" i="22" s="1"/>
  <c r="K8" i="6"/>
  <c r="R6" i="22" s="1"/>
  <c r="E8" i="6"/>
  <c r="E6" i="22" s="1"/>
  <c r="A28" i="13"/>
  <c r="B28" i="13"/>
  <c r="C42" i="23"/>
  <c r="D28" i="13"/>
  <c r="N18" i="10" s="1"/>
  <c r="E28" i="13"/>
  <c r="N28" i="13" s="1"/>
  <c r="F28" i="13"/>
  <c r="G28" i="13"/>
  <c r="H28" i="13"/>
  <c r="AC28" i="13" s="1"/>
  <c r="I28" i="13"/>
  <c r="J28" i="13"/>
  <c r="AB28" i="13" s="1"/>
  <c r="K28" i="13"/>
  <c r="L28" i="13"/>
  <c r="AE12" i="13" s="1"/>
  <c r="AF12" i="13" s="1"/>
  <c r="M28" i="13"/>
  <c r="O28" i="13"/>
  <c r="AF28" i="13" s="1"/>
  <c r="AF48" i="13" s="1"/>
  <c r="P28" i="13"/>
  <c r="AG28" i="13" s="1"/>
  <c r="Q28" i="13"/>
  <c r="R28" i="13"/>
  <c r="A29" i="13"/>
  <c r="B29" i="13"/>
  <c r="C29" i="13"/>
  <c r="B262" i="13" s="1"/>
  <c r="D29" i="13"/>
  <c r="N20" i="10" s="1"/>
  <c r="E29" i="13"/>
  <c r="N29" i="13" s="1"/>
  <c r="F29" i="13"/>
  <c r="G29" i="13"/>
  <c r="H29" i="13"/>
  <c r="AC29" i="13" s="1"/>
  <c r="I29" i="13"/>
  <c r="J29" i="13"/>
  <c r="AB29" i="13" s="1"/>
  <c r="K29" i="13"/>
  <c r="L29" i="13"/>
  <c r="AE13" i="13" s="1"/>
  <c r="AF13" i="13" s="1"/>
  <c r="M29" i="13"/>
  <c r="O29" i="13"/>
  <c r="AF29" i="13" s="1"/>
  <c r="AF49" i="13" s="1"/>
  <c r="P29" i="13"/>
  <c r="AG29" i="13" s="1"/>
  <c r="Q29" i="13"/>
  <c r="R29" i="13"/>
  <c r="A30" i="13"/>
  <c r="B30" i="13"/>
  <c r="C30" i="13"/>
  <c r="B362" i="13" s="1"/>
  <c r="D30" i="13"/>
  <c r="N22" i="10" s="1"/>
  <c r="E30" i="13"/>
  <c r="N30" i="13" s="1"/>
  <c r="F30" i="13"/>
  <c r="G30" i="13"/>
  <c r="H30" i="13"/>
  <c r="AC30" i="13" s="1"/>
  <c r="I30" i="13"/>
  <c r="J30" i="13"/>
  <c r="AB30" i="13" s="1"/>
  <c r="K30" i="13"/>
  <c r="L30" i="13"/>
  <c r="M30" i="13"/>
  <c r="O30" i="13"/>
  <c r="AF30" i="13" s="1"/>
  <c r="AF50" i="13" s="1"/>
  <c r="P30" i="13"/>
  <c r="AG30" i="13" s="1"/>
  <c r="Q30" i="13"/>
  <c r="R30" i="13"/>
  <c r="A31" i="13"/>
  <c r="B31" i="13"/>
  <c r="C31" i="13"/>
  <c r="B462" i="13" s="1"/>
  <c r="D31" i="13"/>
  <c r="N24" i="10" s="1"/>
  <c r="E31" i="13"/>
  <c r="F31" i="13"/>
  <c r="G31" i="13"/>
  <c r="H31" i="13"/>
  <c r="AC31" i="13" s="1"/>
  <c r="I31" i="13"/>
  <c r="J31" i="13"/>
  <c r="AB31" i="13" s="1"/>
  <c r="K31" i="13"/>
  <c r="L31" i="13"/>
  <c r="M31" i="13"/>
  <c r="O31" i="13"/>
  <c r="AF31" i="13" s="1"/>
  <c r="AF51" i="13" s="1"/>
  <c r="P31" i="13"/>
  <c r="AG31" i="13" s="1"/>
  <c r="Q31" i="13"/>
  <c r="R31" i="13"/>
  <c r="A32" i="13"/>
  <c r="B32" i="13"/>
  <c r="C32" i="13"/>
  <c r="B562" i="13" s="1"/>
  <c r="D32" i="13"/>
  <c r="N26" i="10" s="1"/>
  <c r="E32" i="13"/>
  <c r="N32" i="13" s="1"/>
  <c r="F32" i="13"/>
  <c r="G32" i="13"/>
  <c r="H32" i="13"/>
  <c r="AC32" i="13" s="1"/>
  <c r="I32" i="13"/>
  <c r="J32" i="13"/>
  <c r="AB32" i="13" s="1"/>
  <c r="K32" i="13"/>
  <c r="L32" i="13"/>
  <c r="M32" i="13"/>
  <c r="O32" i="13"/>
  <c r="AF32" i="13" s="1"/>
  <c r="AF52" i="13" s="1"/>
  <c r="P32" i="13"/>
  <c r="AG32" i="13" s="1"/>
  <c r="Q32" i="13"/>
  <c r="R32" i="13"/>
  <c r="A33" i="13"/>
  <c r="B33" i="13"/>
  <c r="C33" i="13"/>
  <c r="B662" i="13" s="1"/>
  <c r="D33" i="13"/>
  <c r="N28" i="10" s="1"/>
  <c r="E33" i="13"/>
  <c r="F33" i="13"/>
  <c r="G33" i="13"/>
  <c r="H33" i="13"/>
  <c r="AC33" i="13" s="1"/>
  <c r="I33" i="13"/>
  <c r="J33" i="13"/>
  <c r="AB33" i="13" s="1"/>
  <c r="K33" i="13"/>
  <c r="L33" i="13"/>
  <c r="M33" i="13"/>
  <c r="O33" i="13"/>
  <c r="AF33" i="13" s="1"/>
  <c r="AF53" i="13" s="1"/>
  <c r="P33" i="13"/>
  <c r="AG33" i="13" s="1"/>
  <c r="Q33" i="13"/>
  <c r="R33" i="13"/>
  <c r="A34" i="13"/>
  <c r="B34" i="13"/>
  <c r="U34" i="13" s="1"/>
  <c r="C288" i="23"/>
  <c r="D34" i="13"/>
  <c r="N30" i="10" s="1"/>
  <c r="E34" i="13"/>
  <c r="N34" i="13" s="1"/>
  <c r="F34" i="13"/>
  <c r="G34" i="13"/>
  <c r="H34" i="13"/>
  <c r="AC34" i="13" s="1"/>
  <c r="I34" i="13"/>
  <c r="J34" i="13"/>
  <c r="AB34" i="13" s="1"/>
  <c r="K34" i="13"/>
  <c r="L34" i="13"/>
  <c r="M34" i="13"/>
  <c r="O34" i="13"/>
  <c r="AF34" i="13" s="1"/>
  <c r="AF54" i="13" s="1"/>
  <c r="P34" i="13"/>
  <c r="AG34" i="13" s="1"/>
  <c r="Q34" i="13"/>
  <c r="R34" i="13"/>
  <c r="A35" i="13"/>
  <c r="B35" i="13"/>
  <c r="C35" i="13"/>
  <c r="B862" i="13" s="1"/>
  <c r="D35" i="13"/>
  <c r="N32" i="10" s="1"/>
  <c r="E35" i="13"/>
  <c r="F35" i="13"/>
  <c r="G35" i="13"/>
  <c r="H35" i="13"/>
  <c r="AC35" i="13" s="1"/>
  <c r="I35" i="13"/>
  <c r="J35" i="13"/>
  <c r="AB35" i="13" s="1"/>
  <c r="K35" i="13"/>
  <c r="L35" i="13"/>
  <c r="M35" i="13"/>
  <c r="O35" i="13"/>
  <c r="AF35" i="13" s="1"/>
  <c r="AF55" i="13" s="1"/>
  <c r="P35" i="13"/>
  <c r="AG35" i="13" s="1"/>
  <c r="Q35" i="13"/>
  <c r="R35" i="13"/>
  <c r="A36" i="13"/>
  <c r="B36" i="13"/>
  <c r="C36" i="13"/>
  <c r="B962" i="13" s="1"/>
  <c r="D36" i="13"/>
  <c r="N34" i="10" s="1"/>
  <c r="E36" i="13"/>
  <c r="N36" i="13" s="1"/>
  <c r="F36" i="13"/>
  <c r="G36" i="13"/>
  <c r="H36" i="13"/>
  <c r="AC36" i="13" s="1"/>
  <c r="I36" i="13"/>
  <c r="J36" i="13"/>
  <c r="AB36" i="13" s="1"/>
  <c r="K36" i="13"/>
  <c r="L36" i="13"/>
  <c r="M36" i="13"/>
  <c r="O36" i="13"/>
  <c r="AF36" i="13" s="1"/>
  <c r="AF56" i="13" s="1"/>
  <c r="P36" i="13"/>
  <c r="AG36" i="13" s="1"/>
  <c r="Q36" i="13"/>
  <c r="R36" i="13"/>
  <c r="A37" i="13"/>
  <c r="B37" i="13"/>
  <c r="C37" i="13"/>
  <c r="B1062" i="13" s="1"/>
  <c r="D37" i="13"/>
  <c r="N36" i="10" s="1"/>
  <c r="E37" i="13"/>
  <c r="F37" i="13"/>
  <c r="G37" i="13"/>
  <c r="H37" i="13"/>
  <c r="AC37" i="13" s="1"/>
  <c r="I37" i="13"/>
  <c r="J37" i="13"/>
  <c r="AB37" i="13" s="1"/>
  <c r="K37" i="13"/>
  <c r="L37" i="13"/>
  <c r="M37" i="13"/>
  <c r="O37" i="13"/>
  <c r="AF37" i="13" s="1"/>
  <c r="AF57" i="13" s="1"/>
  <c r="P37" i="13"/>
  <c r="AG37" i="13" s="1"/>
  <c r="Q37" i="13"/>
  <c r="R37" i="13"/>
  <c r="A38" i="13"/>
  <c r="B38" i="13"/>
  <c r="C38" i="13"/>
  <c r="B1162" i="13" s="1"/>
  <c r="D38" i="13"/>
  <c r="N38" i="10" s="1"/>
  <c r="E38" i="13"/>
  <c r="N38" i="13" s="1"/>
  <c r="F38" i="13"/>
  <c r="G38" i="13"/>
  <c r="H38" i="13"/>
  <c r="AC38" i="13" s="1"/>
  <c r="I38" i="13"/>
  <c r="J38" i="13"/>
  <c r="AB38" i="13" s="1"/>
  <c r="K38" i="13"/>
  <c r="L38" i="13"/>
  <c r="M38" i="13"/>
  <c r="O38" i="13"/>
  <c r="AF38" i="13" s="1"/>
  <c r="AF58" i="13" s="1"/>
  <c r="P38" i="13"/>
  <c r="AG38" i="13" s="1"/>
  <c r="Q38" i="13"/>
  <c r="R38" i="13"/>
  <c r="A39" i="13"/>
  <c r="B39" i="13"/>
  <c r="C39" i="13"/>
  <c r="B1262" i="13" s="1"/>
  <c r="D39" i="13"/>
  <c r="N40" i="10" s="1"/>
  <c r="E39" i="13"/>
  <c r="F39" i="13"/>
  <c r="G39" i="13"/>
  <c r="H39" i="13"/>
  <c r="AC39" i="13" s="1"/>
  <c r="I39" i="13"/>
  <c r="J39" i="13"/>
  <c r="AB39" i="13" s="1"/>
  <c r="K39" i="13"/>
  <c r="L39" i="13"/>
  <c r="M39" i="13"/>
  <c r="O39" i="13"/>
  <c r="AF39" i="13" s="1"/>
  <c r="AF59" i="13" s="1"/>
  <c r="P39" i="13"/>
  <c r="AG39" i="13" s="1"/>
  <c r="Q39" i="13"/>
  <c r="R39" i="13"/>
  <c r="A40" i="13"/>
  <c r="B40" i="13"/>
  <c r="C40" i="13"/>
  <c r="B1362" i="13" s="1"/>
  <c r="D40" i="13"/>
  <c r="N42" i="10" s="1"/>
  <c r="E40" i="13"/>
  <c r="N40" i="13" s="1"/>
  <c r="F40" i="13"/>
  <c r="G40" i="13"/>
  <c r="H40" i="13"/>
  <c r="AC40" i="13" s="1"/>
  <c r="I40" i="13"/>
  <c r="J40" i="13"/>
  <c r="AB40" i="13" s="1"/>
  <c r="K40" i="13"/>
  <c r="L40" i="13"/>
  <c r="M40" i="13"/>
  <c r="O40" i="13"/>
  <c r="AF40" i="13" s="1"/>
  <c r="AF60" i="13" s="1"/>
  <c r="P40" i="13"/>
  <c r="AG40" i="13" s="1"/>
  <c r="Q40" i="13"/>
  <c r="R40" i="13"/>
  <c r="A41" i="13"/>
  <c r="B41" i="13"/>
  <c r="C41" i="13"/>
  <c r="B1462" i="13" s="1"/>
  <c r="D41" i="13"/>
  <c r="N44" i="10" s="1"/>
  <c r="E41" i="13"/>
  <c r="F41" i="13"/>
  <c r="G41" i="13"/>
  <c r="H41" i="13"/>
  <c r="AC41" i="13" s="1"/>
  <c r="I41" i="13"/>
  <c r="J41" i="13"/>
  <c r="AB41" i="13" s="1"/>
  <c r="K41" i="13"/>
  <c r="L41" i="13"/>
  <c r="M41" i="13"/>
  <c r="O41" i="13"/>
  <c r="AF41" i="13" s="1"/>
  <c r="AF61" i="13" s="1"/>
  <c r="P41" i="13"/>
  <c r="AG41" i="13" s="1"/>
  <c r="Q41" i="13"/>
  <c r="R41" i="13"/>
  <c r="A42" i="13"/>
  <c r="B42" i="13"/>
  <c r="C42" i="13"/>
  <c r="B1562" i="13" s="1"/>
  <c r="D42" i="13"/>
  <c r="N46" i="10" s="1"/>
  <c r="E42" i="13"/>
  <c r="N42" i="13" s="1"/>
  <c r="F42" i="13"/>
  <c r="G42" i="13"/>
  <c r="H42" i="13"/>
  <c r="AC42" i="13" s="1"/>
  <c r="I42" i="13"/>
  <c r="J42" i="13"/>
  <c r="AB42" i="13" s="1"/>
  <c r="K42" i="13"/>
  <c r="L42" i="13"/>
  <c r="M42" i="13"/>
  <c r="O42" i="13"/>
  <c r="AF42" i="13" s="1"/>
  <c r="AF62" i="13" s="1"/>
  <c r="P42" i="13"/>
  <c r="AG42" i="13" s="1"/>
  <c r="Q42" i="13"/>
  <c r="R42" i="13"/>
  <c r="A43" i="13"/>
  <c r="B43" i="13"/>
  <c r="C43" i="13"/>
  <c r="B1662" i="13" s="1"/>
  <c r="D43" i="13"/>
  <c r="N48" i="10" s="1"/>
  <c r="E43" i="13"/>
  <c r="F43" i="13"/>
  <c r="G43" i="13"/>
  <c r="H43" i="13"/>
  <c r="AC43" i="13" s="1"/>
  <c r="I43" i="13"/>
  <c r="J43" i="13"/>
  <c r="AB43" i="13" s="1"/>
  <c r="K43" i="13"/>
  <c r="L43" i="13"/>
  <c r="M43" i="13"/>
  <c r="O43" i="13"/>
  <c r="AF43" i="13" s="1"/>
  <c r="AF63" i="13" s="1"/>
  <c r="P43" i="13"/>
  <c r="AG43" i="13" s="1"/>
  <c r="Q43" i="13"/>
  <c r="R43" i="13"/>
  <c r="A44" i="13"/>
  <c r="B44" i="13"/>
  <c r="C44" i="13"/>
  <c r="B1762" i="13" s="1"/>
  <c r="D44" i="13"/>
  <c r="N50" i="10" s="1"/>
  <c r="E44" i="13"/>
  <c r="N44" i="13" s="1"/>
  <c r="F44" i="13"/>
  <c r="G44" i="13"/>
  <c r="H44" i="13"/>
  <c r="AC44" i="13" s="1"/>
  <c r="I44" i="13"/>
  <c r="J44" i="13"/>
  <c r="AB44" i="13" s="1"/>
  <c r="K44" i="13"/>
  <c r="L44" i="13"/>
  <c r="M44" i="13"/>
  <c r="O44" i="13"/>
  <c r="AF44" i="13" s="1"/>
  <c r="AF64" i="13" s="1"/>
  <c r="P44" i="13"/>
  <c r="AG44" i="13" s="1"/>
  <c r="Q44" i="13"/>
  <c r="R44" i="13"/>
  <c r="A45" i="13"/>
  <c r="B45" i="13"/>
  <c r="C45" i="13"/>
  <c r="B1862" i="13" s="1"/>
  <c r="D45" i="13"/>
  <c r="N52" i="10" s="1"/>
  <c r="E45" i="13"/>
  <c r="F45" i="13"/>
  <c r="G45" i="13"/>
  <c r="H45" i="13"/>
  <c r="AC45" i="13" s="1"/>
  <c r="I45" i="13"/>
  <c r="J45" i="13"/>
  <c r="AB45" i="13" s="1"/>
  <c r="K45" i="13"/>
  <c r="L45" i="13"/>
  <c r="M45" i="13"/>
  <c r="O45" i="13"/>
  <c r="AF45" i="13" s="1"/>
  <c r="AF65" i="13" s="1"/>
  <c r="P45" i="13"/>
  <c r="AG45" i="13" s="1"/>
  <c r="Q45" i="13"/>
  <c r="R45" i="13"/>
  <c r="A46" i="13"/>
  <c r="B46" i="13"/>
  <c r="C46" i="13"/>
  <c r="B1962" i="13" s="1"/>
  <c r="D46" i="13"/>
  <c r="N54" i="10" s="1"/>
  <c r="E46" i="13"/>
  <c r="N46" i="13" s="1"/>
  <c r="F46" i="13"/>
  <c r="G46" i="13"/>
  <c r="H46" i="13"/>
  <c r="AC46" i="13" s="1"/>
  <c r="I46" i="13"/>
  <c r="J46" i="13"/>
  <c r="AB46" i="13" s="1"/>
  <c r="K46" i="13"/>
  <c r="L46" i="13"/>
  <c r="M46" i="13"/>
  <c r="O46" i="13"/>
  <c r="AF46" i="13" s="1"/>
  <c r="AF66" i="13" s="1"/>
  <c r="P46" i="13"/>
  <c r="AG46" i="13" s="1"/>
  <c r="Q46" i="13"/>
  <c r="R46" i="13"/>
  <c r="AH24" i="13"/>
  <c r="CW25" i="13"/>
  <c r="CX25" i="13"/>
  <c r="CY25" i="13"/>
  <c r="CZ25" i="13"/>
  <c r="DA25" i="13"/>
  <c r="DB25" i="13"/>
  <c r="DC25" i="13"/>
  <c r="DD25" i="13"/>
  <c r="DE25" i="13"/>
  <c r="DF25" i="13"/>
  <c r="DG25" i="13"/>
  <c r="DH25" i="13"/>
  <c r="DI25" i="13"/>
  <c r="DJ25" i="13"/>
  <c r="CW24" i="13"/>
  <c r="CX24" i="13"/>
  <c r="CY24" i="13"/>
  <c r="CZ24" i="13"/>
  <c r="DA24" i="13"/>
  <c r="DB24" i="13"/>
  <c r="DC24" i="13"/>
  <c r="DD24" i="13"/>
  <c r="DE24" i="13"/>
  <c r="DF24" i="13"/>
  <c r="DG24" i="13"/>
  <c r="DH24" i="13"/>
  <c r="DI24" i="13"/>
  <c r="DJ24" i="13"/>
  <c r="E12" i="19" l="1"/>
  <c r="G12" i="19"/>
  <c r="M41" i="25"/>
  <c r="N41" i="25" s="1"/>
  <c r="M40" i="25"/>
  <c r="N40" i="25" s="1"/>
  <c r="P48" i="10"/>
  <c r="J49" i="10" s="1"/>
  <c r="N43" i="13"/>
  <c r="P44" i="10"/>
  <c r="H45" i="10" s="1"/>
  <c r="I45" i="10" s="1"/>
  <c r="N41" i="13"/>
  <c r="P40" i="10"/>
  <c r="H41" i="10" s="1"/>
  <c r="I41" i="10" s="1"/>
  <c r="N39" i="13"/>
  <c r="P36" i="10"/>
  <c r="N37" i="13"/>
  <c r="P32" i="10"/>
  <c r="N35" i="13"/>
  <c r="P24" i="10"/>
  <c r="N31" i="13"/>
  <c r="P52" i="10"/>
  <c r="N45" i="13"/>
  <c r="P28" i="10"/>
  <c r="N33" i="13"/>
  <c r="P20" i="10"/>
  <c r="P54" i="10"/>
  <c r="P46" i="10"/>
  <c r="P42" i="10"/>
  <c r="P50" i="10"/>
  <c r="H50" i="10" s="1"/>
  <c r="I50" i="10" s="1"/>
  <c r="P38" i="10"/>
  <c r="P34" i="10"/>
  <c r="BH34" i="13"/>
  <c r="BH54" i="13" s="1"/>
  <c r="P30" i="10"/>
  <c r="P26" i="10"/>
  <c r="P22" i="10"/>
  <c r="P18" i="10"/>
  <c r="J54" i="10"/>
  <c r="J48" i="10"/>
  <c r="J46" i="10"/>
  <c r="J44" i="10"/>
  <c r="J42" i="10"/>
  <c r="J40" i="10"/>
  <c r="J50" i="10"/>
  <c r="J52" i="10"/>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600" i="13"/>
  <c r="B612" i="13"/>
  <c r="B619" i="13"/>
  <c r="B623" i="13"/>
  <c r="B627" i="13"/>
  <c r="B587" i="13"/>
  <c r="B589" i="13"/>
  <c r="B591" i="13"/>
  <c r="B593" i="13"/>
  <c r="B615" i="13"/>
  <c r="B638" i="13"/>
  <c r="B631" i="13"/>
  <c r="B595" i="13"/>
  <c r="B605" i="13"/>
  <c r="B637" i="13"/>
  <c r="B602" i="13"/>
  <c r="B608" i="13"/>
  <c r="B618" i="13"/>
  <c r="B597" i="13"/>
  <c r="B611" i="13"/>
  <c r="B630" i="13"/>
  <c r="B636" i="13"/>
  <c r="B646" i="13"/>
  <c r="B614" i="13"/>
  <c r="B645" i="13"/>
  <c r="B599" i="13"/>
  <c r="B635" i="13"/>
  <c r="B644" i="13"/>
  <c r="B604" i="13"/>
  <c r="B617" i="13"/>
  <c r="B621" i="13"/>
  <c r="B625" i="13"/>
  <c r="B629" i="13"/>
  <c r="B643" i="13"/>
  <c r="B586" i="13"/>
  <c r="B588" i="13"/>
  <c r="B590" i="13"/>
  <c r="B592" i="13"/>
  <c r="B607" i="13"/>
  <c r="B634" i="13"/>
  <c r="B642" i="13"/>
  <c r="B594" i="13"/>
  <c r="B601" i="13"/>
  <c r="B610" i="13"/>
  <c r="B613" i="13"/>
  <c r="B641" i="13"/>
  <c r="B596" i="13"/>
  <c r="B616" i="13"/>
  <c r="B598" i="13"/>
  <c r="B603" i="13"/>
  <c r="B606" i="13"/>
  <c r="B649" i="13"/>
  <c r="B626" i="13"/>
  <c r="B640" i="13"/>
  <c r="B656" i="13"/>
  <c r="B658" i="13"/>
  <c r="B660" i="13"/>
  <c r="B647" i="13"/>
  <c r="B654" i="13"/>
  <c r="B609" i="13"/>
  <c r="B632" i="13"/>
  <c r="B622" i="13"/>
  <c r="B652" i="13"/>
  <c r="B628" i="13"/>
  <c r="B633" i="13"/>
  <c r="B650" i="13"/>
  <c r="B648" i="13"/>
  <c r="B657" i="13"/>
  <c r="B659" i="13"/>
  <c r="B661" i="13"/>
  <c r="B624" i="13"/>
  <c r="B655" i="13"/>
  <c r="B653" i="13"/>
  <c r="B620" i="13"/>
  <c r="B639" i="13"/>
  <c r="B651"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376" i="13"/>
  <c r="B392" i="13"/>
  <c r="B408" i="13"/>
  <c r="B424" i="13"/>
  <c r="B440" i="13"/>
  <c r="B456" i="13"/>
  <c r="B377" i="13"/>
  <c r="B393" i="13"/>
  <c r="B409" i="13"/>
  <c r="B425" i="13"/>
  <c r="B441" i="13"/>
  <c r="B457" i="13"/>
  <c r="B378" i="13"/>
  <c r="B394" i="13"/>
  <c r="B410" i="13"/>
  <c r="B363" i="13"/>
  <c r="B379" i="13"/>
  <c r="B395" i="13"/>
  <c r="B411" i="13"/>
  <c r="B427" i="13"/>
  <c r="B443" i="13"/>
  <c r="B459" i="13"/>
  <c r="B365" i="13"/>
  <c r="B381" i="13"/>
  <c r="B397" i="13"/>
  <c r="B413" i="13"/>
  <c r="B429" i="13"/>
  <c r="B445" i="13"/>
  <c r="B461" i="13"/>
  <c r="B366" i="13"/>
  <c r="B382" i="13"/>
  <c r="B398" i="13"/>
  <c r="B414" i="13"/>
  <c r="B430" i="13"/>
  <c r="B371" i="13"/>
  <c r="B399" i="13"/>
  <c r="B421" i="13"/>
  <c r="B446" i="13"/>
  <c r="B428" i="13"/>
  <c r="B372" i="13"/>
  <c r="B400" i="13"/>
  <c r="B422" i="13"/>
  <c r="B447" i="13"/>
  <c r="B450" i="13"/>
  <c r="B373" i="13"/>
  <c r="B401" i="13"/>
  <c r="B423" i="13"/>
  <c r="B448" i="13"/>
  <c r="B432" i="13"/>
  <c r="B374" i="13"/>
  <c r="B402" i="13"/>
  <c r="B426" i="13"/>
  <c r="B449" i="13"/>
  <c r="B375" i="13"/>
  <c r="B438" i="13"/>
  <c r="B403" i="13"/>
  <c r="B380" i="13"/>
  <c r="B404" i="13"/>
  <c r="B431" i="13"/>
  <c r="B451" i="13"/>
  <c r="B383" i="13"/>
  <c r="B405" i="13"/>
  <c r="B452" i="13"/>
  <c r="B389" i="13"/>
  <c r="B444" i="13"/>
  <c r="B384" i="13"/>
  <c r="B406" i="13"/>
  <c r="B433" i="13"/>
  <c r="B453" i="13"/>
  <c r="B417" i="13"/>
  <c r="B370" i="13"/>
  <c r="B385" i="13"/>
  <c r="B407" i="13"/>
  <c r="B434" i="13"/>
  <c r="B454" i="13"/>
  <c r="B439" i="13"/>
  <c r="B386" i="13"/>
  <c r="B412" i="13"/>
  <c r="B435" i="13"/>
  <c r="B455" i="13"/>
  <c r="B460" i="13"/>
  <c r="B387" i="13"/>
  <c r="B415" i="13"/>
  <c r="B436" i="13"/>
  <c r="B458" i="13"/>
  <c r="B364" i="13"/>
  <c r="B388" i="13"/>
  <c r="B416" i="13"/>
  <c r="B437" i="13"/>
  <c r="B367" i="13"/>
  <c r="B420" i="13"/>
  <c r="B368" i="13"/>
  <c r="B390" i="13"/>
  <c r="B418" i="13"/>
  <c r="B369" i="13"/>
  <c r="B391" i="13"/>
  <c r="B419" i="13"/>
  <c r="B442" i="13"/>
  <c r="B396" i="13"/>
  <c r="B1463" i="13"/>
  <c r="B1474" i="13"/>
  <c r="B1482" i="13"/>
  <c r="B1501" i="13"/>
  <c r="B1507" i="13"/>
  <c r="B1517" i="13"/>
  <c r="B1521" i="13"/>
  <c r="B1525" i="13"/>
  <c r="B1535" i="13"/>
  <c r="B1544" i="13"/>
  <c r="B1471" i="13"/>
  <c r="B1496" i="13"/>
  <c r="B1510" i="13"/>
  <c r="B1529" i="13"/>
  <c r="B1543" i="13"/>
  <c r="B1464" i="13"/>
  <c r="B1468" i="13"/>
  <c r="B1477" i="13"/>
  <c r="B1513" i="13"/>
  <c r="B1534" i="13"/>
  <c r="B1542" i="13"/>
  <c r="B1498" i="13"/>
  <c r="B1480" i="13"/>
  <c r="B1503" i="13"/>
  <c r="B1516" i="13"/>
  <c r="B1485" i="13"/>
  <c r="B1487" i="13"/>
  <c r="B1489" i="13"/>
  <c r="B1491" i="13"/>
  <c r="B1506" i="13"/>
  <c r="B1533" i="13"/>
  <c r="B1465" i="13"/>
  <c r="B1472" i="13"/>
  <c r="B1475" i="13"/>
  <c r="B1493" i="13"/>
  <c r="B1500" i="13"/>
  <c r="B1509" i="13"/>
  <c r="B1540" i="13"/>
  <c r="B1469" i="13"/>
  <c r="B1483" i="13"/>
  <c r="B1512" i="13"/>
  <c r="B1478" i="13"/>
  <c r="B1495" i="13"/>
  <c r="B1515" i="13"/>
  <c r="B1519" i="13"/>
  <c r="B1523" i="13"/>
  <c r="B1527" i="13"/>
  <c r="B1532" i="13"/>
  <c r="B1539" i="13"/>
  <c r="B1466" i="13"/>
  <c r="B1481" i="13"/>
  <c r="B1497" i="13"/>
  <c r="B1502" i="13"/>
  <c r="B1505" i="13"/>
  <c r="B1538" i="13"/>
  <c r="B1473" i="13"/>
  <c r="B1508" i="13"/>
  <c r="B1531" i="13"/>
  <c r="B1470" i="13"/>
  <c r="B1476" i="13"/>
  <c r="B1499" i="13"/>
  <c r="B1511" i="13"/>
  <c r="B1486" i="13"/>
  <c r="B1488" i="13"/>
  <c r="B1490" i="13"/>
  <c r="B1492" i="13"/>
  <c r="B1514" i="13"/>
  <c r="B1467" i="13"/>
  <c r="B1479" i="13"/>
  <c r="B1484" i="13"/>
  <c r="B1553" i="13"/>
  <c r="B1504" i="13"/>
  <c r="B1520" i="13"/>
  <c r="B1546" i="13"/>
  <c r="B1526" i="13"/>
  <c r="B1551" i="13"/>
  <c r="B1536" i="13"/>
  <c r="B1549" i="13"/>
  <c r="B1522" i="13"/>
  <c r="B1537" i="13"/>
  <c r="B1547" i="13"/>
  <c r="B1556" i="13"/>
  <c r="B1558" i="13"/>
  <c r="B1560" i="13"/>
  <c r="B1561" i="13"/>
  <c r="B1554" i="13"/>
  <c r="B1528" i="13"/>
  <c r="B1541" i="13"/>
  <c r="B1552" i="13"/>
  <c r="B1530" i="13"/>
  <c r="B1494" i="13"/>
  <c r="B1518" i="13"/>
  <c r="B1550" i="13"/>
  <c r="B1545" i="13"/>
  <c r="B1524" i="13"/>
  <c r="B1548" i="13"/>
  <c r="B1555" i="13"/>
  <c r="B1557" i="13"/>
  <c r="B1559" i="13"/>
  <c r="B1563" i="13"/>
  <c r="B1594" i="13"/>
  <c r="B1604" i="13"/>
  <c r="B1645" i="13"/>
  <c r="B1574" i="13"/>
  <c r="B1582" i="13"/>
  <c r="B1601" i="13"/>
  <c r="B1607" i="13"/>
  <c r="B1617" i="13"/>
  <c r="B1621" i="13"/>
  <c r="B1625" i="13"/>
  <c r="B1635" i="13"/>
  <c r="B1644" i="13"/>
  <c r="B1571" i="13"/>
  <c r="B1596" i="13"/>
  <c r="B1610" i="13"/>
  <c r="B1629" i="13"/>
  <c r="B1643" i="13"/>
  <c r="B1564" i="13"/>
  <c r="B1568" i="13"/>
  <c r="B1577" i="13"/>
  <c r="B1613" i="13"/>
  <c r="B1634" i="13"/>
  <c r="B1642" i="13"/>
  <c r="B1598" i="13"/>
  <c r="B1580" i="13"/>
  <c r="B1603" i="13"/>
  <c r="B1616" i="13"/>
  <c r="B1620" i="13"/>
  <c r="B1624" i="13"/>
  <c r="B1628" i="13"/>
  <c r="B1641" i="13"/>
  <c r="B1585" i="13"/>
  <c r="B1587" i="13"/>
  <c r="B1589" i="13"/>
  <c r="B1591" i="13"/>
  <c r="B1606" i="13"/>
  <c r="B1633" i="13"/>
  <c r="B1565" i="13"/>
  <c r="B1572" i="13"/>
  <c r="B1575" i="13"/>
  <c r="B1593" i="13"/>
  <c r="B1600" i="13"/>
  <c r="B1609" i="13"/>
  <c r="B1640" i="13"/>
  <c r="B1569" i="13"/>
  <c r="B1583" i="13"/>
  <c r="B1612" i="13"/>
  <c r="B1578" i="13"/>
  <c r="B1595" i="13"/>
  <c r="B1615" i="13"/>
  <c r="B1619" i="13"/>
  <c r="B1623" i="13"/>
  <c r="B1627" i="13"/>
  <c r="B1632" i="13"/>
  <c r="B1639" i="13"/>
  <c r="B1566" i="13"/>
  <c r="B1581" i="13"/>
  <c r="B1597" i="13"/>
  <c r="B1602" i="13"/>
  <c r="B1605" i="13"/>
  <c r="B1638" i="13"/>
  <c r="B1573" i="13"/>
  <c r="B1608" i="13"/>
  <c r="B1570" i="13"/>
  <c r="B1576" i="13"/>
  <c r="B1599" i="13"/>
  <c r="B1611" i="13"/>
  <c r="B1618" i="13"/>
  <c r="B1622" i="13"/>
  <c r="B1626" i="13"/>
  <c r="B1586" i="13"/>
  <c r="B1588" i="13"/>
  <c r="B1590" i="13"/>
  <c r="B1592" i="13"/>
  <c r="B1614" i="13"/>
  <c r="B1567" i="13"/>
  <c r="B1630" i="13"/>
  <c r="B1661" i="13"/>
  <c r="B1653" i="13"/>
  <c r="B1655" i="13"/>
  <c r="B1631" i="13"/>
  <c r="B1646" i="13"/>
  <c r="B1651" i="13"/>
  <c r="B1579" i="13"/>
  <c r="B1636" i="13"/>
  <c r="B1649" i="13"/>
  <c r="B1584" i="13"/>
  <c r="B1637" i="13"/>
  <c r="B1647" i="13"/>
  <c r="B1656" i="13"/>
  <c r="B1658" i="13"/>
  <c r="B1660" i="13"/>
  <c r="B1657" i="13"/>
  <c r="B1654" i="13"/>
  <c r="B1652" i="13"/>
  <c r="B1650" i="13"/>
  <c r="B1648" i="13"/>
  <c r="B1659" i="13"/>
  <c r="B1363" i="13"/>
  <c r="B1364" i="13"/>
  <c r="B1365" i="13"/>
  <c r="B1366" i="13"/>
  <c r="B1367" i="13"/>
  <c r="B1368" i="13"/>
  <c r="B1371" i="13"/>
  <c r="B1396" i="13"/>
  <c r="B1410" i="13"/>
  <c r="B1429" i="13"/>
  <c r="B1443" i="13"/>
  <c r="B1377" i="13"/>
  <c r="B1413" i="13"/>
  <c r="B1434" i="13"/>
  <c r="B1442" i="13"/>
  <c r="B1398" i="13"/>
  <c r="B1380" i="13"/>
  <c r="B1403" i="13"/>
  <c r="B1416" i="13"/>
  <c r="B1420" i="13"/>
  <c r="B1424" i="13"/>
  <c r="B1428" i="13"/>
  <c r="B1441" i="13"/>
  <c r="B1385" i="13"/>
  <c r="B1387" i="13"/>
  <c r="B1389" i="13"/>
  <c r="B1391" i="13"/>
  <c r="B1406" i="13"/>
  <c r="B1372" i="13"/>
  <c r="B1375" i="13"/>
  <c r="B1393" i="13"/>
  <c r="B1400" i="13"/>
  <c r="B1409" i="13"/>
  <c r="B1440" i="13"/>
  <c r="B1369" i="13"/>
  <c r="B1383" i="13"/>
  <c r="B1412" i="13"/>
  <c r="B1378" i="13"/>
  <c r="B1395" i="13"/>
  <c r="B1415" i="13"/>
  <c r="B1419" i="13"/>
  <c r="B1423" i="13"/>
  <c r="B1427" i="13"/>
  <c r="B1432" i="13"/>
  <c r="B1439" i="13"/>
  <c r="B1381" i="13"/>
  <c r="B1397" i="13"/>
  <c r="B1402" i="13"/>
  <c r="B1405" i="13"/>
  <c r="B1438" i="13"/>
  <c r="B1373" i="13"/>
  <c r="B1408" i="13"/>
  <c r="B1431" i="13"/>
  <c r="B1370" i="13"/>
  <c r="B1376" i="13"/>
  <c r="B1399" i="13"/>
  <c r="B1411" i="13"/>
  <c r="B1418" i="13"/>
  <c r="B1422" i="13"/>
  <c r="B1426" i="13"/>
  <c r="B1437" i="13"/>
  <c r="B1386" i="13"/>
  <c r="B1388" i="13"/>
  <c r="B1390" i="13"/>
  <c r="B1392" i="13"/>
  <c r="B1414" i="13"/>
  <c r="B1379" i="13"/>
  <c r="B1384" i="13"/>
  <c r="B1430" i="13"/>
  <c r="B1436" i="13"/>
  <c r="B1394" i="13"/>
  <c r="B1404" i="13"/>
  <c r="B1425" i="13"/>
  <c r="B1435" i="13"/>
  <c r="B1446" i="13"/>
  <c r="B1451" i="13"/>
  <c r="B1374" i="13"/>
  <c r="B1407" i="13"/>
  <c r="B1449" i="13"/>
  <c r="B1421" i="13"/>
  <c r="B1401" i="13"/>
  <c r="B1382" i="13"/>
  <c r="B1447" i="13"/>
  <c r="B1456" i="13"/>
  <c r="B1458" i="13"/>
  <c r="B1460" i="13"/>
  <c r="B1454" i="13"/>
  <c r="B1444" i="13"/>
  <c r="B1452" i="13"/>
  <c r="B1433" i="13"/>
  <c r="B1453" i="13"/>
  <c r="B1417" i="13"/>
  <c r="B1450" i="13"/>
  <c r="B1445" i="13"/>
  <c r="B1448" i="13"/>
  <c r="B1455" i="13"/>
  <c r="B1457" i="13"/>
  <c r="B1459" i="13"/>
  <c r="B1461"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7" i="13"/>
  <c r="B2048" i="13"/>
  <c r="B2049" i="13"/>
  <c r="B2050" i="13"/>
  <c r="B2051" i="13"/>
  <c r="B2052" i="13"/>
  <c r="B2053" i="13"/>
  <c r="B2054" i="13"/>
  <c r="B2055" i="13"/>
  <c r="B2056" i="13"/>
  <c r="B2057" i="13"/>
  <c r="B2058" i="13"/>
  <c r="B2059" i="13"/>
  <c r="B2060" i="13"/>
  <c r="B2061" i="13"/>
  <c r="B2046" i="13"/>
  <c r="B2044" i="13"/>
  <c r="B2043" i="13"/>
  <c r="B2042" i="13"/>
  <c r="B2045"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7" i="13"/>
  <c r="B1947" i="13"/>
  <c r="B1948" i="13"/>
  <c r="B1949" i="13"/>
  <c r="B1950" i="13"/>
  <c r="B1951" i="13"/>
  <c r="B1952" i="13"/>
  <c r="B1953" i="13"/>
  <c r="B1954" i="13"/>
  <c r="B1955" i="13"/>
  <c r="B1956" i="13"/>
  <c r="B1957" i="13"/>
  <c r="B1958" i="13"/>
  <c r="B1959" i="13"/>
  <c r="B1960" i="13"/>
  <c r="B1961" i="13"/>
  <c r="B1936" i="13"/>
  <c r="B1946" i="13"/>
  <c r="B1945" i="13"/>
  <c r="B1943" i="13"/>
  <c r="B1934" i="13"/>
  <c r="B1942" i="13"/>
  <c r="B1941" i="13"/>
  <c r="B1940" i="13"/>
  <c r="B1939" i="13"/>
  <c r="B1935" i="13"/>
  <c r="B1944" i="13"/>
  <c r="B1938" i="13"/>
  <c r="B1663" i="13"/>
  <c r="B1667" i="13"/>
  <c r="B1679" i="13"/>
  <c r="B1684" i="13"/>
  <c r="B1730" i="13"/>
  <c r="B1736" i="13"/>
  <c r="B1746" i="13"/>
  <c r="B1694" i="13"/>
  <c r="B1704" i="13"/>
  <c r="B1745" i="13"/>
  <c r="B1674" i="13"/>
  <c r="B1682" i="13"/>
  <c r="B1701" i="13"/>
  <c r="B1707" i="13"/>
  <c r="B1717" i="13"/>
  <c r="B1721" i="13"/>
  <c r="B1725" i="13"/>
  <c r="B1735" i="13"/>
  <c r="B1744" i="13"/>
  <c r="B1671" i="13"/>
  <c r="B1696" i="13"/>
  <c r="B1710" i="13"/>
  <c r="B1729" i="13"/>
  <c r="B1743" i="13"/>
  <c r="B1664" i="13"/>
  <c r="B1668" i="13"/>
  <c r="B1677" i="13"/>
  <c r="B1713" i="13"/>
  <c r="B1698" i="13"/>
  <c r="B1680" i="13"/>
  <c r="B1703" i="13"/>
  <c r="B1716" i="13"/>
  <c r="B1720" i="13"/>
  <c r="B1724" i="13"/>
  <c r="B1728" i="13"/>
  <c r="B1741" i="13"/>
  <c r="B1685" i="13"/>
  <c r="B1687" i="13"/>
  <c r="B1689" i="13"/>
  <c r="B1691" i="13"/>
  <c r="B1706" i="13"/>
  <c r="B1733" i="13"/>
  <c r="B1665" i="13"/>
  <c r="B1672" i="13"/>
  <c r="B1675" i="13"/>
  <c r="B1693" i="13"/>
  <c r="B1700" i="13"/>
  <c r="B1709" i="13"/>
  <c r="B1740" i="13"/>
  <c r="B1669" i="13"/>
  <c r="B1683" i="13"/>
  <c r="B1712" i="13"/>
  <c r="B1678" i="13"/>
  <c r="B1695" i="13"/>
  <c r="B1715" i="13"/>
  <c r="B1719" i="13"/>
  <c r="B1723" i="13"/>
  <c r="B1727" i="13"/>
  <c r="B1732" i="13"/>
  <c r="B1739" i="13"/>
  <c r="B1666" i="13"/>
  <c r="B1681" i="13"/>
  <c r="B1697" i="13"/>
  <c r="B1702" i="13"/>
  <c r="B1705" i="13"/>
  <c r="B1673" i="13"/>
  <c r="B1708" i="13"/>
  <c r="B1731" i="13"/>
  <c r="B1670" i="13"/>
  <c r="B1676" i="13"/>
  <c r="B1699" i="13"/>
  <c r="B1711" i="13"/>
  <c r="B1718" i="13"/>
  <c r="B1755" i="13"/>
  <c r="B1757" i="13"/>
  <c r="B1759" i="13"/>
  <c r="B1761" i="13"/>
  <c r="B1753" i="13"/>
  <c r="B1726" i="13"/>
  <c r="B1751" i="13"/>
  <c r="B1749" i="13"/>
  <c r="B1686" i="13"/>
  <c r="B1722" i="13"/>
  <c r="B1688" i="13"/>
  <c r="B1714" i="13"/>
  <c r="B1737" i="13"/>
  <c r="B1747" i="13"/>
  <c r="B1756" i="13"/>
  <c r="B1758" i="13"/>
  <c r="B1760" i="13"/>
  <c r="B1690" i="13"/>
  <c r="B1754" i="13"/>
  <c r="B1692" i="13"/>
  <c r="B1738" i="13"/>
  <c r="B1752" i="13"/>
  <c r="B1748" i="13"/>
  <c r="B1734" i="13"/>
  <c r="B1750" i="13"/>
  <c r="B1742" i="13"/>
  <c r="B1263" i="13"/>
  <c r="B1264" i="13"/>
  <c r="B1265" i="13"/>
  <c r="B1266" i="13"/>
  <c r="B1267" i="13"/>
  <c r="B1268" i="13"/>
  <c r="B1269" i="13"/>
  <c r="B1270" i="13"/>
  <c r="B1271" i="13"/>
  <c r="B1272" i="13"/>
  <c r="B1273" i="13"/>
  <c r="B1274" i="13"/>
  <c r="B1275" i="13"/>
  <c r="B1276" i="13"/>
  <c r="B1277" i="13"/>
  <c r="B1278" i="13"/>
  <c r="B1279" i="13"/>
  <c r="B1280" i="13"/>
  <c r="B1281" i="13"/>
  <c r="B1282" i="13"/>
  <c r="B1313" i="13"/>
  <c r="B1334" i="13"/>
  <c r="B1342" i="13"/>
  <c r="B1298" i="13"/>
  <c r="B1303" i="13"/>
  <c r="B1316" i="13"/>
  <c r="B1320" i="13"/>
  <c r="B1324" i="13"/>
  <c r="B1328" i="13"/>
  <c r="B1341" i="13"/>
  <c r="B1285" i="13"/>
  <c r="B1287" i="13"/>
  <c r="B1289" i="13"/>
  <c r="B1291" i="13"/>
  <c r="B1306" i="13"/>
  <c r="B1333" i="13"/>
  <c r="B1293" i="13"/>
  <c r="B1300" i="13"/>
  <c r="B1309" i="13"/>
  <c r="B1283" i="13"/>
  <c r="B1312" i="13"/>
  <c r="B1295" i="13"/>
  <c r="B1315" i="13"/>
  <c r="B1319" i="13"/>
  <c r="B1323" i="13"/>
  <c r="B1327" i="13"/>
  <c r="B1332" i="13"/>
  <c r="B1339" i="13"/>
  <c r="B1297" i="13"/>
  <c r="B1302" i="13"/>
  <c r="B1305" i="13"/>
  <c r="B1338" i="13"/>
  <c r="B1308" i="13"/>
  <c r="B1331" i="13"/>
  <c r="B1299" i="13"/>
  <c r="B1311" i="13"/>
  <c r="B1318" i="13"/>
  <c r="B1322" i="13"/>
  <c r="B1326" i="13"/>
  <c r="B1337" i="13"/>
  <c r="B1286" i="13"/>
  <c r="B1288" i="13"/>
  <c r="B1290" i="13"/>
  <c r="B1292" i="13"/>
  <c r="B1314" i="13"/>
  <c r="B1284" i="13"/>
  <c r="B1294" i="13"/>
  <c r="B1304" i="13"/>
  <c r="B1301" i="13"/>
  <c r="B1307" i="13"/>
  <c r="B1317" i="13"/>
  <c r="B1351" i="13"/>
  <c r="B1356" i="13"/>
  <c r="B1336" i="13"/>
  <c r="B1343" i="13"/>
  <c r="B1349" i="13"/>
  <c r="B1360" i="13"/>
  <c r="B1321" i="13"/>
  <c r="B1340" i="13"/>
  <c r="B1347" i="13"/>
  <c r="B1358" i="13"/>
  <c r="B1310" i="13"/>
  <c r="B1354" i="13"/>
  <c r="B1325" i="13"/>
  <c r="B1344" i="13"/>
  <c r="B1352" i="13"/>
  <c r="B1335" i="13"/>
  <c r="B1350" i="13"/>
  <c r="B1345" i="13"/>
  <c r="B1348" i="13"/>
  <c r="B1296" i="13"/>
  <c r="B1329" i="13"/>
  <c r="B1355" i="13"/>
  <c r="B1357" i="13"/>
  <c r="B1359" i="13"/>
  <c r="B1361" i="13"/>
  <c r="B1346" i="13"/>
  <c r="B1330" i="13"/>
  <c r="B1353" i="13"/>
  <c r="B1786" i="13"/>
  <c r="B1788" i="13"/>
  <c r="B1790" i="13"/>
  <c r="B1792" i="13"/>
  <c r="B1814" i="13"/>
  <c r="B1847" i="13"/>
  <c r="B1848" i="13"/>
  <c r="B1849" i="13"/>
  <c r="B1850" i="13"/>
  <c r="B1851" i="13"/>
  <c r="B1852" i="13"/>
  <c r="B1853" i="13"/>
  <c r="B1854" i="13"/>
  <c r="B1855" i="13"/>
  <c r="B1856" i="13"/>
  <c r="B1857" i="13"/>
  <c r="B1858" i="13"/>
  <c r="B1859" i="13"/>
  <c r="B1860" i="13"/>
  <c r="B1861" i="13"/>
  <c r="B1763" i="13"/>
  <c r="B1767" i="13"/>
  <c r="B1779" i="13"/>
  <c r="B1784" i="13"/>
  <c r="B1830" i="13"/>
  <c r="B1836" i="13"/>
  <c r="B1846" i="13"/>
  <c r="B1794" i="13"/>
  <c r="B1804" i="13"/>
  <c r="B1845" i="13"/>
  <c r="B1774" i="13"/>
  <c r="B1782" i="13"/>
  <c r="B1801" i="13"/>
  <c r="B1807" i="13"/>
  <c r="B1817" i="13"/>
  <c r="B1821" i="13"/>
  <c r="B1825" i="13"/>
  <c r="B1835" i="13"/>
  <c r="B1844" i="13"/>
  <c r="B1771" i="13"/>
  <c r="B1796" i="13"/>
  <c r="B1810" i="13"/>
  <c r="B1764" i="13"/>
  <c r="B1768" i="13"/>
  <c r="B1777" i="13"/>
  <c r="B1813" i="13"/>
  <c r="B1834" i="13"/>
  <c r="B1842" i="13"/>
  <c r="B1798" i="13"/>
  <c r="B1780" i="13"/>
  <c r="B1803" i="13"/>
  <c r="B1816" i="13"/>
  <c r="B1820" i="13"/>
  <c r="B1824" i="13"/>
  <c r="B1828" i="13"/>
  <c r="B1841" i="13"/>
  <c r="B1785" i="13"/>
  <c r="B1787" i="13"/>
  <c r="B1789" i="13"/>
  <c r="B1791" i="13"/>
  <c r="B1806" i="13"/>
  <c r="B1833" i="13"/>
  <c r="B1765" i="13"/>
  <c r="B1772" i="13"/>
  <c r="B1775" i="13"/>
  <c r="B1793" i="13"/>
  <c r="B1800" i="13"/>
  <c r="B1809" i="13"/>
  <c r="B1840" i="13"/>
  <c r="B1769" i="13"/>
  <c r="B1783" i="13"/>
  <c r="B1812" i="13"/>
  <c r="B1778" i="13"/>
  <c r="B1795" i="13"/>
  <c r="B1815" i="13"/>
  <c r="B1819" i="13"/>
  <c r="B1823" i="13"/>
  <c r="B1827" i="13"/>
  <c r="B1832" i="13"/>
  <c r="B1839" i="13"/>
  <c r="B1766" i="13"/>
  <c r="B1781" i="13"/>
  <c r="B1797" i="13"/>
  <c r="B1802" i="13"/>
  <c r="B1805" i="13"/>
  <c r="B1773" i="13"/>
  <c r="B1808" i="13"/>
  <c r="B1770" i="13"/>
  <c r="B1776" i="13"/>
  <c r="B1831" i="13"/>
  <c r="B1843" i="13"/>
  <c r="B1826" i="13"/>
  <c r="B1811" i="13"/>
  <c r="B1822" i="13"/>
  <c r="B1837" i="13"/>
  <c r="B1818" i="13"/>
  <c r="B1838" i="13"/>
  <c r="B1829" i="13"/>
  <c r="B1799"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8" i="13"/>
  <c r="B1203" i="13"/>
  <c r="B1216" i="13"/>
  <c r="B1220" i="13"/>
  <c r="B1224" i="13"/>
  <c r="B1228" i="13"/>
  <c r="B1241" i="13"/>
  <c r="B1206" i="13"/>
  <c r="B1233" i="13"/>
  <c r="B1193" i="13"/>
  <c r="B1200" i="13"/>
  <c r="B1209" i="13"/>
  <c r="B1240" i="13"/>
  <c r="B1212" i="13"/>
  <c r="B1195" i="13"/>
  <c r="B1215" i="13"/>
  <c r="B1219" i="13"/>
  <c r="B1223" i="13"/>
  <c r="B1227" i="13"/>
  <c r="B1232" i="13"/>
  <c r="B1239" i="13"/>
  <c r="B1197" i="13"/>
  <c r="B1202" i="13"/>
  <c r="B1205" i="13"/>
  <c r="B1238" i="13"/>
  <c r="B1208" i="13"/>
  <c r="B1231" i="13"/>
  <c r="B1199" i="13"/>
  <c r="B1211" i="13"/>
  <c r="B1218" i="13"/>
  <c r="B1222" i="13"/>
  <c r="B1226" i="13"/>
  <c r="B1237" i="13"/>
  <c r="B1214" i="13"/>
  <c r="B1247" i="13"/>
  <c r="B1230" i="13"/>
  <c r="B1236" i="13"/>
  <c r="B1194" i="13"/>
  <c r="B1204" i="13"/>
  <c r="B1201" i="13"/>
  <c r="B1207" i="13"/>
  <c r="B1217" i="13"/>
  <c r="B1221" i="13"/>
  <c r="B1225" i="13"/>
  <c r="B1235" i="13"/>
  <c r="B1196" i="13"/>
  <c r="B1210" i="13"/>
  <c r="B1254" i="13"/>
  <c r="B1243" i="13"/>
  <c r="B1249" i="13"/>
  <c r="B1256" i="13"/>
  <c r="B1258" i="13"/>
  <c r="B1260" i="13"/>
  <c r="B1244" i="13"/>
  <c r="B1252" i="13"/>
  <c r="B1213" i="13"/>
  <c r="B1250" i="13"/>
  <c r="B1245" i="13"/>
  <c r="B1248" i="13"/>
  <c r="B1229" i="13"/>
  <c r="B1255" i="13"/>
  <c r="B1257" i="13"/>
  <c r="B1259" i="13"/>
  <c r="B1234" i="13"/>
  <c r="B1261" i="13"/>
  <c r="B1251" i="13"/>
  <c r="B1242" i="13"/>
  <c r="B1253" i="13"/>
  <c r="B1246"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16" i="13"/>
  <c r="B1120" i="13"/>
  <c r="B1124" i="13"/>
  <c r="B1128" i="13"/>
  <c r="B1141" i="13"/>
  <c r="B1106" i="13"/>
  <c r="B1133" i="13"/>
  <c r="B1109" i="13"/>
  <c r="B1140" i="13"/>
  <c r="B1112" i="13"/>
  <c r="B1115" i="13"/>
  <c r="B1105" i="13"/>
  <c r="B1138" i="13"/>
  <c r="B1108" i="13"/>
  <c r="B1131" i="13"/>
  <c r="B1111" i="13"/>
  <c r="B1118" i="13"/>
  <c r="B1122" i="13"/>
  <c r="B1126" i="13"/>
  <c r="B1137" i="13"/>
  <c r="B1114" i="13"/>
  <c r="B1147" i="13"/>
  <c r="B1148" i="13"/>
  <c r="B1149" i="13"/>
  <c r="B1150" i="13"/>
  <c r="B1151" i="13"/>
  <c r="B1152" i="13"/>
  <c r="B1153" i="13"/>
  <c r="B1154" i="13"/>
  <c r="B1155" i="13"/>
  <c r="B1130" i="13"/>
  <c r="B1136" i="13"/>
  <c r="B1146" i="13"/>
  <c r="B1104" i="13"/>
  <c r="B1145" i="13"/>
  <c r="B1107" i="13"/>
  <c r="B1117" i="13"/>
  <c r="B1110" i="13"/>
  <c r="B1129" i="13"/>
  <c r="B1113" i="13"/>
  <c r="B1143" i="13"/>
  <c r="B1139" i="13"/>
  <c r="B1121" i="13"/>
  <c r="B1156" i="13"/>
  <c r="B1158" i="13"/>
  <c r="B1160" i="13"/>
  <c r="B1144" i="13"/>
  <c r="B1127" i="13"/>
  <c r="B1132" i="13"/>
  <c r="B1123" i="13"/>
  <c r="B1157" i="13"/>
  <c r="B1159" i="13"/>
  <c r="B1134" i="13"/>
  <c r="B1161" i="13"/>
  <c r="B1142" i="13"/>
  <c r="B1119" i="13"/>
  <c r="B1125" i="13"/>
  <c r="B1135" i="13"/>
  <c r="B272" i="13"/>
  <c r="B288" i="13"/>
  <c r="B304" i="13"/>
  <c r="B320" i="13"/>
  <c r="B336" i="13"/>
  <c r="B352" i="13"/>
  <c r="B273" i="13"/>
  <c r="B289" i="13"/>
  <c r="B305" i="13"/>
  <c r="B321" i="13"/>
  <c r="B337" i="13"/>
  <c r="B353" i="13"/>
  <c r="B275" i="13"/>
  <c r="B291" i="13"/>
  <c r="B307" i="13"/>
  <c r="B323" i="13"/>
  <c r="B339" i="13"/>
  <c r="B355" i="13"/>
  <c r="B277" i="13"/>
  <c r="B293" i="13"/>
  <c r="B309" i="13"/>
  <c r="B266" i="13"/>
  <c r="B286" i="13"/>
  <c r="B310" i="13"/>
  <c r="B329" i="13"/>
  <c r="B348" i="13"/>
  <c r="B354" i="13"/>
  <c r="B316" i="13"/>
  <c r="B360" i="13"/>
  <c r="B324" i="13"/>
  <c r="B263" i="13"/>
  <c r="B267" i="13"/>
  <c r="B287" i="13"/>
  <c r="B311" i="13"/>
  <c r="B330" i="13"/>
  <c r="B349" i="13"/>
  <c r="B274" i="13"/>
  <c r="B341" i="13"/>
  <c r="B328" i="13"/>
  <c r="B268" i="13"/>
  <c r="B290" i="13"/>
  <c r="B312" i="13"/>
  <c r="B331" i="13"/>
  <c r="B350" i="13"/>
  <c r="B270" i="13"/>
  <c r="B333" i="13"/>
  <c r="B361" i="13"/>
  <c r="B325" i="13"/>
  <c r="B269" i="13"/>
  <c r="B292" i="13"/>
  <c r="B313" i="13"/>
  <c r="B332" i="13"/>
  <c r="B351" i="13"/>
  <c r="B294" i="13"/>
  <c r="B296" i="13"/>
  <c r="B357" i="13"/>
  <c r="B322" i="13"/>
  <c r="B314" i="13"/>
  <c r="B344" i="13"/>
  <c r="B271" i="13"/>
  <c r="B295" i="13"/>
  <c r="B315" i="13"/>
  <c r="B334" i="13"/>
  <c r="B356" i="13"/>
  <c r="B281" i="13"/>
  <c r="B303" i="13"/>
  <c r="B335" i="13"/>
  <c r="B280" i="13"/>
  <c r="B306" i="13"/>
  <c r="B276" i="13"/>
  <c r="B297" i="13"/>
  <c r="B317" i="13"/>
  <c r="B338" i="13"/>
  <c r="B358" i="13"/>
  <c r="B342" i="13"/>
  <c r="B285" i="13"/>
  <c r="B278" i="13"/>
  <c r="B298" i="13"/>
  <c r="B318" i="13"/>
  <c r="B340" i="13"/>
  <c r="B359" i="13"/>
  <c r="B343" i="13"/>
  <c r="B279" i="13"/>
  <c r="B299" i="13"/>
  <c r="B319" i="13"/>
  <c r="B326" i="13"/>
  <c r="B347" i="13"/>
  <c r="B300" i="13"/>
  <c r="B302" i="13"/>
  <c r="B301" i="13"/>
  <c r="B345" i="13"/>
  <c r="B282" i="13"/>
  <c r="B346" i="13"/>
  <c r="B283" i="13"/>
  <c r="B308" i="13"/>
  <c r="B264" i="13"/>
  <c r="B284" i="13"/>
  <c r="B327" i="13"/>
  <c r="B265"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3" i="13"/>
  <c r="B1006" i="13"/>
  <c r="B1033" i="13"/>
  <c r="B1009" i="13"/>
  <c r="B1040" i="13"/>
  <c r="B1000" i="13"/>
  <c r="B1012" i="13"/>
  <c r="B1015" i="13"/>
  <c r="B1019" i="13"/>
  <c r="B1023" i="13"/>
  <c r="B1027" i="13"/>
  <c r="B1032" i="13"/>
  <c r="B1039" i="13"/>
  <c r="B1005" i="13"/>
  <c r="B1038" i="13"/>
  <c r="B1002" i="13"/>
  <c r="B1008" i="13"/>
  <c r="B1031" i="13"/>
  <c r="B1011" i="13"/>
  <c r="B1018" i="13"/>
  <c r="B1022" i="13"/>
  <c r="B1026" i="13"/>
  <c r="B1037" i="13"/>
  <c r="B1014" i="13"/>
  <c r="B1047" i="13"/>
  <c r="B1048" i="13"/>
  <c r="B1049" i="13"/>
  <c r="B1050" i="13"/>
  <c r="B1051" i="13"/>
  <c r="B1052" i="13"/>
  <c r="B1053" i="13"/>
  <c r="B1054" i="13"/>
  <c r="B1055" i="13"/>
  <c r="B1056" i="13"/>
  <c r="B1057" i="13"/>
  <c r="B1058" i="13"/>
  <c r="B1059" i="13"/>
  <c r="B1060" i="13"/>
  <c r="B1030" i="13"/>
  <c r="B1036" i="13"/>
  <c r="B1046" i="13"/>
  <c r="B1004" i="13"/>
  <c r="B1045" i="13"/>
  <c r="B1007" i="13"/>
  <c r="B1017" i="13"/>
  <c r="B1021" i="13"/>
  <c r="B1025" i="13"/>
  <c r="B1035" i="13"/>
  <c r="B1044" i="13"/>
  <c r="B1001" i="13"/>
  <c r="B1010" i="13"/>
  <c r="B1013" i="13"/>
  <c r="B1034" i="13"/>
  <c r="B1020" i="13"/>
  <c r="B1043" i="13"/>
  <c r="B1028" i="13"/>
  <c r="B1041" i="13"/>
  <c r="B1016" i="13"/>
  <c r="B1029" i="13"/>
  <c r="B1061" i="13"/>
  <c r="B1042" i="13"/>
  <c r="B1024"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40" i="13"/>
  <c r="B919" i="13"/>
  <c r="B923" i="13"/>
  <c r="B927" i="13"/>
  <c r="B932" i="13"/>
  <c r="B939" i="13"/>
  <c r="B931" i="13"/>
  <c r="B918" i="13"/>
  <c r="B922" i="13"/>
  <c r="B926" i="13"/>
  <c r="B937" i="13"/>
  <c r="B947" i="13"/>
  <c r="B948" i="13"/>
  <c r="B949" i="13"/>
  <c r="B950" i="13"/>
  <c r="B951" i="13"/>
  <c r="B952" i="13"/>
  <c r="B953" i="13"/>
  <c r="B954" i="13"/>
  <c r="B955" i="13"/>
  <c r="B956" i="13"/>
  <c r="B957" i="13"/>
  <c r="B958" i="13"/>
  <c r="B959" i="13"/>
  <c r="B960" i="13"/>
  <c r="B961" i="13"/>
  <c r="B930" i="13"/>
  <c r="B936" i="13"/>
  <c r="B946" i="13"/>
  <c r="B945" i="13"/>
  <c r="B917" i="13"/>
  <c r="B921" i="13"/>
  <c r="B925" i="13"/>
  <c r="B935" i="13"/>
  <c r="B944" i="13"/>
  <c r="B929" i="13"/>
  <c r="B943" i="13"/>
  <c r="B916" i="13"/>
  <c r="B920" i="13"/>
  <c r="B928" i="13"/>
  <c r="B941" i="13"/>
  <c r="B933" i="13"/>
  <c r="B934" i="13"/>
  <c r="B938" i="13"/>
  <c r="B942" i="13"/>
  <c r="B924" i="13"/>
  <c r="B663" i="13"/>
  <c r="B664" i="13"/>
  <c r="B665" i="13"/>
  <c r="B666" i="13"/>
  <c r="B667" i="13"/>
  <c r="B668" i="13"/>
  <c r="B669" i="13"/>
  <c r="B670" i="13"/>
  <c r="B671" i="13"/>
  <c r="B672" i="13"/>
  <c r="B673" i="13"/>
  <c r="B674" i="13"/>
  <c r="B677" i="13"/>
  <c r="B709" i="13"/>
  <c r="B732" i="13"/>
  <c r="B739" i="13"/>
  <c r="B700" i="13"/>
  <c r="B712" i="13"/>
  <c r="B719" i="13"/>
  <c r="B723" i="13"/>
  <c r="B727" i="13"/>
  <c r="B680" i="13"/>
  <c r="B685" i="13"/>
  <c r="B687" i="13"/>
  <c r="B689" i="13"/>
  <c r="B691" i="13"/>
  <c r="B693" i="13"/>
  <c r="B715" i="13"/>
  <c r="B738" i="13"/>
  <c r="B731" i="13"/>
  <c r="B675" i="13"/>
  <c r="B683" i="13"/>
  <c r="B695" i="13"/>
  <c r="B705" i="13"/>
  <c r="B702" i="13"/>
  <c r="B708" i="13"/>
  <c r="B718" i="13"/>
  <c r="B722" i="13"/>
  <c r="B726" i="13"/>
  <c r="B747" i="13"/>
  <c r="B748" i="13"/>
  <c r="B749" i="13"/>
  <c r="B750" i="13"/>
  <c r="B751" i="13"/>
  <c r="B752" i="13"/>
  <c r="B753" i="13"/>
  <c r="B754" i="13"/>
  <c r="B755" i="13"/>
  <c r="B756" i="13"/>
  <c r="B757" i="13"/>
  <c r="B758" i="13"/>
  <c r="B759" i="13"/>
  <c r="B760" i="13"/>
  <c r="B761" i="13"/>
  <c r="B678" i="13"/>
  <c r="B697" i="13"/>
  <c r="B711" i="13"/>
  <c r="B730" i="13"/>
  <c r="B736" i="13"/>
  <c r="B746" i="13"/>
  <c r="B714" i="13"/>
  <c r="B745" i="13"/>
  <c r="B681" i="13"/>
  <c r="B699" i="13"/>
  <c r="B735" i="13"/>
  <c r="B744" i="13"/>
  <c r="B704" i="13"/>
  <c r="B717" i="13"/>
  <c r="B721" i="13"/>
  <c r="B725" i="13"/>
  <c r="B729" i="13"/>
  <c r="B743" i="13"/>
  <c r="B676" i="13"/>
  <c r="B686" i="13"/>
  <c r="B688" i="13"/>
  <c r="B690" i="13"/>
  <c r="B692" i="13"/>
  <c r="B707" i="13"/>
  <c r="B734" i="13"/>
  <c r="B742" i="13"/>
  <c r="B684" i="13"/>
  <c r="B694" i="13"/>
  <c r="B701" i="13"/>
  <c r="B710" i="13"/>
  <c r="B679" i="13"/>
  <c r="B713" i="13"/>
  <c r="B696" i="13"/>
  <c r="B716" i="13"/>
  <c r="B720" i="13"/>
  <c r="B724" i="13"/>
  <c r="B728" i="13"/>
  <c r="B733" i="13"/>
  <c r="B682" i="13"/>
  <c r="B703" i="13"/>
  <c r="B706" i="13"/>
  <c r="B740" i="13"/>
  <c r="B737" i="13"/>
  <c r="B741" i="13"/>
  <c r="B698" i="13"/>
  <c r="C739" i="23"/>
  <c r="H774" i="23" s="1"/>
  <c r="C411" i="23"/>
  <c r="H446" i="23" s="1"/>
  <c r="C83" i="23"/>
  <c r="H117" i="23" s="1"/>
  <c r="C698" i="23"/>
  <c r="H735" i="23" s="1"/>
  <c r="C370" i="23"/>
  <c r="H407" i="23" s="1"/>
  <c r="C657" i="23"/>
  <c r="H690" i="23" s="1"/>
  <c r="C329" i="23"/>
  <c r="F362" i="23" s="1"/>
  <c r="C616" i="23"/>
  <c r="H649" i="23" s="1"/>
  <c r="C575" i="23"/>
  <c r="H608" i="23" s="1"/>
  <c r="C247" i="23"/>
  <c r="H284" i="23" s="1"/>
  <c r="C534" i="23"/>
  <c r="H568" i="23" s="1"/>
  <c r="C206" i="23"/>
  <c r="H243" i="23" s="1"/>
  <c r="C493" i="23"/>
  <c r="H530" i="23" s="1"/>
  <c r="C165" i="23"/>
  <c r="H200" i="23" s="1"/>
  <c r="C780" i="23"/>
  <c r="H814" i="23" s="1"/>
  <c r="C452" i="23"/>
  <c r="H492" i="23" s="1"/>
  <c r="C124" i="23"/>
  <c r="H158" i="23" s="1"/>
  <c r="D536" i="23"/>
  <c r="C536" i="23"/>
  <c r="D577" i="23"/>
  <c r="C577" i="23"/>
  <c r="D495" i="23"/>
  <c r="C495" i="23"/>
  <c r="D618" i="23"/>
  <c r="C618" i="23"/>
  <c r="D782" i="23"/>
  <c r="C782" i="23"/>
  <c r="D454" i="23"/>
  <c r="C454" i="23"/>
  <c r="D741" i="23"/>
  <c r="C741" i="23"/>
  <c r="D413" i="23"/>
  <c r="C413" i="23"/>
  <c r="D700" i="23"/>
  <c r="C700" i="23"/>
  <c r="D659" i="23"/>
  <c r="C659" i="23"/>
  <c r="D85" i="23"/>
  <c r="C85" i="23"/>
  <c r="D372" i="23"/>
  <c r="C372" i="23"/>
  <c r="D44" i="23"/>
  <c r="C44" i="23"/>
  <c r="D331" i="23"/>
  <c r="C331" i="23"/>
  <c r="D290" i="23"/>
  <c r="C290" i="23"/>
  <c r="D249" i="23"/>
  <c r="C249" i="23"/>
  <c r="D208" i="23"/>
  <c r="C208" i="23"/>
  <c r="D126" i="23"/>
  <c r="C126" i="23"/>
  <c r="X33" i="13"/>
  <c r="D167" i="23"/>
  <c r="C167" i="23"/>
  <c r="H325" i="23"/>
  <c r="H323" i="23"/>
  <c r="H322" i="23"/>
  <c r="H324" i="23"/>
  <c r="H328" i="23"/>
  <c r="H321" i="23"/>
  <c r="H326" i="23"/>
  <c r="H327" i="23"/>
  <c r="H79" i="23"/>
  <c r="H76" i="23"/>
  <c r="H77" i="23"/>
  <c r="H78" i="23"/>
  <c r="H81" i="23"/>
  <c r="H75" i="23"/>
  <c r="H80" i="23"/>
  <c r="H82" i="23"/>
  <c r="Y39" i="13"/>
  <c r="X39" i="13"/>
  <c r="X45" i="13"/>
  <c r="Y45" i="13"/>
  <c r="Y37" i="13"/>
  <c r="X37" i="13"/>
  <c r="X29" i="13"/>
  <c r="Y29" i="13"/>
  <c r="X28" i="13"/>
  <c r="Y28" i="13"/>
  <c r="Y43" i="13"/>
  <c r="X43" i="13"/>
  <c r="Y35" i="13"/>
  <c r="X35" i="13"/>
  <c r="E290" i="23"/>
  <c r="A290" i="23"/>
  <c r="AB53" i="13"/>
  <c r="D250" i="23"/>
  <c r="E126" i="23"/>
  <c r="A126" i="23"/>
  <c r="F45" i="23"/>
  <c r="F80" i="23"/>
  <c r="F81" i="23"/>
  <c r="F82" i="23"/>
  <c r="F79" i="23"/>
  <c r="F76" i="23"/>
  <c r="F75" i="23"/>
  <c r="F77" i="23"/>
  <c r="F78" i="23"/>
  <c r="X30" i="13"/>
  <c r="Y30" i="13"/>
  <c r="Y42" i="13"/>
  <c r="X42" i="13"/>
  <c r="Y34" i="13"/>
  <c r="DR34" i="13" s="1"/>
  <c r="X34" i="13"/>
  <c r="E249" i="23"/>
  <c r="A249" i="23"/>
  <c r="E209" i="23"/>
  <c r="D209" i="23"/>
  <c r="AB54" i="13"/>
  <c r="D291" i="23"/>
  <c r="Y41" i="13"/>
  <c r="X41" i="13"/>
  <c r="Y33" i="13"/>
  <c r="E208" i="23"/>
  <c r="A208" i="23"/>
  <c r="E7" i="19"/>
  <c r="D86" i="23"/>
  <c r="X46" i="13"/>
  <c r="Y46" i="13"/>
  <c r="D332" i="23"/>
  <c r="Y44" i="13"/>
  <c r="X44" i="13"/>
  <c r="Y36" i="13"/>
  <c r="X36" i="13"/>
  <c r="F328" i="23"/>
  <c r="F323" i="23"/>
  <c r="F291" i="23"/>
  <c r="F321" i="23"/>
  <c r="F322" i="23"/>
  <c r="F325" i="23"/>
  <c r="F326" i="23"/>
  <c r="F327" i="23"/>
  <c r="F324" i="23"/>
  <c r="K7" i="19"/>
  <c r="Y40" i="13"/>
  <c r="X40" i="13"/>
  <c r="Y32" i="13"/>
  <c r="X32" i="13"/>
  <c r="E167" i="23"/>
  <c r="A167" i="23"/>
  <c r="AB50" i="13"/>
  <c r="D127" i="23"/>
  <c r="O7" i="19"/>
  <c r="X31" i="13"/>
  <c r="Y31" i="13"/>
  <c r="Y38" i="13"/>
  <c r="X38" i="13"/>
  <c r="E331" i="23"/>
  <c r="A331" i="23"/>
  <c r="Q7" i="19"/>
  <c r="AB55" i="13"/>
  <c r="E332" i="23"/>
  <c r="AB52" i="13"/>
  <c r="AB49" i="13"/>
  <c r="E86" i="23"/>
  <c r="E44" i="23"/>
  <c r="A44" i="23"/>
  <c r="D45" i="23"/>
  <c r="E700" i="23"/>
  <c r="A700" i="23"/>
  <c r="D578" i="23"/>
  <c r="E372" i="23"/>
  <c r="A372" i="23"/>
  <c r="E577" i="23"/>
  <c r="A577" i="23"/>
  <c r="D537" i="23"/>
  <c r="E536" i="23"/>
  <c r="A536" i="23"/>
  <c r="D496" i="23"/>
  <c r="E618" i="23"/>
  <c r="A618" i="23"/>
  <c r="D783" i="23"/>
  <c r="E495" i="23"/>
  <c r="A495" i="23"/>
  <c r="D455" i="23"/>
  <c r="E659" i="23"/>
  <c r="A659" i="23"/>
  <c r="E782" i="23"/>
  <c r="A782" i="23"/>
  <c r="D742" i="23"/>
  <c r="E454" i="23"/>
  <c r="A454" i="23"/>
  <c r="D414" i="23"/>
  <c r="E741" i="23"/>
  <c r="A741" i="23"/>
  <c r="D701" i="23"/>
  <c r="E413" i="23"/>
  <c r="A413" i="23"/>
  <c r="D373" i="23"/>
  <c r="D660" i="23"/>
  <c r="D619" i="23"/>
  <c r="D168" i="23"/>
  <c r="E85" i="23"/>
  <c r="A85" i="23"/>
  <c r="EX34" i="13"/>
  <c r="EX54" i="13" s="1"/>
  <c r="FH34" i="13"/>
  <c r="FH54" i="13" s="1"/>
  <c r="EC34" i="13"/>
  <c r="EC54" i="13" s="1"/>
  <c r="FE34" i="13"/>
  <c r="FE54" i="13" s="1"/>
  <c r="DW34" i="13"/>
  <c r="DW54" i="13" s="1"/>
  <c r="EG34" i="13"/>
  <c r="EG54" i="13" s="1"/>
  <c r="EI34" i="13"/>
  <c r="EI54" i="13" s="1"/>
  <c r="EV34" i="13"/>
  <c r="EV54" i="13" s="1"/>
  <c r="FC34" i="13"/>
  <c r="FC54" i="13" s="1"/>
  <c r="EU34" i="13"/>
  <c r="EU54" i="13" s="1"/>
  <c r="FA34" i="13"/>
  <c r="FA54" i="13" s="1"/>
  <c r="DY34" i="13"/>
  <c r="DY54" i="13" s="1"/>
  <c r="FF34" i="13"/>
  <c r="FF54" i="13" s="1"/>
  <c r="EW34" i="13"/>
  <c r="EW54" i="13" s="1"/>
  <c r="DZ34" i="13"/>
  <c r="DZ54" i="13" s="1"/>
  <c r="FB34" i="13"/>
  <c r="FB54" i="13" s="1"/>
  <c r="DX34" i="13"/>
  <c r="DX54" i="13" s="1"/>
  <c r="FG34" i="13"/>
  <c r="FG54" i="13" s="1"/>
  <c r="EJ34" i="13"/>
  <c r="EJ54" i="13" s="1"/>
  <c r="ER34" i="13"/>
  <c r="ER54" i="13" s="1"/>
  <c r="EH34" i="13"/>
  <c r="EH54" i="13" s="1"/>
  <c r="FD34" i="13"/>
  <c r="FD54" i="13" s="1"/>
  <c r="DT34" i="13"/>
  <c r="DT54" i="13" s="1"/>
  <c r="EL34" i="13"/>
  <c r="EL54" i="13" s="1"/>
  <c r="EK34" i="13"/>
  <c r="EK54" i="13" s="1"/>
  <c r="DK34" i="13"/>
  <c r="AQ34" i="13"/>
  <c r="AQ54" i="13" s="1"/>
  <c r="DC34" i="13"/>
  <c r="DC54" i="13" s="1"/>
  <c r="BG34" i="13"/>
  <c r="BG54" i="13" s="1"/>
  <c r="AY34" i="13"/>
  <c r="AY54" i="13" s="1"/>
  <c r="DJ34" i="13"/>
  <c r="DJ54" i="13" s="1"/>
  <c r="DA34" i="13"/>
  <c r="DA54" i="13" s="1"/>
  <c r="BL34" i="13"/>
  <c r="BL54" i="13" s="1"/>
  <c r="CG34" i="13"/>
  <c r="CG54" i="13" s="1"/>
  <c r="BZ34" i="13"/>
  <c r="BZ54" i="13" s="1"/>
  <c r="CL34" i="13"/>
  <c r="CL54" i="13" s="1"/>
  <c r="AU34" i="13"/>
  <c r="AU54" i="13" s="1"/>
  <c r="CS34" i="13"/>
  <c r="CS54" i="13" s="1"/>
  <c r="AX34" i="13"/>
  <c r="AX54" i="13" s="1"/>
  <c r="BW34" i="13"/>
  <c r="BW54" i="13" s="1"/>
  <c r="BT34" i="13"/>
  <c r="BT54" i="13" s="1"/>
  <c r="CC34" i="13"/>
  <c r="CC54" i="13" s="1"/>
  <c r="BY34" i="13"/>
  <c r="BY54" i="13" s="1"/>
  <c r="CJ34" i="13"/>
  <c r="CJ54" i="13" s="1"/>
  <c r="BF34" i="13"/>
  <c r="BF54" i="13" s="1"/>
  <c r="AS34" i="13"/>
  <c r="AS54" i="13" s="1"/>
  <c r="AV34" i="13"/>
  <c r="BC34" i="13"/>
  <c r="BC54" i="13" s="1"/>
  <c r="AP34" i="13"/>
  <c r="AP54" i="13" s="1"/>
  <c r="BI34" i="13"/>
  <c r="BI54" i="13" s="1"/>
  <c r="DF34" i="13"/>
  <c r="DF54" i="13" s="1"/>
  <c r="BD34" i="13"/>
  <c r="BD54" i="13" s="1"/>
  <c r="CZ34" i="13"/>
  <c r="CZ54" i="13" s="1"/>
  <c r="BE34" i="13"/>
  <c r="BE54" i="13" s="1"/>
  <c r="BB34" i="13"/>
  <c r="BB54" i="13" s="1"/>
  <c r="CW34" i="13"/>
  <c r="CW54" i="13" s="1"/>
  <c r="DB34" i="13"/>
  <c r="DB54" i="13" s="1"/>
  <c r="BJ34" i="13"/>
  <c r="BJ54" i="13" s="1"/>
  <c r="BN34" i="13"/>
  <c r="BN54" i="13" s="1"/>
  <c r="BK34" i="13"/>
  <c r="BK54" i="13" s="1"/>
  <c r="AR34" i="13"/>
  <c r="AR54" i="13" s="1"/>
  <c r="BM34" i="13"/>
  <c r="BM54" i="13" s="1"/>
  <c r="CT34" i="13"/>
  <c r="CT54" i="13" s="1"/>
  <c r="CK34" i="13"/>
  <c r="CK54" i="13" s="1"/>
  <c r="AT34" i="13"/>
  <c r="AT54" i="13" s="1"/>
  <c r="M41" i="6"/>
  <c r="N41" i="6" s="1"/>
  <c r="M40" i="6"/>
  <c r="N40" i="6" s="1"/>
  <c r="W40" i="13"/>
  <c r="U40" i="13"/>
  <c r="V40" i="13"/>
  <c r="W32" i="13"/>
  <c r="V32" i="13"/>
  <c r="U32" i="13"/>
  <c r="W39" i="13"/>
  <c r="U39" i="13"/>
  <c r="V39" i="13"/>
  <c r="W38" i="13"/>
  <c r="V38" i="13"/>
  <c r="U38" i="13"/>
  <c r="V45" i="13"/>
  <c r="U45" i="13"/>
  <c r="W45" i="13"/>
  <c r="W37" i="13"/>
  <c r="U37" i="13"/>
  <c r="V37" i="13"/>
  <c r="V29" i="13"/>
  <c r="U29" i="13"/>
  <c r="W29" i="13"/>
  <c r="W44" i="13"/>
  <c r="U44" i="13"/>
  <c r="V44" i="13"/>
  <c r="W36" i="13"/>
  <c r="V36" i="13"/>
  <c r="U36" i="13"/>
  <c r="BH36" i="13" s="1"/>
  <c r="BH56" i="13" s="1"/>
  <c r="V28" i="13"/>
  <c r="U28" i="13"/>
  <c r="W28" i="13"/>
  <c r="U43" i="13"/>
  <c r="W43" i="13"/>
  <c r="V43" i="13"/>
  <c r="V42" i="13"/>
  <c r="U42" i="13"/>
  <c r="BH42" i="13" s="1"/>
  <c r="BH62" i="13" s="1"/>
  <c r="W42" i="13"/>
  <c r="U41" i="13"/>
  <c r="W41" i="13"/>
  <c r="V41" i="13"/>
  <c r="W33" i="13"/>
  <c r="V33" i="13"/>
  <c r="U33" i="13"/>
  <c r="W35" i="13"/>
  <c r="V35" i="13"/>
  <c r="U35" i="13"/>
  <c r="U46" i="13"/>
  <c r="BH46" i="13" s="1"/>
  <c r="BH66" i="13" s="1"/>
  <c r="W46" i="13"/>
  <c r="V46" i="13"/>
  <c r="W34" i="13"/>
  <c r="V34" i="13"/>
  <c r="W31" i="13"/>
  <c r="V31" i="13"/>
  <c r="U31" i="13"/>
  <c r="W30" i="13"/>
  <c r="V30" i="13"/>
  <c r="U30" i="13"/>
  <c r="Q12" i="19"/>
  <c r="M14" i="6"/>
  <c r="AF6" i="22" s="1"/>
  <c r="DR28" i="13" l="1"/>
  <c r="DR35" i="13"/>
  <c r="DR41" i="13"/>
  <c r="DR43" i="13"/>
  <c r="DR29" i="13"/>
  <c r="DR36" i="13"/>
  <c r="DR37" i="13"/>
  <c r="DR40" i="13"/>
  <c r="DR45" i="13"/>
  <c r="DR46" i="13"/>
  <c r="DR42" i="13"/>
  <c r="DR33" i="13"/>
  <c r="DR38" i="13"/>
  <c r="DR44" i="13"/>
  <c r="DR39" i="13"/>
  <c r="DR32" i="13"/>
  <c r="DR31" i="13"/>
  <c r="DR30" i="13"/>
  <c r="AM41" i="13"/>
  <c r="AM61" i="13" s="1"/>
  <c r="AN41" i="13"/>
  <c r="AN61" i="13" s="1"/>
  <c r="AM40" i="13"/>
  <c r="AM60" i="13" s="1"/>
  <c r="AN40" i="13"/>
  <c r="AN60" i="13" s="1"/>
  <c r="AN37" i="13"/>
  <c r="AN57" i="13" s="1"/>
  <c r="AM37" i="13"/>
  <c r="AM57" i="13" s="1"/>
  <c r="P86" i="19"/>
  <c r="AM34" i="13"/>
  <c r="AM54" i="13" s="1"/>
  <c r="AN34" i="13"/>
  <c r="AN54" i="13" s="1"/>
  <c r="AN46" i="13"/>
  <c r="AN66" i="13" s="1"/>
  <c r="AM46" i="13"/>
  <c r="AM66" i="13" s="1"/>
  <c r="AN45" i="13"/>
  <c r="AN65" i="13" s="1"/>
  <c r="AM45" i="13"/>
  <c r="AM65" i="13" s="1"/>
  <c r="AM36" i="13"/>
  <c r="AM56" i="13" s="1"/>
  <c r="AN36" i="13"/>
  <c r="AN56" i="13" s="1"/>
  <c r="AM42" i="13"/>
  <c r="AM62" i="13" s="1"/>
  <c r="AN42" i="13"/>
  <c r="AN62" i="13" s="1"/>
  <c r="AN39" i="13"/>
  <c r="AN59" i="13" s="1"/>
  <c r="AM39" i="13"/>
  <c r="AM59" i="13" s="1"/>
  <c r="AN38" i="13"/>
  <c r="AN58" i="13" s="1"/>
  <c r="AM38" i="13"/>
  <c r="AM58" i="13" s="1"/>
  <c r="AM33" i="13"/>
  <c r="AM53" i="13" s="1"/>
  <c r="AN33" i="13"/>
  <c r="AN53" i="13" s="1"/>
  <c r="AN28" i="13"/>
  <c r="AN48" i="13" s="1"/>
  <c r="AM28" i="13"/>
  <c r="AM48" i="13" s="1"/>
  <c r="AN32" i="13"/>
  <c r="AN52" i="13" s="1"/>
  <c r="AM32" i="13"/>
  <c r="AM52" i="13" s="1"/>
  <c r="AN44" i="13"/>
  <c r="AN64" i="13" s="1"/>
  <c r="AM44" i="13"/>
  <c r="AM64" i="13" s="1"/>
  <c r="AN29" i="13"/>
  <c r="AN49" i="13" s="1"/>
  <c r="AM29" i="13"/>
  <c r="AM49" i="13" s="1"/>
  <c r="AN30" i="13"/>
  <c r="AN50" i="13" s="1"/>
  <c r="AM30" i="13"/>
  <c r="AM50" i="13" s="1"/>
  <c r="AN43" i="13"/>
  <c r="AN63" i="13" s="1"/>
  <c r="AM43" i="13"/>
  <c r="AM63" i="13" s="1"/>
  <c r="AN31" i="13"/>
  <c r="AN51" i="13" s="1"/>
  <c r="AM31" i="13"/>
  <c r="AM51" i="13" s="1"/>
  <c r="AM35" i="13"/>
  <c r="AM55" i="13" s="1"/>
  <c r="AN35" i="13"/>
  <c r="AN55" i="13" s="1"/>
  <c r="J41" i="10"/>
  <c r="H74" i="13" a="1"/>
  <c r="H48" i="10"/>
  <c r="I48" i="10" s="1"/>
  <c r="H40" i="10"/>
  <c r="I40" i="10" s="1"/>
  <c r="H408" i="23"/>
  <c r="H49" i="10"/>
  <c r="I49" i="10" s="1"/>
  <c r="H404" i="23"/>
  <c r="BH41" i="13"/>
  <c r="BH61" i="13" s="1"/>
  <c r="F121" i="23"/>
  <c r="K121" i="23" s="1"/>
  <c r="F117" i="23"/>
  <c r="K117" i="23" s="1"/>
  <c r="F122" i="23"/>
  <c r="K122" i="23" s="1"/>
  <c r="H121" i="23"/>
  <c r="H44" i="10"/>
  <c r="I44" i="10" s="1"/>
  <c r="J45" i="10"/>
  <c r="F445" i="23"/>
  <c r="K445" i="23" s="1"/>
  <c r="F779" i="23"/>
  <c r="K779" i="23" s="1"/>
  <c r="F447" i="23"/>
  <c r="K447" i="23" s="1"/>
  <c r="F742" i="23"/>
  <c r="K742" i="23" s="1"/>
  <c r="F162" i="23"/>
  <c r="K162" i="23" s="1"/>
  <c r="F777" i="23"/>
  <c r="K777" i="23" s="1"/>
  <c r="H116" i="23"/>
  <c r="F772" i="23"/>
  <c r="K772" i="23" s="1"/>
  <c r="F774" i="23"/>
  <c r="K774" i="23" s="1"/>
  <c r="F410" i="23"/>
  <c r="K410" i="23" s="1"/>
  <c r="H403" i="23"/>
  <c r="F778" i="23"/>
  <c r="K778" i="23" s="1"/>
  <c r="H52" i="10"/>
  <c r="I52" i="10" s="1"/>
  <c r="F776" i="23"/>
  <c r="K776" i="23" s="1"/>
  <c r="BH28" i="13"/>
  <c r="BH48" i="13" s="1"/>
  <c r="H655" i="23"/>
  <c r="BH39" i="13"/>
  <c r="BH59" i="13" s="1"/>
  <c r="BH32" i="13"/>
  <c r="BH52" i="13" s="1"/>
  <c r="H656" i="23"/>
  <c r="F120" i="23"/>
  <c r="K120" i="23" s="1"/>
  <c r="F414" i="23"/>
  <c r="K414" i="23" s="1"/>
  <c r="F119" i="23"/>
  <c r="K119" i="23" s="1"/>
  <c r="F448" i="23"/>
  <c r="K448" i="23" s="1"/>
  <c r="F118" i="23"/>
  <c r="K118" i="23" s="1"/>
  <c r="BH43" i="13"/>
  <c r="BH63" i="13" s="1"/>
  <c r="F408" i="23"/>
  <c r="K408" i="23" s="1"/>
  <c r="F123" i="23"/>
  <c r="K123" i="23" s="1"/>
  <c r="H653" i="23"/>
  <c r="BH45" i="13"/>
  <c r="BH65" i="13" s="1"/>
  <c r="F650" i="23"/>
  <c r="K650" i="23" s="1"/>
  <c r="F116" i="23"/>
  <c r="K116" i="23" s="1"/>
  <c r="BH44" i="13"/>
  <c r="BH64" i="13" s="1"/>
  <c r="F455" i="23"/>
  <c r="K455" i="23" s="1"/>
  <c r="F86" i="23"/>
  <c r="H86" i="23" s="1"/>
  <c r="BH30" i="13"/>
  <c r="BH50" i="13" s="1"/>
  <c r="BH35" i="13"/>
  <c r="BH55" i="13" s="1"/>
  <c r="F373" i="23"/>
  <c r="K373" i="23" s="1"/>
  <c r="H654" i="23"/>
  <c r="H406" i="23"/>
  <c r="F695" i="23"/>
  <c r="K695" i="23" s="1"/>
  <c r="H650" i="23"/>
  <c r="H405" i="23"/>
  <c r="BH29" i="13"/>
  <c r="BH49" i="13" s="1"/>
  <c r="F407" i="23"/>
  <c r="K407" i="23" s="1"/>
  <c r="F651" i="23"/>
  <c r="K651" i="23" s="1"/>
  <c r="F652" i="23"/>
  <c r="K652" i="23" s="1"/>
  <c r="F619" i="23"/>
  <c r="K619" i="23" s="1"/>
  <c r="F654" i="23"/>
  <c r="K654" i="23" s="1"/>
  <c r="F656" i="23"/>
  <c r="K656" i="23" s="1"/>
  <c r="F406" i="23"/>
  <c r="K406" i="23" s="1"/>
  <c r="F653" i="23"/>
  <c r="K653" i="23" s="1"/>
  <c r="F405" i="23"/>
  <c r="K405" i="23" s="1"/>
  <c r="F404" i="23"/>
  <c r="K404" i="23" s="1"/>
  <c r="F773" i="23"/>
  <c r="K773" i="23" s="1"/>
  <c r="F409" i="23"/>
  <c r="K409" i="23" s="1"/>
  <c r="BH31" i="13"/>
  <c r="BH51" i="13" s="1"/>
  <c r="BH40" i="13"/>
  <c r="BH60" i="13" s="1"/>
  <c r="BH37" i="13"/>
  <c r="BH57" i="13" s="1"/>
  <c r="F655" i="23"/>
  <c r="K655" i="23" s="1"/>
  <c r="F775" i="23"/>
  <c r="K775" i="23" s="1"/>
  <c r="F649" i="23"/>
  <c r="K649" i="23" s="1"/>
  <c r="F403" i="23"/>
  <c r="K403" i="23" s="1"/>
  <c r="H123" i="23"/>
  <c r="H778" i="23"/>
  <c r="H410" i="23"/>
  <c r="H409" i="23"/>
  <c r="F690" i="23"/>
  <c r="K690" i="23" s="1"/>
  <c r="F692" i="23"/>
  <c r="K692" i="23" s="1"/>
  <c r="F660" i="23"/>
  <c r="K660" i="23" s="1"/>
  <c r="F488" i="23"/>
  <c r="K488" i="23" s="1"/>
  <c r="F486" i="23"/>
  <c r="K486" i="23" s="1"/>
  <c r="F485" i="23"/>
  <c r="K485" i="23" s="1"/>
  <c r="H118" i="23"/>
  <c r="H120" i="23"/>
  <c r="H119" i="23"/>
  <c r="F815" i="23"/>
  <c r="K815" i="23" s="1"/>
  <c r="H813" i="23"/>
  <c r="H817" i="23"/>
  <c r="F817" i="23"/>
  <c r="K817" i="23" s="1"/>
  <c r="H819" i="23"/>
  <c r="F816" i="23"/>
  <c r="K816" i="23" s="1"/>
  <c r="F819" i="23"/>
  <c r="K819" i="23" s="1"/>
  <c r="H815" i="23"/>
  <c r="H818" i="23"/>
  <c r="F820" i="23"/>
  <c r="K820" i="23" s="1"/>
  <c r="H820" i="23"/>
  <c r="F813" i="23"/>
  <c r="K813" i="23" s="1"/>
  <c r="F783" i="23"/>
  <c r="K783" i="23" s="1"/>
  <c r="H816" i="23"/>
  <c r="F818" i="23"/>
  <c r="K818" i="23" s="1"/>
  <c r="F814" i="23"/>
  <c r="K814" i="23" s="1"/>
  <c r="F731" i="23"/>
  <c r="K731" i="23" s="1"/>
  <c r="F492" i="23"/>
  <c r="K492" i="23" s="1"/>
  <c r="F491" i="23"/>
  <c r="K491" i="23" s="1"/>
  <c r="F490" i="23"/>
  <c r="K490" i="23" s="1"/>
  <c r="F489" i="23"/>
  <c r="K489" i="23" s="1"/>
  <c r="F487" i="23"/>
  <c r="K487" i="23" s="1"/>
  <c r="F161" i="23"/>
  <c r="K161" i="23" s="1"/>
  <c r="F159" i="23"/>
  <c r="K159" i="23" s="1"/>
  <c r="H164" i="23"/>
  <c r="H160" i="23"/>
  <c r="H161" i="23"/>
  <c r="H163" i="23"/>
  <c r="H157" i="23"/>
  <c r="H159" i="23"/>
  <c r="F158" i="23"/>
  <c r="K158" i="23" s="1"/>
  <c r="F127" i="23"/>
  <c r="K127" i="23" s="1"/>
  <c r="F157" i="23"/>
  <c r="K157" i="23" s="1"/>
  <c r="F164" i="23"/>
  <c r="K164" i="23" s="1"/>
  <c r="F163" i="23"/>
  <c r="K163" i="23" s="1"/>
  <c r="F160" i="23"/>
  <c r="K160" i="23" s="1"/>
  <c r="H162" i="23"/>
  <c r="H486" i="23"/>
  <c r="H779" i="23"/>
  <c r="H773" i="23"/>
  <c r="H776" i="23"/>
  <c r="H772" i="23"/>
  <c r="H651" i="23"/>
  <c r="F697" i="23"/>
  <c r="K697" i="23" s="1"/>
  <c r="F691" i="23"/>
  <c r="K691" i="23" s="1"/>
  <c r="F694" i="23"/>
  <c r="K694" i="23" s="1"/>
  <c r="F693" i="23"/>
  <c r="K693" i="23" s="1"/>
  <c r="F696" i="23"/>
  <c r="K696" i="23" s="1"/>
  <c r="H485" i="23"/>
  <c r="F204" i="23"/>
  <c r="K204" i="23" s="1"/>
  <c r="F201" i="23"/>
  <c r="K201" i="23" s="1"/>
  <c r="F205" i="23"/>
  <c r="K205" i="23" s="1"/>
  <c r="F200" i="23"/>
  <c r="K200" i="23" s="1"/>
  <c r="F203" i="23"/>
  <c r="K203" i="23" s="1"/>
  <c r="H203" i="23"/>
  <c r="F168" i="23"/>
  <c r="K168" i="23" s="1"/>
  <c r="H199" i="23"/>
  <c r="BH33" i="13"/>
  <c r="BH53" i="13" s="1"/>
  <c r="H488" i="23"/>
  <c r="F532" i="23"/>
  <c r="K532" i="23" s="1"/>
  <c r="H491" i="23"/>
  <c r="BH38" i="13"/>
  <c r="BH58" i="13" s="1"/>
  <c r="F528" i="23"/>
  <c r="K528" i="23" s="1"/>
  <c r="H533" i="23"/>
  <c r="H526" i="23"/>
  <c r="F533" i="23"/>
  <c r="K533" i="23" s="1"/>
  <c r="H532" i="23"/>
  <c r="F527" i="23"/>
  <c r="K527" i="23" s="1"/>
  <c r="H528" i="23"/>
  <c r="H529" i="23"/>
  <c r="F531" i="23"/>
  <c r="K531" i="23" s="1"/>
  <c r="H527" i="23"/>
  <c r="F526" i="23"/>
  <c r="K526" i="23" s="1"/>
  <c r="F530" i="23"/>
  <c r="K530" i="23" s="1"/>
  <c r="F496" i="23"/>
  <c r="K496" i="23" s="1"/>
  <c r="F529" i="23"/>
  <c r="K529" i="23" s="1"/>
  <c r="H490" i="23"/>
  <c r="J51" i="10"/>
  <c r="H51" i="10"/>
  <c r="I51" i="10" s="1"/>
  <c r="J43" i="10"/>
  <c r="H43" i="10"/>
  <c r="I43" i="10" s="1"/>
  <c r="H42" i="10"/>
  <c r="I42" i="10" s="1"/>
  <c r="H47" i="10"/>
  <c r="I47" i="10" s="1"/>
  <c r="J47" i="10"/>
  <c r="H46" i="10"/>
  <c r="I46" i="10" s="1"/>
  <c r="AD30" i="13"/>
  <c r="AD29" i="13"/>
  <c r="AD28" i="13"/>
  <c r="F449" i="23"/>
  <c r="K449" i="23" s="1"/>
  <c r="F446" i="23"/>
  <c r="K446" i="23" s="1"/>
  <c r="F444" i="23"/>
  <c r="K444" i="23" s="1"/>
  <c r="F451" i="23"/>
  <c r="K451" i="23" s="1"/>
  <c r="F450" i="23"/>
  <c r="K450" i="23" s="1"/>
  <c r="H201" i="23"/>
  <c r="H205" i="23"/>
  <c r="H202" i="23"/>
  <c r="H204" i="23"/>
  <c r="H198" i="23"/>
  <c r="F199" i="23"/>
  <c r="K199" i="23" s="1"/>
  <c r="F198" i="23"/>
  <c r="K198" i="23" s="1"/>
  <c r="F202" i="23"/>
  <c r="K202" i="23" s="1"/>
  <c r="H451" i="23"/>
  <c r="H55" i="10"/>
  <c r="I55" i="10" s="1"/>
  <c r="J55" i="10"/>
  <c r="H53" i="10"/>
  <c r="I53" i="10" s="1"/>
  <c r="J53" i="10"/>
  <c r="H54" i="10"/>
  <c r="I54" i="10" s="1"/>
  <c r="H487" i="23"/>
  <c r="H449" i="23"/>
  <c r="H450" i="23"/>
  <c r="H447" i="23"/>
  <c r="H444" i="23"/>
  <c r="H122" i="23"/>
  <c r="H531" i="23"/>
  <c r="F615" i="23"/>
  <c r="K615" i="23" s="1"/>
  <c r="F609" i="23"/>
  <c r="K609" i="23" s="1"/>
  <c r="F610" i="23"/>
  <c r="K610" i="23" s="1"/>
  <c r="F608" i="23"/>
  <c r="K608" i="23" s="1"/>
  <c r="F578" i="23"/>
  <c r="K578" i="23" s="1"/>
  <c r="F613" i="23"/>
  <c r="K613" i="23" s="1"/>
  <c r="F612" i="23"/>
  <c r="K612" i="23" s="1"/>
  <c r="F611" i="23"/>
  <c r="K611" i="23" s="1"/>
  <c r="F614" i="23"/>
  <c r="K614" i="23" s="1"/>
  <c r="H567" i="23"/>
  <c r="F570" i="23"/>
  <c r="K570" i="23" s="1"/>
  <c r="F242" i="23"/>
  <c r="K242" i="23" s="1"/>
  <c r="H239" i="23"/>
  <c r="H240" i="23"/>
  <c r="F246" i="23"/>
  <c r="K246" i="23" s="1"/>
  <c r="H241" i="23"/>
  <c r="F239" i="23"/>
  <c r="K239" i="23" s="1"/>
  <c r="H244" i="23"/>
  <c r="F245" i="23"/>
  <c r="K245" i="23" s="1"/>
  <c r="F241" i="23"/>
  <c r="K241" i="23" s="1"/>
  <c r="H242" i="23"/>
  <c r="F240" i="23"/>
  <c r="K240" i="23" s="1"/>
  <c r="F209" i="23"/>
  <c r="H209" i="23" s="1"/>
  <c r="F244" i="23"/>
  <c r="K244" i="23" s="1"/>
  <c r="F243" i="23"/>
  <c r="K243" i="23" s="1"/>
  <c r="H245" i="23"/>
  <c r="H246" i="23"/>
  <c r="H609" i="23"/>
  <c r="H611" i="23"/>
  <c r="H615" i="23"/>
  <c r="F571" i="23"/>
  <c r="K571" i="23" s="1"/>
  <c r="H572" i="23"/>
  <c r="H692" i="23"/>
  <c r="F568" i="23"/>
  <c r="K568" i="23" s="1"/>
  <c r="H570" i="23"/>
  <c r="F567" i="23"/>
  <c r="K567" i="23" s="1"/>
  <c r="H571" i="23"/>
  <c r="H574" i="23"/>
  <c r="F569" i="23"/>
  <c r="K569" i="23" s="1"/>
  <c r="F285" i="23"/>
  <c r="K285" i="23" s="1"/>
  <c r="H697" i="23"/>
  <c r="H696" i="23"/>
  <c r="H695" i="23"/>
  <c r="H691" i="23"/>
  <c r="F574" i="23"/>
  <c r="K574" i="23" s="1"/>
  <c r="F537" i="23"/>
  <c r="K537" i="23" s="1"/>
  <c r="H693" i="23"/>
  <c r="F573" i="23"/>
  <c r="K573" i="23" s="1"/>
  <c r="H694" i="23"/>
  <c r="F572" i="23"/>
  <c r="K572" i="23" s="1"/>
  <c r="H573" i="23"/>
  <c r="H445" i="23"/>
  <c r="H612" i="23"/>
  <c r="H448" i="23"/>
  <c r="H285" i="23"/>
  <c r="H737" i="23"/>
  <c r="H652" i="23"/>
  <c r="H777" i="23"/>
  <c r="H613" i="23"/>
  <c r="H614" i="23"/>
  <c r="H569" i="23"/>
  <c r="H610" i="23"/>
  <c r="H775" i="23"/>
  <c r="H280" i="23"/>
  <c r="F286" i="23"/>
  <c r="K286" i="23" s="1"/>
  <c r="H286" i="23"/>
  <c r="F250" i="23"/>
  <c r="K250" i="23" s="1"/>
  <c r="H281" i="23"/>
  <c r="F284" i="23"/>
  <c r="K284" i="23" s="1"/>
  <c r="H287" i="23"/>
  <c r="F283" i="23"/>
  <c r="K283" i="23" s="1"/>
  <c r="H283" i="23"/>
  <c r="F282" i="23"/>
  <c r="K282" i="23" s="1"/>
  <c r="F281" i="23"/>
  <c r="K281" i="23" s="1"/>
  <c r="F287" i="23"/>
  <c r="K287" i="23" s="1"/>
  <c r="F280" i="23"/>
  <c r="K280" i="23" s="1"/>
  <c r="H282" i="23"/>
  <c r="AL29" i="13"/>
  <c r="AL49" i="13" s="1"/>
  <c r="AL34" i="13"/>
  <c r="AL54" i="13" s="1"/>
  <c r="AZ34" i="13"/>
  <c r="AZ54" i="13" s="1"/>
  <c r="BX34" i="13"/>
  <c r="BX54" i="13" s="1"/>
  <c r="CQ34" i="13"/>
  <c r="CQ54" i="13" s="1"/>
  <c r="DP34" i="13"/>
  <c r="DP54" i="13" s="1"/>
  <c r="AW34" i="13"/>
  <c r="AL35" i="13"/>
  <c r="AL55" i="13" s="1"/>
  <c r="AZ35" i="13"/>
  <c r="AZ55" i="13" s="1"/>
  <c r="BX35" i="13"/>
  <c r="BX55" i="13" s="1"/>
  <c r="CQ35" i="13"/>
  <c r="CQ55" i="13" s="1"/>
  <c r="DP35" i="13"/>
  <c r="DP55" i="13" s="1"/>
  <c r="AW35" i="13"/>
  <c r="AL36" i="13"/>
  <c r="AL56" i="13" s="1"/>
  <c r="AZ36" i="13"/>
  <c r="AZ56" i="13" s="1"/>
  <c r="CQ36" i="13"/>
  <c r="CQ56" i="13" s="1"/>
  <c r="BX36" i="13"/>
  <c r="BX56" i="13" s="1"/>
  <c r="DP36" i="13"/>
  <c r="DP56" i="13" s="1"/>
  <c r="AW36" i="13"/>
  <c r="AL42" i="13"/>
  <c r="AL62" i="13" s="1"/>
  <c r="AZ42" i="13"/>
  <c r="AZ62" i="13" s="1"/>
  <c r="BX42" i="13"/>
  <c r="BX62" i="13" s="1"/>
  <c r="CQ42" i="13"/>
  <c r="CQ62" i="13" s="1"/>
  <c r="DP42" i="13"/>
  <c r="DP62" i="13" s="1"/>
  <c r="AW42" i="13"/>
  <c r="AL43" i="13"/>
  <c r="AL63" i="13" s="1"/>
  <c r="AZ43" i="13"/>
  <c r="AZ63" i="13" s="1"/>
  <c r="DP43" i="13"/>
  <c r="DP63" i="13" s="1"/>
  <c r="CQ43" i="13"/>
  <c r="CQ63" i="13" s="1"/>
  <c r="BX43" i="13"/>
  <c r="BX63" i="13" s="1"/>
  <c r="AW43" i="13"/>
  <c r="AL37" i="13"/>
  <c r="AL57" i="13" s="1"/>
  <c r="BX37" i="13"/>
  <c r="BX57" i="13" s="1"/>
  <c r="AZ37" i="13"/>
  <c r="AZ57" i="13" s="1"/>
  <c r="CQ37" i="13"/>
  <c r="CQ57" i="13" s="1"/>
  <c r="DP37" i="13"/>
  <c r="DP57" i="13" s="1"/>
  <c r="AW37" i="13"/>
  <c r="AL44" i="13"/>
  <c r="AL64" i="13" s="1"/>
  <c r="AZ44" i="13"/>
  <c r="AZ64" i="13" s="1"/>
  <c r="CQ44" i="13"/>
  <c r="CQ64" i="13" s="1"/>
  <c r="DP44" i="13"/>
  <c r="DP64" i="13" s="1"/>
  <c r="BX44" i="13"/>
  <c r="BX64" i="13" s="1"/>
  <c r="AW44" i="13"/>
  <c r="AL28" i="13"/>
  <c r="AL48" i="13" s="1"/>
  <c r="AL45" i="13"/>
  <c r="AL65" i="13" s="1"/>
  <c r="AZ45" i="13"/>
  <c r="AZ65" i="13" s="1"/>
  <c r="BX45" i="13"/>
  <c r="BX65" i="13" s="1"/>
  <c r="DP45" i="13"/>
  <c r="DP65" i="13" s="1"/>
  <c r="CQ45" i="13"/>
  <c r="CQ65" i="13" s="1"/>
  <c r="AW45" i="13"/>
  <c r="AL46" i="13"/>
  <c r="AL66" i="13" s="1"/>
  <c r="DP46" i="13"/>
  <c r="DP66" i="13" s="1"/>
  <c r="CQ46" i="13"/>
  <c r="CQ66" i="13" s="1"/>
  <c r="BX46" i="13"/>
  <c r="BX66" i="13" s="1"/>
  <c r="AZ46" i="13"/>
  <c r="AZ66" i="13" s="1"/>
  <c r="AW46" i="13"/>
  <c r="AL39" i="13"/>
  <c r="AL59" i="13" s="1"/>
  <c r="BX39" i="13"/>
  <c r="BX59" i="13" s="1"/>
  <c r="DP39" i="13"/>
  <c r="DP59" i="13" s="1"/>
  <c r="CQ39" i="13"/>
  <c r="CQ59" i="13" s="1"/>
  <c r="AZ39" i="13"/>
  <c r="AZ59" i="13" s="1"/>
  <c r="AW39" i="13"/>
  <c r="AL32" i="13"/>
  <c r="AL52" i="13" s="1"/>
  <c r="CQ32" i="13"/>
  <c r="CQ52" i="13" s="1"/>
  <c r="DP32" i="13"/>
  <c r="DP52" i="13" s="1"/>
  <c r="BX32" i="13"/>
  <c r="BX52" i="13" s="1"/>
  <c r="AZ32" i="13"/>
  <c r="AZ52" i="13" s="1"/>
  <c r="AW32" i="13"/>
  <c r="AL40" i="13"/>
  <c r="AL60" i="13" s="1"/>
  <c r="BX40" i="13"/>
  <c r="BX60" i="13" s="1"/>
  <c r="CQ40" i="13"/>
  <c r="CQ60" i="13" s="1"/>
  <c r="AZ40" i="13"/>
  <c r="AZ60" i="13" s="1"/>
  <c r="DP40" i="13"/>
  <c r="DP60" i="13" s="1"/>
  <c r="AW40" i="13"/>
  <c r="AL33" i="13"/>
  <c r="AL53" i="13" s="1"/>
  <c r="BX33" i="13"/>
  <c r="BX53" i="13" s="1"/>
  <c r="CQ33" i="13"/>
  <c r="CQ53" i="13" s="1"/>
  <c r="DP33" i="13"/>
  <c r="DP53" i="13" s="1"/>
  <c r="AZ33" i="13"/>
  <c r="AZ53" i="13" s="1"/>
  <c r="AW33" i="13"/>
  <c r="AL38" i="13"/>
  <c r="AL58" i="13" s="1"/>
  <c r="AZ38" i="13"/>
  <c r="AZ58" i="13" s="1"/>
  <c r="BX38" i="13"/>
  <c r="BX58" i="13" s="1"/>
  <c r="CQ38" i="13"/>
  <c r="CQ58" i="13" s="1"/>
  <c r="DP38" i="13"/>
  <c r="DP58" i="13" s="1"/>
  <c r="AW38" i="13"/>
  <c r="AL30" i="13"/>
  <c r="AL50" i="13" s="1"/>
  <c r="AL31" i="13"/>
  <c r="AL51" i="13" s="1"/>
  <c r="AL41" i="13"/>
  <c r="AL61" i="13" s="1"/>
  <c r="AZ41" i="13"/>
  <c r="AZ61" i="13" s="1"/>
  <c r="BX41" i="13"/>
  <c r="BX61" i="13" s="1"/>
  <c r="DP41" i="13"/>
  <c r="DP61" i="13" s="1"/>
  <c r="CQ41" i="13"/>
  <c r="CQ61" i="13" s="1"/>
  <c r="AW41" i="13"/>
  <c r="DP29" i="13"/>
  <c r="DP49" i="13" s="1"/>
  <c r="AZ29" i="13"/>
  <c r="AZ49" i="13" s="1"/>
  <c r="CQ29" i="13"/>
  <c r="CQ49" i="13" s="1"/>
  <c r="BX29" i="13"/>
  <c r="BX49" i="13" s="1"/>
  <c r="AW29" i="13"/>
  <c r="DP28" i="13"/>
  <c r="DP48" i="13" s="1"/>
  <c r="CQ28" i="13"/>
  <c r="CQ48" i="13" s="1"/>
  <c r="BX28" i="13"/>
  <c r="BX48" i="13" s="1"/>
  <c r="AZ28" i="13"/>
  <c r="AZ48" i="13" s="1"/>
  <c r="AW28" i="13"/>
  <c r="AZ31" i="13"/>
  <c r="AZ51" i="13" s="1"/>
  <c r="DP31" i="13"/>
  <c r="DP51" i="13" s="1"/>
  <c r="CQ31" i="13"/>
  <c r="CQ51" i="13" s="1"/>
  <c r="BX31" i="13"/>
  <c r="BX51" i="13" s="1"/>
  <c r="AW31" i="13"/>
  <c r="DP30" i="13"/>
  <c r="DP50" i="13" s="1"/>
  <c r="CQ30" i="13"/>
  <c r="CQ50" i="13" s="1"/>
  <c r="AZ30" i="13"/>
  <c r="AZ50" i="13" s="1"/>
  <c r="BX30" i="13"/>
  <c r="BX50" i="13" s="1"/>
  <c r="AW30" i="13"/>
  <c r="H364" i="23"/>
  <c r="H362" i="23"/>
  <c r="H367" i="23"/>
  <c r="H731" i="23"/>
  <c r="H363" i="23"/>
  <c r="H734" i="23"/>
  <c r="H368" i="23"/>
  <c r="H738" i="23"/>
  <c r="H489" i="23"/>
  <c r="H366" i="23"/>
  <c r="H733" i="23"/>
  <c r="F369" i="23"/>
  <c r="K369" i="23" s="1"/>
  <c r="H369" i="23"/>
  <c r="H736" i="23"/>
  <c r="F733" i="23"/>
  <c r="K733" i="23" s="1"/>
  <c r="F368" i="23"/>
  <c r="K368" i="23" s="1"/>
  <c r="H365" i="23"/>
  <c r="F738" i="23"/>
  <c r="K738" i="23" s="1"/>
  <c r="F367" i="23"/>
  <c r="K367" i="23" s="1"/>
  <c r="F732" i="23"/>
  <c r="K732" i="23" s="1"/>
  <c r="F366" i="23"/>
  <c r="K366" i="23" s="1"/>
  <c r="F365" i="23"/>
  <c r="K365" i="23" s="1"/>
  <c r="F735" i="23"/>
  <c r="K735" i="23" s="1"/>
  <c r="F364" i="23"/>
  <c r="K364" i="23" s="1"/>
  <c r="F701" i="23"/>
  <c r="K701" i="23" s="1"/>
  <c r="F332" i="23"/>
  <c r="H332" i="23" s="1"/>
  <c r="H732" i="23"/>
  <c r="F736" i="23"/>
  <c r="K736" i="23" s="1"/>
  <c r="F363" i="23"/>
  <c r="K363" i="23" s="1"/>
  <c r="F734" i="23"/>
  <c r="K734" i="23" s="1"/>
  <c r="F737" i="23"/>
  <c r="K737" i="23" s="1"/>
  <c r="K80" i="23"/>
  <c r="K326" i="23"/>
  <c r="K78" i="23"/>
  <c r="K325" i="23"/>
  <c r="K362" i="23"/>
  <c r="K77" i="23"/>
  <c r="K322" i="23"/>
  <c r="K321" i="23"/>
  <c r="K75" i="23"/>
  <c r="K323" i="23"/>
  <c r="K328" i="23"/>
  <c r="K76" i="23"/>
  <c r="K79" i="23"/>
  <c r="K324" i="23"/>
  <c r="K82" i="23"/>
  <c r="K327" i="23"/>
  <c r="K81" i="23"/>
  <c r="E127" i="23"/>
  <c r="E250" i="23"/>
  <c r="E291" i="23"/>
  <c r="H291" i="23" s="1"/>
  <c r="BO31" i="13"/>
  <c r="BO51" i="13" s="1"/>
  <c r="K45" i="23"/>
  <c r="K291" i="23"/>
  <c r="AB48" i="13"/>
  <c r="E45" i="23"/>
  <c r="H45" i="23" s="1"/>
  <c r="AB66" i="13"/>
  <c r="E783" i="23"/>
  <c r="AB61" i="13"/>
  <c r="E578" i="23"/>
  <c r="AB64" i="13"/>
  <c r="E701" i="23"/>
  <c r="AB60" i="13"/>
  <c r="E537" i="23"/>
  <c r="AB57" i="13"/>
  <c r="E414" i="23"/>
  <c r="AB59" i="13"/>
  <c r="E496" i="23"/>
  <c r="AB62" i="13"/>
  <c r="E619" i="23"/>
  <c r="AB63" i="13"/>
  <c r="E660" i="23"/>
  <c r="AB56" i="13"/>
  <c r="E373" i="23"/>
  <c r="AB65" i="13"/>
  <c r="E742" i="23"/>
  <c r="AB58" i="13"/>
  <c r="E455" i="23"/>
  <c r="BO46" i="13"/>
  <c r="BO66" i="13" s="1"/>
  <c r="BO35" i="13"/>
  <c r="BO55" i="13" s="1"/>
  <c r="BO44" i="13"/>
  <c r="BO64" i="13" s="1"/>
  <c r="BO34" i="13"/>
  <c r="BO54" i="13" s="1"/>
  <c r="BO36" i="13"/>
  <c r="BO56" i="13" s="1"/>
  <c r="BO38" i="13"/>
  <c r="BO58" i="13" s="1"/>
  <c r="BO37" i="13"/>
  <c r="BO57" i="13" s="1"/>
  <c r="BO32" i="13"/>
  <c r="BO52" i="13" s="1"/>
  <c r="AB51" i="13"/>
  <c r="E168" i="23"/>
  <c r="BO28" i="13"/>
  <c r="BO48" i="13" s="1"/>
  <c r="BO40" i="13"/>
  <c r="BO60" i="13" s="1"/>
  <c r="BO45" i="13"/>
  <c r="BO65" i="13" s="1"/>
  <c r="BO30" i="13"/>
  <c r="BO50" i="13" s="1"/>
  <c r="BO33" i="13"/>
  <c r="BO53" i="13" s="1"/>
  <c r="BO29" i="13"/>
  <c r="BO49" i="13" s="1"/>
  <c r="BO41" i="13"/>
  <c r="BO61" i="13" s="1"/>
  <c r="BO42" i="13"/>
  <c r="BO62" i="13" s="1"/>
  <c r="BO39" i="13"/>
  <c r="BO59" i="13" s="1"/>
  <c r="BO43" i="13"/>
  <c r="BO63" i="13" s="1"/>
  <c r="DS45" i="13"/>
  <c r="DS65" i="13" s="1"/>
  <c r="ED45" i="13"/>
  <c r="ED65" i="13" s="1"/>
  <c r="EF45" i="13"/>
  <c r="EF65" i="13" s="1"/>
  <c r="EE45" i="13"/>
  <c r="EE65" i="13" s="1"/>
  <c r="CF45" i="13"/>
  <c r="CF65" i="13" s="1"/>
  <c r="BU45" i="13"/>
  <c r="BU65" i="13" s="1"/>
  <c r="CV45" i="13"/>
  <c r="CV65" i="13" s="1"/>
  <c r="DH45" i="13"/>
  <c r="DH65" i="13" s="1"/>
  <c r="AO45" i="13"/>
  <c r="AO65" i="13" s="1"/>
  <c r="CI45" i="13"/>
  <c r="CI65" i="13" s="1"/>
  <c r="CH45" i="13"/>
  <c r="CH65" i="13" s="1"/>
  <c r="CU45" i="13"/>
  <c r="CU65" i="13" s="1"/>
  <c r="DG45" i="13"/>
  <c r="DG65" i="13" s="1"/>
  <c r="DI45" i="13"/>
  <c r="DI65" i="13" s="1"/>
  <c r="FD41" i="13"/>
  <c r="FD61" i="13" s="1"/>
  <c r="DX41" i="13"/>
  <c r="DX61" i="13" s="1"/>
  <c r="DZ41" i="13"/>
  <c r="DZ61" i="13" s="1"/>
  <c r="EX41" i="13"/>
  <c r="EX61" i="13" s="1"/>
  <c r="FG41" i="13"/>
  <c r="FG61" i="13" s="1"/>
  <c r="ER41" i="13"/>
  <c r="ER61" i="13" s="1"/>
  <c r="FE41" i="13"/>
  <c r="FE61" i="13" s="1"/>
  <c r="EK41" i="13"/>
  <c r="EK61" i="13" s="1"/>
  <c r="FA41" i="13"/>
  <c r="FA61" i="13" s="1"/>
  <c r="DT41" i="13"/>
  <c r="DT61" i="13" s="1"/>
  <c r="FC41" i="13"/>
  <c r="FC61" i="13" s="1"/>
  <c r="EL41" i="13"/>
  <c r="EL61" i="13" s="1"/>
  <c r="FH41" i="13"/>
  <c r="FH61" i="13" s="1"/>
  <c r="DW41" i="13"/>
  <c r="DW61" i="13" s="1"/>
  <c r="EJ41" i="13"/>
  <c r="EJ61" i="13" s="1"/>
  <c r="EC41" i="13"/>
  <c r="EC61" i="13" s="1"/>
  <c r="EU41" i="13"/>
  <c r="EU61" i="13" s="1"/>
  <c r="EI41" i="13"/>
  <c r="EI61" i="13" s="1"/>
  <c r="EG41" i="13"/>
  <c r="EG61" i="13" s="1"/>
  <c r="DY41" i="13"/>
  <c r="DY61" i="13" s="1"/>
  <c r="FB41" i="13"/>
  <c r="FB61" i="13" s="1"/>
  <c r="EV41" i="13"/>
  <c r="EV61" i="13" s="1"/>
  <c r="EW41" i="13"/>
  <c r="EW61" i="13" s="1"/>
  <c r="EH41" i="13"/>
  <c r="EH61" i="13" s="1"/>
  <c r="FF41" i="13"/>
  <c r="FF61" i="13" s="1"/>
  <c r="DK41" i="13"/>
  <c r="AQ41" i="13"/>
  <c r="AQ61" i="13" s="1"/>
  <c r="DF41" i="13"/>
  <c r="DF61" i="13" s="1"/>
  <c r="DA41" i="13"/>
  <c r="DA61" i="13" s="1"/>
  <c r="BB41" i="13"/>
  <c r="BB61" i="13" s="1"/>
  <c r="CT41" i="13"/>
  <c r="CT61" i="13" s="1"/>
  <c r="BK41" i="13"/>
  <c r="BK61" i="13" s="1"/>
  <c r="BG41" i="13"/>
  <c r="BG61" i="13" s="1"/>
  <c r="BM41" i="13"/>
  <c r="BM61" i="13" s="1"/>
  <c r="BY41" i="13"/>
  <c r="BY61" i="13" s="1"/>
  <c r="BT41" i="13"/>
  <c r="BT61" i="13" s="1"/>
  <c r="BL41" i="13"/>
  <c r="BL61" i="13" s="1"/>
  <c r="CW41" i="13"/>
  <c r="CW61" i="13" s="1"/>
  <c r="AX41" i="13"/>
  <c r="AX61" i="13" s="1"/>
  <c r="BJ41" i="13"/>
  <c r="BJ61" i="13" s="1"/>
  <c r="BE41" i="13"/>
  <c r="BE61" i="13" s="1"/>
  <c r="BN41" i="13"/>
  <c r="BN61" i="13" s="1"/>
  <c r="AS41" i="13"/>
  <c r="AS61" i="13" s="1"/>
  <c r="DB41" i="13"/>
  <c r="DB61" i="13" s="1"/>
  <c r="AP41" i="13"/>
  <c r="AP61" i="13" s="1"/>
  <c r="AR41" i="13"/>
  <c r="AR61" i="13" s="1"/>
  <c r="AT41" i="13"/>
  <c r="AT61" i="13" s="1"/>
  <c r="CK41" i="13"/>
  <c r="CK61" i="13" s="1"/>
  <c r="DJ41" i="13"/>
  <c r="DJ61" i="13" s="1"/>
  <c r="DC41" i="13"/>
  <c r="DC61" i="13" s="1"/>
  <c r="CZ41" i="13"/>
  <c r="CZ61" i="13" s="1"/>
  <c r="BC41" i="13"/>
  <c r="BC61" i="13" s="1"/>
  <c r="CS41" i="13"/>
  <c r="CS61" i="13" s="1"/>
  <c r="CL41" i="13"/>
  <c r="CL61" i="13" s="1"/>
  <c r="BF41" i="13"/>
  <c r="BF61" i="13" s="1"/>
  <c r="AU41" i="13"/>
  <c r="AU61" i="13" s="1"/>
  <c r="BZ41" i="13"/>
  <c r="BZ61" i="13" s="1"/>
  <c r="CC41" i="13"/>
  <c r="CC61" i="13" s="1"/>
  <c r="AY41" i="13"/>
  <c r="AY61" i="13" s="1"/>
  <c r="BI41" i="13"/>
  <c r="BI61" i="13" s="1"/>
  <c r="BD41" i="13"/>
  <c r="BD61" i="13" s="1"/>
  <c r="CG41" i="13"/>
  <c r="CG61" i="13" s="1"/>
  <c r="AV41" i="13"/>
  <c r="CJ41" i="13"/>
  <c r="CJ61" i="13" s="1"/>
  <c r="BW41" i="13"/>
  <c r="BW61" i="13" s="1"/>
  <c r="ED41" i="13"/>
  <c r="ED61" i="13" s="1"/>
  <c r="EE41" i="13"/>
  <c r="EE61" i="13" s="1"/>
  <c r="EF41" i="13"/>
  <c r="EF61" i="13" s="1"/>
  <c r="DS41" i="13"/>
  <c r="DS61" i="13" s="1"/>
  <c r="CF41" i="13"/>
  <c r="CF61" i="13" s="1"/>
  <c r="DH41" i="13"/>
  <c r="DH61" i="13" s="1"/>
  <c r="AO41" i="13"/>
  <c r="AO61" i="13" s="1"/>
  <c r="CI41" i="13"/>
  <c r="CI61" i="13" s="1"/>
  <c r="DG41" i="13"/>
  <c r="DG61" i="13" s="1"/>
  <c r="CV41" i="13"/>
  <c r="CV61" i="13" s="1"/>
  <c r="CH41" i="13"/>
  <c r="CH61" i="13" s="1"/>
  <c r="DI41" i="13"/>
  <c r="DI61" i="13" s="1"/>
  <c r="BU41" i="13"/>
  <c r="BU61" i="13" s="1"/>
  <c r="CU41" i="13"/>
  <c r="CU61" i="13" s="1"/>
  <c r="DX43" i="13"/>
  <c r="DX63" i="13" s="1"/>
  <c r="FH43" i="13"/>
  <c r="FH63" i="13" s="1"/>
  <c r="ER43" i="13"/>
  <c r="ER63" i="13" s="1"/>
  <c r="EJ43" i="13"/>
  <c r="EJ63" i="13" s="1"/>
  <c r="EI43" i="13"/>
  <c r="EI63" i="13" s="1"/>
  <c r="EW43" i="13"/>
  <c r="EW63" i="13" s="1"/>
  <c r="DZ43" i="13"/>
  <c r="DZ63" i="13" s="1"/>
  <c r="EK43" i="13"/>
  <c r="EK63" i="13" s="1"/>
  <c r="EX43" i="13"/>
  <c r="EX63" i="13" s="1"/>
  <c r="FD43" i="13"/>
  <c r="FD63" i="13" s="1"/>
  <c r="FE43" i="13"/>
  <c r="FE63" i="13" s="1"/>
  <c r="FA43" i="13"/>
  <c r="FA63" i="13" s="1"/>
  <c r="EG43" i="13"/>
  <c r="EG63" i="13" s="1"/>
  <c r="DW43" i="13"/>
  <c r="DW63" i="13" s="1"/>
  <c r="EL43" i="13"/>
  <c r="EL63" i="13" s="1"/>
  <c r="FC43" i="13"/>
  <c r="FC63" i="13" s="1"/>
  <c r="FB43" i="13"/>
  <c r="FB63" i="13" s="1"/>
  <c r="FF43" i="13"/>
  <c r="FF63" i="13" s="1"/>
  <c r="EH43" i="13"/>
  <c r="EH63" i="13" s="1"/>
  <c r="EV43" i="13"/>
  <c r="EV63" i="13" s="1"/>
  <c r="EC43" i="13"/>
  <c r="EC63" i="13" s="1"/>
  <c r="DY43" i="13"/>
  <c r="DY63" i="13" s="1"/>
  <c r="FG43" i="13"/>
  <c r="FG63" i="13" s="1"/>
  <c r="EU43" i="13"/>
  <c r="EU63" i="13" s="1"/>
  <c r="DT43" i="13"/>
  <c r="DT63" i="13" s="1"/>
  <c r="DK43" i="13"/>
  <c r="AQ43" i="13"/>
  <c r="AQ63" i="13" s="1"/>
  <c r="BF43" i="13"/>
  <c r="BF63" i="13" s="1"/>
  <c r="BJ43" i="13"/>
  <c r="BJ63" i="13" s="1"/>
  <c r="DA43" i="13"/>
  <c r="DA63" i="13" s="1"/>
  <c r="CJ43" i="13"/>
  <c r="CJ63" i="13" s="1"/>
  <c r="BZ43" i="13"/>
  <c r="BZ63" i="13" s="1"/>
  <c r="BN43" i="13"/>
  <c r="BN63" i="13" s="1"/>
  <c r="DF43" i="13"/>
  <c r="DF63" i="13" s="1"/>
  <c r="BB43" i="13"/>
  <c r="BB63" i="13" s="1"/>
  <c r="BI43" i="13"/>
  <c r="BI63" i="13" s="1"/>
  <c r="CW43" i="13"/>
  <c r="CW63" i="13" s="1"/>
  <c r="DB43" i="13"/>
  <c r="DB63" i="13" s="1"/>
  <c r="CC43" i="13"/>
  <c r="CC63" i="13" s="1"/>
  <c r="AV43" i="13"/>
  <c r="BW43" i="13"/>
  <c r="BW63" i="13" s="1"/>
  <c r="AR43" i="13"/>
  <c r="AR63" i="13" s="1"/>
  <c r="AX43" i="13"/>
  <c r="AX63" i="13" s="1"/>
  <c r="DJ43" i="13"/>
  <c r="DJ63" i="13" s="1"/>
  <c r="AU43" i="13"/>
  <c r="AU63" i="13" s="1"/>
  <c r="BE43" i="13"/>
  <c r="BE63" i="13" s="1"/>
  <c r="AP43" i="13"/>
  <c r="AP63" i="13" s="1"/>
  <c r="AS43" i="13"/>
  <c r="AS63" i="13" s="1"/>
  <c r="CS43" i="13"/>
  <c r="CS63" i="13" s="1"/>
  <c r="CL43" i="13"/>
  <c r="CL63" i="13" s="1"/>
  <c r="CG43" i="13"/>
  <c r="CG63" i="13" s="1"/>
  <c r="BC43" i="13"/>
  <c r="BC63" i="13" s="1"/>
  <c r="BD43" i="13"/>
  <c r="BD63" i="13" s="1"/>
  <c r="AT43" i="13"/>
  <c r="AT63" i="13" s="1"/>
  <c r="CZ43" i="13"/>
  <c r="CZ63" i="13" s="1"/>
  <c r="BT43" i="13"/>
  <c r="BT63" i="13" s="1"/>
  <c r="BK43" i="13"/>
  <c r="BK63" i="13" s="1"/>
  <c r="BY43" i="13"/>
  <c r="BY63" i="13" s="1"/>
  <c r="AY43" i="13"/>
  <c r="AY63" i="13" s="1"/>
  <c r="DC43" i="13"/>
  <c r="DC63" i="13" s="1"/>
  <c r="BM43" i="13"/>
  <c r="BM63" i="13" s="1"/>
  <c r="CK43" i="13"/>
  <c r="CK63" i="13" s="1"/>
  <c r="BL43" i="13"/>
  <c r="BL63" i="13" s="1"/>
  <c r="BG43" i="13"/>
  <c r="BG63" i="13" s="1"/>
  <c r="CT43" i="13"/>
  <c r="CT63" i="13" s="1"/>
  <c r="ET46" i="13"/>
  <c r="ET66" i="13" s="1"/>
  <c r="ES46" i="13"/>
  <c r="ES66" i="13" s="1"/>
  <c r="DO46" i="13"/>
  <c r="DO66" i="13" s="1"/>
  <c r="EM46" i="13"/>
  <c r="EM66" i="13" s="1"/>
  <c r="CY46" i="13"/>
  <c r="CY66" i="13" s="1"/>
  <c r="BA46" i="13"/>
  <c r="BA66" i="13" s="1"/>
  <c r="DV46" i="13"/>
  <c r="DV66" i="13" s="1"/>
  <c r="CE46" i="13"/>
  <c r="CE66" i="13" s="1"/>
  <c r="EP46" i="13"/>
  <c r="EP66" i="13" s="1"/>
  <c r="EO46" i="13"/>
  <c r="EO66" i="13" s="1"/>
  <c r="DU46" i="13"/>
  <c r="DU66" i="13" s="1"/>
  <c r="DQ46" i="13"/>
  <c r="DQ66" i="13" s="1"/>
  <c r="EZ46" i="13"/>
  <c r="EZ66" i="13" s="1"/>
  <c r="DM46" i="13"/>
  <c r="DM66" i="13" s="1"/>
  <c r="EB46" i="13"/>
  <c r="EB66" i="13" s="1"/>
  <c r="EA46" i="13"/>
  <c r="EA66" i="13" s="1"/>
  <c r="EN46" i="13"/>
  <c r="EN66" i="13" s="1"/>
  <c r="DL46" i="13"/>
  <c r="DL66" i="13" s="1"/>
  <c r="EY46" i="13"/>
  <c r="EY66" i="13" s="1"/>
  <c r="DN46" i="13"/>
  <c r="DN66" i="13" s="1"/>
  <c r="EQ46" i="13"/>
  <c r="EQ66" i="13" s="1"/>
  <c r="CX46" i="13"/>
  <c r="CX66" i="13" s="1"/>
  <c r="CO46" i="13"/>
  <c r="CO66" i="13" s="1"/>
  <c r="CM46" i="13"/>
  <c r="CM66" i="13" s="1"/>
  <c r="BV46" i="13"/>
  <c r="BV66" i="13" s="1"/>
  <c r="DE46" i="13"/>
  <c r="DE66" i="13" s="1"/>
  <c r="BS46" i="13"/>
  <c r="BS66" i="13" s="1"/>
  <c r="AK46" i="13"/>
  <c r="AK66" i="13" s="1"/>
  <c r="CD46" i="13"/>
  <c r="CD66" i="13" s="1"/>
  <c r="CR46" i="13"/>
  <c r="CR66" i="13" s="1"/>
  <c r="CP46" i="13"/>
  <c r="CP66" i="13" s="1"/>
  <c r="AH46" i="13"/>
  <c r="AH66" i="13" s="1"/>
  <c r="BQ46" i="13"/>
  <c r="BR46" i="13"/>
  <c r="BR66" i="13" s="1"/>
  <c r="DD46" i="13"/>
  <c r="DD66" i="13" s="1"/>
  <c r="CB46" i="13"/>
  <c r="CB66" i="13" s="1"/>
  <c r="BP46" i="13"/>
  <c r="CA46" i="13"/>
  <c r="CA66" i="13" s="1"/>
  <c r="AJ46" i="13"/>
  <c r="AJ66" i="13" s="1"/>
  <c r="CN46" i="13"/>
  <c r="CN66" i="13" s="1"/>
  <c r="AI46" i="13"/>
  <c r="AI66" i="13" s="1"/>
  <c r="EI46" i="13"/>
  <c r="EI66" i="13" s="1"/>
  <c r="FB46" i="13"/>
  <c r="FB66" i="13" s="1"/>
  <c r="EL46" i="13"/>
  <c r="EL66" i="13" s="1"/>
  <c r="DW46" i="13"/>
  <c r="DW66" i="13" s="1"/>
  <c r="FD46" i="13"/>
  <c r="FD66" i="13" s="1"/>
  <c r="EU46" i="13"/>
  <c r="EU66" i="13" s="1"/>
  <c r="EW46" i="13"/>
  <c r="EW66" i="13" s="1"/>
  <c r="DZ46" i="13"/>
  <c r="DZ66" i="13" s="1"/>
  <c r="ER46" i="13"/>
  <c r="ER66" i="13" s="1"/>
  <c r="EC46" i="13"/>
  <c r="EC66" i="13" s="1"/>
  <c r="DX46" i="13"/>
  <c r="DX66" i="13" s="1"/>
  <c r="FF46" i="13"/>
  <c r="FF66" i="13" s="1"/>
  <c r="DT46" i="13"/>
  <c r="DT66" i="13" s="1"/>
  <c r="FG46" i="13"/>
  <c r="FG66" i="13" s="1"/>
  <c r="FC46" i="13"/>
  <c r="FC66" i="13" s="1"/>
  <c r="EJ46" i="13"/>
  <c r="EJ66" i="13" s="1"/>
  <c r="EK46" i="13"/>
  <c r="EK66" i="13" s="1"/>
  <c r="FH46" i="13"/>
  <c r="FH66" i="13" s="1"/>
  <c r="EG46" i="13"/>
  <c r="EG66" i="13" s="1"/>
  <c r="FE46" i="13"/>
  <c r="FE66" i="13" s="1"/>
  <c r="EX46" i="13"/>
  <c r="EX66" i="13" s="1"/>
  <c r="EV46" i="13"/>
  <c r="EV66" i="13" s="1"/>
  <c r="FA46" i="13"/>
  <c r="FA66" i="13" s="1"/>
  <c r="DY46" i="13"/>
  <c r="DY66" i="13" s="1"/>
  <c r="EH46" i="13"/>
  <c r="EH66" i="13" s="1"/>
  <c r="DK46" i="13"/>
  <c r="AQ46" i="13"/>
  <c r="AQ66" i="13" s="1"/>
  <c r="AU46" i="13"/>
  <c r="AU66" i="13" s="1"/>
  <c r="CJ46" i="13"/>
  <c r="CJ66" i="13" s="1"/>
  <c r="CG46" i="13"/>
  <c r="CG66" i="13" s="1"/>
  <c r="AR46" i="13"/>
  <c r="AR66" i="13" s="1"/>
  <c r="BI46" i="13"/>
  <c r="BI66" i="13" s="1"/>
  <c r="BL46" i="13"/>
  <c r="BL66" i="13" s="1"/>
  <c r="AY46" i="13"/>
  <c r="AY66" i="13" s="1"/>
  <c r="CW46" i="13"/>
  <c r="CW66" i="13" s="1"/>
  <c r="DB46" i="13"/>
  <c r="DB66" i="13" s="1"/>
  <c r="BC46" i="13"/>
  <c r="BC66" i="13" s="1"/>
  <c r="DC46" i="13"/>
  <c r="DC66" i="13" s="1"/>
  <c r="AV46" i="13"/>
  <c r="CZ46" i="13"/>
  <c r="CZ66" i="13" s="1"/>
  <c r="CS46" i="13"/>
  <c r="CS66" i="13" s="1"/>
  <c r="DF46" i="13"/>
  <c r="DF66" i="13" s="1"/>
  <c r="CT46" i="13"/>
  <c r="CT66" i="13" s="1"/>
  <c r="CL46" i="13"/>
  <c r="CL66" i="13" s="1"/>
  <c r="BG46" i="13"/>
  <c r="BG66" i="13" s="1"/>
  <c r="AS46" i="13"/>
  <c r="AS66" i="13" s="1"/>
  <c r="DJ46" i="13"/>
  <c r="DJ66" i="13" s="1"/>
  <c r="BE46" i="13"/>
  <c r="BE66" i="13" s="1"/>
  <c r="BD46" i="13"/>
  <c r="BD66" i="13" s="1"/>
  <c r="BK46" i="13"/>
  <c r="BK66" i="13" s="1"/>
  <c r="CC46" i="13"/>
  <c r="CC66" i="13" s="1"/>
  <c r="CK46" i="13"/>
  <c r="CK66" i="13" s="1"/>
  <c r="AT46" i="13"/>
  <c r="AT66" i="13" s="1"/>
  <c r="AX46" i="13"/>
  <c r="AX66" i="13" s="1"/>
  <c r="AP46" i="13"/>
  <c r="AP66" i="13" s="1"/>
  <c r="BB46" i="13"/>
  <c r="BB66" i="13" s="1"/>
  <c r="BF46" i="13"/>
  <c r="BF66" i="13" s="1"/>
  <c r="BY46" i="13"/>
  <c r="BY66" i="13" s="1"/>
  <c r="BJ46" i="13"/>
  <c r="BJ66" i="13" s="1"/>
  <c r="BN46" i="13"/>
  <c r="BN66" i="13" s="1"/>
  <c r="BT46" i="13"/>
  <c r="BT66" i="13" s="1"/>
  <c r="BZ46" i="13"/>
  <c r="BZ66" i="13" s="1"/>
  <c r="DA46" i="13"/>
  <c r="DA66" i="13" s="1"/>
  <c r="BM46" i="13"/>
  <c r="BM66" i="13" s="1"/>
  <c r="BW46" i="13"/>
  <c r="BW66" i="13" s="1"/>
  <c r="EI45" i="13"/>
  <c r="EI65" i="13" s="1"/>
  <c r="FB45" i="13"/>
  <c r="FB65" i="13" s="1"/>
  <c r="DW45" i="13"/>
  <c r="DW65" i="13" s="1"/>
  <c r="EW45" i="13"/>
  <c r="EW65" i="13" s="1"/>
  <c r="ER45" i="13"/>
  <c r="ER65" i="13" s="1"/>
  <c r="EK45" i="13"/>
  <c r="EK65" i="13" s="1"/>
  <c r="EL45" i="13"/>
  <c r="EL65" i="13" s="1"/>
  <c r="FD45" i="13"/>
  <c r="FD65" i="13" s="1"/>
  <c r="DZ45" i="13"/>
  <c r="DZ65" i="13" s="1"/>
  <c r="FF45" i="13"/>
  <c r="FF65" i="13" s="1"/>
  <c r="DT45" i="13"/>
  <c r="DT65" i="13" s="1"/>
  <c r="FC45" i="13"/>
  <c r="FC65" i="13" s="1"/>
  <c r="EX45" i="13"/>
  <c r="EX65" i="13" s="1"/>
  <c r="DX45" i="13"/>
  <c r="DX65" i="13" s="1"/>
  <c r="EG45" i="13"/>
  <c r="EG65" i="13" s="1"/>
  <c r="FE45" i="13"/>
  <c r="FE65" i="13" s="1"/>
  <c r="EJ45" i="13"/>
  <c r="EJ65" i="13" s="1"/>
  <c r="FH45" i="13"/>
  <c r="FH65" i="13" s="1"/>
  <c r="EV45" i="13"/>
  <c r="EV65" i="13" s="1"/>
  <c r="DY45" i="13"/>
  <c r="DY65" i="13" s="1"/>
  <c r="EC45" i="13"/>
  <c r="EC65" i="13" s="1"/>
  <c r="EH45" i="13"/>
  <c r="EH65" i="13" s="1"/>
  <c r="FA45" i="13"/>
  <c r="FA65" i="13" s="1"/>
  <c r="FG45" i="13"/>
  <c r="FG65" i="13" s="1"/>
  <c r="EU45" i="13"/>
  <c r="EU65" i="13" s="1"/>
  <c r="DK45" i="13"/>
  <c r="AQ45" i="13"/>
  <c r="AQ65" i="13" s="1"/>
  <c r="BI45" i="13"/>
  <c r="BI65" i="13" s="1"/>
  <c r="BC45" i="13"/>
  <c r="BC65" i="13" s="1"/>
  <c r="CS45" i="13"/>
  <c r="CS65" i="13" s="1"/>
  <c r="AX45" i="13"/>
  <c r="AX65" i="13" s="1"/>
  <c r="AR45" i="13"/>
  <c r="AR65" i="13" s="1"/>
  <c r="DF45" i="13"/>
  <c r="DF65" i="13" s="1"/>
  <c r="DJ45" i="13"/>
  <c r="DJ65" i="13" s="1"/>
  <c r="BF45" i="13"/>
  <c r="BF65" i="13" s="1"/>
  <c r="DA45" i="13"/>
  <c r="DA65" i="13" s="1"/>
  <c r="BT45" i="13"/>
  <c r="BT65" i="13" s="1"/>
  <c r="CZ45" i="13"/>
  <c r="CZ65" i="13" s="1"/>
  <c r="CT45" i="13"/>
  <c r="CT65" i="13" s="1"/>
  <c r="CW45" i="13"/>
  <c r="CW65" i="13" s="1"/>
  <c r="AY45" i="13"/>
  <c r="AY65" i="13" s="1"/>
  <c r="BG45" i="13"/>
  <c r="BG65" i="13" s="1"/>
  <c r="BL45" i="13"/>
  <c r="BL65" i="13" s="1"/>
  <c r="BJ45" i="13"/>
  <c r="BJ65" i="13" s="1"/>
  <c r="DC45" i="13"/>
  <c r="DC65" i="13" s="1"/>
  <c r="AS45" i="13"/>
  <c r="AS65" i="13" s="1"/>
  <c r="BD45" i="13"/>
  <c r="BD65" i="13" s="1"/>
  <c r="CJ45" i="13"/>
  <c r="CJ65" i="13" s="1"/>
  <c r="CC45" i="13"/>
  <c r="CC65" i="13" s="1"/>
  <c r="CK45" i="13"/>
  <c r="CK65" i="13" s="1"/>
  <c r="BM45" i="13"/>
  <c r="BM65" i="13" s="1"/>
  <c r="AT45" i="13"/>
  <c r="AT65" i="13" s="1"/>
  <c r="BK45" i="13"/>
  <c r="BK65" i="13" s="1"/>
  <c r="BE45" i="13"/>
  <c r="BE65" i="13" s="1"/>
  <c r="CL45" i="13"/>
  <c r="CL65" i="13" s="1"/>
  <c r="BZ45" i="13"/>
  <c r="BZ65" i="13" s="1"/>
  <c r="BW45" i="13"/>
  <c r="BW65" i="13" s="1"/>
  <c r="DB45" i="13"/>
  <c r="DB65" i="13" s="1"/>
  <c r="AP45" i="13"/>
  <c r="AP65" i="13" s="1"/>
  <c r="BB45" i="13"/>
  <c r="BB65" i="13" s="1"/>
  <c r="BY45" i="13"/>
  <c r="BY65" i="13" s="1"/>
  <c r="AV45" i="13"/>
  <c r="CG45" i="13"/>
  <c r="CG65" i="13" s="1"/>
  <c r="BN45" i="13"/>
  <c r="BN65" i="13" s="1"/>
  <c r="AU45" i="13"/>
  <c r="AU65" i="13" s="1"/>
  <c r="ED46" i="13"/>
  <c r="ED66" i="13" s="1"/>
  <c r="DS46" i="13"/>
  <c r="DS66" i="13" s="1"/>
  <c r="EE46" i="13"/>
  <c r="EE66" i="13" s="1"/>
  <c r="EF46" i="13"/>
  <c r="EF66" i="13" s="1"/>
  <c r="CF46" i="13"/>
  <c r="CF66" i="13" s="1"/>
  <c r="CU46" i="13"/>
  <c r="CU66" i="13" s="1"/>
  <c r="BU46" i="13"/>
  <c r="BU66" i="13" s="1"/>
  <c r="DI46" i="13"/>
  <c r="DI66" i="13" s="1"/>
  <c r="CV46" i="13"/>
  <c r="CV66" i="13" s="1"/>
  <c r="DH46" i="13"/>
  <c r="DH66" i="13" s="1"/>
  <c r="DG46" i="13"/>
  <c r="DG66" i="13" s="1"/>
  <c r="CH46" i="13"/>
  <c r="CH66" i="13" s="1"/>
  <c r="CI46" i="13"/>
  <c r="CI66" i="13" s="1"/>
  <c r="AO46" i="13"/>
  <c r="AO66" i="13" s="1"/>
  <c r="EF28" i="13"/>
  <c r="EF48" i="13" s="1"/>
  <c r="DS28" i="13"/>
  <c r="DS48" i="13" s="1"/>
  <c r="ED28" i="13"/>
  <c r="ED48" i="13" s="1"/>
  <c r="EE28" i="13"/>
  <c r="EE48" i="13" s="1"/>
  <c r="CF28" i="13"/>
  <c r="CF48" i="13" s="1"/>
  <c r="CU28" i="13"/>
  <c r="CU48" i="13" s="1"/>
  <c r="AO28" i="13"/>
  <c r="AO48" i="13" s="1"/>
  <c r="CH28" i="13"/>
  <c r="CH48" i="13" s="1"/>
  <c r="CV28" i="13"/>
  <c r="CV48" i="13" s="1"/>
  <c r="DI28" i="13"/>
  <c r="DI48" i="13" s="1"/>
  <c r="DG28" i="13"/>
  <c r="DG48" i="13" s="1"/>
  <c r="DH28" i="13"/>
  <c r="DH48" i="13" s="1"/>
  <c r="CI28" i="13"/>
  <c r="CI48" i="13" s="1"/>
  <c r="BU28" i="13"/>
  <c r="BU48" i="13" s="1"/>
  <c r="DW35" i="13"/>
  <c r="DW55" i="13" s="1"/>
  <c r="DT35" i="13"/>
  <c r="DT55" i="13" s="1"/>
  <c r="EI35" i="13"/>
  <c r="EI55" i="13" s="1"/>
  <c r="FC35" i="13"/>
  <c r="FC55" i="13" s="1"/>
  <c r="EV35" i="13"/>
  <c r="EV55" i="13" s="1"/>
  <c r="EX35" i="13"/>
  <c r="EX55" i="13" s="1"/>
  <c r="EC35" i="13"/>
  <c r="EC55" i="13" s="1"/>
  <c r="EW35" i="13"/>
  <c r="EW55" i="13" s="1"/>
  <c r="FH35" i="13"/>
  <c r="FH55" i="13" s="1"/>
  <c r="FE35" i="13"/>
  <c r="FE55" i="13" s="1"/>
  <c r="FG35" i="13"/>
  <c r="FG55" i="13" s="1"/>
  <c r="FB35" i="13"/>
  <c r="FB55" i="13" s="1"/>
  <c r="DY35" i="13"/>
  <c r="DY55" i="13" s="1"/>
  <c r="EU35" i="13"/>
  <c r="EU55" i="13" s="1"/>
  <c r="ER35" i="13"/>
  <c r="ER55" i="13" s="1"/>
  <c r="FA35" i="13"/>
  <c r="FA55" i="13" s="1"/>
  <c r="FF35" i="13"/>
  <c r="FF55" i="13" s="1"/>
  <c r="DZ35" i="13"/>
  <c r="DZ55" i="13" s="1"/>
  <c r="DX35" i="13"/>
  <c r="DX55" i="13" s="1"/>
  <c r="EL35" i="13"/>
  <c r="EL55" i="13" s="1"/>
  <c r="EG35" i="13"/>
  <c r="EG55" i="13" s="1"/>
  <c r="EJ35" i="13"/>
  <c r="EJ55" i="13" s="1"/>
  <c r="FD35" i="13"/>
  <c r="FD55" i="13" s="1"/>
  <c r="EK35" i="13"/>
  <c r="EK55" i="13" s="1"/>
  <c r="EH35" i="13"/>
  <c r="EH55" i="13" s="1"/>
  <c r="DK35" i="13"/>
  <c r="AQ35" i="13"/>
  <c r="AQ55" i="13" s="1"/>
  <c r="DB35" i="13"/>
  <c r="DB55" i="13" s="1"/>
  <c r="AP35" i="13"/>
  <c r="AP55" i="13" s="1"/>
  <c r="BD35" i="13"/>
  <c r="BD55" i="13" s="1"/>
  <c r="DA35" i="13"/>
  <c r="DA55" i="13" s="1"/>
  <c r="DC35" i="13"/>
  <c r="DC55" i="13" s="1"/>
  <c r="AR35" i="13"/>
  <c r="AR55" i="13" s="1"/>
  <c r="CG35" i="13"/>
  <c r="CG55" i="13" s="1"/>
  <c r="CJ35" i="13"/>
  <c r="CJ55" i="13" s="1"/>
  <c r="CL35" i="13"/>
  <c r="CL55" i="13" s="1"/>
  <c r="AX35" i="13"/>
  <c r="AX55" i="13" s="1"/>
  <c r="AU35" i="13"/>
  <c r="AU55" i="13" s="1"/>
  <c r="BI35" i="13"/>
  <c r="BI55" i="13" s="1"/>
  <c r="BW35" i="13"/>
  <c r="BW55" i="13" s="1"/>
  <c r="CK35" i="13"/>
  <c r="CK55" i="13" s="1"/>
  <c r="BL35" i="13"/>
  <c r="BL55" i="13" s="1"/>
  <c r="CS35" i="13"/>
  <c r="CS55" i="13" s="1"/>
  <c r="AS35" i="13"/>
  <c r="AS55" i="13" s="1"/>
  <c r="AV35" i="13"/>
  <c r="BG35" i="13"/>
  <c r="BG55" i="13" s="1"/>
  <c r="BC35" i="13"/>
  <c r="BC55" i="13" s="1"/>
  <c r="DJ35" i="13"/>
  <c r="DJ55" i="13" s="1"/>
  <c r="CC35" i="13"/>
  <c r="CC55" i="13" s="1"/>
  <c r="DF35" i="13"/>
  <c r="DF55" i="13" s="1"/>
  <c r="BB35" i="13"/>
  <c r="BB55" i="13" s="1"/>
  <c r="CZ35" i="13"/>
  <c r="CZ55" i="13" s="1"/>
  <c r="BY35" i="13"/>
  <c r="BY55" i="13" s="1"/>
  <c r="BT35" i="13"/>
  <c r="BT55" i="13" s="1"/>
  <c r="BK35" i="13"/>
  <c r="BK55" i="13" s="1"/>
  <c r="BJ35" i="13"/>
  <c r="BJ55" i="13" s="1"/>
  <c r="AY35" i="13"/>
  <c r="AY55" i="13" s="1"/>
  <c r="CT35" i="13"/>
  <c r="CT55" i="13" s="1"/>
  <c r="AT35" i="13"/>
  <c r="AT55" i="13" s="1"/>
  <c r="BM35" i="13"/>
  <c r="BM55" i="13" s="1"/>
  <c r="BN35" i="13"/>
  <c r="BN55" i="13" s="1"/>
  <c r="BZ35" i="13"/>
  <c r="BZ55" i="13" s="1"/>
  <c r="BE35" i="13"/>
  <c r="BE55" i="13" s="1"/>
  <c r="BF35" i="13"/>
  <c r="BF55" i="13" s="1"/>
  <c r="CW35" i="13"/>
  <c r="CW55" i="13" s="1"/>
  <c r="DX38" i="13"/>
  <c r="DX58" i="13" s="1"/>
  <c r="FG38" i="13"/>
  <c r="FG58" i="13" s="1"/>
  <c r="DY38" i="13"/>
  <c r="DY58" i="13" s="1"/>
  <c r="FC38" i="13"/>
  <c r="FC58" i="13" s="1"/>
  <c r="EU38" i="13"/>
  <c r="EU58" i="13" s="1"/>
  <c r="FA38" i="13"/>
  <c r="FA58" i="13" s="1"/>
  <c r="DT38" i="13"/>
  <c r="DT58" i="13" s="1"/>
  <c r="EH38" i="13"/>
  <c r="EH58" i="13" s="1"/>
  <c r="EG38" i="13"/>
  <c r="EG58" i="13" s="1"/>
  <c r="FF38" i="13"/>
  <c r="FF58" i="13" s="1"/>
  <c r="FD38" i="13"/>
  <c r="FD58" i="13" s="1"/>
  <c r="EX38" i="13"/>
  <c r="EX58" i="13" s="1"/>
  <c r="EK38" i="13"/>
  <c r="EK58" i="13" s="1"/>
  <c r="FB38" i="13"/>
  <c r="FB58" i="13" s="1"/>
  <c r="EC38" i="13"/>
  <c r="EC58" i="13" s="1"/>
  <c r="EI38" i="13"/>
  <c r="EI58" i="13" s="1"/>
  <c r="EJ38" i="13"/>
  <c r="EJ58" i="13" s="1"/>
  <c r="ER38" i="13"/>
  <c r="ER58" i="13" s="1"/>
  <c r="DW38" i="13"/>
  <c r="DW58" i="13" s="1"/>
  <c r="EL38" i="13"/>
  <c r="EL58" i="13" s="1"/>
  <c r="EV38" i="13"/>
  <c r="EV58" i="13" s="1"/>
  <c r="FH38" i="13"/>
  <c r="FH58" i="13" s="1"/>
  <c r="FE38" i="13"/>
  <c r="FE58" i="13" s="1"/>
  <c r="DZ38" i="13"/>
  <c r="DZ58" i="13" s="1"/>
  <c r="EW38" i="13"/>
  <c r="EW58" i="13" s="1"/>
  <c r="DK38" i="13"/>
  <c r="AQ38" i="13"/>
  <c r="AQ58" i="13" s="1"/>
  <c r="CK38" i="13"/>
  <c r="CK58" i="13" s="1"/>
  <c r="CW38" i="13"/>
  <c r="CW58" i="13" s="1"/>
  <c r="AP38" i="13"/>
  <c r="AP58" i="13" s="1"/>
  <c r="AV38" i="13"/>
  <c r="AT38" i="13"/>
  <c r="AT58" i="13" s="1"/>
  <c r="BG38" i="13"/>
  <c r="BG58" i="13" s="1"/>
  <c r="DC38" i="13"/>
  <c r="DC58" i="13" s="1"/>
  <c r="AU38" i="13"/>
  <c r="AU58" i="13" s="1"/>
  <c r="BJ38" i="13"/>
  <c r="BJ58" i="13" s="1"/>
  <c r="BD38" i="13"/>
  <c r="BD58" i="13" s="1"/>
  <c r="BZ38" i="13"/>
  <c r="BZ58" i="13" s="1"/>
  <c r="BK38" i="13"/>
  <c r="BK58" i="13" s="1"/>
  <c r="BC38" i="13"/>
  <c r="BC58" i="13" s="1"/>
  <c r="CL38" i="13"/>
  <c r="CL58" i="13" s="1"/>
  <c r="DJ38" i="13"/>
  <c r="DJ58" i="13" s="1"/>
  <c r="DB38" i="13"/>
  <c r="DB58" i="13" s="1"/>
  <c r="CT38" i="13"/>
  <c r="CT58" i="13" s="1"/>
  <c r="AX38" i="13"/>
  <c r="AX58" i="13" s="1"/>
  <c r="DA38" i="13"/>
  <c r="DA58" i="13" s="1"/>
  <c r="BY38" i="13"/>
  <c r="BY58" i="13" s="1"/>
  <c r="BW38" i="13"/>
  <c r="BW58" i="13" s="1"/>
  <c r="AY38" i="13"/>
  <c r="AY58" i="13" s="1"/>
  <c r="AR38" i="13"/>
  <c r="AR58" i="13" s="1"/>
  <c r="CC38" i="13"/>
  <c r="CC58" i="13" s="1"/>
  <c r="BT38" i="13"/>
  <c r="BT58" i="13" s="1"/>
  <c r="CG38" i="13"/>
  <c r="CG58" i="13" s="1"/>
  <c r="BN38" i="13"/>
  <c r="BN58" i="13" s="1"/>
  <c r="CJ38" i="13"/>
  <c r="CJ58" i="13" s="1"/>
  <c r="DF38" i="13"/>
  <c r="DF58" i="13" s="1"/>
  <c r="CS38" i="13"/>
  <c r="CS58" i="13" s="1"/>
  <c r="BB38" i="13"/>
  <c r="BB58" i="13" s="1"/>
  <c r="BF38" i="13"/>
  <c r="BF58" i="13" s="1"/>
  <c r="CZ38" i="13"/>
  <c r="CZ58" i="13" s="1"/>
  <c r="BE38" i="13"/>
  <c r="BE58" i="13" s="1"/>
  <c r="BI38" i="13"/>
  <c r="BI58" i="13" s="1"/>
  <c r="BM38" i="13"/>
  <c r="BM58" i="13" s="1"/>
  <c r="AS38" i="13"/>
  <c r="AS58" i="13" s="1"/>
  <c r="BL38" i="13"/>
  <c r="BL58" i="13" s="1"/>
  <c r="DQ40" i="13"/>
  <c r="DQ60" i="13" s="1"/>
  <c r="CY40" i="13"/>
  <c r="CY60" i="13" s="1"/>
  <c r="BA40" i="13"/>
  <c r="BA60" i="13" s="1"/>
  <c r="DV40" i="13"/>
  <c r="DV60" i="13" s="1"/>
  <c r="ET40" i="13"/>
  <c r="ET60" i="13" s="1"/>
  <c r="CE40" i="13"/>
  <c r="CE60" i="13" s="1"/>
  <c r="EM40" i="13"/>
  <c r="EM60" i="13" s="1"/>
  <c r="EP40" i="13"/>
  <c r="EP60" i="13" s="1"/>
  <c r="EB40" i="13"/>
  <c r="EB60" i="13" s="1"/>
  <c r="DO40" i="13"/>
  <c r="DO60" i="13" s="1"/>
  <c r="DL40" i="13"/>
  <c r="DL60" i="13" s="1"/>
  <c r="DN40" i="13"/>
  <c r="DN60" i="13" s="1"/>
  <c r="DU40" i="13"/>
  <c r="DU60" i="13" s="1"/>
  <c r="EZ40" i="13"/>
  <c r="EZ60" i="13" s="1"/>
  <c r="EQ40" i="13"/>
  <c r="EQ60" i="13" s="1"/>
  <c r="EY40" i="13"/>
  <c r="EY60" i="13" s="1"/>
  <c r="EN40" i="13"/>
  <c r="EN60" i="13" s="1"/>
  <c r="EO40" i="13"/>
  <c r="EO60" i="13" s="1"/>
  <c r="DM40" i="13"/>
  <c r="DM60" i="13" s="1"/>
  <c r="EA40" i="13"/>
  <c r="EA60" i="13" s="1"/>
  <c r="ES40" i="13"/>
  <c r="ES60" i="13" s="1"/>
  <c r="DD40" i="13"/>
  <c r="DD60" i="13" s="1"/>
  <c r="BR40" i="13"/>
  <c r="BR60" i="13" s="1"/>
  <c r="BP40" i="13"/>
  <c r="BV40" i="13"/>
  <c r="BV60" i="13" s="1"/>
  <c r="CB40" i="13"/>
  <c r="CB60" i="13" s="1"/>
  <c r="AK40" i="13"/>
  <c r="AK60" i="13" s="1"/>
  <c r="DE40" i="13"/>
  <c r="DE60" i="13" s="1"/>
  <c r="CN40" i="13"/>
  <c r="CN60" i="13" s="1"/>
  <c r="CA40" i="13"/>
  <c r="CA60" i="13" s="1"/>
  <c r="CM40" i="13"/>
  <c r="CM60" i="13" s="1"/>
  <c r="BS40" i="13"/>
  <c r="BS60" i="13" s="1"/>
  <c r="AI40" i="13"/>
  <c r="AI60" i="13" s="1"/>
  <c r="BQ40" i="13"/>
  <c r="AJ40" i="13"/>
  <c r="AJ60" i="13" s="1"/>
  <c r="CR40" i="13"/>
  <c r="CR60" i="13" s="1"/>
  <c r="AH40" i="13"/>
  <c r="AH60" i="13" s="1"/>
  <c r="CD40" i="13"/>
  <c r="CD60" i="13" s="1"/>
  <c r="CP40" i="13"/>
  <c r="CP60" i="13" s="1"/>
  <c r="CX40" i="13"/>
  <c r="CX60" i="13" s="1"/>
  <c r="CO40" i="13"/>
  <c r="CO60" i="13" s="1"/>
  <c r="EF36" i="13"/>
  <c r="EF56" i="13" s="1"/>
  <c r="DS36" i="13"/>
  <c r="DS56" i="13" s="1"/>
  <c r="EE36" i="13"/>
  <c r="EE56" i="13" s="1"/>
  <c r="ED36" i="13"/>
  <c r="ED56" i="13" s="1"/>
  <c r="CF36" i="13"/>
  <c r="CF56" i="13" s="1"/>
  <c r="CU36" i="13"/>
  <c r="CU56" i="13" s="1"/>
  <c r="DG36" i="13"/>
  <c r="DG56" i="13" s="1"/>
  <c r="DH36" i="13"/>
  <c r="DH56" i="13" s="1"/>
  <c r="CH36" i="13"/>
  <c r="CH56" i="13" s="1"/>
  <c r="BU36" i="13"/>
  <c r="BU56" i="13" s="1"/>
  <c r="CI36" i="13"/>
  <c r="CI56" i="13" s="1"/>
  <c r="CV36" i="13"/>
  <c r="CV56" i="13" s="1"/>
  <c r="AO36" i="13"/>
  <c r="AO56" i="13" s="1"/>
  <c r="DI36" i="13"/>
  <c r="DI56" i="13" s="1"/>
  <c r="EE38" i="13"/>
  <c r="EE58" i="13" s="1"/>
  <c r="ED38" i="13"/>
  <c r="ED58" i="13" s="1"/>
  <c r="EF38" i="13"/>
  <c r="EF58" i="13" s="1"/>
  <c r="DS38" i="13"/>
  <c r="DS58" i="13" s="1"/>
  <c r="CF38" i="13"/>
  <c r="CF58" i="13" s="1"/>
  <c r="CI38" i="13"/>
  <c r="CI58" i="13" s="1"/>
  <c r="DH38" i="13"/>
  <c r="DH58" i="13" s="1"/>
  <c r="DG38" i="13"/>
  <c r="DG58" i="13" s="1"/>
  <c r="CH38" i="13"/>
  <c r="CH58" i="13" s="1"/>
  <c r="AO38" i="13"/>
  <c r="AO58" i="13" s="1"/>
  <c r="CV38" i="13"/>
  <c r="CV58" i="13" s="1"/>
  <c r="CU38" i="13"/>
  <c r="CU58" i="13" s="1"/>
  <c r="DI38" i="13"/>
  <c r="DI58" i="13" s="1"/>
  <c r="BU38" i="13"/>
  <c r="BU58" i="13" s="1"/>
  <c r="EF44" i="13"/>
  <c r="EF64" i="13" s="1"/>
  <c r="ED44" i="13"/>
  <c r="ED64" i="13" s="1"/>
  <c r="EE44" i="13"/>
  <c r="EE64" i="13" s="1"/>
  <c r="DS44" i="13"/>
  <c r="DS64" i="13" s="1"/>
  <c r="CF44" i="13"/>
  <c r="CF64" i="13" s="1"/>
  <c r="CI44" i="13"/>
  <c r="CI64" i="13" s="1"/>
  <c r="DH44" i="13"/>
  <c r="DH64" i="13" s="1"/>
  <c r="DI44" i="13"/>
  <c r="DI64" i="13" s="1"/>
  <c r="AO44" i="13"/>
  <c r="AO64" i="13" s="1"/>
  <c r="CV44" i="13"/>
  <c r="CV64" i="13" s="1"/>
  <c r="DG44" i="13"/>
  <c r="DG64" i="13" s="1"/>
  <c r="CU44" i="13"/>
  <c r="CU64" i="13" s="1"/>
  <c r="CH44" i="13"/>
  <c r="CH64" i="13" s="1"/>
  <c r="BU44" i="13"/>
  <c r="BU64" i="13" s="1"/>
  <c r="DX44" i="13"/>
  <c r="DX64" i="13" s="1"/>
  <c r="FB44" i="13"/>
  <c r="FB64" i="13" s="1"/>
  <c r="EL44" i="13"/>
  <c r="EL64" i="13" s="1"/>
  <c r="EK44" i="13"/>
  <c r="EK64" i="13" s="1"/>
  <c r="EV44" i="13"/>
  <c r="EV64" i="13" s="1"/>
  <c r="EI44" i="13"/>
  <c r="EI64" i="13" s="1"/>
  <c r="EW44" i="13"/>
  <c r="EW64" i="13" s="1"/>
  <c r="DZ44" i="13"/>
  <c r="DZ64" i="13" s="1"/>
  <c r="FH44" i="13"/>
  <c r="FH64" i="13" s="1"/>
  <c r="EJ44" i="13"/>
  <c r="EJ64" i="13" s="1"/>
  <c r="FC44" i="13"/>
  <c r="FC64" i="13" s="1"/>
  <c r="EX44" i="13"/>
  <c r="EX64" i="13" s="1"/>
  <c r="EG44" i="13"/>
  <c r="EG64" i="13" s="1"/>
  <c r="DW44" i="13"/>
  <c r="DW64" i="13" s="1"/>
  <c r="FE44" i="13"/>
  <c r="FE64" i="13" s="1"/>
  <c r="EC44" i="13"/>
  <c r="EC64" i="13" s="1"/>
  <c r="FA44" i="13"/>
  <c r="FA64" i="13" s="1"/>
  <c r="DY44" i="13"/>
  <c r="DY64" i="13" s="1"/>
  <c r="FG44" i="13"/>
  <c r="FG64" i="13" s="1"/>
  <c r="EH44" i="13"/>
  <c r="EH64" i="13" s="1"/>
  <c r="EU44" i="13"/>
  <c r="EU64" i="13" s="1"/>
  <c r="FF44" i="13"/>
  <c r="FF64" i="13" s="1"/>
  <c r="DT44" i="13"/>
  <c r="DT64" i="13" s="1"/>
  <c r="FD44" i="13"/>
  <c r="FD64" i="13" s="1"/>
  <c r="ER44" i="13"/>
  <c r="ER64" i="13" s="1"/>
  <c r="DK44" i="13"/>
  <c r="AQ44" i="13"/>
  <c r="AQ64" i="13" s="1"/>
  <c r="AR44" i="13"/>
  <c r="AR64" i="13" s="1"/>
  <c r="AV44" i="13"/>
  <c r="BK44" i="13"/>
  <c r="BK64" i="13" s="1"/>
  <c r="BB44" i="13"/>
  <c r="BB64" i="13" s="1"/>
  <c r="BZ44" i="13"/>
  <c r="BZ64" i="13" s="1"/>
  <c r="BD44" i="13"/>
  <c r="BD64" i="13" s="1"/>
  <c r="BN44" i="13"/>
  <c r="BN64" i="13" s="1"/>
  <c r="DJ44" i="13"/>
  <c r="DJ64" i="13" s="1"/>
  <c r="BF44" i="13"/>
  <c r="BF64" i="13" s="1"/>
  <c r="BE44" i="13"/>
  <c r="BE64" i="13" s="1"/>
  <c r="CT44" i="13"/>
  <c r="CT64" i="13" s="1"/>
  <c r="AY44" i="13"/>
  <c r="AY64" i="13" s="1"/>
  <c r="CL44" i="13"/>
  <c r="CL64" i="13" s="1"/>
  <c r="CS44" i="13"/>
  <c r="CS64" i="13" s="1"/>
  <c r="CC44" i="13"/>
  <c r="CC64" i="13" s="1"/>
  <c r="BY44" i="13"/>
  <c r="BY64" i="13" s="1"/>
  <c r="CJ44" i="13"/>
  <c r="CJ64" i="13" s="1"/>
  <c r="DF44" i="13"/>
  <c r="DF64" i="13" s="1"/>
  <c r="AS44" i="13"/>
  <c r="AS64" i="13" s="1"/>
  <c r="DC44" i="13"/>
  <c r="DC64" i="13" s="1"/>
  <c r="BW44" i="13"/>
  <c r="BW64" i="13" s="1"/>
  <c r="AU44" i="13"/>
  <c r="AU64" i="13" s="1"/>
  <c r="CK44" i="13"/>
  <c r="CK64" i="13" s="1"/>
  <c r="BJ44" i="13"/>
  <c r="BJ64" i="13" s="1"/>
  <c r="CZ44" i="13"/>
  <c r="CZ64" i="13" s="1"/>
  <c r="AT44" i="13"/>
  <c r="AT64" i="13" s="1"/>
  <c r="AX44" i="13"/>
  <c r="AX64" i="13" s="1"/>
  <c r="BM44" i="13"/>
  <c r="BM64" i="13" s="1"/>
  <c r="DB44" i="13"/>
  <c r="DB64" i="13" s="1"/>
  <c r="AP44" i="13"/>
  <c r="AP64" i="13" s="1"/>
  <c r="BT44" i="13"/>
  <c r="BT64" i="13" s="1"/>
  <c r="BI44" i="13"/>
  <c r="BI64" i="13" s="1"/>
  <c r="BL44" i="13"/>
  <c r="BL64" i="13" s="1"/>
  <c r="BG44" i="13"/>
  <c r="BG64" i="13" s="1"/>
  <c r="DA44" i="13"/>
  <c r="DA64" i="13" s="1"/>
  <c r="CG44" i="13"/>
  <c r="CG64" i="13" s="1"/>
  <c r="BC44" i="13"/>
  <c r="BC64" i="13" s="1"/>
  <c r="CW44" i="13"/>
  <c r="CW64" i="13" s="1"/>
  <c r="ET45" i="13"/>
  <c r="ET65" i="13" s="1"/>
  <c r="BA45" i="13"/>
  <c r="BA65" i="13" s="1"/>
  <c r="ES45" i="13"/>
  <c r="ES65" i="13" s="1"/>
  <c r="EZ45" i="13"/>
  <c r="EZ65" i="13" s="1"/>
  <c r="EM45" i="13"/>
  <c r="EM65" i="13" s="1"/>
  <c r="CY45" i="13"/>
  <c r="CY65" i="13" s="1"/>
  <c r="DV45" i="13"/>
  <c r="DV65" i="13" s="1"/>
  <c r="CE45" i="13"/>
  <c r="CE65" i="13" s="1"/>
  <c r="EO45" i="13"/>
  <c r="EO65" i="13" s="1"/>
  <c r="DU45" i="13"/>
  <c r="DU65" i="13" s="1"/>
  <c r="DM45" i="13"/>
  <c r="DM65" i="13" s="1"/>
  <c r="EY45" i="13"/>
  <c r="EY65" i="13" s="1"/>
  <c r="EQ45" i="13"/>
  <c r="EQ65" i="13" s="1"/>
  <c r="DQ45" i="13"/>
  <c r="DQ65" i="13" s="1"/>
  <c r="EA45" i="13"/>
  <c r="EA65" i="13" s="1"/>
  <c r="EB45" i="13"/>
  <c r="EB65" i="13" s="1"/>
  <c r="EN45" i="13"/>
  <c r="EN65" i="13" s="1"/>
  <c r="DL45" i="13"/>
  <c r="DL65" i="13" s="1"/>
  <c r="DN45" i="13"/>
  <c r="DN65" i="13" s="1"/>
  <c r="EP45" i="13"/>
  <c r="EP65" i="13" s="1"/>
  <c r="DO45" i="13"/>
  <c r="DO65" i="13" s="1"/>
  <c r="CM45" i="13"/>
  <c r="CM65" i="13" s="1"/>
  <c r="BV45" i="13"/>
  <c r="BV65" i="13" s="1"/>
  <c r="DE45" i="13"/>
  <c r="DE65" i="13" s="1"/>
  <c r="BS45" i="13"/>
  <c r="BS65" i="13" s="1"/>
  <c r="BP45" i="13"/>
  <c r="CP45" i="13"/>
  <c r="CP65" i="13" s="1"/>
  <c r="BQ45" i="13"/>
  <c r="AK45" i="13"/>
  <c r="AK65" i="13" s="1"/>
  <c r="CX45" i="13"/>
  <c r="CX65" i="13" s="1"/>
  <c r="CO45" i="13"/>
  <c r="CO65" i="13" s="1"/>
  <c r="DD45" i="13"/>
  <c r="DD65" i="13" s="1"/>
  <c r="BR45" i="13"/>
  <c r="BR65" i="13" s="1"/>
  <c r="CD45" i="13"/>
  <c r="CD65" i="13" s="1"/>
  <c r="CN45" i="13"/>
  <c r="CN65" i="13" s="1"/>
  <c r="CB45" i="13"/>
  <c r="CB65" i="13" s="1"/>
  <c r="AI45" i="13"/>
  <c r="AI65" i="13" s="1"/>
  <c r="CR45" i="13"/>
  <c r="CR65" i="13" s="1"/>
  <c r="AH45" i="13"/>
  <c r="AH65" i="13" s="1"/>
  <c r="CA45" i="13"/>
  <c r="CA65" i="13" s="1"/>
  <c r="AJ45" i="13"/>
  <c r="AJ65" i="13" s="1"/>
  <c r="ET41" i="13"/>
  <c r="ET61" i="13" s="1"/>
  <c r="DV41" i="13"/>
  <c r="DV61" i="13" s="1"/>
  <c r="CE41" i="13"/>
  <c r="CE61" i="13" s="1"/>
  <c r="BA41" i="13"/>
  <c r="BA61" i="13" s="1"/>
  <c r="DQ41" i="13"/>
  <c r="DQ61" i="13" s="1"/>
  <c r="CY41" i="13"/>
  <c r="CY61" i="13" s="1"/>
  <c r="DL41" i="13"/>
  <c r="DL61" i="13" s="1"/>
  <c r="EM41" i="13"/>
  <c r="EM61" i="13" s="1"/>
  <c r="EB41" i="13"/>
  <c r="EB61" i="13" s="1"/>
  <c r="DO41" i="13"/>
  <c r="DO61" i="13" s="1"/>
  <c r="EY41" i="13"/>
  <c r="EY61" i="13" s="1"/>
  <c r="EN41" i="13"/>
  <c r="EN61" i="13" s="1"/>
  <c r="DN41" i="13"/>
  <c r="DN61" i="13" s="1"/>
  <c r="EO41" i="13"/>
  <c r="EO61" i="13" s="1"/>
  <c r="EP41" i="13"/>
  <c r="EP61" i="13" s="1"/>
  <c r="EZ41" i="13"/>
  <c r="EZ61" i="13" s="1"/>
  <c r="EQ41" i="13"/>
  <c r="EQ61" i="13" s="1"/>
  <c r="DM41" i="13"/>
  <c r="DM61" i="13" s="1"/>
  <c r="ES41" i="13"/>
  <c r="ES61" i="13" s="1"/>
  <c r="EA41" i="13"/>
  <c r="EA61" i="13" s="1"/>
  <c r="DU41" i="13"/>
  <c r="DU61" i="13" s="1"/>
  <c r="CD41" i="13"/>
  <c r="CD61" i="13" s="1"/>
  <c r="AJ41" i="13"/>
  <c r="AJ61" i="13" s="1"/>
  <c r="AH41" i="13"/>
  <c r="AH61" i="13" s="1"/>
  <c r="BP41" i="13"/>
  <c r="DD41" i="13"/>
  <c r="DD61" i="13" s="1"/>
  <c r="DE41" i="13"/>
  <c r="DE61" i="13" s="1"/>
  <c r="BR41" i="13"/>
  <c r="BR61" i="13" s="1"/>
  <c r="CM41" i="13"/>
  <c r="CM61" i="13" s="1"/>
  <c r="BS41" i="13"/>
  <c r="BS61" i="13" s="1"/>
  <c r="BV41" i="13"/>
  <c r="BV61" i="13" s="1"/>
  <c r="CA41" i="13"/>
  <c r="CA61" i="13" s="1"/>
  <c r="AI41" i="13"/>
  <c r="AI61" i="13" s="1"/>
  <c r="CN41" i="13"/>
  <c r="CN61" i="13" s="1"/>
  <c r="AK41" i="13"/>
  <c r="AK61" i="13" s="1"/>
  <c r="CR41" i="13"/>
  <c r="CR61" i="13" s="1"/>
  <c r="CX41" i="13"/>
  <c r="CX61" i="13" s="1"/>
  <c r="CO41" i="13"/>
  <c r="CO61" i="13" s="1"/>
  <c r="CP41" i="13"/>
  <c r="CP61" i="13" s="1"/>
  <c r="BQ41" i="13"/>
  <c r="CB41" i="13"/>
  <c r="CB61" i="13" s="1"/>
  <c r="DX42" i="13"/>
  <c r="DX62" i="13" s="1"/>
  <c r="EI42" i="13"/>
  <c r="EI62" i="13" s="1"/>
  <c r="ER42" i="13"/>
  <c r="ER62" i="13" s="1"/>
  <c r="EL42" i="13"/>
  <c r="EL62" i="13" s="1"/>
  <c r="EX42" i="13"/>
  <c r="EX62" i="13" s="1"/>
  <c r="FG42" i="13"/>
  <c r="FG62" i="13" s="1"/>
  <c r="DZ42" i="13"/>
  <c r="DZ62" i="13" s="1"/>
  <c r="FE42" i="13"/>
  <c r="FE62" i="13" s="1"/>
  <c r="DT42" i="13"/>
  <c r="DT62" i="13" s="1"/>
  <c r="FC42" i="13"/>
  <c r="FC62" i="13" s="1"/>
  <c r="FA42" i="13"/>
  <c r="FA62" i="13" s="1"/>
  <c r="EW42" i="13"/>
  <c r="EW62" i="13" s="1"/>
  <c r="DY42" i="13"/>
  <c r="DY62" i="13" s="1"/>
  <c r="FD42" i="13"/>
  <c r="FD62" i="13" s="1"/>
  <c r="FB42" i="13"/>
  <c r="FB62" i="13" s="1"/>
  <c r="FH42" i="13"/>
  <c r="FH62" i="13" s="1"/>
  <c r="DW42" i="13"/>
  <c r="DW62" i="13" s="1"/>
  <c r="EJ42" i="13"/>
  <c r="EJ62" i="13" s="1"/>
  <c r="EV42" i="13"/>
  <c r="EV62" i="13" s="1"/>
  <c r="EU42" i="13"/>
  <c r="EU62" i="13" s="1"/>
  <c r="EK42" i="13"/>
  <c r="EK62" i="13" s="1"/>
  <c r="FF42" i="13"/>
  <c r="FF62" i="13" s="1"/>
  <c r="EG42" i="13"/>
  <c r="EG62" i="13" s="1"/>
  <c r="EC42" i="13"/>
  <c r="EC62" i="13" s="1"/>
  <c r="EH42" i="13"/>
  <c r="EH62" i="13" s="1"/>
  <c r="DK42" i="13"/>
  <c r="AQ42" i="13"/>
  <c r="AQ62" i="13" s="1"/>
  <c r="DJ42" i="13"/>
  <c r="DJ62" i="13" s="1"/>
  <c r="DF42" i="13"/>
  <c r="DF62" i="13" s="1"/>
  <c r="CK42" i="13"/>
  <c r="CK62" i="13" s="1"/>
  <c r="BB42" i="13"/>
  <c r="BB62" i="13" s="1"/>
  <c r="BZ42" i="13"/>
  <c r="BZ62" i="13" s="1"/>
  <c r="BJ42" i="13"/>
  <c r="BJ62" i="13" s="1"/>
  <c r="AP42" i="13"/>
  <c r="AP62" i="13" s="1"/>
  <c r="BL42" i="13"/>
  <c r="BL62" i="13" s="1"/>
  <c r="BK42" i="13"/>
  <c r="BK62" i="13" s="1"/>
  <c r="CW42" i="13"/>
  <c r="CW62" i="13" s="1"/>
  <c r="AY42" i="13"/>
  <c r="AY62" i="13" s="1"/>
  <c r="BN42" i="13"/>
  <c r="BN62" i="13" s="1"/>
  <c r="BM42" i="13"/>
  <c r="BM62" i="13" s="1"/>
  <c r="BI42" i="13"/>
  <c r="BI62" i="13" s="1"/>
  <c r="BE42" i="13"/>
  <c r="BE62" i="13" s="1"/>
  <c r="CJ42" i="13"/>
  <c r="CJ62" i="13" s="1"/>
  <c r="BW42" i="13"/>
  <c r="BW62" i="13" s="1"/>
  <c r="AT42" i="13"/>
  <c r="AT62" i="13" s="1"/>
  <c r="AR42" i="13"/>
  <c r="AR62" i="13" s="1"/>
  <c r="CL42" i="13"/>
  <c r="CL62" i="13" s="1"/>
  <c r="BD42" i="13"/>
  <c r="BD62" i="13" s="1"/>
  <c r="BC42" i="13"/>
  <c r="BC62" i="13" s="1"/>
  <c r="CS42" i="13"/>
  <c r="CS62" i="13" s="1"/>
  <c r="AS42" i="13"/>
  <c r="AS62" i="13" s="1"/>
  <c r="DB42" i="13"/>
  <c r="DB62" i="13" s="1"/>
  <c r="CZ42" i="13"/>
  <c r="CZ62" i="13" s="1"/>
  <c r="CC42" i="13"/>
  <c r="CC62" i="13" s="1"/>
  <c r="BY42" i="13"/>
  <c r="BY62" i="13" s="1"/>
  <c r="CG42" i="13"/>
  <c r="CG62" i="13" s="1"/>
  <c r="AV42" i="13"/>
  <c r="CT42" i="13"/>
  <c r="CT62" i="13" s="1"/>
  <c r="DC42" i="13"/>
  <c r="DC62" i="13" s="1"/>
  <c r="DA42" i="13"/>
  <c r="DA62" i="13" s="1"/>
  <c r="BG42" i="13"/>
  <c r="BG62" i="13" s="1"/>
  <c r="AU42" i="13"/>
  <c r="AU62" i="13" s="1"/>
  <c r="BT42" i="13"/>
  <c r="BT62" i="13" s="1"/>
  <c r="AX42" i="13"/>
  <c r="AX62" i="13" s="1"/>
  <c r="BF42" i="13"/>
  <c r="BF62" i="13" s="1"/>
  <c r="DO42" i="13"/>
  <c r="DO62" i="13" s="1"/>
  <c r="ET42" i="13"/>
  <c r="ET62" i="13" s="1"/>
  <c r="DQ42" i="13"/>
  <c r="DQ62" i="13" s="1"/>
  <c r="BA42" i="13"/>
  <c r="BA62" i="13" s="1"/>
  <c r="DV42" i="13"/>
  <c r="DV62" i="13" s="1"/>
  <c r="CE42" i="13"/>
  <c r="CE62" i="13" s="1"/>
  <c r="CY42" i="13"/>
  <c r="CY62" i="13" s="1"/>
  <c r="EN42" i="13"/>
  <c r="EN62" i="13" s="1"/>
  <c r="ES42" i="13"/>
  <c r="ES62" i="13" s="1"/>
  <c r="DU42" i="13"/>
  <c r="DU62" i="13" s="1"/>
  <c r="EM42" i="13"/>
  <c r="EM62" i="13" s="1"/>
  <c r="EB42" i="13"/>
  <c r="EB62" i="13" s="1"/>
  <c r="DM42" i="13"/>
  <c r="DM62" i="13" s="1"/>
  <c r="DL42" i="13"/>
  <c r="DL62" i="13" s="1"/>
  <c r="EZ42" i="13"/>
  <c r="EZ62" i="13" s="1"/>
  <c r="EO42" i="13"/>
  <c r="EO62" i="13" s="1"/>
  <c r="EP42" i="13"/>
  <c r="EP62" i="13" s="1"/>
  <c r="DN42" i="13"/>
  <c r="DN62" i="13" s="1"/>
  <c r="EY42" i="13"/>
  <c r="EY62" i="13" s="1"/>
  <c r="EQ42" i="13"/>
  <c r="EQ62" i="13" s="1"/>
  <c r="EA42" i="13"/>
  <c r="EA62" i="13" s="1"/>
  <c r="CX42" i="13"/>
  <c r="CX62" i="13" s="1"/>
  <c r="AH42" i="13"/>
  <c r="AH62" i="13" s="1"/>
  <c r="CD42" i="13"/>
  <c r="CD62" i="13" s="1"/>
  <c r="CM42" i="13"/>
  <c r="CM62" i="13" s="1"/>
  <c r="AJ42" i="13"/>
  <c r="AJ62" i="13" s="1"/>
  <c r="CA42" i="13"/>
  <c r="CA62" i="13" s="1"/>
  <c r="BR42" i="13"/>
  <c r="BR62" i="13" s="1"/>
  <c r="BP42" i="13"/>
  <c r="DD42" i="13"/>
  <c r="DD62" i="13" s="1"/>
  <c r="CR42" i="13"/>
  <c r="CR62" i="13" s="1"/>
  <c r="BS42" i="13"/>
  <c r="BS62" i="13" s="1"/>
  <c r="CP42" i="13"/>
  <c r="CP62" i="13" s="1"/>
  <c r="DE42" i="13"/>
  <c r="DE62" i="13" s="1"/>
  <c r="CN42" i="13"/>
  <c r="CN62" i="13" s="1"/>
  <c r="CO42" i="13"/>
  <c r="CO62" i="13" s="1"/>
  <c r="BV42" i="13"/>
  <c r="BV62" i="13" s="1"/>
  <c r="CB42" i="13"/>
  <c r="CB62" i="13" s="1"/>
  <c r="AI42" i="13"/>
  <c r="AI62" i="13" s="1"/>
  <c r="AK42" i="13"/>
  <c r="AK62" i="13" s="1"/>
  <c r="BQ42" i="13"/>
  <c r="EF34" i="13"/>
  <c r="EF54" i="13" s="1"/>
  <c r="DS34" i="13"/>
  <c r="DS54" i="13" s="1"/>
  <c r="ED34" i="13"/>
  <c r="ED54" i="13" s="1"/>
  <c r="EE34" i="13"/>
  <c r="EE54" i="13" s="1"/>
  <c r="DR54" i="13"/>
  <c r="CF34" i="13"/>
  <c r="CF54" i="13" s="1"/>
  <c r="DI34" i="13"/>
  <c r="DI54" i="13" s="1"/>
  <c r="CU34" i="13"/>
  <c r="CU54" i="13" s="1"/>
  <c r="BU34" i="13"/>
  <c r="BU54" i="13" s="1"/>
  <c r="CV34" i="13"/>
  <c r="CV54" i="13" s="1"/>
  <c r="CH34" i="13"/>
  <c r="CH54" i="13" s="1"/>
  <c r="AO34" i="13"/>
  <c r="AO54" i="13" s="1"/>
  <c r="DH34" i="13"/>
  <c r="DH54" i="13" s="1"/>
  <c r="CI34" i="13"/>
  <c r="CI54" i="13" s="1"/>
  <c r="DG34" i="13"/>
  <c r="DG54" i="13" s="1"/>
  <c r="DS37" i="13"/>
  <c r="DS57" i="13" s="1"/>
  <c r="ED37" i="13"/>
  <c r="ED57" i="13" s="1"/>
  <c r="EF37" i="13"/>
  <c r="EF57" i="13" s="1"/>
  <c r="EE37" i="13"/>
  <c r="EE57" i="13" s="1"/>
  <c r="CF37" i="13"/>
  <c r="CF57" i="13" s="1"/>
  <c r="BU37" i="13"/>
  <c r="BU57" i="13" s="1"/>
  <c r="DH37" i="13"/>
  <c r="DH57" i="13" s="1"/>
  <c r="CU37" i="13"/>
  <c r="CU57" i="13" s="1"/>
  <c r="CH37" i="13"/>
  <c r="CH57" i="13" s="1"/>
  <c r="DG37" i="13"/>
  <c r="DG57" i="13" s="1"/>
  <c r="CV37" i="13"/>
  <c r="CV57" i="13" s="1"/>
  <c r="AO37" i="13"/>
  <c r="AO57" i="13" s="1"/>
  <c r="DI37" i="13"/>
  <c r="DI57" i="13" s="1"/>
  <c r="CI37" i="13"/>
  <c r="CI57" i="13" s="1"/>
  <c r="DX40" i="13"/>
  <c r="DX60" i="13" s="1"/>
  <c r="EL40" i="13"/>
  <c r="EL60" i="13" s="1"/>
  <c r="ER40" i="13"/>
  <c r="ER60" i="13" s="1"/>
  <c r="FE40" i="13"/>
  <c r="FE60" i="13" s="1"/>
  <c r="FD40" i="13"/>
  <c r="FD60" i="13" s="1"/>
  <c r="FA40" i="13"/>
  <c r="FA60" i="13" s="1"/>
  <c r="FG40" i="13"/>
  <c r="FG60" i="13" s="1"/>
  <c r="DT40" i="13"/>
  <c r="DT60" i="13" s="1"/>
  <c r="EH40" i="13"/>
  <c r="EH60" i="13" s="1"/>
  <c r="FF40" i="13"/>
  <c r="FF60" i="13" s="1"/>
  <c r="FC40" i="13"/>
  <c r="FC60" i="13" s="1"/>
  <c r="FB40" i="13"/>
  <c r="FB60" i="13" s="1"/>
  <c r="EU40" i="13"/>
  <c r="EU60" i="13" s="1"/>
  <c r="EI40" i="13"/>
  <c r="EI60" i="13" s="1"/>
  <c r="DY40" i="13"/>
  <c r="DY60" i="13" s="1"/>
  <c r="EK40" i="13"/>
  <c r="EK60" i="13" s="1"/>
  <c r="EJ40" i="13"/>
  <c r="EJ60" i="13" s="1"/>
  <c r="EC40" i="13"/>
  <c r="EC60" i="13" s="1"/>
  <c r="EX40" i="13"/>
  <c r="EX60" i="13" s="1"/>
  <c r="EG40" i="13"/>
  <c r="EG60" i="13" s="1"/>
  <c r="DW40" i="13"/>
  <c r="DW60" i="13" s="1"/>
  <c r="EV40" i="13"/>
  <c r="EV60" i="13" s="1"/>
  <c r="DZ40" i="13"/>
  <c r="DZ60" i="13" s="1"/>
  <c r="FH40" i="13"/>
  <c r="FH60" i="13" s="1"/>
  <c r="EW40" i="13"/>
  <c r="EW60" i="13" s="1"/>
  <c r="DK40" i="13"/>
  <c r="AQ40" i="13"/>
  <c r="AQ60" i="13" s="1"/>
  <c r="BY40" i="13"/>
  <c r="BY60" i="13" s="1"/>
  <c r="BW40" i="13"/>
  <c r="BW60" i="13" s="1"/>
  <c r="BN40" i="13"/>
  <c r="BN60" i="13" s="1"/>
  <c r="BL40" i="13"/>
  <c r="BL60" i="13" s="1"/>
  <c r="BI40" i="13"/>
  <c r="BI60" i="13" s="1"/>
  <c r="BM40" i="13"/>
  <c r="BM60" i="13" s="1"/>
  <c r="AS40" i="13"/>
  <c r="AS60" i="13" s="1"/>
  <c r="AY40" i="13"/>
  <c r="AY60" i="13" s="1"/>
  <c r="CT40" i="13"/>
  <c r="CT60" i="13" s="1"/>
  <c r="AT40" i="13"/>
  <c r="AT60" i="13" s="1"/>
  <c r="AV40" i="13"/>
  <c r="BJ40" i="13"/>
  <c r="BJ60" i="13" s="1"/>
  <c r="BE40" i="13"/>
  <c r="BE60" i="13" s="1"/>
  <c r="BD40" i="13"/>
  <c r="BD60" i="13" s="1"/>
  <c r="BC40" i="13"/>
  <c r="BC60" i="13" s="1"/>
  <c r="BZ40" i="13"/>
  <c r="BZ60" i="13" s="1"/>
  <c r="DB40" i="13"/>
  <c r="DB60" i="13" s="1"/>
  <c r="CZ40" i="13"/>
  <c r="CZ60" i="13" s="1"/>
  <c r="DJ40" i="13"/>
  <c r="DJ60" i="13" s="1"/>
  <c r="AX40" i="13"/>
  <c r="AX60" i="13" s="1"/>
  <c r="CK40" i="13"/>
  <c r="CK60" i="13" s="1"/>
  <c r="CW40" i="13"/>
  <c r="CW60" i="13" s="1"/>
  <c r="AP40" i="13"/>
  <c r="AP60" i="13" s="1"/>
  <c r="CL40" i="13"/>
  <c r="CL60" i="13" s="1"/>
  <c r="BF40" i="13"/>
  <c r="BF60" i="13" s="1"/>
  <c r="AU40" i="13"/>
  <c r="AU60" i="13" s="1"/>
  <c r="BG40" i="13"/>
  <c r="BG60" i="13" s="1"/>
  <c r="BT40" i="13"/>
  <c r="BT60" i="13" s="1"/>
  <c r="CG40" i="13"/>
  <c r="CG60" i="13" s="1"/>
  <c r="DC40" i="13"/>
  <c r="DC60" i="13" s="1"/>
  <c r="DA40" i="13"/>
  <c r="DA60" i="13" s="1"/>
  <c r="AR40" i="13"/>
  <c r="AR60" i="13" s="1"/>
  <c r="CC40" i="13"/>
  <c r="CC60" i="13" s="1"/>
  <c r="DF40" i="13"/>
  <c r="DF60" i="13" s="1"/>
  <c r="BB40" i="13"/>
  <c r="BB60" i="13" s="1"/>
  <c r="CS40" i="13"/>
  <c r="CS60" i="13" s="1"/>
  <c r="BK40" i="13"/>
  <c r="BK60" i="13" s="1"/>
  <c r="CJ40" i="13"/>
  <c r="CJ60" i="13" s="1"/>
  <c r="ED42" i="13"/>
  <c r="ED62" i="13" s="1"/>
  <c r="EE42" i="13"/>
  <c r="EE62" i="13" s="1"/>
  <c r="EF42" i="13"/>
  <c r="EF62" i="13" s="1"/>
  <c r="DS42" i="13"/>
  <c r="DS62" i="13" s="1"/>
  <c r="CF42" i="13"/>
  <c r="CF62" i="13" s="1"/>
  <c r="CV42" i="13"/>
  <c r="CV62" i="13" s="1"/>
  <c r="BU42" i="13"/>
  <c r="BU62" i="13" s="1"/>
  <c r="CI42" i="13"/>
  <c r="CI62" i="13" s="1"/>
  <c r="DG42" i="13"/>
  <c r="DG62" i="13" s="1"/>
  <c r="CH42" i="13"/>
  <c r="CH62" i="13" s="1"/>
  <c r="DI42" i="13"/>
  <c r="DI62" i="13" s="1"/>
  <c r="AO42" i="13"/>
  <c r="AO62" i="13" s="1"/>
  <c r="DH42" i="13"/>
  <c r="DH62" i="13" s="1"/>
  <c r="CU42" i="13"/>
  <c r="CU62" i="13" s="1"/>
  <c r="DV34" i="13"/>
  <c r="DV54" i="13" s="1"/>
  <c r="CE34" i="13"/>
  <c r="CE54" i="13" s="1"/>
  <c r="EZ34" i="13"/>
  <c r="EZ54" i="13" s="1"/>
  <c r="BA34" i="13"/>
  <c r="BA54" i="13" s="1"/>
  <c r="CY34" i="13"/>
  <c r="CY54" i="13" s="1"/>
  <c r="DN34" i="13"/>
  <c r="DN54" i="13" s="1"/>
  <c r="ET34" i="13"/>
  <c r="ET54" i="13" s="1"/>
  <c r="DO34" i="13"/>
  <c r="DO54" i="13" s="1"/>
  <c r="EB34" i="13"/>
  <c r="EB54" i="13" s="1"/>
  <c r="DM34" i="13"/>
  <c r="DM54" i="13" s="1"/>
  <c r="EN34" i="13"/>
  <c r="EN54" i="13" s="1"/>
  <c r="EQ34" i="13"/>
  <c r="EQ54" i="13" s="1"/>
  <c r="EO34" i="13"/>
  <c r="EO54" i="13" s="1"/>
  <c r="EA34" i="13"/>
  <c r="EA54" i="13" s="1"/>
  <c r="EP34" i="13"/>
  <c r="EP54" i="13" s="1"/>
  <c r="DL34" i="13"/>
  <c r="DL54" i="13" s="1"/>
  <c r="DU34" i="13"/>
  <c r="DU54" i="13" s="1"/>
  <c r="ES34" i="13"/>
  <c r="ES54" i="13" s="1"/>
  <c r="DQ34" i="13"/>
  <c r="DQ54" i="13" s="1"/>
  <c r="EY34" i="13"/>
  <c r="EY54" i="13" s="1"/>
  <c r="EM34" i="13"/>
  <c r="EM54" i="13" s="1"/>
  <c r="CR34" i="13"/>
  <c r="CR54" i="13" s="1"/>
  <c r="CA34" i="13"/>
  <c r="CA54" i="13" s="1"/>
  <c r="BS34" i="13"/>
  <c r="BS54" i="13" s="1"/>
  <c r="BQ34" i="13"/>
  <c r="BV34" i="13"/>
  <c r="BV54" i="13" s="1"/>
  <c r="CB34" i="13"/>
  <c r="CB54" i="13" s="1"/>
  <c r="AI34" i="13"/>
  <c r="AI54" i="13" s="1"/>
  <c r="CN34" i="13"/>
  <c r="CN54" i="13" s="1"/>
  <c r="AK34" i="13"/>
  <c r="AK54" i="13" s="1"/>
  <c r="BR34" i="13"/>
  <c r="BR54" i="13" s="1"/>
  <c r="CO34" i="13"/>
  <c r="CO54" i="13" s="1"/>
  <c r="CM34" i="13"/>
  <c r="CM54" i="13" s="1"/>
  <c r="CP34" i="13"/>
  <c r="CP54" i="13" s="1"/>
  <c r="BP34" i="13"/>
  <c r="DD34" i="13"/>
  <c r="DD54" i="13" s="1"/>
  <c r="CX34" i="13"/>
  <c r="CX54" i="13" s="1"/>
  <c r="AH34" i="13"/>
  <c r="AH54" i="13" s="1"/>
  <c r="AJ34" i="13"/>
  <c r="AJ54" i="13" s="1"/>
  <c r="CD34" i="13"/>
  <c r="CD54" i="13" s="1"/>
  <c r="DE34" i="13"/>
  <c r="DE54" i="13" s="1"/>
  <c r="EI37" i="13"/>
  <c r="EI57" i="13" s="1"/>
  <c r="EU37" i="13"/>
  <c r="EU57" i="13" s="1"/>
  <c r="FA37" i="13"/>
  <c r="FA57" i="13" s="1"/>
  <c r="DT37" i="13"/>
  <c r="DT57" i="13" s="1"/>
  <c r="EG37" i="13"/>
  <c r="EG57" i="13" s="1"/>
  <c r="EH37" i="13"/>
  <c r="EH57" i="13" s="1"/>
  <c r="EJ37" i="13"/>
  <c r="EJ57" i="13" s="1"/>
  <c r="FF37" i="13"/>
  <c r="FF57" i="13" s="1"/>
  <c r="DY37" i="13"/>
  <c r="DY57" i="13" s="1"/>
  <c r="DX37" i="13"/>
  <c r="DX57" i="13" s="1"/>
  <c r="FD37" i="13"/>
  <c r="FD57" i="13" s="1"/>
  <c r="FC37" i="13"/>
  <c r="FC57" i="13" s="1"/>
  <c r="EX37" i="13"/>
  <c r="EX57" i="13" s="1"/>
  <c r="EC37" i="13"/>
  <c r="EC57" i="13" s="1"/>
  <c r="ER37" i="13"/>
  <c r="ER57" i="13" s="1"/>
  <c r="FG37" i="13"/>
  <c r="FG57" i="13" s="1"/>
  <c r="FB37" i="13"/>
  <c r="FB57" i="13" s="1"/>
  <c r="EV37" i="13"/>
  <c r="EV57" i="13" s="1"/>
  <c r="FE37" i="13"/>
  <c r="FE57" i="13" s="1"/>
  <c r="DZ37" i="13"/>
  <c r="DZ57" i="13" s="1"/>
  <c r="FH37" i="13"/>
  <c r="FH57" i="13" s="1"/>
  <c r="EK37" i="13"/>
  <c r="EK57" i="13" s="1"/>
  <c r="DW37" i="13"/>
  <c r="DW57" i="13" s="1"/>
  <c r="EL37" i="13"/>
  <c r="EL57" i="13" s="1"/>
  <c r="EW37" i="13"/>
  <c r="EW57" i="13" s="1"/>
  <c r="DK37" i="13"/>
  <c r="AQ37" i="13"/>
  <c r="AQ57" i="13" s="1"/>
  <c r="BJ37" i="13"/>
  <c r="BJ57" i="13" s="1"/>
  <c r="AS37" i="13"/>
  <c r="AS57" i="13" s="1"/>
  <c r="BT37" i="13"/>
  <c r="BT57" i="13" s="1"/>
  <c r="AT37" i="13"/>
  <c r="AT57" i="13" s="1"/>
  <c r="BF37" i="13"/>
  <c r="BF57" i="13" s="1"/>
  <c r="BG37" i="13"/>
  <c r="BG57" i="13" s="1"/>
  <c r="AX37" i="13"/>
  <c r="AX57" i="13" s="1"/>
  <c r="DC37" i="13"/>
  <c r="DC57" i="13" s="1"/>
  <c r="AU37" i="13"/>
  <c r="AU57" i="13" s="1"/>
  <c r="BK37" i="13"/>
  <c r="BK57" i="13" s="1"/>
  <c r="DB37" i="13"/>
  <c r="DB57" i="13" s="1"/>
  <c r="BC37" i="13"/>
  <c r="BC57" i="13" s="1"/>
  <c r="BM37" i="13"/>
  <c r="BM57" i="13" s="1"/>
  <c r="DJ37" i="13"/>
  <c r="DJ57" i="13" s="1"/>
  <c r="BW37" i="13"/>
  <c r="BW57" i="13" s="1"/>
  <c r="AP37" i="13"/>
  <c r="AP57" i="13" s="1"/>
  <c r="BN37" i="13"/>
  <c r="BN57" i="13" s="1"/>
  <c r="CK37" i="13"/>
  <c r="CK57" i="13" s="1"/>
  <c r="AV37" i="13"/>
  <c r="BB37" i="13"/>
  <c r="BB57" i="13" s="1"/>
  <c r="BY37" i="13"/>
  <c r="BY57" i="13" s="1"/>
  <c r="CW37" i="13"/>
  <c r="CW57" i="13" s="1"/>
  <c r="CS37" i="13"/>
  <c r="CS57" i="13" s="1"/>
  <c r="BL37" i="13"/>
  <c r="BL57" i="13" s="1"/>
  <c r="DF37" i="13"/>
  <c r="DF57" i="13" s="1"/>
  <c r="CC37" i="13"/>
  <c r="CC57" i="13" s="1"/>
  <c r="CT37" i="13"/>
  <c r="CT57" i="13" s="1"/>
  <c r="BD37" i="13"/>
  <c r="BD57" i="13" s="1"/>
  <c r="CZ37" i="13"/>
  <c r="CZ57" i="13" s="1"/>
  <c r="AY37" i="13"/>
  <c r="AY57" i="13" s="1"/>
  <c r="AR37" i="13"/>
  <c r="AR57" i="13" s="1"/>
  <c r="CJ37" i="13"/>
  <c r="CJ57" i="13" s="1"/>
  <c r="CG37" i="13"/>
  <c r="CG57" i="13" s="1"/>
  <c r="CL37" i="13"/>
  <c r="CL57" i="13" s="1"/>
  <c r="BZ37" i="13"/>
  <c r="BZ57" i="13" s="1"/>
  <c r="BE37" i="13"/>
  <c r="BE57" i="13" s="1"/>
  <c r="BI37" i="13"/>
  <c r="BI57" i="13" s="1"/>
  <c r="DA37" i="13"/>
  <c r="DA57" i="13" s="1"/>
  <c r="EF35" i="13"/>
  <c r="EF55" i="13" s="1"/>
  <c r="DS35" i="13"/>
  <c r="DS55" i="13" s="1"/>
  <c r="ED35" i="13"/>
  <c r="ED55" i="13" s="1"/>
  <c r="EE35" i="13"/>
  <c r="EE55" i="13" s="1"/>
  <c r="CF35" i="13"/>
  <c r="CF55" i="13" s="1"/>
  <c r="DG35" i="13"/>
  <c r="DG55" i="13" s="1"/>
  <c r="CU35" i="13"/>
  <c r="CU55" i="13" s="1"/>
  <c r="DI35" i="13"/>
  <c r="DI55" i="13" s="1"/>
  <c r="CH35" i="13"/>
  <c r="CH55" i="13" s="1"/>
  <c r="CI35" i="13"/>
  <c r="CI55" i="13" s="1"/>
  <c r="DH35" i="13"/>
  <c r="DH55" i="13" s="1"/>
  <c r="BU35" i="13"/>
  <c r="BU55" i="13" s="1"/>
  <c r="AO35" i="13"/>
  <c r="AO55" i="13" s="1"/>
  <c r="CV35" i="13"/>
  <c r="CV55" i="13" s="1"/>
  <c r="ED43" i="13"/>
  <c r="ED63" i="13" s="1"/>
  <c r="EE43" i="13"/>
  <c r="EE63" i="13" s="1"/>
  <c r="EF43" i="13"/>
  <c r="EF63" i="13" s="1"/>
  <c r="DS43" i="13"/>
  <c r="DS63" i="13" s="1"/>
  <c r="CF43" i="13"/>
  <c r="CF63" i="13" s="1"/>
  <c r="BU43" i="13"/>
  <c r="BU63" i="13" s="1"/>
  <c r="DH43" i="13"/>
  <c r="DH63" i="13" s="1"/>
  <c r="DG43" i="13"/>
  <c r="DG63" i="13" s="1"/>
  <c r="AO43" i="13"/>
  <c r="AO63" i="13" s="1"/>
  <c r="CI43" i="13"/>
  <c r="CI63" i="13" s="1"/>
  <c r="CH43" i="13"/>
  <c r="CH63" i="13" s="1"/>
  <c r="CV43" i="13"/>
  <c r="CV63" i="13" s="1"/>
  <c r="CU43" i="13"/>
  <c r="CU63" i="13" s="1"/>
  <c r="DI43" i="13"/>
  <c r="DI63" i="13" s="1"/>
  <c r="DN43" i="13"/>
  <c r="DN63" i="13" s="1"/>
  <c r="DQ43" i="13"/>
  <c r="DQ63" i="13" s="1"/>
  <c r="EM43" i="13"/>
  <c r="EM63" i="13" s="1"/>
  <c r="CY43" i="13"/>
  <c r="CY63" i="13" s="1"/>
  <c r="BA43" i="13"/>
  <c r="BA63" i="13" s="1"/>
  <c r="DV43" i="13"/>
  <c r="DV63" i="13" s="1"/>
  <c r="CE43" i="13"/>
  <c r="CE63" i="13" s="1"/>
  <c r="ET43" i="13"/>
  <c r="ET63" i="13" s="1"/>
  <c r="EQ43" i="13"/>
  <c r="EQ63" i="13" s="1"/>
  <c r="EN43" i="13"/>
  <c r="EN63" i="13" s="1"/>
  <c r="DO43" i="13"/>
  <c r="DO63" i="13" s="1"/>
  <c r="EA43" i="13"/>
  <c r="EA63" i="13" s="1"/>
  <c r="EY43" i="13"/>
  <c r="EY63" i="13" s="1"/>
  <c r="DL43" i="13"/>
  <c r="DL63" i="13" s="1"/>
  <c r="EP43" i="13"/>
  <c r="EP63" i="13" s="1"/>
  <c r="EZ43" i="13"/>
  <c r="EZ63" i="13" s="1"/>
  <c r="EO43" i="13"/>
  <c r="EO63" i="13" s="1"/>
  <c r="EB43" i="13"/>
  <c r="EB63" i="13" s="1"/>
  <c r="ES43" i="13"/>
  <c r="ES63" i="13" s="1"/>
  <c r="DU43" i="13"/>
  <c r="DU63" i="13" s="1"/>
  <c r="DM43" i="13"/>
  <c r="DM63" i="13" s="1"/>
  <c r="CP43" i="13"/>
  <c r="CP63" i="13" s="1"/>
  <c r="CD43" i="13"/>
  <c r="CD63" i="13" s="1"/>
  <c r="BR43" i="13"/>
  <c r="BR63" i="13" s="1"/>
  <c r="BP43" i="13"/>
  <c r="CM43" i="13"/>
  <c r="CM63" i="13" s="1"/>
  <c r="AJ43" i="13"/>
  <c r="AJ63" i="13" s="1"/>
  <c r="CX43" i="13"/>
  <c r="CX63" i="13" s="1"/>
  <c r="AH43" i="13"/>
  <c r="AH63" i="13" s="1"/>
  <c r="CB43" i="13"/>
  <c r="CB63" i="13" s="1"/>
  <c r="DD43" i="13"/>
  <c r="DD63" i="13" s="1"/>
  <c r="BV43" i="13"/>
  <c r="BV63" i="13" s="1"/>
  <c r="CA43" i="13"/>
  <c r="CA63" i="13" s="1"/>
  <c r="AK43" i="13"/>
  <c r="AK63" i="13" s="1"/>
  <c r="AI43" i="13"/>
  <c r="AI63" i="13" s="1"/>
  <c r="DE43" i="13"/>
  <c r="DE63" i="13" s="1"/>
  <c r="BQ43" i="13"/>
  <c r="CN43" i="13"/>
  <c r="CN63" i="13" s="1"/>
  <c r="CR43" i="13"/>
  <c r="CR63" i="13" s="1"/>
  <c r="BS43" i="13"/>
  <c r="BS63" i="13" s="1"/>
  <c r="CO43" i="13"/>
  <c r="CO63" i="13" s="1"/>
  <c r="EK28" i="13"/>
  <c r="EK48" i="13" s="1"/>
  <c r="EG28" i="13"/>
  <c r="EG48" i="13" s="1"/>
  <c r="FE28" i="13"/>
  <c r="FE48" i="13" s="1"/>
  <c r="DW28" i="13"/>
  <c r="DW48" i="13" s="1"/>
  <c r="EH28" i="13"/>
  <c r="EH48" i="13" s="1"/>
  <c r="EW28" i="13"/>
  <c r="EW48" i="13" s="1"/>
  <c r="FH28" i="13"/>
  <c r="FH48" i="13" s="1"/>
  <c r="EI28" i="13"/>
  <c r="EI48" i="13" s="1"/>
  <c r="FF28" i="13"/>
  <c r="FF48" i="13" s="1"/>
  <c r="FA28" i="13"/>
  <c r="FA48" i="13" s="1"/>
  <c r="ER28" i="13"/>
  <c r="ER48" i="13" s="1"/>
  <c r="DZ28" i="13"/>
  <c r="DZ48" i="13" s="1"/>
  <c r="FD28" i="13"/>
  <c r="FD48" i="13" s="1"/>
  <c r="DT28" i="13"/>
  <c r="DT48" i="13" s="1"/>
  <c r="EU28" i="13"/>
  <c r="EU48" i="13" s="1"/>
  <c r="FG28" i="13"/>
  <c r="FG48" i="13" s="1"/>
  <c r="EX28" i="13"/>
  <c r="EX48" i="13" s="1"/>
  <c r="FC28" i="13"/>
  <c r="FC48" i="13" s="1"/>
  <c r="EC28" i="13"/>
  <c r="EC48" i="13" s="1"/>
  <c r="DY28" i="13"/>
  <c r="DY48" i="13" s="1"/>
  <c r="EL28" i="13"/>
  <c r="EL48" i="13" s="1"/>
  <c r="EV28" i="13"/>
  <c r="EV48" i="13" s="1"/>
  <c r="EJ28" i="13"/>
  <c r="EJ48" i="13" s="1"/>
  <c r="FB28" i="13"/>
  <c r="FB48" i="13" s="1"/>
  <c r="DX28" i="13"/>
  <c r="DX48" i="13" s="1"/>
  <c r="DK28" i="13"/>
  <c r="AQ28" i="13"/>
  <c r="AQ48" i="13" s="1"/>
  <c r="BE28" i="13"/>
  <c r="BE48" i="13" s="1"/>
  <c r="CL28" i="13"/>
  <c r="CL48" i="13" s="1"/>
  <c r="BZ28" i="13"/>
  <c r="BZ48" i="13" s="1"/>
  <c r="CZ28" i="13"/>
  <c r="CZ48" i="13" s="1"/>
  <c r="CK28" i="13"/>
  <c r="CK48" i="13" s="1"/>
  <c r="CC28" i="13"/>
  <c r="CC48" i="13" s="1"/>
  <c r="BB28" i="13"/>
  <c r="BB48" i="13" s="1"/>
  <c r="BT28" i="13"/>
  <c r="BT48" i="13" s="1"/>
  <c r="BW28" i="13"/>
  <c r="BW48" i="13" s="1"/>
  <c r="AU28" i="13"/>
  <c r="AU48" i="13" s="1"/>
  <c r="DJ28" i="13"/>
  <c r="DJ48" i="13" s="1"/>
  <c r="DA28" i="13"/>
  <c r="DA48" i="13" s="1"/>
  <c r="BY28" i="13"/>
  <c r="BY48" i="13" s="1"/>
  <c r="CJ28" i="13"/>
  <c r="CJ48" i="13" s="1"/>
  <c r="BF28" i="13"/>
  <c r="BF48" i="13" s="1"/>
  <c r="AP28" i="13"/>
  <c r="AP48" i="13" s="1"/>
  <c r="BL28" i="13"/>
  <c r="BL48" i="13" s="1"/>
  <c r="DC28" i="13"/>
  <c r="DC48" i="13" s="1"/>
  <c r="DB28" i="13"/>
  <c r="DB48" i="13" s="1"/>
  <c r="AY28" i="13"/>
  <c r="AY48" i="13" s="1"/>
  <c r="BG28" i="13"/>
  <c r="BG48" i="13" s="1"/>
  <c r="BJ28" i="13"/>
  <c r="BJ48" i="13" s="1"/>
  <c r="AV28" i="13"/>
  <c r="BC28" i="13"/>
  <c r="BC48" i="13" s="1"/>
  <c r="CW28" i="13"/>
  <c r="CW48" i="13" s="1"/>
  <c r="AT28" i="13"/>
  <c r="AT48" i="13" s="1"/>
  <c r="AX28" i="13"/>
  <c r="AX48" i="13" s="1"/>
  <c r="DF28" i="13"/>
  <c r="DF48" i="13" s="1"/>
  <c r="BI28" i="13"/>
  <c r="BI48" i="13" s="1"/>
  <c r="AR28" i="13"/>
  <c r="AR48" i="13" s="1"/>
  <c r="BD28" i="13"/>
  <c r="BD48" i="13" s="1"/>
  <c r="BN28" i="13"/>
  <c r="BN48" i="13" s="1"/>
  <c r="CS28" i="13"/>
  <c r="CS48" i="13" s="1"/>
  <c r="BK28" i="13"/>
  <c r="BK48" i="13" s="1"/>
  <c r="CG28" i="13"/>
  <c r="CG48" i="13" s="1"/>
  <c r="AS28" i="13"/>
  <c r="AS48" i="13" s="1"/>
  <c r="BM28" i="13"/>
  <c r="BM48" i="13" s="1"/>
  <c r="CT28" i="13"/>
  <c r="CT48" i="13" s="1"/>
  <c r="ET28" i="13"/>
  <c r="ET48" i="13" s="1"/>
  <c r="DV28" i="13"/>
  <c r="DV48" i="13" s="1"/>
  <c r="CE28" i="13"/>
  <c r="CE48" i="13" s="1"/>
  <c r="CY28" i="13"/>
  <c r="CY48" i="13" s="1"/>
  <c r="EZ28" i="13"/>
  <c r="EZ48" i="13" s="1"/>
  <c r="BA28" i="13"/>
  <c r="BA48" i="13" s="1"/>
  <c r="ES28" i="13"/>
  <c r="ES48" i="13" s="1"/>
  <c r="EA28" i="13"/>
  <c r="EA48" i="13" s="1"/>
  <c r="EN28" i="13"/>
  <c r="EN48" i="13" s="1"/>
  <c r="EO28" i="13"/>
  <c r="EO48" i="13" s="1"/>
  <c r="EQ28" i="13"/>
  <c r="EQ48" i="13" s="1"/>
  <c r="EP28" i="13"/>
  <c r="EP48" i="13" s="1"/>
  <c r="DN28" i="13"/>
  <c r="DN48" i="13" s="1"/>
  <c r="EB28" i="13"/>
  <c r="EB48" i="13" s="1"/>
  <c r="DM28" i="13"/>
  <c r="DM48" i="13" s="1"/>
  <c r="DQ28" i="13"/>
  <c r="DQ48" i="13" s="1"/>
  <c r="DL28" i="13"/>
  <c r="DL48" i="13" s="1"/>
  <c r="EM28" i="13"/>
  <c r="EM48" i="13" s="1"/>
  <c r="EY28" i="13"/>
  <c r="EY48" i="13" s="1"/>
  <c r="DO28" i="13"/>
  <c r="DO48" i="13" s="1"/>
  <c r="DU28" i="13"/>
  <c r="DU48" i="13" s="1"/>
  <c r="AI28" i="13"/>
  <c r="AI48" i="13" s="1"/>
  <c r="BQ28" i="13"/>
  <c r="CN28" i="13"/>
  <c r="CN48" i="13" s="1"/>
  <c r="CD28" i="13"/>
  <c r="CD48" i="13" s="1"/>
  <c r="CA28" i="13"/>
  <c r="CA48" i="13" s="1"/>
  <c r="CO28" i="13"/>
  <c r="CO48" i="13" s="1"/>
  <c r="AK28" i="13"/>
  <c r="AK48" i="13" s="1"/>
  <c r="DD28" i="13"/>
  <c r="DD48" i="13" s="1"/>
  <c r="CP28" i="13"/>
  <c r="CP48" i="13" s="1"/>
  <c r="CM28" i="13"/>
  <c r="CB28" i="13"/>
  <c r="CB48" i="13" s="1"/>
  <c r="CX28" i="13"/>
  <c r="CX48" i="13" s="1"/>
  <c r="AH28" i="13"/>
  <c r="DE28" i="13"/>
  <c r="DE48" i="13" s="1"/>
  <c r="CR28" i="13"/>
  <c r="CR48" i="13" s="1"/>
  <c r="BS28" i="13"/>
  <c r="BS48" i="13" s="1"/>
  <c r="BV28" i="13"/>
  <c r="BV48" i="13" s="1"/>
  <c r="BR28" i="13"/>
  <c r="BR48" i="13" s="1"/>
  <c r="BP28" i="13"/>
  <c r="AJ28" i="13"/>
  <c r="AJ48" i="13" s="1"/>
  <c r="ET35" i="13"/>
  <c r="ET55" i="13" s="1"/>
  <c r="EN35" i="13"/>
  <c r="EN55" i="13" s="1"/>
  <c r="EZ35" i="13"/>
  <c r="EZ55" i="13" s="1"/>
  <c r="DV35" i="13"/>
  <c r="DV55" i="13" s="1"/>
  <c r="CE35" i="13"/>
  <c r="CE55" i="13" s="1"/>
  <c r="CY35" i="13"/>
  <c r="CY55" i="13" s="1"/>
  <c r="DO35" i="13"/>
  <c r="DO55" i="13" s="1"/>
  <c r="BA35" i="13"/>
  <c r="BA55" i="13" s="1"/>
  <c r="EY35" i="13"/>
  <c r="EY55" i="13" s="1"/>
  <c r="EQ35" i="13"/>
  <c r="EQ55" i="13" s="1"/>
  <c r="EA35" i="13"/>
  <c r="EA55" i="13" s="1"/>
  <c r="DM35" i="13"/>
  <c r="DM55" i="13" s="1"/>
  <c r="DN35" i="13"/>
  <c r="DN55" i="13" s="1"/>
  <c r="EP35" i="13"/>
  <c r="EP55" i="13" s="1"/>
  <c r="EO35" i="13"/>
  <c r="EO55" i="13" s="1"/>
  <c r="ES35" i="13"/>
  <c r="ES55" i="13" s="1"/>
  <c r="DU35" i="13"/>
  <c r="DU55" i="13" s="1"/>
  <c r="DQ35" i="13"/>
  <c r="DQ55" i="13" s="1"/>
  <c r="DL35" i="13"/>
  <c r="DL55" i="13" s="1"/>
  <c r="EM35" i="13"/>
  <c r="EM55" i="13" s="1"/>
  <c r="EB35" i="13"/>
  <c r="EB55" i="13" s="1"/>
  <c r="CB35" i="13"/>
  <c r="CB55" i="13" s="1"/>
  <c r="AH35" i="13"/>
  <c r="AH55" i="13" s="1"/>
  <c r="BQ35" i="13"/>
  <c r="DE35" i="13"/>
  <c r="DE55" i="13" s="1"/>
  <c r="AI35" i="13"/>
  <c r="AI55" i="13" s="1"/>
  <c r="BS35" i="13"/>
  <c r="BS55" i="13" s="1"/>
  <c r="CN35" i="13"/>
  <c r="CN55" i="13" s="1"/>
  <c r="AK35" i="13"/>
  <c r="AK55" i="13" s="1"/>
  <c r="CR35" i="13"/>
  <c r="CR55" i="13" s="1"/>
  <c r="CA35" i="13"/>
  <c r="CA55" i="13" s="1"/>
  <c r="CO35" i="13"/>
  <c r="CO55" i="13" s="1"/>
  <c r="BP35" i="13"/>
  <c r="AJ35" i="13"/>
  <c r="AJ55" i="13" s="1"/>
  <c r="CM35" i="13"/>
  <c r="CM55" i="13" s="1"/>
  <c r="CD35" i="13"/>
  <c r="CD55" i="13" s="1"/>
  <c r="BR35" i="13"/>
  <c r="BR55" i="13" s="1"/>
  <c r="DD35" i="13"/>
  <c r="DD55" i="13" s="1"/>
  <c r="CX35" i="13"/>
  <c r="CX55" i="13" s="1"/>
  <c r="BV35" i="13"/>
  <c r="BV55" i="13" s="1"/>
  <c r="CP35" i="13"/>
  <c r="CP55" i="13" s="1"/>
  <c r="EI36" i="13"/>
  <c r="EI56" i="13" s="1"/>
  <c r="EV36" i="13"/>
  <c r="EV56" i="13" s="1"/>
  <c r="DY36" i="13"/>
  <c r="DY56" i="13" s="1"/>
  <c r="DX36" i="13"/>
  <c r="DX56" i="13" s="1"/>
  <c r="EJ36" i="13"/>
  <c r="EJ56" i="13" s="1"/>
  <c r="FC36" i="13"/>
  <c r="FC56" i="13" s="1"/>
  <c r="FD36" i="13"/>
  <c r="FD56" i="13" s="1"/>
  <c r="EG36" i="13"/>
  <c r="EG56" i="13" s="1"/>
  <c r="EC36" i="13"/>
  <c r="EC56" i="13" s="1"/>
  <c r="FF36" i="13"/>
  <c r="FF56" i="13" s="1"/>
  <c r="ER36" i="13"/>
  <c r="ER56" i="13" s="1"/>
  <c r="FA36" i="13"/>
  <c r="FA56" i="13" s="1"/>
  <c r="EH36" i="13"/>
  <c r="EH56" i="13" s="1"/>
  <c r="EX36" i="13"/>
  <c r="EX56" i="13" s="1"/>
  <c r="FG36" i="13"/>
  <c r="FG56" i="13" s="1"/>
  <c r="FB36" i="13"/>
  <c r="FB56" i="13" s="1"/>
  <c r="DW36" i="13"/>
  <c r="DW56" i="13" s="1"/>
  <c r="EU36" i="13"/>
  <c r="EU56" i="13" s="1"/>
  <c r="DZ36" i="13"/>
  <c r="DZ56" i="13" s="1"/>
  <c r="FE36" i="13"/>
  <c r="FE56" i="13" s="1"/>
  <c r="EW36" i="13"/>
  <c r="EW56" i="13" s="1"/>
  <c r="EK36" i="13"/>
  <c r="EK56" i="13" s="1"/>
  <c r="FH36" i="13"/>
  <c r="FH56" i="13" s="1"/>
  <c r="EL36" i="13"/>
  <c r="EL56" i="13" s="1"/>
  <c r="DT36" i="13"/>
  <c r="DT56" i="13" s="1"/>
  <c r="DK36" i="13"/>
  <c r="AQ36" i="13"/>
  <c r="AQ56" i="13" s="1"/>
  <c r="BD36" i="13"/>
  <c r="BD56" i="13" s="1"/>
  <c r="BM36" i="13"/>
  <c r="BM56" i="13" s="1"/>
  <c r="BY36" i="13"/>
  <c r="BY56" i="13" s="1"/>
  <c r="CK36" i="13"/>
  <c r="CK56" i="13" s="1"/>
  <c r="AX36" i="13"/>
  <c r="AX56" i="13" s="1"/>
  <c r="AU36" i="13"/>
  <c r="AU56" i="13" s="1"/>
  <c r="AP36" i="13"/>
  <c r="AP56" i="13" s="1"/>
  <c r="BN36" i="13"/>
  <c r="BN56" i="13" s="1"/>
  <c r="AS36" i="13"/>
  <c r="AS56" i="13" s="1"/>
  <c r="AV36" i="13"/>
  <c r="BK36" i="13"/>
  <c r="BK56" i="13" s="1"/>
  <c r="BW36" i="13"/>
  <c r="BW56" i="13" s="1"/>
  <c r="AT36" i="13"/>
  <c r="AT56" i="13" s="1"/>
  <c r="DC36" i="13"/>
  <c r="DC56" i="13" s="1"/>
  <c r="AY36" i="13"/>
  <c r="AY56" i="13" s="1"/>
  <c r="DA36" i="13"/>
  <c r="DA56" i="13" s="1"/>
  <c r="CG36" i="13"/>
  <c r="CG56" i="13" s="1"/>
  <c r="BJ36" i="13"/>
  <c r="BJ56" i="13" s="1"/>
  <c r="AR36" i="13"/>
  <c r="AR56" i="13" s="1"/>
  <c r="CL36" i="13"/>
  <c r="CL56" i="13" s="1"/>
  <c r="DB36" i="13"/>
  <c r="DB56" i="13" s="1"/>
  <c r="CS36" i="13"/>
  <c r="CS56" i="13" s="1"/>
  <c r="DF36" i="13"/>
  <c r="DF56" i="13" s="1"/>
  <c r="CW36" i="13"/>
  <c r="CW56" i="13" s="1"/>
  <c r="BI36" i="13"/>
  <c r="BI56" i="13" s="1"/>
  <c r="DJ36" i="13"/>
  <c r="DJ56" i="13" s="1"/>
  <c r="BG36" i="13"/>
  <c r="BG56" i="13" s="1"/>
  <c r="CZ36" i="13"/>
  <c r="CZ56" i="13" s="1"/>
  <c r="BC36" i="13"/>
  <c r="BC56" i="13" s="1"/>
  <c r="BE36" i="13"/>
  <c r="BE56" i="13" s="1"/>
  <c r="BF36" i="13"/>
  <c r="BF56" i="13" s="1"/>
  <c r="CT36" i="13"/>
  <c r="CT56" i="13" s="1"/>
  <c r="BB36" i="13"/>
  <c r="BB56" i="13" s="1"/>
  <c r="BZ36" i="13"/>
  <c r="BZ56" i="13" s="1"/>
  <c r="CC36" i="13"/>
  <c r="CC56" i="13" s="1"/>
  <c r="BT36" i="13"/>
  <c r="BT56" i="13" s="1"/>
  <c r="CJ36" i="13"/>
  <c r="CJ56" i="13" s="1"/>
  <c r="BL36" i="13"/>
  <c r="BL56" i="13" s="1"/>
  <c r="EE40" i="13"/>
  <c r="EE60" i="13" s="1"/>
  <c r="EF40" i="13"/>
  <c r="EF60" i="13" s="1"/>
  <c r="ED40" i="13"/>
  <c r="ED60" i="13" s="1"/>
  <c r="DS40" i="13"/>
  <c r="DS60" i="13" s="1"/>
  <c r="CF40" i="13"/>
  <c r="CF60" i="13" s="1"/>
  <c r="AO40" i="13"/>
  <c r="AO60" i="13" s="1"/>
  <c r="CI40" i="13"/>
  <c r="CI60" i="13" s="1"/>
  <c r="DG40" i="13"/>
  <c r="DG60" i="13" s="1"/>
  <c r="DI40" i="13"/>
  <c r="DI60" i="13" s="1"/>
  <c r="CV40" i="13"/>
  <c r="CV60" i="13" s="1"/>
  <c r="DH40" i="13"/>
  <c r="DH60" i="13" s="1"/>
  <c r="CH40" i="13"/>
  <c r="CH60" i="13" s="1"/>
  <c r="BU40" i="13"/>
  <c r="BU60" i="13" s="1"/>
  <c r="CU40" i="13"/>
  <c r="CU60" i="13" s="1"/>
  <c r="CY36" i="13"/>
  <c r="CY56" i="13" s="1"/>
  <c r="ET36" i="13"/>
  <c r="ET56" i="13" s="1"/>
  <c r="BA36" i="13"/>
  <c r="BA56" i="13" s="1"/>
  <c r="DV36" i="13"/>
  <c r="DV56" i="13" s="1"/>
  <c r="CE36" i="13"/>
  <c r="CE56" i="13" s="1"/>
  <c r="DO36" i="13"/>
  <c r="DO56" i="13" s="1"/>
  <c r="EY36" i="13"/>
  <c r="EY56" i="13" s="1"/>
  <c r="EA36" i="13"/>
  <c r="EA56" i="13" s="1"/>
  <c r="EZ36" i="13"/>
  <c r="EZ56" i="13" s="1"/>
  <c r="EO36" i="13"/>
  <c r="EO56" i="13" s="1"/>
  <c r="EM36" i="13"/>
  <c r="EM56" i="13" s="1"/>
  <c r="EN36" i="13"/>
  <c r="EN56" i="13" s="1"/>
  <c r="DN36" i="13"/>
  <c r="DN56" i="13" s="1"/>
  <c r="EQ36" i="13"/>
  <c r="EQ56" i="13" s="1"/>
  <c r="DU36" i="13"/>
  <c r="DU56" i="13" s="1"/>
  <c r="ES36" i="13"/>
  <c r="ES56" i="13" s="1"/>
  <c r="DM36" i="13"/>
  <c r="DM56" i="13" s="1"/>
  <c r="DL36" i="13"/>
  <c r="DL56" i="13" s="1"/>
  <c r="EP36" i="13"/>
  <c r="EP56" i="13" s="1"/>
  <c r="DQ36" i="13"/>
  <c r="DQ56" i="13" s="1"/>
  <c r="EB36" i="13"/>
  <c r="EB56" i="13" s="1"/>
  <c r="CP36" i="13"/>
  <c r="CP56" i="13" s="1"/>
  <c r="BS36" i="13"/>
  <c r="BS56" i="13" s="1"/>
  <c r="CB36" i="13"/>
  <c r="CB56" i="13" s="1"/>
  <c r="CN36" i="13"/>
  <c r="CN56" i="13" s="1"/>
  <c r="AI36" i="13"/>
  <c r="AI56" i="13" s="1"/>
  <c r="BQ36" i="13"/>
  <c r="DD36" i="13"/>
  <c r="DD56" i="13" s="1"/>
  <c r="AK36" i="13"/>
  <c r="AK56" i="13" s="1"/>
  <c r="CR36" i="13"/>
  <c r="CR56" i="13" s="1"/>
  <c r="AH36" i="13"/>
  <c r="AH56" i="13" s="1"/>
  <c r="CD36" i="13"/>
  <c r="CD56" i="13" s="1"/>
  <c r="CO36" i="13"/>
  <c r="CO56" i="13" s="1"/>
  <c r="CM36" i="13"/>
  <c r="CM56" i="13" s="1"/>
  <c r="BR36" i="13"/>
  <c r="BR56" i="13" s="1"/>
  <c r="BV36" i="13"/>
  <c r="BV56" i="13" s="1"/>
  <c r="BP36" i="13"/>
  <c r="CA36" i="13"/>
  <c r="CA56" i="13" s="1"/>
  <c r="AJ36" i="13"/>
  <c r="AJ56" i="13" s="1"/>
  <c r="DE36" i="13"/>
  <c r="DE56" i="13" s="1"/>
  <c r="CX36" i="13"/>
  <c r="CX56" i="13" s="1"/>
  <c r="BA38" i="13"/>
  <c r="BA58" i="13" s="1"/>
  <c r="ET38" i="13"/>
  <c r="ET58" i="13" s="1"/>
  <c r="DV38" i="13"/>
  <c r="DV58" i="13" s="1"/>
  <c r="CE38" i="13"/>
  <c r="CE58" i="13" s="1"/>
  <c r="CY38" i="13"/>
  <c r="CY58" i="13" s="1"/>
  <c r="DO38" i="13"/>
  <c r="DO58" i="13" s="1"/>
  <c r="EB38" i="13"/>
  <c r="EB58" i="13" s="1"/>
  <c r="DM38" i="13"/>
  <c r="DM58" i="13" s="1"/>
  <c r="EZ38" i="13"/>
  <c r="EZ58" i="13" s="1"/>
  <c r="DQ38" i="13"/>
  <c r="DQ58" i="13" s="1"/>
  <c r="DN38" i="13"/>
  <c r="DN58" i="13" s="1"/>
  <c r="EN38" i="13"/>
  <c r="EN58" i="13" s="1"/>
  <c r="EQ38" i="13"/>
  <c r="EQ58" i="13" s="1"/>
  <c r="ES38" i="13"/>
  <c r="ES58" i="13" s="1"/>
  <c r="EO38" i="13"/>
  <c r="EO58" i="13" s="1"/>
  <c r="EM38" i="13"/>
  <c r="EM58" i="13" s="1"/>
  <c r="EY38" i="13"/>
  <c r="EY58" i="13" s="1"/>
  <c r="DL38" i="13"/>
  <c r="DL58" i="13" s="1"/>
  <c r="DU38" i="13"/>
  <c r="DU58" i="13" s="1"/>
  <c r="EA38" i="13"/>
  <c r="EA58" i="13" s="1"/>
  <c r="EP38" i="13"/>
  <c r="EP58" i="13" s="1"/>
  <c r="BR38" i="13"/>
  <c r="BR58" i="13" s="1"/>
  <c r="BP38" i="13"/>
  <c r="AH38" i="13"/>
  <c r="AH58" i="13" s="1"/>
  <c r="BV38" i="13"/>
  <c r="BV58" i="13" s="1"/>
  <c r="CB38" i="13"/>
  <c r="CB58" i="13" s="1"/>
  <c r="CP38" i="13"/>
  <c r="CP58" i="13" s="1"/>
  <c r="DE38" i="13"/>
  <c r="DE58" i="13" s="1"/>
  <c r="AK38" i="13"/>
  <c r="AK58" i="13" s="1"/>
  <c r="AI38" i="13"/>
  <c r="AI58" i="13" s="1"/>
  <c r="BS38" i="13"/>
  <c r="BS58" i="13" s="1"/>
  <c r="AJ38" i="13"/>
  <c r="AJ58" i="13" s="1"/>
  <c r="CN38" i="13"/>
  <c r="CN58" i="13" s="1"/>
  <c r="CD38" i="13"/>
  <c r="CD58" i="13" s="1"/>
  <c r="CA38" i="13"/>
  <c r="CA58" i="13" s="1"/>
  <c r="DD38" i="13"/>
  <c r="DD58" i="13" s="1"/>
  <c r="CR38" i="13"/>
  <c r="CR58" i="13" s="1"/>
  <c r="CX38" i="13"/>
  <c r="CX58" i="13" s="1"/>
  <c r="CO38" i="13"/>
  <c r="CO58" i="13" s="1"/>
  <c r="BQ38" i="13"/>
  <c r="CM38" i="13"/>
  <c r="CM58" i="13" s="1"/>
  <c r="ET37" i="13"/>
  <c r="ET57" i="13" s="1"/>
  <c r="BA37" i="13"/>
  <c r="BA57" i="13" s="1"/>
  <c r="DV37" i="13"/>
  <c r="DV57" i="13" s="1"/>
  <c r="CE37" i="13"/>
  <c r="CE57" i="13" s="1"/>
  <c r="CY37" i="13"/>
  <c r="CY57" i="13" s="1"/>
  <c r="DO37" i="13"/>
  <c r="DO57" i="13" s="1"/>
  <c r="DM37" i="13"/>
  <c r="DM57" i="13" s="1"/>
  <c r="DQ37" i="13"/>
  <c r="DQ57" i="13" s="1"/>
  <c r="EA37" i="13"/>
  <c r="EA57" i="13" s="1"/>
  <c r="DL37" i="13"/>
  <c r="DL57" i="13" s="1"/>
  <c r="EY37" i="13"/>
  <c r="EY57" i="13" s="1"/>
  <c r="EO37" i="13"/>
  <c r="EO57" i="13" s="1"/>
  <c r="EM37" i="13"/>
  <c r="EM57" i="13" s="1"/>
  <c r="EN37" i="13"/>
  <c r="EN57" i="13" s="1"/>
  <c r="ES37" i="13"/>
  <c r="ES57" i="13" s="1"/>
  <c r="EQ37" i="13"/>
  <c r="EQ57" i="13" s="1"/>
  <c r="DU37" i="13"/>
  <c r="DU57" i="13" s="1"/>
  <c r="EP37" i="13"/>
  <c r="EP57" i="13" s="1"/>
  <c r="EB37" i="13"/>
  <c r="EB57" i="13" s="1"/>
  <c r="DN37" i="13"/>
  <c r="DN57" i="13" s="1"/>
  <c r="EZ37" i="13"/>
  <c r="EZ57" i="13" s="1"/>
  <c r="DD37" i="13"/>
  <c r="DD57" i="13" s="1"/>
  <c r="AJ37" i="13"/>
  <c r="AJ57" i="13" s="1"/>
  <c r="CR37" i="13"/>
  <c r="CR57" i="13" s="1"/>
  <c r="CA37" i="13"/>
  <c r="CA57" i="13" s="1"/>
  <c r="CP37" i="13"/>
  <c r="CP57" i="13" s="1"/>
  <c r="CB37" i="13"/>
  <c r="CB57" i="13" s="1"/>
  <c r="CN37" i="13"/>
  <c r="CN57" i="13" s="1"/>
  <c r="AI37" i="13"/>
  <c r="AI57" i="13" s="1"/>
  <c r="CD37" i="13"/>
  <c r="CD57" i="13" s="1"/>
  <c r="DE37" i="13"/>
  <c r="DE57" i="13" s="1"/>
  <c r="BS37" i="13"/>
  <c r="BS57" i="13" s="1"/>
  <c r="AK37" i="13"/>
  <c r="AK57" i="13" s="1"/>
  <c r="BP37" i="13"/>
  <c r="CO37" i="13"/>
  <c r="CO57" i="13" s="1"/>
  <c r="BV37" i="13"/>
  <c r="BV57" i="13" s="1"/>
  <c r="AH37" i="13"/>
  <c r="AH57" i="13" s="1"/>
  <c r="BQ37" i="13"/>
  <c r="CM37" i="13"/>
  <c r="CM57" i="13" s="1"/>
  <c r="BR37" i="13"/>
  <c r="BR57" i="13" s="1"/>
  <c r="CX37" i="13"/>
  <c r="CX57" i="13" s="1"/>
  <c r="ES44" i="13"/>
  <c r="ES64" i="13" s="1"/>
  <c r="DV44" i="13"/>
  <c r="DV64" i="13" s="1"/>
  <c r="CE44" i="13"/>
  <c r="CE64" i="13" s="1"/>
  <c r="DN44" i="13"/>
  <c r="DN64" i="13" s="1"/>
  <c r="BA44" i="13"/>
  <c r="BA64" i="13" s="1"/>
  <c r="EZ44" i="13"/>
  <c r="EZ64" i="13" s="1"/>
  <c r="EM44" i="13"/>
  <c r="EM64" i="13" s="1"/>
  <c r="CY44" i="13"/>
  <c r="CY64" i="13" s="1"/>
  <c r="ET44" i="13"/>
  <c r="ET64" i="13" s="1"/>
  <c r="EY44" i="13"/>
  <c r="EY64" i="13" s="1"/>
  <c r="EQ44" i="13"/>
  <c r="EQ64" i="13" s="1"/>
  <c r="DQ44" i="13"/>
  <c r="DQ64" i="13" s="1"/>
  <c r="EN44" i="13"/>
  <c r="EN64" i="13" s="1"/>
  <c r="DO44" i="13"/>
  <c r="DO64" i="13" s="1"/>
  <c r="EB44" i="13"/>
  <c r="EB64" i="13" s="1"/>
  <c r="EP44" i="13"/>
  <c r="EP64" i="13" s="1"/>
  <c r="EA44" i="13"/>
  <c r="EA64" i="13" s="1"/>
  <c r="DL44" i="13"/>
  <c r="DL64" i="13" s="1"/>
  <c r="DM44" i="13"/>
  <c r="DM64" i="13" s="1"/>
  <c r="DU44" i="13"/>
  <c r="DU64" i="13" s="1"/>
  <c r="EO44" i="13"/>
  <c r="EO64" i="13" s="1"/>
  <c r="AK44" i="13"/>
  <c r="AK64" i="13" s="1"/>
  <c r="CX44" i="13"/>
  <c r="CX64" i="13" s="1"/>
  <c r="DD44" i="13"/>
  <c r="DD64" i="13" s="1"/>
  <c r="BQ44" i="13"/>
  <c r="BR44" i="13"/>
  <c r="BR64" i="13" s="1"/>
  <c r="BV44" i="13"/>
  <c r="BV64" i="13" s="1"/>
  <c r="CA44" i="13"/>
  <c r="CA64" i="13" s="1"/>
  <c r="CP44" i="13"/>
  <c r="CP64" i="13" s="1"/>
  <c r="AI44" i="13"/>
  <c r="AI64" i="13" s="1"/>
  <c r="AJ44" i="13"/>
  <c r="AJ64" i="13" s="1"/>
  <c r="CB44" i="13"/>
  <c r="CB64" i="13" s="1"/>
  <c r="CM44" i="13"/>
  <c r="CM64" i="13" s="1"/>
  <c r="CN44" i="13"/>
  <c r="CN64" i="13" s="1"/>
  <c r="AH44" i="13"/>
  <c r="AH64" i="13" s="1"/>
  <c r="BS44" i="13"/>
  <c r="BS64" i="13" s="1"/>
  <c r="CO44" i="13"/>
  <c r="CO64" i="13" s="1"/>
  <c r="CD44" i="13"/>
  <c r="CD64" i="13" s="1"/>
  <c r="BP44" i="13"/>
  <c r="CR44" i="13"/>
  <c r="CR64" i="13" s="1"/>
  <c r="DE44" i="13"/>
  <c r="DE64" i="13" s="1"/>
  <c r="DS39" i="13"/>
  <c r="DS59" i="13" s="1"/>
  <c r="DG39" i="13"/>
  <c r="DG59" i="13" s="1"/>
  <c r="DH39" i="13"/>
  <c r="DH59" i="13" s="1"/>
  <c r="DI39" i="13"/>
  <c r="DI59" i="13" s="1"/>
  <c r="CV39" i="13"/>
  <c r="CV59" i="13" s="1"/>
  <c r="CF39" i="13"/>
  <c r="CF59" i="13" s="1"/>
  <c r="CH39" i="13"/>
  <c r="CH59" i="13" s="1"/>
  <c r="ED39" i="13"/>
  <c r="ED59" i="13" s="1"/>
  <c r="CI39" i="13"/>
  <c r="CI59" i="13" s="1"/>
  <c r="EF39" i="13"/>
  <c r="EF59" i="13" s="1"/>
  <c r="EE39" i="13"/>
  <c r="EE59" i="13" s="1"/>
  <c r="BU39" i="13"/>
  <c r="BU59" i="13" s="1"/>
  <c r="AO39" i="13"/>
  <c r="AO59" i="13" s="1"/>
  <c r="CU39" i="13"/>
  <c r="CU59" i="13" s="1"/>
  <c r="EI39" i="13"/>
  <c r="EI59" i="13" s="1"/>
  <c r="BG39" i="13"/>
  <c r="BG59" i="13" s="1"/>
  <c r="AQ39" i="13"/>
  <c r="AQ59" i="13" s="1"/>
  <c r="EJ39" i="13"/>
  <c r="EJ59" i="13" s="1"/>
  <c r="DT39" i="13"/>
  <c r="DT59" i="13" s="1"/>
  <c r="BY39" i="13"/>
  <c r="BY59" i="13" s="1"/>
  <c r="AR39" i="13"/>
  <c r="AR59" i="13" s="1"/>
  <c r="FA39" i="13"/>
  <c r="FA59" i="13" s="1"/>
  <c r="EK39" i="13"/>
  <c r="EK59" i="13" s="1"/>
  <c r="DF39" i="13"/>
  <c r="DF59" i="13" s="1"/>
  <c r="AS39" i="13"/>
  <c r="AS59" i="13" s="1"/>
  <c r="BJ39" i="13"/>
  <c r="BJ59" i="13" s="1"/>
  <c r="BK39" i="13"/>
  <c r="BK59" i="13" s="1"/>
  <c r="AU39" i="13"/>
  <c r="AU59" i="13" s="1"/>
  <c r="CT39" i="13"/>
  <c r="CT59" i="13" s="1"/>
  <c r="AX39" i="13"/>
  <c r="AX59" i="13" s="1"/>
  <c r="FD39" i="13"/>
  <c r="FD59" i="13" s="1"/>
  <c r="DX39" i="13"/>
  <c r="DX59" i="13" s="1"/>
  <c r="DW39" i="13"/>
  <c r="DW59" i="13" s="1"/>
  <c r="CS39" i="13"/>
  <c r="CS59" i="13" s="1"/>
  <c r="CC39" i="13"/>
  <c r="CC59" i="13" s="1"/>
  <c r="BL39" i="13"/>
  <c r="BL59" i="13" s="1"/>
  <c r="AV39" i="13"/>
  <c r="FE39" i="13"/>
  <c r="FE59" i="13" s="1"/>
  <c r="DZ39" i="13"/>
  <c r="DZ59" i="13" s="1"/>
  <c r="FG39" i="13"/>
  <c r="FG59" i="13" s="1"/>
  <c r="AY39" i="13"/>
  <c r="AY59" i="13" s="1"/>
  <c r="BF39" i="13"/>
  <c r="BF59" i="13" s="1"/>
  <c r="FH39" i="13"/>
  <c r="FH59" i="13" s="1"/>
  <c r="ER39" i="13"/>
  <c r="ER59" i="13" s="1"/>
  <c r="CW39" i="13"/>
  <c r="CW59" i="13" s="1"/>
  <c r="CG39" i="13"/>
  <c r="CG59" i="13" s="1"/>
  <c r="EC39" i="13"/>
  <c r="EC59" i="13" s="1"/>
  <c r="BB39" i="13"/>
  <c r="BB59" i="13" s="1"/>
  <c r="EU39" i="13"/>
  <c r="EU59" i="13" s="1"/>
  <c r="CJ39" i="13"/>
  <c r="CJ59" i="13" s="1"/>
  <c r="BT39" i="13"/>
  <c r="BT59" i="13" s="1"/>
  <c r="BC39" i="13"/>
  <c r="BC59" i="13" s="1"/>
  <c r="EV39" i="13"/>
  <c r="EV59" i="13" s="1"/>
  <c r="CK39" i="13"/>
  <c r="CK59" i="13" s="1"/>
  <c r="CL39" i="13"/>
  <c r="CL59" i="13" s="1"/>
  <c r="BW39" i="13"/>
  <c r="BW59" i="13" s="1"/>
  <c r="AP39" i="13"/>
  <c r="AP59" i="13" s="1"/>
  <c r="BI39" i="13"/>
  <c r="BI59" i="13" s="1"/>
  <c r="AT39" i="13"/>
  <c r="AT59" i="13" s="1"/>
  <c r="FC39" i="13"/>
  <c r="FC59" i="13" s="1"/>
  <c r="BM39" i="13"/>
  <c r="BM59" i="13" s="1"/>
  <c r="DK39" i="13"/>
  <c r="CZ39" i="13"/>
  <c r="CZ59" i="13" s="1"/>
  <c r="DA39" i="13"/>
  <c r="DA59" i="13" s="1"/>
  <c r="BD39" i="13"/>
  <c r="BD59" i="13" s="1"/>
  <c r="BE39" i="13"/>
  <c r="BE59" i="13" s="1"/>
  <c r="DC39" i="13"/>
  <c r="DC59" i="13" s="1"/>
  <c r="BZ39" i="13"/>
  <c r="BZ59" i="13" s="1"/>
  <c r="EL39" i="13"/>
  <c r="EL59" i="13" s="1"/>
  <c r="DY39" i="13"/>
  <c r="DY59" i="13" s="1"/>
  <c r="BN39" i="13"/>
  <c r="BN59" i="13" s="1"/>
  <c r="EW39" i="13"/>
  <c r="EW59" i="13" s="1"/>
  <c r="EG39" i="13"/>
  <c r="EG59" i="13" s="1"/>
  <c r="DB39" i="13"/>
  <c r="DB59" i="13" s="1"/>
  <c r="FF39" i="13"/>
  <c r="FF59" i="13" s="1"/>
  <c r="EX39" i="13"/>
  <c r="EX59" i="13" s="1"/>
  <c r="EH39" i="13"/>
  <c r="EH59" i="13" s="1"/>
  <c r="FB39" i="13"/>
  <c r="FB59" i="13" s="1"/>
  <c r="DJ39" i="13"/>
  <c r="DJ59" i="13" s="1"/>
  <c r="EY39" i="13"/>
  <c r="EY59" i="13" s="1"/>
  <c r="DD39" i="13"/>
  <c r="DD59" i="13" s="1"/>
  <c r="CN39" i="13"/>
  <c r="CN59" i="13" s="1"/>
  <c r="EZ39" i="13"/>
  <c r="EZ59" i="13" s="1"/>
  <c r="DE39" i="13"/>
  <c r="DE59" i="13" s="1"/>
  <c r="CO39" i="13"/>
  <c r="CO59" i="13" s="1"/>
  <c r="DU39" i="13"/>
  <c r="DU59" i="13" s="1"/>
  <c r="CA39" i="13"/>
  <c r="CA59" i="13" s="1"/>
  <c r="EM39" i="13"/>
  <c r="EM59" i="13" s="1"/>
  <c r="CR39" i="13"/>
  <c r="CR59" i="13" s="1"/>
  <c r="CB39" i="13"/>
  <c r="CB59" i="13" s="1"/>
  <c r="CE39" i="13"/>
  <c r="CE59" i="13" s="1"/>
  <c r="AH39" i="13"/>
  <c r="EN39" i="13"/>
  <c r="EN59" i="13" s="1"/>
  <c r="EO39" i="13"/>
  <c r="EO59" i="13" s="1"/>
  <c r="EQ39" i="13"/>
  <c r="EQ59" i="13" s="1"/>
  <c r="EA39" i="13"/>
  <c r="EA59" i="13" s="1"/>
  <c r="DL39" i="13"/>
  <c r="DL59" i="13" s="1"/>
  <c r="BP39" i="13"/>
  <c r="AI39" i="13"/>
  <c r="AI59" i="13" s="1"/>
  <c r="CM39" i="13"/>
  <c r="CD39" i="13"/>
  <c r="CD59" i="13" s="1"/>
  <c r="EB39" i="13"/>
  <c r="EB59" i="13" s="1"/>
  <c r="DM39" i="13"/>
  <c r="DM59" i="13" s="1"/>
  <c r="BQ39" i="13"/>
  <c r="AJ39" i="13"/>
  <c r="AJ59" i="13" s="1"/>
  <c r="ES39" i="13"/>
  <c r="ES59" i="13" s="1"/>
  <c r="DN39" i="13"/>
  <c r="DN59" i="13" s="1"/>
  <c r="CX39" i="13"/>
  <c r="CX59" i="13" s="1"/>
  <c r="BR39" i="13"/>
  <c r="BR59" i="13" s="1"/>
  <c r="BA39" i="13"/>
  <c r="BA59" i="13" s="1"/>
  <c r="AK39" i="13"/>
  <c r="AK59" i="13" s="1"/>
  <c r="ET39" i="13"/>
  <c r="ET59" i="13" s="1"/>
  <c r="DO39" i="13"/>
  <c r="DO59" i="13" s="1"/>
  <c r="CY39" i="13"/>
  <c r="CY59" i="13" s="1"/>
  <c r="BS39" i="13"/>
  <c r="BS59" i="13" s="1"/>
  <c r="DV39" i="13"/>
  <c r="DV59" i="13" s="1"/>
  <c r="DQ39" i="13"/>
  <c r="DQ59" i="13" s="1"/>
  <c r="BV39" i="13"/>
  <c r="BV59" i="13" s="1"/>
  <c r="CP39" i="13"/>
  <c r="CP59" i="13" s="1"/>
  <c r="EP39" i="13"/>
  <c r="EP59" i="13" s="1"/>
  <c r="DI33" i="13"/>
  <c r="DI53" i="13" s="1"/>
  <c r="DH33" i="13"/>
  <c r="DH53" i="13" s="1"/>
  <c r="DG33" i="13"/>
  <c r="DG53" i="13" s="1"/>
  <c r="CV33" i="13"/>
  <c r="CV53" i="13" s="1"/>
  <c r="CU33" i="13"/>
  <c r="CU53" i="13" s="1"/>
  <c r="CI33" i="13"/>
  <c r="CI53" i="13" s="1"/>
  <c r="CH33" i="13"/>
  <c r="CH53" i="13" s="1"/>
  <c r="CF33" i="13"/>
  <c r="CF53" i="13" s="1"/>
  <c r="BU33" i="13"/>
  <c r="BU53" i="13" s="1"/>
  <c r="ED33" i="13"/>
  <c r="ED53" i="13" s="1"/>
  <c r="EE33" i="13"/>
  <c r="EE53" i="13" s="1"/>
  <c r="AO33" i="13"/>
  <c r="AO53" i="13" s="1"/>
  <c r="EF33" i="13"/>
  <c r="EF53" i="13" s="1"/>
  <c r="DS33" i="13"/>
  <c r="DS53" i="13" s="1"/>
  <c r="DQ33" i="13"/>
  <c r="DQ53" i="13" s="1"/>
  <c r="DO33" i="13"/>
  <c r="DO53" i="13" s="1"/>
  <c r="DN33" i="13"/>
  <c r="DN53" i="13" s="1"/>
  <c r="DM33" i="13"/>
  <c r="DM53" i="13" s="1"/>
  <c r="DL33" i="13"/>
  <c r="DL53" i="13" s="1"/>
  <c r="DE33" i="13"/>
  <c r="DE53" i="13" s="1"/>
  <c r="DD33" i="13"/>
  <c r="DD53" i="13" s="1"/>
  <c r="CY33" i="13"/>
  <c r="CY53" i="13" s="1"/>
  <c r="CX33" i="13"/>
  <c r="CX53" i="13" s="1"/>
  <c r="CR33" i="13"/>
  <c r="CR53" i="13" s="1"/>
  <c r="CP33" i="13"/>
  <c r="CP53" i="13" s="1"/>
  <c r="CO33" i="13"/>
  <c r="CO53" i="13" s="1"/>
  <c r="CN33" i="13"/>
  <c r="CN53" i="13" s="1"/>
  <c r="CM33" i="13"/>
  <c r="CM53" i="13" s="1"/>
  <c r="CE33" i="13"/>
  <c r="CE53" i="13" s="1"/>
  <c r="CD33" i="13"/>
  <c r="CD53" i="13" s="1"/>
  <c r="CB33" i="13"/>
  <c r="CB53" i="13" s="1"/>
  <c r="CA33" i="13"/>
  <c r="CA53" i="13" s="1"/>
  <c r="BV33" i="13"/>
  <c r="BV53" i="13" s="1"/>
  <c r="BS33" i="13"/>
  <c r="BS53" i="13" s="1"/>
  <c r="BR33" i="13"/>
  <c r="BR53" i="13" s="1"/>
  <c r="BQ33" i="13"/>
  <c r="BP33" i="13"/>
  <c r="EQ33" i="13"/>
  <c r="EQ53" i="13" s="1"/>
  <c r="EB33" i="13"/>
  <c r="EB53" i="13" s="1"/>
  <c r="EZ33" i="13"/>
  <c r="EZ53" i="13" s="1"/>
  <c r="EY33" i="13"/>
  <c r="EY53" i="13" s="1"/>
  <c r="EP33" i="13"/>
  <c r="EP53" i="13" s="1"/>
  <c r="EO33" i="13"/>
  <c r="EO53" i="13" s="1"/>
  <c r="EN33" i="13"/>
  <c r="EN53" i="13" s="1"/>
  <c r="EM33" i="13"/>
  <c r="EM53" i="13" s="1"/>
  <c r="ES33" i="13"/>
  <c r="ES53" i="13" s="1"/>
  <c r="AK33" i="13"/>
  <c r="AK53" i="13" s="1"/>
  <c r="EA33" i="13"/>
  <c r="EA53" i="13" s="1"/>
  <c r="DV33" i="13"/>
  <c r="DV53" i="13" s="1"/>
  <c r="DU33" i="13"/>
  <c r="DU53" i="13" s="1"/>
  <c r="BA33" i="13"/>
  <c r="BA53" i="13" s="1"/>
  <c r="AH33" i="13"/>
  <c r="ET33" i="13"/>
  <c r="ET53" i="13" s="1"/>
  <c r="AJ33" i="13"/>
  <c r="AJ53" i="13" s="1"/>
  <c r="AI33" i="13"/>
  <c r="AI53" i="13" s="1"/>
  <c r="DK33" i="13"/>
  <c r="DJ33" i="13"/>
  <c r="DJ53" i="13" s="1"/>
  <c r="DF33" i="13"/>
  <c r="DF53" i="13" s="1"/>
  <c r="DC33" i="13"/>
  <c r="DC53" i="13" s="1"/>
  <c r="DB33" i="13"/>
  <c r="DB53" i="13" s="1"/>
  <c r="DA33" i="13"/>
  <c r="DA53" i="13" s="1"/>
  <c r="CZ33" i="13"/>
  <c r="CZ53" i="13" s="1"/>
  <c r="CW33" i="13"/>
  <c r="CW53" i="13" s="1"/>
  <c r="CT33" i="13"/>
  <c r="CT53" i="13" s="1"/>
  <c r="CS33" i="13"/>
  <c r="CS53" i="13" s="1"/>
  <c r="CL33" i="13"/>
  <c r="CL53" i="13" s="1"/>
  <c r="CK33" i="13"/>
  <c r="CK53" i="13" s="1"/>
  <c r="CJ33" i="13"/>
  <c r="CJ53" i="13" s="1"/>
  <c r="CG33" i="13"/>
  <c r="CG53" i="13" s="1"/>
  <c r="CC33" i="13"/>
  <c r="CC53" i="13" s="1"/>
  <c r="BZ33" i="13"/>
  <c r="BZ53" i="13" s="1"/>
  <c r="BY33" i="13"/>
  <c r="BY53" i="13" s="1"/>
  <c r="BW33" i="13"/>
  <c r="BW53" i="13" s="1"/>
  <c r="BT33" i="13"/>
  <c r="BT53" i="13" s="1"/>
  <c r="BN33" i="13"/>
  <c r="BN53" i="13" s="1"/>
  <c r="BM33" i="13"/>
  <c r="BM53" i="13" s="1"/>
  <c r="BL33" i="13"/>
  <c r="BL53" i="13" s="1"/>
  <c r="BK33" i="13"/>
  <c r="BK53" i="13" s="1"/>
  <c r="BJ33" i="13"/>
  <c r="BJ53" i="13" s="1"/>
  <c r="BI33" i="13"/>
  <c r="BI53" i="13" s="1"/>
  <c r="BG33" i="13"/>
  <c r="BG53" i="13" s="1"/>
  <c r="BF33" i="13"/>
  <c r="BF53" i="13" s="1"/>
  <c r="BE33" i="13"/>
  <c r="BE53" i="13" s="1"/>
  <c r="BD33" i="13"/>
  <c r="BD53" i="13" s="1"/>
  <c r="BC33" i="13"/>
  <c r="BC53" i="13" s="1"/>
  <c r="BB33" i="13"/>
  <c r="BB53" i="13" s="1"/>
  <c r="AV33" i="13"/>
  <c r="AS33" i="13"/>
  <c r="AS53" i="13" s="1"/>
  <c r="AP33" i="13"/>
  <c r="AP53" i="13" s="1"/>
  <c r="EK33" i="13"/>
  <c r="EK53" i="13" s="1"/>
  <c r="DZ33" i="13"/>
  <c r="DZ53" i="13" s="1"/>
  <c r="FH33" i="13"/>
  <c r="FH53" i="13" s="1"/>
  <c r="FG33" i="13"/>
  <c r="FG53" i="13" s="1"/>
  <c r="FF33" i="13"/>
  <c r="FF53" i="13" s="1"/>
  <c r="FE33" i="13"/>
  <c r="FE53" i="13" s="1"/>
  <c r="FD33" i="13"/>
  <c r="FD53" i="13" s="1"/>
  <c r="FC33" i="13"/>
  <c r="FC53" i="13" s="1"/>
  <c r="FB33" i="13"/>
  <c r="FB53" i="13" s="1"/>
  <c r="FA33" i="13"/>
  <c r="FA53" i="13" s="1"/>
  <c r="EX33" i="13"/>
  <c r="EX53" i="13" s="1"/>
  <c r="EW33" i="13"/>
  <c r="EW53" i="13" s="1"/>
  <c r="EV33" i="13"/>
  <c r="EV53" i="13" s="1"/>
  <c r="EL33" i="13"/>
  <c r="EL53" i="13" s="1"/>
  <c r="EG33" i="13"/>
  <c r="EG53" i="13" s="1"/>
  <c r="DW33" i="13"/>
  <c r="DW53" i="13" s="1"/>
  <c r="AY33" i="13"/>
  <c r="AY53" i="13" s="1"/>
  <c r="AQ33" i="13"/>
  <c r="AQ53" i="13" s="1"/>
  <c r="EJ33" i="13"/>
  <c r="EJ53" i="13" s="1"/>
  <c r="DY33" i="13"/>
  <c r="DY53" i="13" s="1"/>
  <c r="EU33" i="13"/>
  <c r="EU53" i="13" s="1"/>
  <c r="DT33" i="13"/>
  <c r="DT53" i="13" s="1"/>
  <c r="AX33" i="13"/>
  <c r="AX53" i="13" s="1"/>
  <c r="AR33" i="13"/>
  <c r="AR53" i="13" s="1"/>
  <c r="EI33" i="13"/>
  <c r="EI53" i="13" s="1"/>
  <c r="EC33" i="13"/>
  <c r="EC53" i="13" s="1"/>
  <c r="AT33" i="13"/>
  <c r="AT53" i="13" s="1"/>
  <c r="EH33" i="13"/>
  <c r="EH53" i="13" s="1"/>
  <c r="AU33" i="13"/>
  <c r="AU53" i="13" s="1"/>
  <c r="ER33" i="13"/>
  <c r="ER53" i="13" s="1"/>
  <c r="DX33" i="13"/>
  <c r="DX53" i="13" s="1"/>
  <c r="EC32" i="13"/>
  <c r="EC52" i="13" s="1"/>
  <c r="AY32" i="13"/>
  <c r="AY52" i="13" s="1"/>
  <c r="BN32" i="13"/>
  <c r="BN52" i="13" s="1"/>
  <c r="FC32" i="13"/>
  <c r="FC52" i="13" s="1"/>
  <c r="DW32" i="13"/>
  <c r="DW52" i="13" s="1"/>
  <c r="EK32" i="13"/>
  <c r="EK52" i="13" s="1"/>
  <c r="AP32" i="13"/>
  <c r="AP52" i="13" s="1"/>
  <c r="CL32" i="13"/>
  <c r="CL52" i="13" s="1"/>
  <c r="CK32" i="13"/>
  <c r="CK52" i="13" s="1"/>
  <c r="BT32" i="13"/>
  <c r="BT52" i="13" s="1"/>
  <c r="EV32" i="13"/>
  <c r="EV52" i="13" s="1"/>
  <c r="FH32" i="13"/>
  <c r="FH52" i="13" s="1"/>
  <c r="ER32" i="13"/>
  <c r="ER52" i="13" s="1"/>
  <c r="DK32" i="13"/>
  <c r="AX32" i="13"/>
  <c r="AX52" i="13" s="1"/>
  <c r="AT32" i="13"/>
  <c r="AT52" i="13" s="1"/>
  <c r="EJ32" i="13"/>
  <c r="EJ52" i="13" s="1"/>
  <c r="EG32" i="13"/>
  <c r="EG52" i="13" s="1"/>
  <c r="FG32" i="13"/>
  <c r="FG52" i="13" s="1"/>
  <c r="DJ32" i="13"/>
  <c r="DJ52" i="13" s="1"/>
  <c r="CT32" i="13"/>
  <c r="CT52" i="13" s="1"/>
  <c r="BM32" i="13"/>
  <c r="BM52" i="13" s="1"/>
  <c r="FD32" i="13"/>
  <c r="FD52" i="13" s="1"/>
  <c r="BI32" i="13"/>
  <c r="BI52" i="13" s="1"/>
  <c r="FB32" i="13"/>
  <c r="FB52" i="13" s="1"/>
  <c r="BG32" i="13"/>
  <c r="BG52" i="13" s="1"/>
  <c r="BW32" i="13"/>
  <c r="BW52" i="13" s="1"/>
  <c r="EI32" i="13"/>
  <c r="EI52" i="13" s="1"/>
  <c r="DA32" i="13"/>
  <c r="DA52" i="13" s="1"/>
  <c r="BC32" i="13"/>
  <c r="BC52" i="13" s="1"/>
  <c r="BB32" i="13"/>
  <c r="BB52" i="13" s="1"/>
  <c r="FF32" i="13"/>
  <c r="FF52" i="13" s="1"/>
  <c r="DZ32" i="13"/>
  <c r="DZ52" i="13" s="1"/>
  <c r="CS32" i="13"/>
  <c r="CS52" i="13" s="1"/>
  <c r="CC32" i="13"/>
  <c r="CC52" i="13" s="1"/>
  <c r="BL32" i="13"/>
  <c r="BL52" i="13" s="1"/>
  <c r="AV32" i="13"/>
  <c r="BJ32" i="13"/>
  <c r="BJ52" i="13" s="1"/>
  <c r="DF32" i="13"/>
  <c r="DF52" i="13" s="1"/>
  <c r="BZ32" i="13"/>
  <c r="BZ52" i="13" s="1"/>
  <c r="AS32" i="13"/>
  <c r="AS52" i="13" s="1"/>
  <c r="EL32" i="13"/>
  <c r="EL52" i="13" s="1"/>
  <c r="AQ32" i="13"/>
  <c r="AQ52" i="13" s="1"/>
  <c r="DC32" i="13"/>
  <c r="DC52" i="13" s="1"/>
  <c r="DB32" i="13"/>
  <c r="DB52" i="13" s="1"/>
  <c r="EH32" i="13"/>
  <c r="EH52" i="13" s="1"/>
  <c r="CG32" i="13"/>
  <c r="CG52" i="13" s="1"/>
  <c r="FE32" i="13"/>
  <c r="FE52" i="13" s="1"/>
  <c r="DY32" i="13"/>
  <c r="DY52" i="13" s="1"/>
  <c r="BK32" i="13"/>
  <c r="BK52" i="13" s="1"/>
  <c r="AU32" i="13"/>
  <c r="AU52" i="13" s="1"/>
  <c r="DX32" i="13"/>
  <c r="DX52" i="13" s="1"/>
  <c r="BY32" i="13"/>
  <c r="BY52" i="13" s="1"/>
  <c r="AR32" i="13"/>
  <c r="AR52" i="13" s="1"/>
  <c r="FA32" i="13"/>
  <c r="FA52" i="13" s="1"/>
  <c r="BF32" i="13"/>
  <c r="BF52" i="13" s="1"/>
  <c r="EX32" i="13"/>
  <c r="EX52" i="13" s="1"/>
  <c r="CJ32" i="13"/>
  <c r="CJ52" i="13" s="1"/>
  <c r="EU32" i="13"/>
  <c r="EU52" i="13" s="1"/>
  <c r="DT32" i="13"/>
  <c r="DT52" i="13" s="1"/>
  <c r="EW32" i="13"/>
  <c r="EW52" i="13" s="1"/>
  <c r="BE32" i="13"/>
  <c r="BE52" i="13" s="1"/>
  <c r="BD32" i="13"/>
  <c r="BD52" i="13" s="1"/>
  <c r="CZ32" i="13"/>
  <c r="CZ52" i="13" s="1"/>
  <c r="CW32" i="13"/>
  <c r="CW52" i="13" s="1"/>
  <c r="CV32" i="13"/>
  <c r="CV52" i="13" s="1"/>
  <c r="CF32" i="13"/>
  <c r="CF52" i="13" s="1"/>
  <c r="CU32" i="13"/>
  <c r="CU52" i="13" s="1"/>
  <c r="DI32" i="13"/>
  <c r="DI52" i="13" s="1"/>
  <c r="DG32" i="13"/>
  <c r="DG52" i="13" s="1"/>
  <c r="DS32" i="13"/>
  <c r="DS52" i="13" s="1"/>
  <c r="DH32" i="13"/>
  <c r="DH52" i="13" s="1"/>
  <c r="AO32" i="13"/>
  <c r="AO52" i="13" s="1"/>
  <c r="CI32" i="13"/>
  <c r="CI52" i="13" s="1"/>
  <c r="BU32" i="13"/>
  <c r="BU52" i="13" s="1"/>
  <c r="EF32" i="13"/>
  <c r="EF52" i="13" s="1"/>
  <c r="EE32" i="13"/>
  <c r="EE52" i="13" s="1"/>
  <c r="CH32" i="13"/>
  <c r="CH52" i="13" s="1"/>
  <c r="ED32" i="13"/>
  <c r="ED52" i="13" s="1"/>
  <c r="ES32" i="13"/>
  <c r="ES52" i="13" s="1"/>
  <c r="DL32" i="13"/>
  <c r="DL52" i="13" s="1"/>
  <c r="BP32" i="13"/>
  <c r="AI32" i="13"/>
  <c r="AI52" i="13" s="1"/>
  <c r="CE32" i="13"/>
  <c r="CE52" i="13" s="1"/>
  <c r="AH32" i="13"/>
  <c r="DQ32" i="13"/>
  <c r="DQ52" i="13" s="1"/>
  <c r="EB32" i="13"/>
  <c r="EB52" i="13" s="1"/>
  <c r="DU32" i="13"/>
  <c r="DU52" i="13" s="1"/>
  <c r="DD32" i="13"/>
  <c r="DD52" i="13" s="1"/>
  <c r="CN32" i="13"/>
  <c r="CN52" i="13" s="1"/>
  <c r="EZ32" i="13"/>
  <c r="EZ52" i="13" s="1"/>
  <c r="EQ32" i="13"/>
  <c r="EQ52" i="13" s="1"/>
  <c r="EA32" i="13"/>
  <c r="EA52" i="13" s="1"/>
  <c r="CD32" i="13"/>
  <c r="CD52" i="13" s="1"/>
  <c r="CP32" i="13"/>
  <c r="CP52" i="13" s="1"/>
  <c r="CM32" i="13"/>
  <c r="CM52" i="13" s="1"/>
  <c r="BQ32" i="13"/>
  <c r="AJ32" i="13"/>
  <c r="AJ52" i="13" s="1"/>
  <c r="EP32" i="13"/>
  <c r="EP52" i="13" s="1"/>
  <c r="EN32" i="13"/>
  <c r="EN52" i="13" s="1"/>
  <c r="CA32" i="13"/>
  <c r="CA52" i="13" s="1"/>
  <c r="EM32" i="13"/>
  <c r="EM52" i="13" s="1"/>
  <c r="EY32" i="13"/>
  <c r="EY52" i="13" s="1"/>
  <c r="EO32" i="13"/>
  <c r="EO52" i="13" s="1"/>
  <c r="CR32" i="13"/>
  <c r="CR52" i="13" s="1"/>
  <c r="CB32" i="13"/>
  <c r="CB52" i="13" s="1"/>
  <c r="DV32" i="13"/>
  <c r="DV52" i="13" s="1"/>
  <c r="DE32" i="13"/>
  <c r="DE52" i="13" s="1"/>
  <c r="CO32" i="13"/>
  <c r="CO52" i="13" s="1"/>
  <c r="BV32" i="13"/>
  <c r="BV52" i="13" s="1"/>
  <c r="DO32" i="13"/>
  <c r="DO52" i="13" s="1"/>
  <c r="CY32" i="13"/>
  <c r="CY52" i="13" s="1"/>
  <c r="BS32" i="13"/>
  <c r="BS52" i="13" s="1"/>
  <c r="DN32" i="13"/>
  <c r="DN52" i="13" s="1"/>
  <c r="CX32" i="13"/>
  <c r="CX52" i="13" s="1"/>
  <c r="BR32" i="13"/>
  <c r="BR52" i="13" s="1"/>
  <c r="BA32" i="13"/>
  <c r="BA52" i="13" s="1"/>
  <c r="AK32" i="13"/>
  <c r="AK52" i="13" s="1"/>
  <c r="ET32" i="13"/>
  <c r="ET52" i="13" s="1"/>
  <c r="DM32" i="13"/>
  <c r="DM52" i="13" s="1"/>
  <c r="BG29" i="13"/>
  <c r="BG49" i="13" s="1"/>
  <c r="AY29" i="13"/>
  <c r="AY49" i="13" s="1"/>
  <c r="AQ29" i="13"/>
  <c r="AQ49" i="13" s="1"/>
  <c r="EJ29" i="13"/>
  <c r="EJ49" i="13" s="1"/>
  <c r="DK29" i="13"/>
  <c r="BW29" i="13"/>
  <c r="BW49" i="13" s="1"/>
  <c r="BN29" i="13"/>
  <c r="BN49" i="13" s="1"/>
  <c r="AX29" i="13"/>
  <c r="AX49" i="13" s="1"/>
  <c r="EI29" i="13"/>
  <c r="EI49" i="13" s="1"/>
  <c r="DJ29" i="13"/>
  <c r="DJ49" i="13" s="1"/>
  <c r="CL29" i="13"/>
  <c r="CL49" i="13" s="1"/>
  <c r="EX29" i="13"/>
  <c r="EX49" i="13" s="1"/>
  <c r="EH29" i="13"/>
  <c r="EH49" i="13" s="1"/>
  <c r="CS29" i="13"/>
  <c r="CS49" i="13" s="1"/>
  <c r="CK29" i="13"/>
  <c r="CK49" i="13" s="1"/>
  <c r="BD29" i="13"/>
  <c r="BD49" i="13" s="1"/>
  <c r="FE29" i="13"/>
  <c r="FE49" i="13" s="1"/>
  <c r="EG29" i="13"/>
  <c r="EG49" i="13" s="1"/>
  <c r="DY29" i="13"/>
  <c r="DY49" i="13" s="1"/>
  <c r="CZ29" i="13"/>
  <c r="CZ49" i="13" s="1"/>
  <c r="CJ29" i="13"/>
  <c r="CJ49" i="13" s="1"/>
  <c r="BK29" i="13"/>
  <c r="BK49" i="13" s="1"/>
  <c r="AU29" i="13"/>
  <c r="AU49" i="13" s="1"/>
  <c r="EV29" i="13"/>
  <c r="EV49" i="13" s="1"/>
  <c r="BB29" i="13"/>
  <c r="BB49" i="13" s="1"/>
  <c r="AT29" i="13"/>
  <c r="AT49" i="13" s="1"/>
  <c r="FC29" i="13"/>
  <c r="FC49" i="13" s="1"/>
  <c r="DF29" i="13"/>
  <c r="DF49" i="13" s="1"/>
  <c r="BI29" i="13"/>
  <c r="BI49" i="13" s="1"/>
  <c r="EL29" i="13"/>
  <c r="EL49" i="13" s="1"/>
  <c r="CG29" i="13"/>
  <c r="CG49" i="13" s="1"/>
  <c r="BY29" i="13"/>
  <c r="BY49" i="13" s="1"/>
  <c r="AR29" i="13"/>
  <c r="AR49" i="13" s="1"/>
  <c r="FA29" i="13"/>
  <c r="FA49" i="13" s="1"/>
  <c r="EC29" i="13"/>
  <c r="EC49" i="13" s="1"/>
  <c r="FH29" i="13"/>
  <c r="FH49" i="13" s="1"/>
  <c r="ER29" i="13"/>
  <c r="ER49" i="13" s="1"/>
  <c r="DT29" i="13"/>
  <c r="DT49" i="13" s="1"/>
  <c r="DC29" i="13"/>
  <c r="DC49" i="13" s="1"/>
  <c r="BF29" i="13"/>
  <c r="BF49" i="13" s="1"/>
  <c r="AP29" i="13"/>
  <c r="AP49" i="13" s="1"/>
  <c r="FG29" i="13"/>
  <c r="FG49" i="13" s="1"/>
  <c r="BT29" i="13"/>
  <c r="BT49" i="13" s="1"/>
  <c r="BC29" i="13"/>
  <c r="BC49" i="13" s="1"/>
  <c r="FD29" i="13"/>
  <c r="FD49" i="13" s="1"/>
  <c r="BJ29" i="13"/>
  <c r="BJ49" i="13" s="1"/>
  <c r="EU29" i="13"/>
  <c r="EU49" i="13" s="1"/>
  <c r="DW29" i="13"/>
  <c r="DW49" i="13" s="1"/>
  <c r="AS29" i="13"/>
  <c r="AS49" i="13" s="1"/>
  <c r="FB29" i="13"/>
  <c r="FB49" i="13" s="1"/>
  <c r="CW29" i="13"/>
  <c r="CW49" i="13" s="1"/>
  <c r="EK29" i="13"/>
  <c r="EK49" i="13" s="1"/>
  <c r="DB29" i="13"/>
  <c r="DB49" i="13" s="1"/>
  <c r="CT29" i="13"/>
  <c r="CT49" i="13" s="1"/>
  <c r="BM29" i="13"/>
  <c r="BM49" i="13" s="1"/>
  <c r="BE29" i="13"/>
  <c r="BE49" i="13" s="1"/>
  <c r="FF29" i="13"/>
  <c r="FF49" i="13" s="1"/>
  <c r="DZ29" i="13"/>
  <c r="DZ49" i="13" s="1"/>
  <c r="DA29" i="13"/>
  <c r="DA49" i="13" s="1"/>
  <c r="CC29" i="13"/>
  <c r="CC49" i="13" s="1"/>
  <c r="BL29" i="13"/>
  <c r="BL49" i="13" s="1"/>
  <c r="AV29" i="13"/>
  <c r="EW29" i="13"/>
  <c r="EW49" i="13" s="1"/>
  <c r="DX29" i="13"/>
  <c r="DX49" i="13" s="1"/>
  <c r="BZ29" i="13"/>
  <c r="BZ49" i="13" s="1"/>
  <c r="DL29" i="13"/>
  <c r="DL49" i="13" s="1"/>
  <c r="DD29" i="13"/>
  <c r="DD49" i="13" s="1"/>
  <c r="CN29" i="13"/>
  <c r="CN49" i="13" s="1"/>
  <c r="BP29" i="13"/>
  <c r="AI29" i="13"/>
  <c r="AI49" i="13" s="1"/>
  <c r="CM29" i="13"/>
  <c r="CE29" i="13"/>
  <c r="CE49" i="13" s="1"/>
  <c r="AH29" i="13"/>
  <c r="EY29" i="13"/>
  <c r="EY49" i="13" s="1"/>
  <c r="EQ29" i="13"/>
  <c r="EQ49" i="13" s="1"/>
  <c r="EA29" i="13"/>
  <c r="EA49" i="13" s="1"/>
  <c r="EP29" i="13"/>
  <c r="EP49" i="13" s="1"/>
  <c r="EO29" i="13"/>
  <c r="EO49" i="13" s="1"/>
  <c r="CR29" i="13"/>
  <c r="CR49" i="13" s="1"/>
  <c r="DO29" i="13"/>
  <c r="DO49" i="13" s="1"/>
  <c r="CY29" i="13"/>
  <c r="CY49" i="13" s="1"/>
  <c r="CA29" i="13"/>
  <c r="CA49" i="13" s="1"/>
  <c r="BS29" i="13"/>
  <c r="BS49" i="13" s="1"/>
  <c r="DN29" i="13"/>
  <c r="DN49" i="13" s="1"/>
  <c r="BR29" i="13"/>
  <c r="BR49" i="13" s="1"/>
  <c r="ET29" i="13"/>
  <c r="ET49" i="13" s="1"/>
  <c r="DV29" i="13"/>
  <c r="DV49" i="13" s="1"/>
  <c r="DM29" i="13"/>
  <c r="DM49" i="13" s="1"/>
  <c r="CO29" i="13"/>
  <c r="CO49" i="13" s="1"/>
  <c r="EZ29" i="13"/>
  <c r="EZ49" i="13" s="1"/>
  <c r="EB29" i="13"/>
  <c r="EB49" i="13" s="1"/>
  <c r="CB29" i="13"/>
  <c r="CB49" i="13" s="1"/>
  <c r="BA29" i="13"/>
  <c r="BA49" i="13" s="1"/>
  <c r="AK29" i="13"/>
  <c r="AK49" i="13" s="1"/>
  <c r="DE29" i="13"/>
  <c r="DE49" i="13" s="1"/>
  <c r="BQ29" i="13"/>
  <c r="AJ29" i="13"/>
  <c r="AJ49" i="13" s="1"/>
  <c r="ES29" i="13"/>
  <c r="ES49" i="13" s="1"/>
  <c r="DU29" i="13"/>
  <c r="DU49" i="13" s="1"/>
  <c r="CD29" i="13"/>
  <c r="CD49" i="13" s="1"/>
  <c r="BV29" i="13"/>
  <c r="BV49" i="13" s="1"/>
  <c r="DQ29" i="13"/>
  <c r="DQ49" i="13" s="1"/>
  <c r="EN29" i="13"/>
  <c r="EN49" i="13" s="1"/>
  <c r="EM29" i="13"/>
  <c r="EM49" i="13" s="1"/>
  <c r="CX29" i="13"/>
  <c r="CX49" i="13" s="1"/>
  <c r="CP29" i="13"/>
  <c r="CP49" i="13" s="1"/>
  <c r="CV29" i="13"/>
  <c r="CV49" i="13" s="1"/>
  <c r="CF29" i="13"/>
  <c r="CF49" i="13" s="1"/>
  <c r="CU29" i="13"/>
  <c r="CU49" i="13" s="1"/>
  <c r="DS29" i="13"/>
  <c r="DS49" i="13" s="1"/>
  <c r="AO29" i="13"/>
  <c r="AO49" i="13" s="1"/>
  <c r="DI29" i="13"/>
  <c r="DI49" i="13" s="1"/>
  <c r="DH29" i="13"/>
  <c r="DH49" i="13" s="1"/>
  <c r="ED29" i="13"/>
  <c r="ED49" i="13" s="1"/>
  <c r="DG29" i="13"/>
  <c r="DG49" i="13" s="1"/>
  <c r="CI29" i="13"/>
  <c r="CI49" i="13" s="1"/>
  <c r="BU29" i="13"/>
  <c r="BU49" i="13" s="1"/>
  <c r="EF29" i="13"/>
  <c r="EF49" i="13" s="1"/>
  <c r="EE29" i="13"/>
  <c r="EE49" i="13" s="1"/>
  <c r="CH29" i="13"/>
  <c r="CH49" i="13" s="1"/>
  <c r="CA31" i="13"/>
  <c r="CA51" i="13" s="1"/>
  <c r="EM31" i="13"/>
  <c r="EM51" i="13" s="1"/>
  <c r="DL31" i="13"/>
  <c r="DL51" i="13" s="1"/>
  <c r="AI31" i="13"/>
  <c r="AI51" i="13" s="1"/>
  <c r="EB31" i="13"/>
  <c r="EB51" i="13" s="1"/>
  <c r="DQ31" i="13"/>
  <c r="DQ51" i="13" s="1"/>
  <c r="CP31" i="13"/>
  <c r="CP51" i="13" s="1"/>
  <c r="DE31" i="13"/>
  <c r="DE51" i="13" s="1"/>
  <c r="CO31" i="13"/>
  <c r="CO51" i="13" s="1"/>
  <c r="DU31" i="13"/>
  <c r="DU51" i="13" s="1"/>
  <c r="CD31" i="13"/>
  <c r="CD51" i="13" s="1"/>
  <c r="DN31" i="13"/>
  <c r="DN51" i="13" s="1"/>
  <c r="CX31" i="13"/>
  <c r="CX51" i="13" s="1"/>
  <c r="BR31" i="13"/>
  <c r="BR51" i="13" s="1"/>
  <c r="AK31" i="13"/>
  <c r="AK51" i="13" s="1"/>
  <c r="ET31" i="13"/>
  <c r="ET51" i="13" s="1"/>
  <c r="CM31" i="13"/>
  <c r="CM51" i="13" s="1"/>
  <c r="DM31" i="13"/>
  <c r="DM51" i="13" s="1"/>
  <c r="BQ31" i="13"/>
  <c r="AJ31" i="13"/>
  <c r="AJ51" i="13" s="1"/>
  <c r="BP31" i="13"/>
  <c r="DV31" i="13"/>
  <c r="DV51" i="13" s="1"/>
  <c r="CE31" i="13"/>
  <c r="CE51" i="13" s="1"/>
  <c r="AH31" i="13"/>
  <c r="EQ31" i="13"/>
  <c r="EQ51" i="13" s="1"/>
  <c r="EA31" i="13"/>
  <c r="EA51" i="13" s="1"/>
  <c r="EP31" i="13"/>
  <c r="EP51" i="13" s="1"/>
  <c r="DO31" i="13"/>
  <c r="DO51" i="13" s="1"/>
  <c r="CY31" i="13"/>
  <c r="CY51" i="13" s="1"/>
  <c r="BS31" i="13"/>
  <c r="BS51" i="13" s="1"/>
  <c r="DD31" i="13"/>
  <c r="DD51" i="13" s="1"/>
  <c r="CN31" i="13"/>
  <c r="CN51" i="13" s="1"/>
  <c r="EZ31" i="13"/>
  <c r="EZ51" i="13" s="1"/>
  <c r="EO31" i="13"/>
  <c r="EO51" i="13" s="1"/>
  <c r="BA31" i="13"/>
  <c r="BA51" i="13" s="1"/>
  <c r="EY31" i="13"/>
  <c r="EY51" i="13" s="1"/>
  <c r="CR31" i="13"/>
  <c r="CR51" i="13" s="1"/>
  <c r="CB31" i="13"/>
  <c r="CB51" i="13" s="1"/>
  <c r="EN31" i="13"/>
  <c r="EN51" i="13" s="1"/>
  <c r="ES31" i="13"/>
  <c r="ES51" i="13" s="1"/>
  <c r="BV31" i="13"/>
  <c r="BV51" i="13" s="1"/>
  <c r="EX31" i="13"/>
  <c r="EX51" i="13" s="1"/>
  <c r="EH31" i="13"/>
  <c r="EH51" i="13" s="1"/>
  <c r="BJ31" i="13"/>
  <c r="BJ51" i="13" s="1"/>
  <c r="AT31" i="13"/>
  <c r="AT51" i="13" s="1"/>
  <c r="FC31" i="13"/>
  <c r="FC51" i="13" s="1"/>
  <c r="ER31" i="13"/>
  <c r="ER51" i="13" s="1"/>
  <c r="DW31" i="13"/>
  <c r="DW51" i="13" s="1"/>
  <c r="DA31" i="13"/>
  <c r="DA51" i="13" s="1"/>
  <c r="BD31" i="13"/>
  <c r="BD51" i="13" s="1"/>
  <c r="EW31" i="13"/>
  <c r="EW51" i="13" s="1"/>
  <c r="DF31" i="13"/>
  <c r="DF51" i="13" s="1"/>
  <c r="BZ31" i="13"/>
  <c r="BZ51" i="13" s="1"/>
  <c r="AS31" i="13"/>
  <c r="AS51" i="13" s="1"/>
  <c r="EL31" i="13"/>
  <c r="EL51" i="13" s="1"/>
  <c r="BY31" i="13"/>
  <c r="BY51" i="13" s="1"/>
  <c r="AR31" i="13"/>
  <c r="AR51" i="13" s="1"/>
  <c r="FA31" i="13"/>
  <c r="FA51" i="13" s="1"/>
  <c r="DJ31" i="13"/>
  <c r="DJ51" i="13" s="1"/>
  <c r="BM31" i="13"/>
  <c r="BM51" i="13" s="1"/>
  <c r="AV31" i="13"/>
  <c r="BW31" i="13"/>
  <c r="BW51" i="13" s="1"/>
  <c r="CW31" i="13"/>
  <c r="CW51" i="13" s="1"/>
  <c r="DB31" i="13"/>
  <c r="DB51" i="13" s="1"/>
  <c r="CL31" i="13"/>
  <c r="CL51" i="13" s="1"/>
  <c r="AY31" i="13"/>
  <c r="AY51" i="13" s="1"/>
  <c r="FH31" i="13"/>
  <c r="FH51" i="13" s="1"/>
  <c r="CK31" i="13"/>
  <c r="CK51" i="13" s="1"/>
  <c r="EG31" i="13"/>
  <c r="EG51" i="13" s="1"/>
  <c r="BI31" i="13"/>
  <c r="BI51" i="13" s="1"/>
  <c r="FB31" i="13"/>
  <c r="FB51" i="13" s="1"/>
  <c r="DK31" i="13"/>
  <c r="BN31" i="13"/>
  <c r="BN51" i="13" s="1"/>
  <c r="AX31" i="13"/>
  <c r="AX51" i="13" s="1"/>
  <c r="FG31" i="13"/>
  <c r="FG51" i="13" s="1"/>
  <c r="CZ31" i="13"/>
  <c r="CZ51" i="13" s="1"/>
  <c r="CJ31" i="13"/>
  <c r="CJ51" i="13" s="1"/>
  <c r="BT31" i="13"/>
  <c r="BT51" i="13" s="1"/>
  <c r="BC31" i="13"/>
  <c r="BC51" i="13" s="1"/>
  <c r="EV31" i="13"/>
  <c r="EV51" i="13" s="1"/>
  <c r="EK31" i="13"/>
  <c r="EK51" i="13" s="1"/>
  <c r="CT31" i="13"/>
  <c r="CT51" i="13" s="1"/>
  <c r="FF31" i="13"/>
  <c r="FF51" i="13" s="1"/>
  <c r="DZ31" i="13"/>
  <c r="DZ51" i="13" s="1"/>
  <c r="BB31" i="13"/>
  <c r="BB51" i="13" s="1"/>
  <c r="EU31" i="13"/>
  <c r="EU51" i="13" s="1"/>
  <c r="BG31" i="13"/>
  <c r="BG51" i="13" s="1"/>
  <c r="AQ31" i="13"/>
  <c r="AQ51" i="13" s="1"/>
  <c r="EJ31" i="13"/>
  <c r="EJ51" i="13" s="1"/>
  <c r="DT31" i="13"/>
  <c r="DT51" i="13" s="1"/>
  <c r="CS31" i="13"/>
  <c r="CS51" i="13" s="1"/>
  <c r="CC31" i="13"/>
  <c r="CC51" i="13" s="1"/>
  <c r="BL31" i="13"/>
  <c r="BL51" i="13" s="1"/>
  <c r="FE31" i="13"/>
  <c r="FE51" i="13" s="1"/>
  <c r="DY31" i="13"/>
  <c r="DY51" i="13" s="1"/>
  <c r="DC31" i="13"/>
  <c r="DC51" i="13" s="1"/>
  <c r="BF31" i="13"/>
  <c r="BF51" i="13" s="1"/>
  <c r="AP31" i="13"/>
  <c r="AP51" i="13" s="1"/>
  <c r="EI31" i="13"/>
  <c r="EI51" i="13" s="1"/>
  <c r="BK31" i="13"/>
  <c r="BK51" i="13" s="1"/>
  <c r="AU31" i="13"/>
  <c r="AU51" i="13" s="1"/>
  <c r="FD31" i="13"/>
  <c r="FD51" i="13" s="1"/>
  <c r="DX31" i="13"/>
  <c r="DX51" i="13" s="1"/>
  <c r="CG31" i="13"/>
  <c r="CG51" i="13" s="1"/>
  <c r="EC31" i="13"/>
  <c r="EC51" i="13" s="1"/>
  <c r="BE31" i="13"/>
  <c r="BE51" i="13" s="1"/>
  <c r="DG31" i="13"/>
  <c r="DG51" i="13" s="1"/>
  <c r="BU31" i="13"/>
  <c r="BU51" i="13" s="1"/>
  <c r="EF31" i="13"/>
  <c r="EF51" i="13" s="1"/>
  <c r="CH31" i="13"/>
  <c r="CH51" i="13" s="1"/>
  <c r="ED31" i="13"/>
  <c r="ED51" i="13" s="1"/>
  <c r="CV31" i="13"/>
  <c r="CV51" i="13" s="1"/>
  <c r="CF31" i="13"/>
  <c r="CF51" i="13" s="1"/>
  <c r="CU31" i="13"/>
  <c r="CU51" i="13" s="1"/>
  <c r="CI31" i="13"/>
  <c r="CI51" i="13" s="1"/>
  <c r="EE31" i="13"/>
  <c r="EE51" i="13" s="1"/>
  <c r="DI31" i="13"/>
  <c r="DI51" i="13" s="1"/>
  <c r="DS31" i="13"/>
  <c r="DS51" i="13" s="1"/>
  <c r="DH31" i="13"/>
  <c r="DH51" i="13" s="1"/>
  <c r="AO31" i="13"/>
  <c r="AO51" i="13" s="1"/>
  <c r="DL30" i="13"/>
  <c r="DL50" i="13" s="1"/>
  <c r="DD30" i="13"/>
  <c r="DD50" i="13" s="1"/>
  <c r="BP30" i="13"/>
  <c r="AI30" i="13"/>
  <c r="AI50" i="13" s="1"/>
  <c r="EB30" i="13"/>
  <c r="EB50" i="13" s="1"/>
  <c r="EM30" i="13"/>
  <c r="EM50" i="13" s="1"/>
  <c r="EA30" i="13"/>
  <c r="EA50" i="13" s="1"/>
  <c r="BV30" i="13"/>
  <c r="BV50" i="13" s="1"/>
  <c r="BR30" i="13"/>
  <c r="BR50" i="13" s="1"/>
  <c r="AK30" i="13"/>
  <c r="AK50" i="13" s="1"/>
  <c r="CO30" i="13"/>
  <c r="CO50" i="13" s="1"/>
  <c r="BQ30" i="13"/>
  <c r="AJ30" i="13"/>
  <c r="AJ50" i="13" s="1"/>
  <c r="CR30" i="13"/>
  <c r="CR50" i="13" s="1"/>
  <c r="CN30" i="13"/>
  <c r="CN50" i="13" s="1"/>
  <c r="CB30" i="13"/>
  <c r="CB50" i="13" s="1"/>
  <c r="EQ30" i="13"/>
  <c r="EQ50" i="13" s="1"/>
  <c r="CX30" i="13"/>
  <c r="CX50" i="13" s="1"/>
  <c r="CD30" i="13"/>
  <c r="CD50" i="13" s="1"/>
  <c r="DV30" i="13"/>
  <c r="DV50" i="13" s="1"/>
  <c r="ES30" i="13"/>
  <c r="ES50" i="13" s="1"/>
  <c r="EO30" i="13"/>
  <c r="EO50" i="13" s="1"/>
  <c r="EZ30" i="13"/>
  <c r="EZ50" i="13" s="1"/>
  <c r="EN30" i="13"/>
  <c r="EN50" i="13" s="1"/>
  <c r="EY30" i="13"/>
  <c r="EY50" i="13" s="1"/>
  <c r="BA30" i="13"/>
  <c r="BA50" i="13" s="1"/>
  <c r="ET30" i="13"/>
  <c r="ET50" i="13" s="1"/>
  <c r="EP30" i="13"/>
  <c r="EP50" i="13" s="1"/>
  <c r="DQ30" i="13"/>
  <c r="DQ50" i="13" s="1"/>
  <c r="DM30" i="13"/>
  <c r="DM50" i="13" s="1"/>
  <c r="DE30" i="13"/>
  <c r="DE50" i="13" s="1"/>
  <c r="CE30" i="13"/>
  <c r="CE50" i="13" s="1"/>
  <c r="CA30" i="13"/>
  <c r="CA50" i="13" s="1"/>
  <c r="BS30" i="13"/>
  <c r="BS50" i="13" s="1"/>
  <c r="AH30" i="13"/>
  <c r="DN30" i="13"/>
  <c r="DN50" i="13" s="1"/>
  <c r="CP30" i="13"/>
  <c r="CP50" i="13" s="1"/>
  <c r="DU30" i="13"/>
  <c r="DU50" i="13" s="1"/>
  <c r="DO30" i="13"/>
  <c r="DO50" i="13" s="1"/>
  <c r="CY30" i="13"/>
  <c r="CY50" i="13" s="1"/>
  <c r="CM30" i="13"/>
  <c r="CM50" i="13" s="1"/>
  <c r="CZ30" i="13"/>
  <c r="CZ50" i="13" s="1"/>
  <c r="BK30" i="13"/>
  <c r="BK50" i="13" s="1"/>
  <c r="AY30" i="13"/>
  <c r="AY50" i="13" s="1"/>
  <c r="AU30" i="13"/>
  <c r="AU50" i="13" s="1"/>
  <c r="DT30" i="13"/>
  <c r="DT50" i="13" s="1"/>
  <c r="DW30" i="13"/>
  <c r="DW50" i="13" s="1"/>
  <c r="DB30" i="13"/>
  <c r="DB50" i="13" s="1"/>
  <c r="BI30" i="13"/>
  <c r="BI50" i="13" s="1"/>
  <c r="EX30" i="13"/>
  <c r="EX50" i="13" s="1"/>
  <c r="DZ30" i="13"/>
  <c r="DZ50" i="13" s="1"/>
  <c r="CG30" i="13"/>
  <c r="CG50" i="13" s="1"/>
  <c r="BL30" i="13"/>
  <c r="BL50" i="13" s="1"/>
  <c r="FA30" i="13"/>
  <c r="FA50" i="13" s="1"/>
  <c r="EC30" i="13"/>
  <c r="EC50" i="13" s="1"/>
  <c r="CJ30" i="13"/>
  <c r="CJ50" i="13" s="1"/>
  <c r="BT30" i="13"/>
  <c r="BT50" i="13" s="1"/>
  <c r="BG30" i="13"/>
  <c r="BG50" i="13" s="1"/>
  <c r="BC30" i="13"/>
  <c r="BC50" i="13" s="1"/>
  <c r="AQ30" i="13"/>
  <c r="AQ50" i="13" s="1"/>
  <c r="DX30" i="13"/>
  <c r="DX50" i="13" s="1"/>
  <c r="EI30" i="13"/>
  <c r="EI50" i="13" s="1"/>
  <c r="CT30" i="13"/>
  <c r="CT50" i="13" s="1"/>
  <c r="BM30" i="13"/>
  <c r="BM50" i="13" s="1"/>
  <c r="AS30" i="13"/>
  <c r="AS50" i="13" s="1"/>
  <c r="FF30" i="13"/>
  <c r="FF50" i="13" s="1"/>
  <c r="CW30" i="13"/>
  <c r="CW50" i="13" s="1"/>
  <c r="CK30" i="13"/>
  <c r="CK50" i="13" s="1"/>
  <c r="AV30" i="13"/>
  <c r="EK30" i="13"/>
  <c r="EK50" i="13" s="1"/>
  <c r="FH30" i="13"/>
  <c r="FH50" i="13" s="1"/>
  <c r="FD30" i="13"/>
  <c r="FD50" i="13" s="1"/>
  <c r="EV30" i="13"/>
  <c r="EV50" i="13" s="1"/>
  <c r="ER30" i="13"/>
  <c r="ER50" i="13" s="1"/>
  <c r="EJ30" i="13"/>
  <c r="EJ50" i="13" s="1"/>
  <c r="EU30" i="13"/>
  <c r="EU50" i="13" s="1"/>
  <c r="DF30" i="13"/>
  <c r="DF50" i="13" s="1"/>
  <c r="BZ30" i="13"/>
  <c r="BZ50" i="13" s="1"/>
  <c r="BE30" i="13"/>
  <c r="BE50" i="13" s="1"/>
  <c r="EL30" i="13"/>
  <c r="EL50" i="13" s="1"/>
  <c r="EH30" i="13"/>
  <c r="EH50" i="13" s="1"/>
  <c r="DA30" i="13"/>
  <c r="DA50" i="13" s="1"/>
  <c r="CS30" i="13"/>
  <c r="CS50" i="13" s="1"/>
  <c r="CC30" i="13"/>
  <c r="CC50" i="13" s="1"/>
  <c r="BD30" i="13"/>
  <c r="BD50" i="13" s="1"/>
  <c r="AR30" i="13"/>
  <c r="AR50" i="13" s="1"/>
  <c r="EW30" i="13"/>
  <c r="EW50" i="13" s="1"/>
  <c r="EG30" i="13"/>
  <c r="EG50" i="13" s="1"/>
  <c r="DY30" i="13"/>
  <c r="DY50" i="13" s="1"/>
  <c r="DC30" i="13"/>
  <c r="DC50" i="13" s="1"/>
  <c r="BW30" i="13"/>
  <c r="BW50" i="13" s="1"/>
  <c r="BN30" i="13"/>
  <c r="BN50" i="13" s="1"/>
  <c r="BJ30" i="13"/>
  <c r="BJ50" i="13" s="1"/>
  <c r="BF30" i="13"/>
  <c r="BF50" i="13" s="1"/>
  <c r="BB30" i="13"/>
  <c r="BB50" i="13" s="1"/>
  <c r="AX30" i="13"/>
  <c r="AX50" i="13" s="1"/>
  <c r="AT30" i="13"/>
  <c r="AT50" i="13" s="1"/>
  <c r="AP30" i="13"/>
  <c r="AP50" i="13" s="1"/>
  <c r="FG30" i="13"/>
  <c r="FG50" i="13" s="1"/>
  <c r="FC30" i="13"/>
  <c r="FC50" i="13" s="1"/>
  <c r="DJ30" i="13"/>
  <c r="DJ50" i="13" s="1"/>
  <c r="CL30" i="13"/>
  <c r="CL50" i="13" s="1"/>
  <c r="FB30" i="13"/>
  <c r="FB50" i="13" s="1"/>
  <c r="BY30" i="13"/>
  <c r="BY50" i="13" s="1"/>
  <c r="FE30" i="13"/>
  <c r="FE50" i="13" s="1"/>
  <c r="DK30" i="13"/>
  <c r="DH30" i="13"/>
  <c r="DH50" i="13" s="1"/>
  <c r="EF30" i="13"/>
  <c r="EF50" i="13" s="1"/>
  <c r="EE30" i="13"/>
  <c r="EE50" i="13" s="1"/>
  <c r="DS30" i="13"/>
  <c r="DS50" i="13" s="1"/>
  <c r="ED30" i="13"/>
  <c r="ED50" i="13" s="1"/>
  <c r="BU30" i="13"/>
  <c r="BU50" i="13" s="1"/>
  <c r="CV30" i="13"/>
  <c r="CV50" i="13" s="1"/>
  <c r="CF30" i="13"/>
  <c r="CF50" i="13" s="1"/>
  <c r="CH30" i="13"/>
  <c r="CH50" i="13" s="1"/>
  <c r="DI30" i="13"/>
  <c r="DI50" i="13" s="1"/>
  <c r="DG30" i="13"/>
  <c r="DG50" i="13" s="1"/>
  <c r="AO30" i="13"/>
  <c r="AO50" i="13" s="1"/>
  <c r="CU30" i="13"/>
  <c r="CU50" i="13" s="1"/>
  <c r="CI30" i="13"/>
  <c r="CI50" i="13" s="1"/>
  <c r="X211" i="22"/>
  <c r="F191" i="22"/>
  <c r="M196" i="19"/>
  <c r="U201" i="22"/>
  <c r="AI207" i="22" s="1"/>
  <c r="U16" i="22"/>
  <c r="AI23" i="22" s="1"/>
  <c r="X27" i="22"/>
  <c r="X130" i="22"/>
  <c r="F130" i="22"/>
  <c r="X191" i="22"/>
  <c r="C76" i="19"/>
  <c r="C77" i="22"/>
  <c r="Q83" i="22" s="1"/>
  <c r="M116" i="19"/>
  <c r="U120" i="22"/>
  <c r="AI126" i="22" s="1"/>
  <c r="F87" i="22"/>
  <c r="F47" i="22"/>
  <c r="M56" i="19"/>
  <c r="U57" i="22"/>
  <c r="AI63" i="22" s="1"/>
  <c r="C156" i="19"/>
  <c r="C160" i="22"/>
  <c r="Q166" i="22" s="1"/>
  <c r="X67" i="22"/>
  <c r="F170" i="22"/>
  <c r="F110" i="22"/>
  <c r="M136" i="19"/>
  <c r="U140" i="22"/>
  <c r="AI146" i="22" s="1"/>
  <c r="X110" i="22"/>
  <c r="C136" i="19"/>
  <c r="C140" i="22"/>
  <c r="Q146" i="22" s="1"/>
  <c r="M176" i="19"/>
  <c r="U181" i="22"/>
  <c r="AI187" i="22" s="1"/>
  <c r="F211" i="22"/>
  <c r="X47" i="22"/>
  <c r="C116" i="19"/>
  <c r="C120" i="22"/>
  <c r="Q126" i="22" s="1"/>
  <c r="X87" i="22"/>
  <c r="C96" i="19"/>
  <c r="C100" i="22"/>
  <c r="Q106" i="22" s="1"/>
  <c r="C56" i="19"/>
  <c r="C57" i="22"/>
  <c r="Q63" i="22" s="1"/>
  <c r="X150" i="22"/>
  <c r="M96" i="19"/>
  <c r="U100" i="22"/>
  <c r="AI106" i="22" s="1"/>
  <c r="AV54" i="13"/>
  <c r="C196" i="19"/>
  <c r="C201" i="22"/>
  <c r="Q207" i="22" s="1"/>
  <c r="M36" i="19"/>
  <c r="U37" i="22"/>
  <c r="AI43" i="22" s="1"/>
  <c r="F67" i="22"/>
  <c r="C36" i="19"/>
  <c r="C37" i="22"/>
  <c r="Q43" i="22" s="1"/>
  <c r="X170" i="22"/>
  <c r="M76" i="19"/>
  <c r="U77" i="22"/>
  <c r="AI83" i="22" s="1"/>
  <c r="M156" i="19"/>
  <c r="U160" i="22"/>
  <c r="AI166" i="22" s="1"/>
  <c r="F150" i="22"/>
  <c r="C176" i="19"/>
  <c r="C181" i="22"/>
  <c r="Q187" i="22" s="1"/>
  <c r="P46" i="19"/>
  <c r="F66" i="19"/>
  <c r="F46" i="19"/>
  <c r="F126" i="19"/>
  <c r="P186" i="19"/>
  <c r="F206" i="19"/>
  <c r="P66" i="19"/>
  <c r="F166" i="19"/>
  <c r="P166" i="19"/>
  <c r="F146" i="19"/>
  <c r="F186" i="19"/>
  <c r="F86" i="19"/>
  <c r="P146" i="19"/>
  <c r="F106" i="19"/>
  <c r="P106" i="19"/>
  <c r="P206" i="19"/>
  <c r="P126" i="19"/>
  <c r="AD36" i="13"/>
  <c r="AD45" i="13"/>
  <c r="AD46" i="13"/>
  <c r="P26" i="19"/>
  <c r="M16" i="19"/>
  <c r="AI24" i="13"/>
  <c r="AJ24" i="13"/>
  <c r="AK24" i="13"/>
  <c r="AL24" i="13"/>
  <c r="AM24" i="13"/>
  <c r="AN24" i="13"/>
  <c r="AO24" i="13"/>
  <c r="AP24" i="13"/>
  <c r="AR24" i="13"/>
  <c r="AS24" i="13"/>
  <c r="AT24" i="13"/>
  <c r="AU24" i="13"/>
  <c r="AV24" i="13"/>
  <c r="AW24" i="13"/>
  <c r="AX24" i="13"/>
  <c r="AY24" i="13"/>
  <c r="AZ24" i="13"/>
  <c r="BA24" i="13"/>
  <c r="BB24" i="13"/>
  <c r="BC24" i="13"/>
  <c r="BD24" i="13"/>
  <c r="BE24" i="13"/>
  <c r="BF24" i="13"/>
  <c r="BG24" i="13"/>
  <c r="BH24" i="13"/>
  <c r="BI24" i="13"/>
  <c r="BJ24" i="13"/>
  <c r="BK24" i="13"/>
  <c r="BL24" i="13"/>
  <c r="BM24" i="13"/>
  <c r="BN24" i="13"/>
  <c r="BP24" i="13"/>
  <c r="BQ24" i="13"/>
  <c r="BR24" i="13"/>
  <c r="BS24" i="13"/>
  <c r="BT24" i="13"/>
  <c r="BU24" i="13"/>
  <c r="BV24" i="13"/>
  <c r="BW24" i="13"/>
  <c r="BX24" i="13"/>
  <c r="BY24" i="13"/>
  <c r="BZ24" i="13"/>
  <c r="CA24" i="13"/>
  <c r="CB24" i="13"/>
  <c r="CC24" i="13"/>
  <c r="CD24" i="13"/>
  <c r="CE24" i="13"/>
  <c r="CG24" i="13"/>
  <c r="CH24" i="13"/>
  <c r="CI24" i="13"/>
  <c r="CJ24" i="13"/>
  <c r="CK24" i="13"/>
  <c r="CL24" i="13"/>
  <c r="CM24" i="13"/>
  <c r="CN24" i="13"/>
  <c r="CO24" i="13"/>
  <c r="CP24" i="13"/>
  <c r="CQ24" i="13"/>
  <c r="CR24" i="13"/>
  <c r="CS24" i="13"/>
  <c r="CT24" i="13"/>
  <c r="CU24" i="13"/>
  <c r="CV24" i="13"/>
  <c r="AH25" i="13"/>
  <c r="AR25" i="13"/>
  <c r="AS25" i="13"/>
  <c r="AT25" i="13"/>
  <c r="AU25" i="13"/>
  <c r="AV25" i="13"/>
  <c r="AW25" i="13"/>
  <c r="AX25" i="13"/>
  <c r="AY25" i="13"/>
  <c r="AZ25" i="13"/>
  <c r="BA25" i="13"/>
  <c r="BB25" i="13"/>
  <c r="BC25" i="13"/>
  <c r="BD25" i="13"/>
  <c r="BE25" i="13"/>
  <c r="BF25" i="13"/>
  <c r="BG25" i="13"/>
  <c r="BH25" i="13"/>
  <c r="BI25" i="13"/>
  <c r="BJ25" i="13"/>
  <c r="BK25" i="13"/>
  <c r="BL25" i="13"/>
  <c r="BM25" i="13"/>
  <c r="BN25" i="13"/>
  <c r="BP25" i="13"/>
  <c r="BQ25" i="13"/>
  <c r="BR25" i="13"/>
  <c r="BS25" i="13"/>
  <c r="BT25" i="13"/>
  <c r="BU25" i="13"/>
  <c r="BV25" i="13"/>
  <c r="BW25" i="13"/>
  <c r="BX25" i="13"/>
  <c r="BY25" i="13"/>
  <c r="BZ25" i="13"/>
  <c r="CA25" i="13"/>
  <c r="CB25" i="13"/>
  <c r="CC25" i="13"/>
  <c r="CD25" i="13"/>
  <c r="CE25" i="13"/>
  <c r="CG25" i="13"/>
  <c r="CH25" i="13"/>
  <c r="CI25" i="13"/>
  <c r="CJ25" i="13"/>
  <c r="CK25" i="13"/>
  <c r="CL25" i="13"/>
  <c r="CM25" i="13"/>
  <c r="CN25" i="13"/>
  <c r="CO25" i="13"/>
  <c r="CP25" i="13"/>
  <c r="CQ25" i="13"/>
  <c r="CR25" i="13"/>
  <c r="CS25" i="13"/>
  <c r="CT25" i="13"/>
  <c r="CU25" i="13"/>
  <c r="CV25" i="13"/>
  <c r="AI25" i="13"/>
  <c r="AJ25" i="13"/>
  <c r="AK25" i="13"/>
  <c r="AL25" i="13"/>
  <c r="AM25" i="13"/>
  <c r="AN25" i="13"/>
  <c r="AO25" i="13"/>
  <c r="AP25" i="13"/>
  <c r="B27" i="13"/>
  <c r="U27" i="13" s="1"/>
  <c r="FH27" i="13" s="1"/>
  <c r="D27" i="13"/>
  <c r="N16" i="10" s="1"/>
  <c r="E27" i="13"/>
  <c r="N27" i="13" s="1"/>
  <c r="F27" i="13"/>
  <c r="G27" i="13"/>
  <c r="H27" i="13"/>
  <c r="AC27" i="13" s="1"/>
  <c r="I27" i="13"/>
  <c r="J27" i="13"/>
  <c r="AB27" i="13" s="1"/>
  <c r="K27" i="13"/>
  <c r="L27" i="13"/>
  <c r="AE11" i="13" s="1"/>
  <c r="AF11" i="13" s="1"/>
  <c r="M27" i="13"/>
  <c r="O27" i="13"/>
  <c r="AF27" i="13" s="1"/>
  <c r="AF47" i="13" s="1"/>
  <c r="P27" i="13"/>
  <c r="AG27" i="13" s="1"/>
  <c r="Q27" i="13"/>
  <c r="R27" i="13"/>
  <c r="A27" i="13"/>
  <c r="G56" i="10"/>
  <c r="J39" i="10"/>
  <c r="H39" i="10"/>
  <c r="I39" i="10" s="1"/>
  <c r="J38" i="10"/>
  <c r="H38" i="10"/>
  <c r="I38" i="10" s="1"/>
  <c r="J37" i="10"/>
  <c r="H37" i="10"/>
  <c r="I37" i="10" s="1"/>
  <c r="J36" i="10"/>
  <c r="H36" i="10"/>
  <c r="I36" i="10" s="1"/>
  <c r="J35" i="10"/>
  <c r="H35" i="10"/>
  <c r="I35" i="10" s="1"/>
  <c r="J34" i="10"/>
  <c r="H34" i="10"/>
  <c r="I34" i="10" s="1"/>
  <c r="J33" i="10"/>
  <c r="H33" i="10"/>
  <c r="I33" i="10" s="1"/>
  <c r="J32" i="10"/>
  <c r="H32" i="10"/>
  <c r="I32" i="10" s="1"/>
  <c r="J31" i="10"/>
  <c r="H31" i="10"/>
  <c r="I31" i="10" s="1"/>
  <c r="J30" i="10"/>
  <c r="H30" i="10"/>
  <c r="I30" i="10" s="1"/>
  <c r="J29" i="10"/>
  <c r="H29" i="10"/>
  <c r="I29" i="10" s="1"/>
  <c r="J28" i="10"/>
  <c r="H28" i="10"/>
  <c r="I28" i="10" s="1"/>
  <c r="J27" i="10"/>
  <c r="H27" i="10"/>
  <c r="I27" i="10" s="1"/>
  <c r="J26" i="10"/>
  <c r="H26" i="10"/>
  <c r="I26" i="10" s="1"/>
  <c r="J25" i="10"/>
  <c r="H25" i="10"/>
  <c r="I25" i="10" s="1"/>
  <c r="J24" i="10"/>
  <c r="H24" i="10"/>
  <c r="I24" i="10" s="1"/>
  <c r="J23" i="10"/>
  <c r="H23" i="10"/>
  <c r="I23" i="10" s="1"/>
  <c r="J22" i="10"/>
  <c r="H22" i="10"/>
  <c r="I22" i="10" s="1"/>
  <c r="J21" i="10"/>
  <c r="H21" i="10"/>
  <c r="I21" i="10" s="1"/>
  <c r="J20" i="10"/>
  <c r="H20" i="10"/>
  <c r="I20" i="10" s="1"/>
  <c r="J19" i="10"/>
  <c r="H19" i="10"/>
  <c r="I19" i="10" s="1"/>
  <c r="J18" i="10"/>
  <c r="H18" i="10"/>
  <c r="I18" i="10" s="1"/>
  <c r="I6" i="10"/>
  <c r="G89" i="13" l="1"/>
  <c r="F89" i="13" s="1"/>
  <c r="J89" i="13" s="1"/>
  <c r="G105" i="13"/>
  <c r="G121" i="13"/>
  <c r="G137" i="13"/>
  <c r="F137" i="13" s="1"/>
  <c r="J137" i="13" s="1"/>
  <c r="G153" i="13"/>
  <c r="G169" i="13"/>
  <c r="G185" i="13"/>
  <c r="F185" i="13" s="1"/>
  <c r="G201" i="13"/>
  <c r="F201" i="13" s="1"/>
  <c r="G217" i="13"/>
  <c r="F217" i="13" s="1"/>
  <c r="G233" i="13"/>
  <c r="F233" i="13" s="1"/>
  <c r="G249" i="13"/>
  <c r="F249" i="13" s="1"/>
  <c r="G265" i="13"/>
  <c r="F265" i="13" s="1"/>
  <c r="G229" i="13"/>
  <c r="F229" i="13" s="1"/>
  <c r="G182" i="13"/>
  <c r="F182" i="13" s="1"/>
  <c r="G90" i="13"/>
  <c r="F90" i="13" s="1"/>
  <c r="K90" i="13" s="1"/>
  <c r="G106" i="13"/>
  <c r="F106" i="13" s="1"/>
  <c r="K106" i="13" s="1"/>
  <c r="G122" i="13"/>
  <c r="F122" i="13" s="1"/>
  <c r="K122" i="13" s="1"/>
  <c r="G138" i="13"/>
  <c r="G154" i="13"/>
  <c r="G170" i="13"/>
  <c r="G186" i="13"/>
  <c r="G202" i="13"/>
  <c r="G218" i="13"/>
  <c r="F218" i="13" s="1"/>
  <c r="G234" i="13"/>
  <c r="F234" i="13" s="1"/>
  <c r="G250" i="13"/>
  <c r="F250" i="13" s="1"/>
  <c r="G213" i="13"/>
  <c r="F213" i="13" s="1"/>
  <c r="G151" i="13"/>
  <c r="F151" i="13" s="1"/>
  <c r="G75" i="13"/>
  <c r="F75" i="13" s="1"/>
  <c r="K75" i="13" s="1"/>
  <c r="G91" i="13"/>
  <c r="F91" i="13" s="1"/>
  <c r="K91" i="13" s="1"/>
  <c r="G107" i="13"/>
  <c r="F107" i="13" s="1"/>
  <c r="I107" i="13" s="1"/>
  <c r="G123" i="13"/>
  <c r="F123" i="13" s="1"/>
  <c r="I123" i="13" s="1"/>
  <c r="G139" i="13"/>
  <c r="F139" i="13" s="1"/>
  <c r="I139" i="13" s="1"/>
  <c r="G155" i="13"/>
  <c r="F155" i="13" s="1"/>
  <c r="G171" i="13"/>
  <c r="G187" i="13"/>
  <c r="G203" i="13"/>
  <c r="F203" i="13" s="1"/>
  <c r="G219" i="13"/>
  <c r="F219" i="13" s="1"/>
  <c r="G235" i="13"/>
  <c r="G251" i="13"/>
  <c r="F251" i="13" s="1"/>
  <c r="G261" i="13"/>
  <c r="F261" i="13" s="1"/>
  <c r="G262" i="13"/>
  <c r="F262" i="13" s="1"/>
  <c r="G167" i="13"/>
  <c r="F167" i="13" s="1"/>
  <c r="G76" i="13"/>
  <c r="F76" i="13" s="1"/>
  <c r="K76" i="13" s="1"/>
  <c r="G92" i="13"/>
  <c r="F92" i="13" s="1"/>
  <c r="I92" i="13" s="1"/>
  <c r="G108" i="13"/>
  <c r="F108" i="13" s="1"/>
  <c r="K108" i="13" s="1"/>
  <c r="G124" i="13"/>
  <c r="F124" i="13" s="1"/>
  <c r="J124" i="13" s="1"/>
  <c r="G140" i="13"/>
  <c r="F140" i="13" s="1"/>
  <c r="I140" i="13" s="1"/>
  <c r="G156" i="13"/>
  <c r="F156" i="13" s="1"/>
  <c r="G172" i="13"/>
  <c r="F172" i="13" s="1"/>
  <c r="G188" i="13"/>
  <c r="G204" i="13"/>
  <c r="G220" i="13"/>
  <c r="F220" i="13" s="1"/>
  <c r="G236" i="13"/>
  <c r="F236" i="13" s="1"/>
  <c r="G252" i="13"/>
  <c r="G181" i="13"/>
  <c r="F181" i="13" s="1"/>
  <c r="G230" i="13"/>
  <c r="F230" i="13" s="1"/>
  <c r="G231" i="13"/>
  <c r="F231" i="13" s="1"/>
  <c r="G77" i="13"/>
  <c r="F77" i="13" s="1"/>
  <c r="I77" i="13" s="1"/>
  <c r="G93" i="13"/>
  <c r="F93" i="13" s="1"/>
  <c r="I93" i="13" s="1"/>
  <c r="G109" i="13"/>
  <c r="F109" i="13" s="1"/>
  <c r="K109" i="13" s="1"/>
  <c r="G125" i="13"/>
  <c r="F125" i="13" s="1"/>
  <c r="J125" i="13" s="1"/>
  <c r="G141" i="13"/>
  <c r="F141" i="13" s="1"/>
  <c r="I141" i="13" s="1"/>
  <c r="G157" i="13"/>
  <c r="F157" i="13" s="1"/>
  <c r="G173" i="13"/>
  <c r="F173" i="13" s="1"/>
  <c r="G189" i="13"/>
  <c r="F189" i="13" s="1"/>
  <c r="G205" i="13"/>
  <c r="G221" i="13"/>
  <c r="G237" i="13"/>
  <c r="G253" i="13"/>
  <c r="F253" i="13" s="1"/>
  <c r="G85" i="13"/>
  <c r="F85" i="13" s="1"/>
  <c r="J85" i="13" s="1"/>
  <c r="G86" i="13"/>
  <c r="F86" i="13" s="1"/>
  <c r="K86" i="13" s="1"/>
  <c r="G135" i="13"/>
  <c r="F135" i="13" s="1"/>
  <c r="K135" i="13" s="1"/>
  <c r="G78" i="13"/>
  <c r="F78" i="13" s="1"/>
  <c r="K78" i="13" s="1"/>
  <c r="G94" i="13"/>
  <c r="F94" i="13" s="1"/>
  <c r="I94" i="13" s="1"/>
  <c r="G110" i="13"/>
  <c r="F110" i="13" s="1"/>
  <c r="K110" i="13" s="1"/>
  <c r="G126" i="13"/>
  <c r="F126" i="13" s="1"/>
  <c r="K126" i="13" s="1"/>
  <c r="G142" i="13"/>
  <c r="F142" i="13" s="1"/>
  <c r="K142" i="13" s="1"/>
  <c r="G158" i="13"/>
  <c r="F158" i="13" s="1"/>
  <c r="G174" i="13"/>
  <c r="F174" i="13" s="1"/>
  <c r="G190" i="13"/>
  <c r="F190" i="13" s="1"/>
  <c r="G206" i="13"/>
  <c r="F206" i="13" s="1"/>
  <c r="G222" i="13"/>
  <c r="G238" i="13"/>
  <c r="G254" i="13"/>
  <c r="G101" i="13"/>
  <c r="F101" i="13" s="1"/>
  <c r="K101" i="13" s="1"/>
  <c r="G118" i="13"/>
  <c r="G119" i="13"/>
  <c r="F119" i="13" s="1"/>
  <c r="K119" i="13" s="1"/>
  <c r="G79" i="13"/>
  <c r="F79" i="13" s="1"/>
  <c r="J79" i="13" s="1"/>
  <c r="G95" i="13"/>
  <c r="F95" i="13" s="1"/>
  <c r="K95" i="13" s="1"/>
  <c r="G111" i="13"/>
  <c r="F111" i="13" s="1"/>
  <c r="J111" i="13" s="1"/>
  <c r="G127" i="13"/>
  <c r="F127" i="13" s="1"/>
  <c r="J127" i="13" s="1"/>
  <c r="G143" i="13"/>
  <c r="F143" i="13" s="1"/>
  <c r="I143" i="13" s="1"/>
  <c r="G159" i="13"/>
  <c r="F159" i="13" s="1"/>
  <c r="G175" i="13"/>
  <c r="F175" i="13" s="1"/>
  <c r="G191" i="13"/>
  <c r="G207" i="13"/>
  <c r="F207" i="13" s="1"/>
  <c r="G223" i="13"/>
  <c r="F223" i="13" s="1"/>
  <c r="G239" i="13"/>
  <c r="G255" i="13"/>
  <c r="G117" i="13"/>
  <c r="F117" i="13" s="1"/>
  <c r="K117" i="13" s="1"/>
  <c r="G102" i="13"/>
  <c r="F102" i="13" s="1"/>
  <c r="K102" i="13" s="1"/>
  <c r="G103" i="13"/>
  <c r="F103" i="13" s="1"/>
  <c r="I103" i="13" s="1"/>
  <c r="G80" i="13"/>
  <c r="F80" i="13" s="1"/>
  <c r="I80" i="13" s="1"/>
  <c r="G96" i="13"/>
  <c r="F96" i="13" s="1"/>
  <c r="I96" i="13" s="1"/>
  <c r="G112" i="13"/>
  <c r="F112" i="13" s="1"/>
  <c r="J112" i="13" s="1"/>
  <c r="G128" i="13"/>
  <c r="F128" i="13" s="1"/>
  <c r="K128" i="13" s="1"/>
  <c r="G144" i="13"/>
  <c r="F144" i="13" s="1"/>
  <c r="J144" i="13" s="1"/>
  <c r="G160" i="13"/>
  <c r="F160" i="13" s="1"/>
  <c r="G176" i="13"/>
  <c r="F176" i="13" s="1"/>
  <c r="G192" i="13"/>
  <c r="F192" i="13" s="1"/>
  <c r="G208" i="13"/>
  <c r="F208" i="13" s="1"/>
  <c r="G224" i="13"/>
  <c r="F224" i="13" s="1"/>
  <c r="G240" i="13"/>
  <c r="F240" i="13" s="1"/>
  <c r="G256" i="13"/>
  <c r="G165" i="13"/>
  <c r="F165" i="13" s="1"/>
  <c r="G214" i="13"/>
  <c r="G215" i="13"/>
  <c r="F215" i="13" s="1"/>
  <c r="G81" i="13"/>
  <c r="F81" i="13" s="1"/>
  <c r="I81" i="13" s="1"/>
  <c r="G97" i="13"/>
  <c r="F97" i="13" s="1"/>
  <c r="K97" i="13" s="1"/>
  <c r="G113" i="13"/>
  <c r="F113" i="13" s="1"/>
  <c r="I113" i="13" s="1"/>
  <c r="G129" i="13"/>
  <c r="F129" i="13" s="1"/>
  <c r="K129" i="13" s="1"/>
  <c r="G145" i="13"/>
  <c r="F145" i="13" s="1"/>
  <c r="I145" i="13" s="1"/>
  <c r="G161" i="13"/>
  <c r="F161" i="13" s="1"/>
  <c r="G177" i="13"/>
  <c r="F177" i="13" s="1"/>
  <c r="G193" i="13"/>
  <c r="F193" i="13" s="1"/>
  <c r="G209" i="13"/>
  <c r="F209" i="13" s="1"/>
  <c r="G225" i="13"/>
  <c r="F225" i="13" s="1"/>
  <c r="G241" i="13"/>
  <c r="F241" i="13" s="1"/>
  <c r="G257" i="13"/>
  <c r="F257" i="13" s="1"/>
  <c r="G245" i="13"/>
  <c r="G246" i="13"/>
  <c r="G263" i="13"/>
  <c r="G82" i="13"/>
  <c r="F82" i="13" s="1"/>
  <c r="J82" i="13" s="1"/>
  <c r="G98" i="13"/>
  <c r="G114" i="13"/>
  <c r="F114" i="13" s="1"/>
  <c r="J114" i="13" s="1"/>
  <c r="G130" i="13"/>
  <c r="F130" i="13" s="1"/>
  <c r="I130" i="13" s="1"/>
  <c r="G146" i="13"/>
  <c r="F146" i="13" s="1"/>
  <c r="I146" i="13" s="1"/>
  <c r="G162" i="13"/>
  <c r="F162" i="13" s="1"/>
  <c r="G178" i="13"/>
  <c r="F178" i="13" s="1"/>
  <c r="G194" i="13"/>
  <c r="F194" i="13" s="1"/>
  <c r="G210" i="13"/>
  <c r="F210" i="13" s="1"/>
  <c r="G226" i="13"/>
  <c r="F226" i="13" s="1"/>
  <c r="G242" i="13"/>
  <c r="F242" i="13" s="1"/>
  <c r="G258" i="13"/>
  <c r="F258" i="13" s="1"/>
  <c r="G197" i="13"/>
  <c r="F197" i="13" s="1"/>
  <c r="G198" i="13"/>
  <c r="G247" i="13"/>
  <c r="G83" i="13"/>
  <c r="G99" i="13"/>
  <c r="F99" i="13" s="1"/>
  <c r="K99" i="13" s="1"/>
  <c r="G115" i="13"/>
  <c r="G131" i="13"/>
  <c r="F131" i="13" s="1"/>
  <c r="I131" i="13" s="1"/>
  <c r="G147" i="13"/>
  <c r="F147" i="13" s="1"/>
  <c r="K147" i="13" s="1"/>
  <c r="G163" i="13"/>
  <c r="F163" i="13" s="1"/>
  <c r="G179" i="13"/>
  <c r="F179" i="13" s="1"/>
  <c r="G195" i="13"/>
  <c r="F195" i="13" s="1"/>
  <c r="G211" i="13"/>
  <c r="F211" i="13" s="1"/>
  <c r="G227" i="13"/>
  <c r="F227" i="13" s="1"/>
  <c r="G243" i="13"/>
  <c r="F243" i="13" s="1"/>
  <c r="G259" i="13"/>
  <c r="F259" i="13" s="1"/>
  <c r="G133" i="13"/>
  <c r="F133" i="13" s="1"/>
  <c r="J133" i="13" s="1"/>
  <c r="G150" i="13"/>
  <c r="F150" i="13" s="1"/>
  <c r="G199" i="13"/>
  <c r="G84" i="13"/>
  <c r="G100" i="13"/>
  <c r="G116" i="13"/>
  <c r="F116" i="13" s="1"/>
  <c r="K116" i="13" s="1"/>
  <c r="G132" i="13"/>
  <c r="G148" i="13"/>
  <c r="F148" i="13" s="1"/>
  <c r="K148" i="13" s="1"/>
  <c r="G164" i="13"/>
  <c r="F164" i="13" s="1"/>
  <c r="G180" i="13"/>
  <c r="F180" i="13" s="1"/>
  <c r="G196" i="13"/>
  <c r="F196" i="13" s="1"/>
  <c r="G212" i="13"/>
  <c r="F212" i="13" s="1"/>
  <c r="G228" i="13"/>
  <c r="F228" i="13" s="1"/>
  <c r="G244" i="13"/>
  <c r="F244" i="13" s="1"/>
  <c r="G260" i="13"/>
  <c r="F260" i="13" s="1"/>
  <c r="G149" i="13"/>
  <c r="F149" i="13" s="1"/>
  <c r="I149" i="13" s="1"/>
  <c r="G166" i="13"/>
  <c r="F166" i="13" s="1"/>
  <c r="G183" i="13"/>
  <c r="F183" i="13" s="1"/>
  <c r="G88" i="13"/>
  <c r="G104" i="13"/>
  <c r="G120" i="13"/>
  <c r="F120" i="13" s="1"/>
  <c r="J120" i="13" s="1"/>
  <c r="G136" i="13"/>
  <c r="F136" i="13" s="1"/>
  <c r="K136" i="13" s="1"/>
  <c r="G152" i="13"/>
  <c r="G168" i="13"/>
  <c r="F168" i="13" s="1"/>
  <c r="G184" i="13"/>
  <c r="F184" i="13" s="1"/>
  <c r="G200" i="13"/>
  <c r="F200" i="13" s="1"/>
  <c r="G216" i="13"/>
  <c r="F216" i="13" s="1"/>
  <c r="G232" i="13"/>
  <c r="F232" i="13" s="1"/>
  <c r="G248" i="13"/>
  <c r="F248" i="13" s="1"/>
  <c r="G264" i="13"/>
  <c r="F264" i="13" s="1"/>
  <c r="G134" i="13"/>
  <c r="F134" i="13" s="1"/>
  <c r="I134" i="13" s="1"/>
  <c r="G87" i="13"/>
  <c r="F87" i="13" s="1"/>
  <c r="K87" i="13" s="1"/>
  <c r="F934" i="13"/>
  <c r="F950" i="13"/>
  <c r="F966" i="13"/>
  <c r="F982" i="13"/>
  <c r="F998" i="13"/>
  <c r="F1014" i="13"/>
  <c r="F1030" i="13"/>
  <c r="F1046" i="13"/>
  <c r="F1062" i="13"/>
  <c r="F1078" i="13"/>
  <c r="F1094" i="13"/>
  <c r="F1110" i="13"/>
  <c r="F1126" i="13"/>
  <c r="F1142" i="13"/>
  <c r="F1158" i="13"/>
  <c r="F1174" i="13"/>
  <c r="F1190" i="13"/>
  <c r="F1206" i="13"/>
  <c r="F1222" i="13"/>
  <c r="F1238" i="13"/>
  <c r="F1254" i="13"/>
  <c r="F1270" i="13"/>
  <c r="F1286" i="13"/>
  <c r="F1302" i="13"/>
  <c r="F1318" i="13"/>
  <c r="F1334" i="13"/>
  <c r="F1350" i="13"/>
  <c r="F1366" i="13"/>
  <c r="F1382" i="13"/>
  <c r="F1398" i="13"/>
  <c r="F1414" i="13"/>
  <c r="F1430" i="13"/>
  <c r="F1446" i="13"/>
  <c r="F1462" i="13"/>
  <c r="F1478" i="13"/>
  <c r="F1494" i="13"/>
  <c r="F1510" i="13"/>
  <c r="F1526" i="13"/>
  <c r="F1542" i="13"/>
  <c r="F1558" i="13"/>
  <c r="F1574" i="13"/>
  <c r="F1590" i="13"/>
  <c r="F1606" i="13"/>
  <c r="F1622" i="13"/>
  <c r="F1638" i="13"/>
  <c r="F1654" i="13"/>
  <c r="F1670" i="13"/>
  <c r="F1686" i="13"/>
  <c r="F1702" i="13"/>
  <c r="F1718" i="13"/>
  <c r="F1734" i="13"/>
  <c r="F1750" i="13"/>
  <c r="F1766" i="13"/>
  <c r="F1782" i="13"/>
  <c r="F1798" i="13"/>
  <c r="F1814" i="13"/>
  <c r="F1830" i="13"/>
  <c r="F1846" i="13"/>
  <c r="F1862" i="13"/>
  <c r="F1878" i="13"/>
  <c r="F1894" i="13"/>
  <c r="F1910" i="13"/>
  <c r="F1926" i="13"/>
  <c r="F1942" i="13"/>
  <c r="F1958" i="13"/>
  <c r="F1974" i="13"/>
  <c r="F1990" i="13"/>
  <c r="F2006" i="13"/>
  <c r="F2022" i="13"/>
  <c r="F2038" i="13"/>
  <c r="F2054" i="13"/>
  <c r="F2070" i="13"/>
  <c r="F988" i="13"/>
  <c r="F1148" i="13"/>
  <c r="F1276" i="13"/>
  <c r="F1420" i="13"/>
  <c r="F1548" i="13"/>
  <c r="F1628" i="13"/>
  <c r="F1724" i="13"/>
  <c r="F1820" i="13"/>
  <c r="F1884" i="13"/>
  <c r="F1932" i="13"/>
  <c r="F2028" i="13"/>
  <c r="F935" i="13"/>
  <c r="F951" i="13"/>
  <c r="F967" i="13"/>
  <c r="F983" i="13"/>
  <c r="F999" i="13"/>
  <c r="F1015" i="13"/>
  <c r="F1031" i="13"/>
  <c r="F1047" i="13"/>
  <c r="F1063" i="13"/>
  <c r="F1079" i="13"/>
  <c r="F1095" i="13"/>
  <c r="F1111" i="13"/>
  <c r="F1127" i="13"/>
  <c r="F1143" i="13"/>
  <c r="F1159" i="13"/>
  <c r="F1175" i="13"/>
  <c r="F1191" i="13"/>
  <c r="F1207" i="13"/>
  <c r="F1223" i="13"/>
  <c r="F1239" i="13"/>
  <c r="F1255" i="13"/>
  <c r="F1271" i="13"/>
  <c r="F1287" i="13"/>
  <c r="F1303" i="13"/>
  <c r="F1319" i="13"/>
  <c r="F1335" i="13"/>
  <c r="F1351" i="13"/>
  <c r="F1367" i="13"/>
  <c r="F1383" i="13"/>
  <c r="F1399" i="13"/>
  <c r="F1415" i="13"/>
  <c r="F1431" i="13"/>
  <c r="F1447" i="13"/>
  <c r="F1463" i="13"/>
  <c r="F1479" i="13"/>
  <c r="F1495" i="13"/>
  <c r="F1511" i="13"/>
  <c r="F1527" i="13"/>
  <c r="F1543" i="13"/>
  <c r="F1559" i="13"/>
  <c r="F1575" i="13"/>
  <c r="F1591" i="13"/>
  <c r="F1607" i="13"/>
  <c r="F1623" i="13"/>
  <c r="F1639" i="13"/>
  <c r="F1655" i="13"/>
  <c r="F1671" i="13"/>
  <c r="F1687" i="13"/>
  <c r="F1703" i="13"/>
  <c r="F1719" i="13"/>
  <c r="F1735" i="13"/>
  <c r="F1751" i="13"/>
  <c r="F1767" i="13"/>
  <c r="F1783" i="13"/>
  <c r="F1799" i="13"/>
  <c r="F1815" i="13"/>
  <c r="F1831" i="13"/>
  <c r="F1847" i="13"/>
  <c r="F1863" i="13"/>
  <c r="F1879" i="13"/>
  <c r="F1895" i="13"/>
  <c r="F1911" i="13"/>
  <c r="F1927" i="13"/>
  <c r="F1943" i="13"/>
  <c r="F1959" i="13"/>
  <c r="F1975" i="13"/>
  <c r="F1991" i="13"/>
  <c r="F2007" i="13"/>
  <c r="F2023" i="13"/>
  <c r="F2039" i="13"/>
  <c r="F2055" i="13"/>
  <c r="F2071" i="13"/>
  <c r="F1020" i="13"/>
  <c r="F1052" i="13"/>
  <c r="F1084" i="13"/>
  <c r="F1164" i="13"/>
  <c r="F1244" i="13"/>
  <c r="F1324" i="13"/>
  <c r="F1436" i="13"/>
  <c r="F1516" i="13"/>
  <c r="F1612" i="13"/>
  <c r="F1676" i="13"/>
  <c r="F1756" i="13"/>
  <c r="F1868" i="13"/>
  <c r="F1964" i="13"/>
  <c r="F936" i="13"/>
  <c r="F952" i="13"/>
  <c r="F968" i="13"/>
  <c r="F984" i="13"/>
  <c r="F1000" i="13"/>
  <c r="F1016" i="13"/>
  <c r="F1032" i="13"/>
  <c r="F1048" i="13"/>
  <c r="F1064" i="13"/>
  <c r="F1080" i="13"/>
  <c r="F1096" i="13"/>
  <c r="F1112" i="13"/>
  <c r="F1128" i="13"/>
  <c r="F1144" i="13"/>
  <c r="F1160" i="13"/>
  <c r="F1176" i="13"/>
  <c r="F1192" i="13"/>
  <c r="F1208" i="13"/>
  <c r="F1224" i="13"/>
  <c r="F1240" i="13"/>
  <c r="F1256" i="13"/>
  <c r="F1272" i="13"/>
  <c r="F1288" i="13"/>
  <c r="F1304" i="13"/>
  <c r="F1320" i="13"/>
  <c r="F1336" i="13"/>
  <c r="F1352" i="13"/>
  <c r="F1368" i="13"/>
  <c r="F1384" i="13"/>
  <c r="F1400" i="13"/>
  <c r="F1416" i="13"/>
  <c r="F1432" i="13"/>
  <c r="F1448" i="13"/>
  <c r="F1464" i="13"/>
  <c r="F1480" i="13"/>
  <c r="F1496" i="13"/>
  <c r="F1512" i="13"/>
  <c r="F1528" i="13"/>
  <c r="F1544" i="13"/>
  <c r="F1560" i="13"/>
  <c r="F1576" i="13"/>
  <c r="F1592" i="13"/>
  <c r="F1608" i="13"/>
  <c r="F1624" i="13"/>
  <c r="F1640" i="13"/>
  <c r="F1656" i="13"/>
  <c r="F1672" i="13"/>
  <c r="F1688" i="13"/>
  <c r="F1704" i="13"/>
  <c r="F1720" i="13"/>
  <c r="F1736" i="13"/>
  <c r="F1752" i="13"/>
  <c r="F1768" i="13"/>
  <c r="F1784" i="13"/>
  <c r="F1800" i="13"/>
  <c r="F1816" i="13"/>
  <c r="F1832" i="13"/>
  <c r="F1848" i="13"/>
  <c r="F1864" i="13"/>
  <c r="F1880" i="13"/>
  <c r="F1896" i="13"/>
  <c r="F1912" i="13"/>
  <c r="F1928" i="13"/>
  <c r="F1944" i="13"/>
  <c r="F1960" i="13"/>
  <c r="F1976" i="13"/>
  <c r="F1992" i="13"/>
  <c r="F2008" i="13"/>
  <c r="F2024" i="13"/>
  <c r="F2040" i="13"/>
  <c r="F2056" i="13"/>
  <c r="F2072" i="13"/>
  <c r="F972" i="13"/>
  <c r="F1100" i="13"/>
  <c r="F1196" i="13"/>
  <c r="F1260" i="13"/>
  <c r="F1356" i="13"/>
  <c r="F1404" i="13"/>
  <c r="F1484" i="13"/>
  <c r="F1580" i="13"/>
  <c r="F1708" i="13"/>
  <c r="F1804" i="13"/>
  <c r="F1900" i="13"/>
  <c r="F1980" i="13"/>
  <c r="F937" i="13"/>
  <c r="F953" i="13"/>
  <c r="F969" i="13"/>
  <c r="F985" i="13"/>
  <c r="F1001" i="13"/>
  <c r="F1017" i="13"/>
  <c r="F1033" i="13"/>
  <c r="F1049" i="13"/>
  <c r="F1065" i="13"/>
  <c r="F1081" i="13"/>
  <c r="F1097" i="13"/>
  <c r="F1113" i="13"/>
  <c r="F1129" i="13"/>
  <c r="F1145" i="13"/>
  <c r="F1161" i="13"/>
  <c r="F1177" i="13"/>
  <c r="F1193" i="13"/>
  <c r="F1209" i="13"/>
  <c r="F1225" i="13"/>
  <c r="F1241" i="13"/>
  <c r="F1257" i="13"/>
  <c r="F1273" i="13"/>
  <c r="F1289" i="13"/>
  <c r="F1305" i="13"/>
  <c r="F1321" i="13"/>
  <c r="F1337" i="13"/>
  <c r="F1353" i="13"/>
  <c r="F1369" i="13"/>
  <c r="F1385" i="13"/>
  <c r="F1401" i="13"/>
  <c r="F1417" i="13"/>
  <c r="F1433" i="13"/>
  <c r="F1449" i="13"/>
  <c r="F1465" i="13"/>
  <c r="F1481" i="13"/>
  <c r="F1497" i="13"/>
  <c r="F1513" i="13"/>
  <c r="F1529" i="13"/>
  <c r="F1545" i="13"/>
  <c r="F1561" i="13"/>
  <c r="F1577" i="13"/>
  <c r="F1593" i="13"/>
  <c r="F1609" i="13"/>
  <c r="F1625" i="13"/>
  <c r="F1641" i="13"/>
  <c r="F1657" i="13"/>
  <c r="F1673" i="13"/>
  <c r="F1689" i="13"/>
  <c r="F1705" i="13"/>
  <c r="F1721" i="13"/>
  <c r="F1737" i="13"/>
  <c r="F1753" i="13"/>
  <c r="F1769" i="13"/>
  <c r="F1785" i="13"/>
  <c r="F1801" i="13"/>
  <c r="F1817" i="13"/>
  <c r="F1833" i="13"/>
  <c r="F1849" i="13"/>
  <c r="F1865" i="13"/>
  <c r="F1881" i="13"/>
  <c r="F1897" i="13"/>
  <c r="F1913" i="13"/>
  <c r="F1929" i="13"/>
  <c r="F1945" i="13"/>
  <c r="F1961" i="13"/>
  <c r="F1977" i="13"/>
  <c r="F1993" i="13"/>
  <c r="F2009" i="13"/>
  <c r="F2025" i="13"/>
  <c r="F2041" i="13"/>
  <c r="F2057" i="13"/>
  <c r="F2073" i="13"/>
  <c r="F1004" i="13"/>
  <c r="F1180" i="13"/>
  <c r="F1292" i="13"/>
  <c r="F1388" i="13"/>
  <c r="F1532" i="13"/>
  <c r="F1644" i="13"/>
  <c r="F1740" i="13"/>
  <c r="F1836" i="13"/>
  <c r="F2012" i="13"/>
  <c r="F938" i="13"/>
  <c r="F954" i="13"/>
  <c r="F970" i="13"/>
  <c r="F986" i="13"/>
  <c r="F1002" i="13"/>
  <c r="F1018" i="13"/>
  <c r="F1034" i="13"/>
  <c r="F1050" i="13"/>
  <c r="F1066" i="13"/>
  <c r="F1082" i="13"/>
  <c r="F1098" i="13"/>
  <c r="F1114" i="13"/>
  <c r="F1130" i="13"/>
  <c r="F1146" i="13"/>
  <c r="F1162" i="13"/>
  <c r="F1178" i="13"/>
  <c r="F1194" i="13"/>
  <c r="F1210" i="13"/>
  <c r="F1226" i="13"/>
  <c r="F1242" i="13"/>
  <c r="F1258" i="13"/>
  <c r="F1274" i="13"/>
  <c r="F1290" i="13"/>
  <c r="F1306" i="13"/>
  <c r="F1322" i="13"/>
  <c r="F1338" i="13"/>
  <c r="F1354" i="13"/>
  <c r="F1370" i="13"/>
  <c r="F1386" i="13"/>
  <c r="F1402" i="13"/>
  <c r="F1418" i="13"/>
  <c r="F1434" i="13"/>
  <c r="F1450" i="13"/>
  <c r="F1466" i="13"/>
  <c r="F1482" i="13"/>
  <c r="F1498" i="13"/>
  <c r="F1514" i="13"/>
  <c r="F1530" i="13"/>
  <c r="F1546" i="13"/>
  <c r="F1562" i="13"/>
  <c r="F1578" i="13"/>
  <c r="F1594" i="13"/>
  <c r="F1610" i="13"/>
  <c r="F1626" i="13"/>
  <c r="F1642" i="13"/>
  <c r="F1658" i="13"/>
  <c r="F1674" i="13"/>
  <c r="F1690" i="13"/>
  <c r="F1706" i="13"/>
  <c r="F1722" i="13"/>
  <c r="F1738" i="13"/>
  <c r="F1754" i="13"/>
  <c r="F1770" i="13"/>
  <c r="F1786" i="13"/>
  <c r="F1802" i="13"/>
  <c r="F1818" i="13"/>
  <c r="F1834" i="13"/>
  <c r="F1850" i="13"/>
  <c r="F1866" i="13"/>
  <c r="F1882" i="13"/>
  <c r="F1898" i="13"/>
  <c r="F1914" i="13"/>
  <c r="F1930" i="13"/>
  <c r="F1946" i="13"/>
  <c r="F1962" i="13"/>
  <c r="F1978" i="13"/>
  <c r="F1994" i="13"/>
  <c r="F2010" i="13"/>
  <c r="F2026" i="13"/>
  <c r="F2042" i="13"/>
  <c r="F2058" i="13"/>
  <c r="F956" i="13"/>
  <c r="F1036" i="13"/>
  <c r="F1068" i="13"/>
  <c r="F1116" i="13"/>
  <c r="F1212" i="13"/>
  <c r="F1308" i="13"/>
  <c r="F1372" i="13"/>
  <c r="F1452" i="13"/>
  <c r="F1500" i="13"/>
  <c r="F1596" i="13"/>
  <c r="F1692" i="13"/>
  <c r="F1772" i="13"/>
  <c r="F1852" i="13"/>
  <c r="F1948" i="13"/>
  <c r="F939" i="13"/>
  <c r="F955" i="13"/>
  <c r="F971" i="13"/>
  <c r="F987" i="13"/>
  <c r="F1003" i="13"/>
  <c r="F1019" i="13"/>
  <c r="F1035" i="13"/>
  <c r="F1051" i="13"/>
  <c r="F1067" i="13"/>
  <c r="F1083" i="13"/>
  <c r="F1099" i="13"/>
  <c r="F1115" i="13"/>
  <c r="F1131" i="13"/>
  <c r="F1147" i="13"/>
  <c r="F1163" i="13"/>
  <c r="F1179" i="13"/>
  <c r="F1195" i="13"/>
  <c r="F1211" i="13"/>
  <c r="F1227" i="13"/>
  <c r="F1243" i="13"/>
  <c r="F1259" i="13"/>
  <c r="F1275" i="13"/>
  <c r="F1291" i="13"/>
  <c r="F1307" i="13"/>
  <c r="F1323" i="13"/>
  <c r="F1339" i="13"/>
  <c r="F1355" i="13"/>
  <c r="F1371" i="13"/>
  <c r="F1387" i="13"/>
  <c r="F1403" i="13"/>
  <c r="F1419" i="13"/>
  <c r="F1435" i="13"/>
  <c r="F1451" i="13"/>
  <c r="F1467" i="13"/>
  <c r="F1483" i="13"/>
  <c r="F1499" i="13"/>
  <c r="F1515" i="13"/>
  <c r="F1531" i="13"/>
  <c r="F1547" i="13"/>
  <c r="F1563" i="13"/>
  <c r="F1579" i="13"/>
  <c r="F1595" i="13"/>
  <c r="F1611" i="13"/>
  <c r="F1627" i="13"/>
  <c r="F1643" i="13"/>
  <c r="F1659" i="13"/>
  <c r="F1675" i="13"/>
  <c r="F1691" i="13"/>
  <c r="F1707" i="13"/>
  <c r="F1723" i="13"/>
  <c r="F1739" i="13"/>
  <c r="F1755" i="13"/>
  <c r="F1771" i="13"/>
  <c r="F1787" i="13"/>
  <c r="F1803" i="13"/>
  <c r="F1819" i="13"/>
  <c r="F1835" i="13"/>
  <c r="F1851" i="13"/>
  <c r="F1867" i="13"/>
  <c r="F1883" i="13"/>
  <c r="F1899" i="13"/>
  <c r="F1915" i="13"/>
  <c r="F1931" i="13"/>
  <c r="F1947" i="13"/>
  <c r="F1963" i="13"/>
  <c r="F1979" i="13"/>
  <c r="F1995" i="13"/>
  <c r="F2011" i="13"/>
  <c r="F2027" i="13"/>
  <c r="F2043" i="13"/>
  <c r="F2059" i="13"/>
  <c r="F940" i="13"/>
  <c r="F1132" i="13"/>
  <c r="F1228" i="13"/>
  <c r="F1340" i="13"/>
  <c r="F1468" i="13"/>
  <c r="F1564" i="13"/>
  <c r="F1660" i="13"/>
  <c r="F1788" i="13"/>
  <c r="F1916" i="13"/>
  <c r="F1996" i="13"/>
  <c r="F942" i="13"/>
  <c r="F965" i="13"/>
  <c r="F995" i="13"/>
  <c r="F1025" i="13"/>
  <c r="F1055" i="13"/>
  <c r="F1085" i="13"/>
  <c r="F1108" i="13"/>
  <c r="F1138" i="13"/>
  <c r="F1168" i="13"/>
  <c r="F1198" i="13"/>
  <c r="F1221" i="13"/>
  <c r="F1251" i="13"/>
  <c r="F1281" i="13"/>
  <c r="F1311" i="13"/>
  <c r="F1341" i="13"/>
  <c r="F1364" i="13"/>
  <c r="F1394" i="13"/>
  <c r="F1424" i="13"/>
  <c r="F1454" i="13"/>
  <c r="F1477" i="13"/>
  <c r="F1507" i="13"/>
  <c r="F1537" i="13"/>
  <c r="F1567" i="13"/>
  <c r="F1597" i="13"/>
  <c r="F1620" i="13"/>
  <c r="F1650" i="13"/>
  <c r="F1680" i="13"/>
  <c r="F1710" i="13"/>
  <c r="F1733" i="13"/>
  <c r="F1763" i="13"/>
  <c r="F1793" i="13"/>
  <c r="F1823" i="13"/>
  <c r="F1853" i="13"/>
  <c r="F1876" i="13"/>
  <c r="F1906" i="13"/>
  <c r="F1936" i="13"/>
  <c r="F1966" i="13"/>
  <c r="F1989" i="13"/>
  <c r="F2019" i="13"/>
  <c r="F2048" i="13"/>
  <c r="F943" i="13"/>
  <c r="F973" i="13"/>
  <c r="F996" i="13"/>
  <c r="F1026" i="13"/>
  <c r="F1056" i="13"/>
  <c r="F1086" i="13"/>
  <c r="F1109" i="13"/>
  <c r="F1139" i="13"/>
  <c r="F1169" i="13"/>
  <c r="F1199" i="13"/>
  <c r="F1229" i="13"/>
  <c r="F1252" i="13"/>
  <c r="F1282" i="13"/>
  <c r="F1312" i="13"/>
  <c r="F1342" i="13"/>
  <c r="F1365" i="13"/>
  <c r="F1395" i="13"/>
  <c r="F1425" i="13"/>
  <c r="F1455" i="13"/>
  <c r="F1485" i="13"/>
  <c r="F1508" i="13"/>
  <c r="F1538" i="13"/>
  <c r="F1568" i="13"/>
  <c r="F1598" i="13"/>
  <c r="F1621" i="13"/>
  <c r="F1651" i="13"/>
  <c r="F1681" i="13"/>
  <c r="F1711" i="13"/>
  <c r="F1741" i="13"/>
  <c r="F1764" i="13"/>
  <c r="F1794" i="13"/>
  <c r="F1824" i="13"/>
  <c r="F1854" i="13"/>
  <c r="F1877" i="13"/>
  <c r="F1907" i="13"/>
  <c r="F1937" i="13"/>
  <c r="F1967" i="13"/>
  <c r="F1997" i="13"/>
  <c r="F2020" i="13"/>
  <c r="F2049" i="13"/>
  <c r="F1714" i="13"/>
  <c r="F1887" i="13"/>
  <c r="F2000" i="13"/>
  <c r="F977" i="13"/>
  <c r="F1037" i="13"/>
  <c r="F1090" i="13"/>
  <c r="F1173" i="13"/>
  <c r="F1263" i="13"/>
  <c r="F1316" i="13"/>
  <c r="F1406" i="13"/>
  <c r="F1489" i="13"/>
  <c r="F1549" i="13"/>
  <c r="F1632" i="13"/>
  <c r="F1715" i="13"/>
  <c r="F1805" i="13"/>
  <c r="F1888" i="13"/>
  <c r="F1941" i="13"/>
  <c r="F2031" i="13"/>
  <c r="F948" i="13"/>
  <c r="F1038" i="13"/>
  <c r="F1121" i="13"/>
  <c r="F1204" i="13"/>
  <c r="F1317" i="13"/>
  <c r="F1407" i="13"/>
  <c r="F1460" i="13"/>
  <c r="F1490" i="13"/>
  <c r="F1550" i="13"/>
  <c r="F1603" i="13"/>
  <c r="F1693" i="13"/>
  <c r="F1806" i="13"/>
  <c r="F1919" i="13"/>
  <c r="F2002" i="13"/>
  <c r="F2060" i="13"/>
  <c r="F944" i="13"/>
  <c r="F974" i="13"/>
  <c r="F997" i="13"/>
  <c r="F1027" i="13"/>
  <c r="F1057" i="13"/>
  <c r="F1087" i="13"/>
  <c r="F1117" i="13"/>
  <c r="F1140" i="13"/>
  <c r="F1170" i="13"/>
  <c r="F1200" i="13"/>
  <c r="F1230" i="13"/>
  <c r="F1253" i="13"/>
  <c r="F1283" i="13"/>
  <c r="F1313" i="13"/>
  <c r="F1343" i="13"/>
  <c r="F1373" i="13"/>
  <c r="F1396" i="13"/>
  <c r="F1426" i="13"/>
  <c r="F1456" i="13"/>
  <c r="F1486" i="13"/>
  <c r="F1509" i="13"/>
  <c r="F1539" i="13"/>
  <c r="F1569" i="13"/>
  <c r="F1599" i="13"/>
  <c r="F1629" i="13"/>
  <c r="F1652" i="13"/>
  <c r="F1682" i="13"/>
  <c r="F1712" i="13"/>
  <c r="F1742" i="13"/>
  <c r="F1765" i="13"/>
  <c r="F1795" i="13"/>
  <c r="F1825" i="13"/>
  <c r="F1855" i="13"/>
  <c r="F1885" i="13"/>
  <c r="F1908" i="13"/>
  <c r="F1938" i="13"/>
  <c r="F1968" i="13"/>
  <c r="F1998" i="13"/>
  <c r="F2021" i="13"/>
  <c r="F2050" i="13"/>
  <c r="F1773" i="13"/>
  <c r="F1856" i="13"/>
  <c r="F1909" i="13"/>
  <c r="F1969" i="13"/>
  <c r="F2029" i="13"/>
  <c r="F976" i="13"/>
  <c r="F1089" i="13"/>
  <c r="F1119" i="13"/>
  <c r="F1172" i="13"/>
  <c r="F1202" i="13"/>
  <c r="F1262" i="13"/>
  <c r="F1285" i="13"/>
  <c r="F1345" i="13"/>
  <c r="F1405" i="13"/>
  <c r="F1458" i="13"/>
  <c r="F1488" i="13"/>
  <c r="F1541" i="13"/>
  <c r="F1601" i="13"/>
  <c r="F1661" i="13"/>
  <c r="F1744" i="13"/>
  <c r="F1797" i="13"/>
  <c r="F1917" i="13"/>
  <c r="F2030" i="13"/>
  <c r="F1007" i="13"/>
  <c r="F1120" i="13"/>
  <c r="F1203" i="13"/>
  <c r="F1293" i="13"/>
  <c r="F1376" i="13"/>
  <c r="F1459" i="13"/>
  <c r="F1572" i="13"/>
  <c r="F1685" i="13"/>
  <c r="F1775" i="13"/>
  <c r="F1858" i="13"/>
  <c r="F1971" i="13"/>
  <c r="F978" i="13"/>
  <c r="F1091" i="13"/>
  <c r="F1181" i="13"/>
  <c r="F1264" i="13"/>
  <c r="F1347" i="13"/>
  <c r="F1437" i="13"/>
  <c r="F1573" i="13"/>
  <c r="F1663" i="13"/>
  <c r="F1776" i="13"/>
  <c r="F1859" i="13"/>
  <c r="F1949" i="13"/>
  <c r="F945" i="13"/>
  <c r="F975" i="13"/>
  <c r="F1005" i="13"/>
  <c r="F1028" i="13"/>
  <c r="F1058" i="13"/>
  <c r="F1088" i="13"/>
  <c r="F1118" i="13"/>
  <c r="F1141" i="13"/>
  <c r="F1171" i="13"/>
  <c r="F1201" i="13"/>
  <c r="F1231" i="13"/>
  <c r="F1261" i="13"/>
  <c r="F1284" i="13"/>
  <c r="F1314" i="13"/>
  <c r="F1344" i="13"/>
  <c r="F1374" i="13"/>
  <c r="F1397" i="13"/>
  <c r="F1427" i="13"/>
  <c r="F1457" i="13"/>
  <c r="F1487" i="13"/>
  <c r="F1517" i="13"/>
  <c r="F1540" i="13"/>
  <c r="F1570" i="13"/>
  <c r="F1600" i="13"/>
  <c r="F1630" i="13"/>
  <c r="F1653" i="13"/>
  <c r="F1683" i="13"/>
  <c r="F1713" i="13"/>
  <c r="F1743" i="13"/>
  <c r="F1796" i="13"/>
  <c r="F1826" i="13"/>
  <c r="F1886" i="13"/>
  <c r="F1939" i="13"/>
  <c r="F1999" i="13"/>
  <c r="F2051" i="13"/>
  <c r="F946" i="13"/>
  <c r="F1006" i="13"/>
  <c r="F1029" i="13"/>
  <c r="F1059" i="13"/>
  <c r="F1149" i="13"/>
  <c r="F1232" i="13"/>
  <c r="F1315" i="13"/>
  <c r="F1375" i="13"/>
  <c r="F1428" i="13"/>
  <c r="F1518" i="13"/>
  <c r="F1571" i="13"/>
  <c r="F1631" i="13"/>
  <c r="F1684" i="13"/>
  <c r="F1774" i="13"/>
  <c r="F1827" i="13"/>
  <c r="F1857" i="13"/>
  <c r="F1940" i="13"/>
  <c r="F1970" i="13"/>
  <c r="F2052" i="13"/>
  <c r="F947" i="13"/>
  <c r="F1060" i="13"/>
  <c r="F1150" i="13"/>
  <c r="F1233" i="13"/>
  <c r="F1346" i="13"/>
  <c r="F1429" i="13"/>
  <c r="F1519" i="13"/>
  <c r="F1602" i="13"/>
  <c r="F1662" i="13"/>
  <c r="F1745" i="13"/>
  <c r="F1828" i="13"/>
  <c r="F1918" i="13"/>
  <c r="F2001" i="13"/>
  <c r="F2053" i="13"/>
  <c r="F1008" i="13"/>
  <c r="F1061" i="13"/>
  <c r="F1151" i="13"/>
  <c r="F1234" i="13"/>
  <c r="F1294" i="13"/>
  <c r="F1377" i="13"/>
  <c r="F1520" i="13"/>
  <c r="F1633" i="13"/>
  <c r="F1716" i="13"/>
  <c r="F1746" i="13"/>
  <c r="F1829" i="13"/>
  <c r="F1889" i="13"/>
  <c r="F1972" i="13"/>
  <c r="F941" i="13"/>
  <c r="F992" i="13"/>
  <c r="F1043" i="13"/>
  <c r="F1101" i="13"/>
  <c r="F1152" i="13"/>
  <c r="F1189" i="13"/>
  <c r="F1247" i="13"/>
  <c r="F1298" i="13"/>
  <c r="F1349" i="13"/>
  <c r="F1393" i="13"/>
  <c r="F1444" i="13"/>
  <c r="F1502" i="13"/>
  <c r="F1553" i="13"/>
  <c r="F1604" i="13"/>
  <c r="F1648" i="13"/>
  <c r="F1699" i="13"/>
  <c r="F1757" i="13"/>
  <c r="F1808" i="13"/>
  <c r="F1845" i="13"/>
  <c r="F1903" i="13"/>
  <c r="F1954" i="13"/>
  <c r="F2005" i="13"/>
  <c r="F2047" i="13"/>
  <c r="F2061" i="13"/>
  <c r="F957" i="13"/>
  <c r="F1300" i="13"/>
  <c r="F1504" i="13"/>
  <c r="F1613" i="13"/>
  <c r="F1701" i="13"/>
  <c r="F1905" i="13"/>
  <c r="F2062" i="13"/>
  <c r="F1301" i="13"/>
  <c r="F1410" i="13"/>
  <c r="F1505" i="13"/>
  <c r="F1614" i="13"/>
  <c r="F1709" i="13"/>
  <c r="F1811" i="13"/>
  <c r="F1957" i="13"/>
  <c r="F2063" i="13"/>
  <c r="F1070" i="13"/>
  <c r="F1362" i="13"/>
  <c r="F1522" i="13"/>
  <c r="F1566" i="13"/>
  <c r="F1668" i="13"/>
  <c r="F1821" i="13"/>
  <c r="F1981" i="13"/>
  <c r="F962" i="13"/>
  <c r="F1326" i="13"/>
  <c r="F1523" i="13"/>
  <c r="F1727" i="13"/>
  <c r="F1778" i="13"/>
  <c r="F1982" i="13"/>
  <c r="F963" i="13"/>
  <c r="F1327" i="13"/>
  <c r="F1473" i="13"/>
  <c r="F1728" i="13"/>
  <c r="F1925" i="13"/>
  <c r="F2068" i="13"/>
  <c r="F1182" i="13"/>
  <c r="F1277" i="13"/>
  <c r="F1474" i="13"/>
  <c r="F1678" i="13"/>
  <c r="F1933" i="13"/>
  <c r="F1023" i="13"/>
  <c r="F1278" i="13"/>
  <c r="F1475" i="13"/>
  <c r="F1635" i="13"/>
  <c r="F1839" i="13"/>
  <c r="F2035" i="13"/>
  <c r="F1075" i="13"/>
  <c r="F1184" i="13"/>
  <c r="F1330" i="13"/>
  <c r="F1636" i="13"/>
  <c r="F1789" i="13"/>
  <c r="F1935" i="13"/>
  <c r="F981" i="13"/>
  <c r="F1134" i="13"/>
  <c r="F1280" i="13"/>
  <c r="F1491" i="13"/>
  <c r="F1732" i="13"/>
  <c r="F1950" i="13"/>
  <c r="F989" i="13"/>
  <c r="F1390" i="13"/>
  <c r="F1536" i="13"/>
  <c r="F1696" i="13"/>
  <c r="F949" i="13"/>
  <c r="F993" i="13"/>
  <c r="F1044" i="13"/>
  <c r="F1102" i="13"/>
  <c r="F1153" i="13"/>
  <c r="F1197" i="13"/>
  <c r="F1248" i="13"/>
  <c r="F1299" i="13"/>
  <c r="F1357" i="13"/>
  <c r="F1408" i="13"/>
  <c r="F1445" i="13"/>
  <c r="F1503" i="13"/>
  <c r="F1554" i="13"/>
  <c r="F1605" i="13"/>
  <c r="F1649" i="13"/>
  <c r="F1700" i="13"/>
  <c r="F1758" i="13"/>
  <c r="F1809" i="13"/>
  <c r="F1860" i="13"/>
  <c r="F1904" i="13"/>
  <c r="F1955" i="13"/>
  <c r="F2013" i="13"/>
  <c r="F994" i="13"/>
  <c r="F1045" i="13"/>
  <c r="F1154" i="13"/>
  <c r="F1205" i="13"/>
  <c r="F1249" i="13"/>
  <c r="F1358" i="13"/>
  <c r="F1409" i="13"/>
  <c r="F1453" i="13"/>
  <c r="F1555" i="13"/>
  <c r="F1664" i="13"/>
  <c r="F1759" i="13"/>
  <c r="F1861" i="13"/>
  <c r="F1956" i="13"/>
  <c r="F2014" i="13"/>
  <c r="F1250" i="13"/>
  <c r="F1461" i="13"/>
  <c r="F1556" i="13"/>
  <c r="F1665" i="13"/>
  <c r="F1760" i="13"/>
  <c r="F1920" i="13"/>
  <c r="F2015" i="13"/>
  <c r="F1107" i="13"/>
  <c r="F1777" i="13"/>
  <c r="F1122" i="13"/>
  <c r="F1581" i="13"/>
  <c r="F1873" i="13"/>
  <c r="F1072" i="13"/>
  <c r="F1167" i="13"/>
  <c r="F1378" i="13"/>
  <c r="F1582" i="13"/>
  <c r="F1779" i="13"/>
  <c r="F1983" i="13"/>
  <c r="F1073" i="13"/>
  <c r="F1423" i="13"/>
  <c r="F1634" i="13"/>
  <c r="F1838" i="13"/>
  <c r="F2069" i="13"/>
  <c r="F1125" i="13"/>
  <c r="F1183" i="13"/>
  <c r="F1380" i="13"/>
  <c r="F1533" i="13"/>
  <c r="F1730" i="13"/>
  <c r="F1890" i="13"/>
  <c r="F1024" i="13"/>
  <c r="F1476" i="13"/>
  <c r="F1731" i="13"/>
  <c r="F1986" i="13"/>
  <c r="F1076" i="13"/>
  <c r="F1236" i="13"/>
  <c r="F1389" i="13"/>
  <c r="F1695" i="13"/>
  <c r="F1841" i="13"/>
  <c r="F1987" i="13"/>
  <c r="F1040" i="13"/>
  <c r="F1186" i="13"/>
  <c r="F1441" i="13"/>
  <c r="F1587" i="13"/>
  <c r="F1747" i="13"/>
  <c r="F1893" i="13"/>
  <c r="F1103" i="13"/>
  <c r="F1810" i="13"/>
  <c r="F1872" i="13"/>
  <c r="F1166" i="13"/>
  <c r="F1022" i="13"/>
  <c r="F1439" i="13"/>
  <c r="F1586" i="13"/>
  <c r="F958" i="13"/>
  <c r="F1009" i="13"/>
  <c r="F1053" i="13"/>
  <c r="F1104" i="13"/>
  <c r="F1155" i="13"/>
  <c r="F1213" i="13"/>
  <c r="F1359" i="13"/>
  <c r="F1869" i="13"/>
  <c r="F1923" i="13"/>
  <c r="F1217" i="13"/>
  <c r="F964" i="13"/>
  <c r="F1381" i="13"/>
  <c r="F1535" i="13"/>
  <c r="F959" i="13"/>
  <c r="F1010" i="13"/>
  <c r="F1054" i="13"/>
  <c r="F1105" i="13"/>
  <c r="F1156" i="13"/>
  <c r="F1214" i="13"/>
  <c r="F1265" i="13"/>
  <c r="F1309" i="13"/>
  <c r="F1360" i="13"/>
  <c r="F1411" i="13"/>
  <c r="F1469" i="13"/>
  <c r="F1506" i="13"/>
  <c r="F1557" i="13"/>
  <c r="F1615" i="13"/>
  <c r="F1666" i="13"/>
  <c r="F1717" i="13"/>
  <c r="F1761" i="13"/>
  <c r="F1812" i="13"/>
  <c r="F1870" i="13"/>
  <c r="F1921" i="13"/>
  <c r="F1965" i="13"/>
  <c r="F2016" i="13"/>
  <c r="F2064" i="13"/>
  <c r="F1106" i="13"/>
  <c r="F1361" i="13"/>
  <c r="F1470" i="13"/>
  <c r="F1565" i="13"/>
  <c r="F1667" i="13"/>
  <c r="F1725" i="13"/>
  <c r="F1813" i="13"/>
  <c r="F1922" i="13"/>
  <c r="F2017" i="13"/>
  <c r="F961" i="13"/>
  <c r="F1216" i="13"/>
  <c r="F1325" i="13"/>
  <c r="F1471" i="13"/>
  <c r="F1617" i="13"/>
  <c r="F2018" i="13"/>
  <c r="F1013" i="13"/>
  <c r="F1421" i="13"/>
  <c r="F1669" i="13"/>
  <c r="F1924" i="13"/>
  <c r="F2067" i="13"/>
  <c r="F1123" i="13"/>
  <c r="F1218" i="13"/>
  <c r="F1422" i="13"/>
  <c r="F1619" i="13"/>
  <c r="F1874" i="13"/>
  <c r="F1219" i="13"/>
  <c r="F1328" i="13"/>
  <c r="F1525" i="13"/>
  <c r="F1729" i="13"/>
  <c r="F1875" i="13"/>
  <c r="F2034" i="13"/>
  <c r="F1074" i="13"/>
  <c r="F1220" i="13"/>
  <c r="F1438" i="13"/>
  <c r="F1679" i="13"/>
  <c r="F1985" i="13"/>
  <c r="F1133" i="13"/>
  <c r="F1235" i="13"/>
  <c r="F1534" i="13"/>
  <c r="F1694" i="13"/>
  <c r="F960" i="13"/>
  <c r="F1011" i="13"/>
  <c r="F1069" i="13"/>
  <c r="F1157" i="13"/>
  <c r="F1215" i="13"/>
  <c r="F1266" i="13"/>
  <c r="F1310" i="13"/>
  <c r="F1412" i="13"/>
  <c r="F1521" i="13"/>
  <c r="F1616" i="13"/>
  <c r="F1762" i="13"/>
  <c r="F1871" i="13"/>
  <c r="F1973" i="13"/>
  <c r="F2065" i="13"/>
  <c r="F1012" i="13"/>
  <c r="F1165" i="13"/>
  <c r="F1267" i="13"/>
  <c r="F1413" i="13"/>
  <c r="F1726" i="13"/>
  <c r="F2066" i="13"/>
  <c r="F1071" i="13"/>
  <c r="F1268" i="13"/>
  <c r="F1363" i="13"/>
  <c r="F1472" i="13"/>
  <c r="F1618" i="13"/>
  <c r="F1822" i="13"/>
  <c r="F2032" i="13"/>
  <c r="F1021" i="13"/>
  <c r="F1269" i="13"/>
  <c r="F1524" i="13"/>
  <c r="F1677" i="13"/>
  <c r="F1837" i="13"/>
  <c r="F2033" i="13"/>
  <c r="F1124" i="13"/>
  <c r="F1379" i="13"/>
  <c r="F1583" i="13"/>
  <c r="F1780" i="13"/>
  <c r="F1984" i="13"/>
  <c r="F979" i="13"/>
  <c r="F1329" i="13"/>
  <c r="F1584" i="13"/>
  <c r="F1781" i="13"/>
  <c r="F1934" i="13"/>
  <c r="F980" i="13"/>
  <c r="F1279" i="13"/>
  <c r="F1585" i="13"/>
  <c r="F1840" i="13"/>
  <c r="F2036" i="13"/>
  <c r="F1039" i="13"/>
  <c r="F1185" i="13"/>
  <c r="F1331" i="13"/>
  <c r="F1440" i="13"/>
  <c r="F1637" i="13"/>
  <c r="F1790" i="13"/>
  <c r="F1892" i="13"/>
  <c r="F2037" i="13"/>
  <c r="F1077" i="13"/>
  <c r="F1135" i="13"/>
  <c r="F1332" i="13"/>
  <c r="F1492" i="13"/>
  <c r="F1645" i="13"/>
  <c r="F1842" i="13"/>
  <c r="F991" i="13"/>
  <c r="F1348" i="13"/>
  <c r="F1749" i="13"/>
  <c r="F2045" i="13"/>
  <c r="F1041" i="13"/>
  <c r="F1391" i="13"/>
  <c r="F1791" i="13"/>
  <c r="F2046" i="13"/>
  <c r="F1392" i="13"/>
  <c r="F1792" i="13"/>
  <c r="F1092" i="13"/>
  <c r="F1442" i="13"/>
  <c r="F1807" i="13"/>
  <c r="F1093" i="13"/>
  <c r="F1443" i="13"/>
  <c r="F1843" i="13"/>
  <c r="F1493" i="13"/>
  <c r="F1501" i="13"/>
  <c r="F1187" i="13"/>
  <c r="F1902" i="13"/>
  <c r="F1588" i="13"/>
  <c r="F1951" i="13"/>
  <c r="F1245" i="13"/>
  <c r="F1646" i="13"/>
  <c r="F1647" i="13"/>
  <c r="F1988" i="13"/>
  <c r="F2003" i="13"/>
  <c r="F1297" i="13"/>
  <c r="F1333" i="13"/>
  <c r="F1042" i="13"/>
  <c r="F1136" i="13"/>
  <c r="F1137" i="13"/>
  <c r="F1891" i="13"/>
  <c r="F1901" i="13"/>
  <c r="F1188" i="13"/>
  <c r="F1589" i="13"/>
  <c r="F1953" i="13"/>
  <c r="F1296" i="13"/>
  <c r="F990" i="13"/>
  <c r="F1844" i="13"/>
  <c r="F1551" i="13"/>
  <c r="F1552" i="13"/>
  <c r="F1237" i="13"/>
  <c r="F1952" i="13"/>
  <c r="F1246" i="13"/>
  <c r="F1295" i="13"/>
  <c r="F1697" i="13"/>
  <c r="F1698" i="13"/>
  <c r="F2004" i="13"/>
  <c r="F1748" i="13"/>
  <c r="F2044" i="13"/>
  <c r="F874" i="13"/>
  <c r="F890" i="13"/>
  <c r="F906" i="13"/>
  <c r="F922" i="13"/>
  <c r="F875" i="13"/>
  <c r="F891" i="13"/>
  <c r="F907" i="13"/>
  <c r="F923" i="13"/>
  <c r="F876" i="13"/>
  <c r="F892" i="13"/>
  <c r="F908" i="13"/>
  <c r="F924" i="13"/>
  <c r="F897" i="13"/>
  <c r="F929" i="13"/>
  <c r="F882" i="13"/>
  <c r="F915" i="13"/>
  <c r="F931" i="13"/>
  <c r="F900" i="13"/>
  <c r="F932" i="13"/>
  <c r="F885" i="13"/>
  <c r="F918" i="13"/>
  <c r="F904" i="13"/>
  <c r="F889" i="13"/>
  <c r="F877" i="13"/>
  <c r="F893" i="13"/>
  <c r="F909" i="13"/>
  <c r="F925" i="13"/>
  <c r="F894" i="13"/>
  <c r="F895" i="13"/>
  <c r="F927" i="13"/>
  <c r="F880" i="13"/>
  <c r="F912" i="13"/>
  <c r="F928" i="13"/>
  <c r="F881" i="13"/>
  <c r="F914" i="13"/>
  <c r="F930" i="13"/>
  <c r="F899" i="13"/>
  <c r="F884" i="13"/>
  <c r="F901" i="13"/>
  <c r="F933" i="13"/>
  <c r="F902" i="13"/>
  <c r="F887" i="13"/>
  <c r="F888" i="13"/>
  <c r="F921" i="13"/>
  <c r="F878" i="13"/>
  <c r="F910" i="13"/>
  <c r="F926" i="13"/>
  <c r="F879" i="13"/>
  <c r="F911" i="13"/>
  <c r="F896" i="13"/>
  <c r="F913" i="13"/>
  <c r="F898" i="13"/>
  <c r="F883" i="13"/>
  <c r="F916" i="13"/>
  <c r="F917" i="13"/>
  <c r="F886" i="13"/>
  <c r="F903" i="13"/>
  <c r="F919" i="13"/>
  <c r="F920" i="13"/>
  <c r="F905" i="13"/>
  <c r="F684" i="13"/>
  <c r="F700" i="13"/>
  <c r="F716" i="13"/>
  <c r="F732" i="13"/>
  <c r="F748" i="13"/>
  <c r="F764" i="13"/>
  <c r="F780" i="13"/>
  <c r="F796" i="13"/>
  <c r="F812" i="13"/>
  <c r="F828" i="13"/>
  <c r="F844" i="13"/>
  <c r="F860" i="13"/>
  <c r="F689" i="13"/>
  <c r="F722" i="13"/>
  <c r="F834" i="13"/>
  <c r="F691" i="13"/>
  <c r="F755" i="13"/>
  <c r="F803" i="13"/>
  <c r="F835" i="13"/>
  <c r="F724" i="13"/>
  <c r="F772" i="13"/>
  <c r="F836" i="13"/>
  <c r="F741" i="13"/>
  <c r="F789" i="13"/>
  <c r="F869" i="13"/>
  <c r="F726" i="13"/>
  <c r="F762" i="13"/>
  <c r="F699" i="13"/>
  <c r="F859" i="13"/>
  <c r="F685" i="13"/>
  <c r="F701" i="13"/>
  <c r="F717" i="13"/>
  <c r="F733" i="13"/>
  <c r="F749" i="13"/>
  <c r="F765" i="13"/>
  <c r="F781" i="13"/>
  <c r="F797" i="13"/>
  <c r="F813" i="13"/>
  <c r="F829" i="13"/>
  <c r="F845" i="13"/>
  <c r="F861" i="13"/>
  <c r="F721" i="13"/>
  <c r="F738" i="13"/>
  <c r="F802" i="13"/>
  <c r="F866" i="13"/>
  <c r="F758" i="13"/>
  <c r="F790" i="13"/>
  <c r="F838" i="13"/>
  <c r="F711" i="13"/>
  <c r="F775" i="13"/>
  <c r="F823" i="13"/>
  <c r="F871" i="13"/>
  <c r="F696" i="13"/>
  <c r="F776" i="13"/>
  <c r="F808" i="13"/>
  <c r="F824" i="13"/>
  <c r="F729" i="13"/>
  <c r="F761" i="13"/>
  <c r="F793" i="13"/>
  <c r="F841" i="13"/>
  <c r="F873" i="13"/>
  <c r="F730" i="13"/>
  <c r="F778" i="13"/>
  <c r="F810" i="13"/>
  <c r="F858" i="13"/>
  <c r="F731" i="13"/>
  <c r="F779" i="13"/>
  <c r="F827" i="13"/>
  <c r="F686" i="13"/>
  <c r="F702" i="13"/>
  <c r="F718" i="13"/>
  <c r="F734" i="13"/>
  <c r="F750" i="13"/>
  <c r="F766" i="13"/>
  <c r="F782" i="13"/>
  <c r="F798" i="13"/>
  <c r="F814" i="13"/>
  <c r="F830" i="13"/>
  <c r="F846" i="13"/>
  <c r="F862" i="13"/>
  <c r="F705" i="13"/>
  <c r="F769" i="13"/>
  <c r="F801" i="13"/>
  <c r="F833" i="13"/>
  <c r="F865" i="13"/>
  <c r="F690" i="13"/>
  <c r="F770" i="13"/>
  <c r="F818" i="13"/>
  <c r="F707" i="13"/>
  <c r="F739" i="13"/>
  <c r="F771" i="13"/>
  <c r="F819" i="13"/>
  <c r="F867" i="13"/>
  <c r="F692" i="13"/>
  <c r="F756" i="13"/>
  <c r="F804" i="13"/>
  <c r="F852" i="13"/>
  <c r="F709" i="13"/>
  <c r="F757" i="13"/>
  <c r="F805" i="13"/>
  <c r="F853" i="13"/>
  <c r="F694" i="13"/>
  <c r="F822" i="13"/>
  <c r="F759" i="13"/>
  <c r="F744" i="13"/>
  <c r="F872" i="13"/>
  <c r="F697" i="13"/>
  <c r="F857" i="13"/>
  <c r="F746" i="13"/>
  <c r="F763" i="13"/>
  <c r="F687" i="13"/>
  <c r="F703" i="13"/>
  <c r="F719" i="13"/>
  <c r="F735" i="13"/>
  <c r="F751" i="13"/>
  <c r="F767" i="13"/>
  <c r="F783" i="13"/>
  <c r="F799" i="13"/>
  <c r="F815" i="13"/>
  <c r="F831" i="13"/>
  <c r="F847" i="13"/>
  <c r="F863" i="13"/>
  <c r="F753" i="13"/>
  <c r="F785" i="13"/>
  <c r="F817" i="13"/>
  <c r="F849" i="13"/>
  <c r="F706" i="13"/>
  <c r="F754" i="13"/>
  <c r="F786" i="13"/>
  <c r="F850" i="13"/>
  <c r="F723" i="13"/>
  <c r="F787" i="13"/>
  <c r="F851" i="13"/>
  <c r="F708" i="13"/>
  <c r="F788" i="13"/>
  <c r="F868" i="13"/>
  <c r="F725" i="13"/>
  <c r="F773" i="13"/>
  <c r="F837" i="13"/>
  <c r="F742" i="13"/>
  <c r="F806" i="13"/>
  <c r="F870" i="13"/>
  <c r="F727" i="13"/>
  <c r="F807" i="13"/>
  <c r="F728" i="13"/>
  <c r="F856" i="13"/>
  <c r="F713" i="13"/>
  <c r="F809" i="13"/>
  <c r="F698" i="13"/>
  <c r="F826" i="13"/>
  <c r="F715" i="13"/>
  <c r="F811" i="13"/>
  <c r="F688" i="13"/>
  <c r="F704" i="13"/>
  <c r="F720" i="13"/>
  <c r="F736" i="13"/>
  <c r="F752" i="13"/>
  <c r="F768" i="13"/>
  <c r="F784" i="13"/>
  <c r="F800" i="13"/>
  <c r="F816" i="13"/>
  <c r="F832" i="13"/>
  <c r="F848" i="13"/>
  <c r="F864" i="13"/>
  <c r="F737" i="13"/>
  <c r="F740" i="13"/>
  <c r="F820" i="13"/>
  <c r="F693" i="13"/>
  <c r="F821" i="13"/>
  <c r="F710" i="13"/>
  <c r="F774" i="13"/>
  <c r="F854" i="13"/>
  <c r="F695" i="13"/>
  <c r="F791" i="13"/>
  <c r="F839" i="13"/>
  <c r="F855" i="13"/>
  <c r="F712" i="13"/>
  <c r="F760" i="13"/>
  <c r="F792" i="13"/>
  <c r="F840" i="13"/>
  <c r="F745" i="13"/>
  <c r="F777" i="13"/>
  <c r="F825" i="13"/>
  <c r="F714" i="13"/>
  <c r="F794" i="13"/>
  <c r="F842" i="13"/>
  <c r="F747" i="13"/>
  <c r="F795" i="13"/>
  <c r="F843" i="13"/>
  <c r="F743" i="13"/>
  <c r="F674" i="13"/>
  <c r="F683" i="13"/>
  <c r="F675" i="13"/>
  <c r="F682" i="13"/>
  <c r="F676" i="13"/>
  <c r="F677" i="13"/>
  <c r="F678" i="13"/>
  <c r="F679" i="13"/>
  <c r="F680" i="13"/>
  <c r="F681" i="13"/>
  <c r="F374" i="13"/>
  <c r="F390" i="13"/>
  <c r="F406" i="13"/>
  <c r="F422" i="13"/>
  <c r="F438" i="13"/>
  <c r="F454" i="13"/>
  <c r="F470" i="13"/>
  <c r="F486" i="13"/>
  <c r="F502" i="13"/>
  <c r="F518" i="13"/>
  <c r="F534" i="13"/>
  <c r="F550" i="13"/>
  <c r="F566" i="13"/>
  <c r="F582" i="13"/>
  <c r="F598" i="13"/>
  <c r="F614" i="13"/>
  <c r="F630" i="13"/>
  <c r="F646" i="13"/>
  <c r="F662" i="13"/>
  <c r="F636" i="13"/>
  <c r="F429" i="13"/>
  <c r="F621" i="13"/>
  <c r="F414" i="13"/>
  <c r="F590" i="13"/>
  <c r="F447" i="13"/>
  <c r="F639" i="13"/>
  <c r="F384" i="13"/>
  <c r="F592" i="13"/>
  <c r="F385" i="13"/>
  <c r="F593" i="13"/>
  <c r="F386" i="13"/>
  <c r="F578" i="13"/>
  <c r="F451" i="13"/>
  <c r="F515" i="13"/>
  <c r="F611" i="13"/>
  <c r="F388" i="13"/>
  <c r="F548" i="13"/>
  <c r="F644" i="13"/>
  <c r="F437" i="13"/>
  <c r="F597" i="13"/>
  <c r="F375" i="13"/>
  <c r="F391" i="13"/>
  <c r="F407" i="13"/>
  <c r="F423" i="13"/>
  <c r="F439" i="13"/>
  <c r="F455" i="13"/>
  <c r="F471" i="13"/>
  <c r="F487" i="13"/>
  <c r="F503" i="13"/>
  <c r="F519" i="13"/>
  <c r="F535" i="13"/>
  <c r="F551" i="13"/>
  <c r="F567" i="13"/>
  <c r="F583" i="13"/>
  <c r="F599" i="13"/>
  <c r="F615" i="13"/>
  <c r="F631" i="13"/>
  <c r="F647" i="13"/>
  <c r="F663" i="13"/>
  <c r="F573" i="13"/>
  <c r="F462" i="13"/>
  <c r="F463" i="13"/>
  <c r="F607" i="13"/>
  <c r="F465" i="13"/>
  <c r="F466" i="13"/>
  <c r="F658" i="13"/>
  <c r="F419" i="13"/>
  <c r="F547" i="13"/>
  <c r="F659" i="13"/>
  <c r="F452" i="13"/>
  <c r="F484" i="13"/>
  <c r="F532" i="13"/>
  <c r="F580" i="13"/>
  <c r="F660" i="13"/>
  <c r="F405" i="13"/>
  <c r="F565" i="13"/>
  <c r="F376" i="13"/>
  <c r="F392" i="13"/>
  <c r="F408" i="13"/>
  <c r="F424" i="13"/>
  <c r="F440" i="13"/>
  <c r="F456" i="13"/>
  <c r="F472" i="13"/>
  <c r="F488" i="13"/>
  <c r="F504" i="13"/>
  <c r="F520" i="13"/>
  <c r="F536" i="13"/>
  <c r="F552" i="13"/>
  <c r="F568" i="13"/>
  <c r="F584" i="13"/>
  <c r="F600" i="13"/>
  <c r="F616" i="13"/>
  <c r="F632" i="13"/>
  <c r="F648" i="13"/>
  <c r="F664" i="13"/>
  <c r="F557" i="13"/>
  <c r="F478" i="13"/>
  <c r="F479" i="13"/>
  <c r="F623" i="13"/>
  <c r="F400" i="13"/>
  <c r="F482" i="13"/>
  <c r="F435" i="13"/>
  <c r="F483" i="13"/>
  <c r="F595" i="13"/>
  <c r="F436" i="13"/>
  <c r="F500" i="13"/>
  <c r="F564" i="13"/>
  <c r="F612" i="13"/>
  <c r="F421" i="13"/>
  <c r="F533" i="13"/>
  <c r="F645" i="13"/>
  <c r="F377" i="13"/>
  <c r="F393" i="13"/>
  <c r="F409" i="13"/>
  <c r="F425" i="13"/>
  <c r="F441" i="13"/>
  <c r="F457" i="13"/>
  <c r="F473" i="13"/>
  <c r="F489" i="13"/>
  <c r="F505" i="13"/>
  <c r="F521" i="13"/>
  <c r="F537" i="13"/>
  <c r="F553" i="13"/>
  <c r="F569" i="13"/>
  <c r="F585" i="13"/>
  <c r="F601" i="13"/>
  <c r="F617" i="13"/>
  <c r="F633" i="13"/>
  <c r="F649" i="13"/>
  <c r="F665" i="13"/>
  <c r="F603" i="13"/>
  <c r="F397" i="13"/>
  <c r="F541" i="13"/>
  <c r="F669" i="13"/>
  <c r="F446" i="13"/>
  <c r="F494" i="13"/>
  <c r="F558" i="13"/>
  <c r="F606" i="13"/>
  <c r="F670" i="13"/>
  <c r="F431" i="13"/>
  <c r="F527" i="13"/>
  <c r="F591" i="13"/>
  <c r="F671" i="13"/>
  <c r="F416" i="13"/>
  <c r="F528" i="13"/>
  <c r="F608" i="13"/>
  <c r="F672" i="13"/>
  <c r="F433" i="13"/>
  <c r="F481" i="13"/>
  <c r="F545" i="13"/>
  <c r="F609" i="13"/>
  <c r="F673" i="13"/>
  <c r="F434" i="13"/>
  <c r="F530" i="13"/>
  <c r="F610" i="13"/>
  <c r="F467" i="13"/>
  <c r="F499" i="13"/>
  <c r="F579" i="13"/>
  <c r="F420" i="13"/>
  <c r="F628" i="13"/>
  <c r="F453" i="13"/>
  <c r="F501" i="13"/>
  <c r="F613" i="13"/>
  <c r="F378" i="13"/>
  <c r="F394" i="13"/>
  <c r="F410" i="13"/>
  <c r="F426" i="13"/>
  <c r="F442" i="13"/>
  <c r="F458" i="13"/>
  <c r="F474" i="13"/>
  <c r="F490" i="13"/>
  <c r="F506" i="13"/>
  <c r="F522" i="13"/>
  <c r="F538" i="13"/>
  <c r="F554" i="13"/>
  <c r="F570" i="13"/>
  <c r="F586" i="13"/>
  <c r="F602" i="13"/>
  <c r="F618" i="13"/>
  <c r="F634" i="13"/>
  <c r="F650" i="13"/>
  <c r="F666" i="13"/>
  <c r="F619" i="13"/>
  <c r="F413" i="13"/>
  <c r="F509" i="13"/>
  <c r="F605" i="13"/>
  <c r="F637" i="13"/>
  <c r="F398" i="13"/>
  <c r="F542" i="13"/>
  <c r="F654" i="13"/>
  <c r="F383" i="13"/>
  <c r="F511" i="13"/>
  <c r="F575" i="13"/>
  <c r="F432" i="13"/>
  <c r="F496" i="13"/>
  <c r="F576" i="13"/>
  <c r="F656" i="13"/>
  <c r="F417" i="13"/>
  <c r="F529" i="13"/>
  <c r="F625" i="13"/>
  <c r="F418" i="13"/>
  <c r="F498" i="13"/>
  <c r="F546" i="13"/>
  <c r="F594" i="13"/>
  <c r="F642" i="13"/>
  <c r="F387" i="13"/>
  <c r="F563" i="13"/>
  <c r="F643" i="13"/>
  <c r="F404" i="13"/>
  <c r="F516" i="13"/>
  <c r="F596" i="13"/>
  <c r="F469" i="13"/>
  <c r="F581" i="13"/>
  <c r="F379" i="13"/>
  <c r="F395" i="13"/>
  <c r="F411" i="13"/>
  <c r="F427" i="13"/>
  <c r="F443" i="13"/>
  <c r="F459" i="13"/>
  <c r="F475" i="13"/>
  <c r="F491" i="13"/>
  <c r="F507" i="13"/>
  <c r="F523" i="13"/>
  <c r="F539" i="13"/>
  <c r="F555" i="13"/>
  <c r="F571" i="13"/>
  <c r="F587" i="13"/>
  <c r="F635" i="13"/>
  <c r="F651" i="13"/>
  <c r="F667" i="13"/>
  <c r="F652" i="13"/>
  <c r="F445" i="13"/>
  <c r="F430" i="13"/>
  <c r="F510" i="13"/>
  <c r="F574" i="13"/>
  <c r="F622" i="13"/>
  <c r="F415" i="13"/>
  <c r="F543" i="13"/>
  <c r="F655" i="13"/>
  <c r="F464" i="13"/>
  <c r="F512" i="13"/>
  <c r="F560" i="13"/>
  <c r="F624" i="13"/>
  <c r="F449" i="13"/>
  <c r="F497" i="13"/>
  <c r="F513" i="13"/>
  <c r="F577" i="13"/>
  <c r="F657" i="13"/>
  <c r="F450" i="13"/>
  <c r="F468" i="13"/>
  <c r="F389" i="13"/>
  <c r="F517" i="13"/>
  <c r="F661" i="13"/>
  <c r="F380" i="13"/>
  <c r="F396" i="13"/>
  <c r="F412" i="13"/>
  <c r="F428" i="13"/>
  <c r="F444" i="13"/>
  <c r="F460" i="13"/>
  <c r="F476" i="13"/>
  <c r="F492" i="13"/>
  <c r="F508" i="13"/>
  <c r="F524" i="13"/>
  <c r="F540" i="13"/>
  <c r="F556" i="13"/>
  <c r="F572" i="13"/>
  <c r="F588" i="13"/>
  <c r="F604" i="13"/>
  <c r="F620" i="13"/>
  <c r="F668" i="13"/>
  <c r="F381" i="13"/>
  <c r="F461" i="13"/>
  <c r="F477" i="13"/>
  <c r="F493" i="13"/>
  <c r="F525" i="13"/>
  <c r="F589" i="13"/>
  <c r="F653" i="13"/>
  <c r="F382" i="13"/>
  <c r="F526" i="13"/>
  <c r="F638" i="13"/>
  <c r="F399" i="13"/>
  <c r="F495" i="13"/>
  <c r="F559" i="13"/>
  <c r="F448" i="13"/>
  <c r="F480" i="13"/>
  <c r="F544" i="13"/>
  <c r="F640" i="13"/>
  <c r="F401" i="13"/>
  <c r="F561" i="13"/>
  <c r="F641" i="13"/>
  <c r="F402" i="13"/>
  <c r="F514" i="13"/>
  <c r="F562" i="13"/>
  <c r="F626" i="13"/>
  <c r="F403" i="13"/>
  <c r="F531" i="13"/>
  <c r="F627" i="13"/>
  <c r="F485" i="13"/>
  <c r="F549" i="13"/>
  <c r="F629" i="13"/>
  <c r="F274" i="13"/>
  <c r="F290" i="13"/>
  <c r="F306" i="13"/>
  <c r="F322" i="13"/>
  <c r="F338" i="13"/>
  <c r="F354" i="13"/>
  <c r="F370" i="13"/>
  <c r="F292" i="13"/>
  <c r="F372" i="13"/>
  <c r="F277" i="13"/>
  <c r="F309" i="13"/>
  <c r="F325" i="13"/>
  <c r="F341" i="13"/>
  <c r="F357" i="13"/>
  <c r="F373" i="13"/>
  <c r="F278" i="13"/>
  <c r="F310" i="13"/>
  <c r="F326" i="13"/>
  <c r="F342" i="13"/>
  <c r="F358" i="13"/>
  <c r="F279" i="13"/>
  <c r="F295" i="13"/>
  <c r="F311" i="13"/>
  <c r="F327" i="13"/>
  <c r="F343" i="13"/>
  <c r="F359" i="13"/>
  <c r="F280" i="13"/>
  <c r="F296" i="13"/>
  <c r="F312" i="13"/>
  <c r="F328" i="13"/>
  <c r="F344" i="13"/>
  <c r="F360" i="13"/>
  <c r="F281" i="13"/>
  <c r="F313" i="13"/>
  <c r="F329" i="13"/>
  <c r="F345" i="13"/>
  <c r="F361" i="13"/>
  <c r="F282" i="13"/>
  <c r="F298" i="13"/>
  <c r="F314" i="13"/>
  <c r="F330" i="13"/>
  <c r="F362" i="13"/>
  <c r="F299" i="13"/>
  <c r="F284" i="13"/>
  <c r="F316" i="13"/>
  <c r="F332" i="13"/>
  <c r="F348" i="13"/>
  <c r="F364" i="13"/>
  <c r="F285" i="13"/>
  <c r="F301" i="13"/>
  <c r="F333" i="13"/>
  <c r="F349" i="13"/>
  <c r="F365" i="13"/>
  <c r="F286" i="13"/>
  <c r="F302" i="13"/>
  <c r="F318" i="13"/>
  <c r="F334" i="13"/>
  <c r="F350" i="13"/>
  <c r="F366" i="13"/>
  <c r="F303" i="13"/>
  <c r="F319" i="13"/>
  <c r="F335" i="13"/>
  <c r="F351" i="13"/>
  <c r="F367" i="13"/>
  <c r="F288" i="13"/>
  <c r="F320" i="13"/>
  <c r="F336" i="13"/>
  <c r="F352" i="13"/>
  <c r="F368" i="13"/>
  <c r="F289" i="13"/>
  <c r="F305" i="13"/>
  <c r="F321" i="13"/>
  <c r="F337" i="13"/>
  <c r="F353" i="13"/>
  <c r="F369" i="13"/>
  <c r="F275" i="13"/>
  <c r="F291" i="13"/>
  <c r="F307" i="13"/>
  <c r="F323" i="13"/>
  <c r="F339" i="13"/>
  <c r="F355" i="13"/>
  <c r="F371" i="13"/>
  <c r="F276" i="13"/>
  <c r="F308" i="13"/>
  <c r="F324" i="13"/>
  <c r="F340" i="13"/>
  <c r="F356" i="13"/>
  <c r="F293" i="13"/>
  <c r="F294" i="13"/>
  <c r="F297" i="13"/>
  <c r="F346" i="13"/>
  <c r="F283" i="13"/>
  <c r="F315" i="13"/>
  <c r="F331" i="13"/>
  <c r="F347" i="13"/>
  <c r="F363" i="13"/>
  <c r="F300" i="13"/>
  <c r="F317" i="13"/>
  <c r="F287" i="13"/>
  <c r="F304" i="13"/>
  <c r="F222" i="13"/>
  <c r="F238" i="13"/>
  <c r="F254" i="13"/>
  <c r="F270" i="13"/>
  <c r="F246" i="13"/>
  <c r="F247" i="13"/>
  <c r="F221" i="13"/>
  <c r="F191" i="13"/>
  <c r="F239" i="13"/>
  <c r="F255" i="13"/>
  <c r="F271" i="13"/>
  <c r="F273" i="13"/>
  <c r="F245" i="13"/>
  <c r="F202" i="13"/>
  <c r="F266" i="13"/>
  <c r="F187" i="13"/>
  <c r="F267" i="13"/>
  <c r="F204" i="13"/>
  <c r="F268" i="13"/>
  <c r="F256" i="13"/>
  <c r="F272" i="13"/>
  <c r="F252" i="13"/>
  <c r="F214" i="13"/>
  <c r="F235" i="13"/>
  <c r="F237" i="13"/>
  <c r="F198" i="13"/>
  <c r="F199" i="13"/>
  <c r="F263" i="13"/>
  <c r="F186" i="13"/>
  <c r="F188" i="13"/>
  <c r="F205" i="13"/>
  <c r="F269" i="13"/>
  <c r="F169" i="13"/>
  <c r="F170" i="13"/>
  <c r="F171" i="13"/>
  <c r="F154" i="13"/>
  <c r="F153" i="13"/>
  <c r="F152" i="13"/>
  <c r="H74" i="13"/>
  <c r="G74" i="13" s="1"/>
  <c r="F88" i="13"/>
  <c r="K88" i="13" s="1"/>
  <c r="F115" i="13"/>
  <c r="K115" i="13" s="1"/>
  <c r="F105" i="13"/>
  <c r="K105" i="13" s="1"/>
  <c r="F84" i="13"/>
  <c r="J84" i="13" s="1"/>
  <c r="F100" i="13"/>
  <c r="I100" i="13" s="1"/>
  <c r="F118" i="13"/>
  <c r="K118" i="13" s="1"/>
  <c r="F104" i="13"/>
  <c r="J104" i="13" s="1"/>
  <c r="F138" i="13"/>
  <c r="I138" i="13" s="1"/>
  <c r="F83" i="13"/>
  <c r="K83" i="13" s="1"/>
  <c r="F132" i="13"/>
  <c r="I132" i="13" s="1"/>
  <c r="F98" i="13"/>
  <c r="J98" i="13" s="1"/>
  <c r="F121" i="13"/>
  <c r="I121" i="13" s="1"/>
  <c r="M39" i="25"/>
  <c r="N39" i="25" s="1"/>
  <c r="H742" i="23"/>
  <c r="H783" i="23"/>
  <c r="H414" i="23"/>
  <c r="H168" i="23"/>
  <c r="H455" i="23"/>
  <c r="H537" i="23"/>
  <c r="H373" i="23"/>
  <c r="H660" i="23"/>
  <c r="K86" i="23"/>
  <c r="H619" i="23"/>
  <c r="H127" i="23"/>
  <c r="H496" i="23"/>
  <c r="H250" i="23"/>
  <c r="H578" i="23"/>
  <c r="BH27" i="13"/>
  <c r="BH47" i="13" s="1"/>
  <c r="P16" i="10"/>
  <c r="H16" i="10" s="1"/>
  <c r="I16" i="10" s="1"/>
  <c r="J16" i="10"/>
  <c r="K209" i="23"/>
  <c r="H701" i="23"/>
  <c r="K332" i="23"/>
  <c r="C1" i="23"/>
  <c r="H35" i="23" s="1"/>
  <c r="BG27" i="13"/>
  <c r="BG47" i="13" s="1"/>
  <c r="D3" i="23"/>
  <c r="C3" i="23"/>
  <c r="D4" i="23"/>
  <c r="E3" i="23"/>
  <c r="A3" i="23"/>
  <c r="X27" i="13"/>
  <c r="AH53" i="22"/>
  <c r="P73" i="22"/>
  <c r="AH73" i="22"/>
  <c r="P96" i="22"/>
  <c r="AH33" i="22"/>
  <c r="P53" i="22"/>
  <c r="M106" i="22"/>
  <c r="P94" i="22"/>
  <c r="P98" i="22"/>
  <c r="P101" i="22"/>
  <c r="AE63" i="22"/>
  <c r="AH51" i="22"/>
  <c r="AH58" i="22"/>
  <c r="AH55" i="22"/>
  <c r="AE83" i="22"/>
  <c r="AH71" i="22"/>
  <c r="AH75" i="22"/>
  <c r="AH78" i="22"/>
  <c r="M63" i="22"/>
  <c r="P58" i="22"/>
  <c r="P51" i="22"/>
  <c r="P55" i="22"/>
  <c r="M83" i="22"/>
  <c r="P71" i="22"/>
  <c r="P75" i="22"/>
  <c r="P78" i="22"/>
  <c r="AE43" i="22"/>
  <c r="AH38" i="22"/>
  <c r="AH35" i="22"/>
  <c r="AH31" i="22"/>
  <c r="P33" i="22"/>
  <c r="M43" i="22"/>
  <c r="P31" i="22"/>
  <c r="P35" i="22"/>
  <c r="P38" i="22"/>
  <c r="AB47" i="13"/>
  <c r="E4" i="23"/>
  <c r="AE23" i="22"/>
  <c r="AH15" i="22"/>
  <c r="AH18" i="22"/>
  <c r="AH11" i="22"/>
  <c r="AH13" i="22"/>
  <c r="AH98" i="22"/>
  <c r="AH94" i="22"/>
  <c r="AE106" i="22"/>
  <c r="AH101" i="22"/>
  <c r="AH114" i="22"/>
  <c r="AE126" i="22"/>
  <c r="AH118" i="22"/>
  <c r="AH121" i="22"/>
  <c r="AH154" i="22"/>
  <c r="AE166" i="22"/>
  <c r="AH161" i="22"/>
  <c r="AH158" i="22"/>
  <c r="P121" i="22"/>
  <c r="P114" i="22"/>
  <c r="P118" i="22"/>
  <c r="M126" i="22"/>
  <c r="AH136" i="22"/>
  <c r="AH175" i="22"/>
  <c r="AH182" i="22"/>
  <c r="AH179" i="22"/>
  <c r="AE187" i="22"/>
  <c r="P161" i="22"/>
  <c r="P154" i="22"/>
  <c r="P158" i="22"/>
  <c r="M166" i="22"/>
  <c r="P197" i="22"/>
  <c r="P156" i="22"/>
  <c r="P116" i="22"/>
  <c r="P177" i="22"/>
  <c r="AH197" i="22"/>
  <c r="AH96" i="22"/>
  <c r="P182" i="22"/>
  <c r="M187" i="22"/>
  <c r="P179" i="22"/>
  <c r="P175" i="22"/>
  <c r="P138" i="22"/>
  <c r="P134" i="22"/>
  <c r="P141" i="22"/>
  <c r="M146" i="22"/>
  <c r="P199" i="22"/>
  <c r="P195" i="22"/>
  <c r="M207" i="22"/>
  <c r="P202" i="22"/>
  <c r="AH156" i="22"/>
  <c r="AH177" i="22"/>
  <c r="AE207" i="22"/>
  <c r="AH199" i="22"/>
  <c r="AH202" i="22"/>
  <c r="AH195" i="22"/>
  <c r="AH141" i="22"/>
  <c r="AE146" i="22"/>
  <c r="AH138" i="22"/>
  <c r="AH134" i="22"/>
  <c r="P136" i="22"/>
  <c r="AH116" i="22"/>
  <c r="AE45" i="13"/>
  <c r="AE65" i="13" s="1"/>
  <c r="F741" i="23"/>
  <c r="AE46" i="13"/>
  <c r="AE66" i="13" s="1"/>
  <c r="F782" i="23"/>
  <c r="AE36" i="13"/>
  <c r="AE56" i="13" s="1"/>
  <c r="F372" i="23"/>
  <c r="AE30" i="13"/>
  <c r="AE50" i="13" s="1"/>
  <c r="F126" i="23"/>
  <c r="AE28" i="13"/>
  <c r="AE48" i="13" s="1"/>
  <c r="F44" i="23"/>
  <c r="EI27" i="13"/>
  <c r="EI47" i="13" s="1"/>
  <c r="FB27" i="13"/>
  <c r="FB47" i="13" s="1"/>
  <c r="FA27" i="13"/>
  <c r="FA47" i="13" s="1"/>
  <c r="FF27" i="13"/>
  <c r="FF47" i="13" s="1"/>
  <c r="EL27" i="13"/>
  <c r="EL47" i="13" s="1"/>
  <c r="FH47" i="13"/>
  <c r="DW27" i="13"/>
  <c r="DW47" i="13" s="1"/>
  <c r="EH27" i="13"/>
  <c r="EH47" i="13" s="1"/>
  <c r="EU27" i="13"/>
  <c r="EU47" i="13" s="1"/>
  <c r="DY27" i="13"/>
  <c r="DY47" i="13" s="1"/>
  <c r="EC27" i="13"/>
  <c r="EC47" i="13" s="1"/>
  <c r="FC27" i="13"/>
  <c r="FC47" i="13" s="1"/>
  <c r="EK27" i="13"/>
  <c r="EK47" i="13" s="1"/>
  <c r="EX27" i="13"/>
  <c r="EX47" i="13" s="1"/>
  <c r="DT27" i="13"/>
  <c r="DT47" i="13" s="1"/>
  <c r="FG27" i="13"/>
  <c r="FG47" i="13" s="1"/>
  <c r="EG27" i="13"/>
  <c r="EG47" i="13" s="1"/>
  <c r="FE27" i="13"/>
  <c r="FE47" i="13" s="1"/>
  <c r="FD27" i="13"/>
  <c r="FD47" i="13" s="1"/>
  <c r="EV27" i="13"/>
  <c r="EV47" i="13" s="1"/>
  <c r="DZ27" i="13"/>
  <c r="DZ47" i="13" s="1"/>
  <c r="EW27" i="13"/>
  <c r="EW47" i="13" s="1"/>
  <c r="EJ27" i="13"/>
  <c r="EJ47" i="13" s="1"/>
  <c r="ER27" i="13"/>
  <c r="ER47" i="13" s="1"/>
  <c r="DX27" i="13"/>
  <c r="DX47" i="13" s="1"/>
  <c r="DK27" i="13"/>
  <c r="AQ27" i="13"/>
  <c r="AQ47" i="13" s="1"/>
  <c r="CS27" i="13"/>
  <c r="CS47" i="13" s="1"/>
  <c r="CZ27" i="13"/>
  <c r="CZ47" i="13" s="1"/>
  <c r="AS27" i="13"/>
  <c r="AS47" i="13" s="1"/>
  <c r="BB27" i="13"/>
  <c r="BB47" i="13" s="1"/>
  <c r="AV27" i="13"/>
  <c r="AV47" i="13" s="1"/>
  <c r="BW27" i="13"/>
  <c r="BW47" i="13" s="1"/>
  <c r="CG27" i="13"/>
  <c r="CG47" i="13" s="1"/>
  <c r="DC27" i="13"/>
  <c r="DC47" i="13" s="1"/>
  <c r="CL27" i="13"/>
  <c r="CL47" i="13" s="1"/>
  <c r="BT27" i="13"/>
  <c r="BT47" i="13" s="1"/>
  <c r="CJ27" i="13"/>
  <c r="CJ47" i="13" s="1"/>
  <c r="CW27" i="13"/>
  <c r="CW47" i="13" s="1"/>
  <c r="BI27" i="13"/>
  <c r="BI47" i="13" s="1"/>
  <c r="CK27" i="13"/>
  <c r="CK47" i="13" s="1"/>
  <c r="BF27" i="13"/>
  <c r="BF47" i="13" s="1"/>
  <c r="CC27" i="13"/>
  <c r="CC47" i="13" s="1"/>
  <c r="BJ27" i="13"/>
  <c r="BJ47" i="13" s="1"/>
  <c r="DF27" i="13"/>
  <c r="DF47" i="13" s="1"/>
  <c r="AU27" i="13"/>
  <c r="AU47" i="13" s="1"/>
  <c r="BC27" i="13"/>
  <c r="BC47" i="13" s="1"/>
  <c r="BZ27" i="13"/>
  <c r="BZ47" i="13" s="1"/>
  <c r="BL27" i="13"/>
  <c r="BL47" i="13" s="1"/>
  <c r="AY27" i="13"/>
  <c r="AY47" i="13" s="1"/>
  <c r="BD27" i="13"/>
  <c r="BD47" i="13" s="1"/>
  <c r="DJ27" i="13"/>
  <c r="DJ47" i="13" s="1"/>
  <c r="BE27" i="13"/>
  <c r="BE47" i="13" s="1"/>
  <c r="BK27" i="13"/>
  <c r="BK47" i="13" s="1"/>
  <c r="AT27" i="13"/>
  <c r="AT47" i="13" s="1"/>
  <c r="DB27" i="13"/>
  <c r="DB47" i="13" s="1"/>
  <c r="AX27" i="13"/>
  <c r="AX47" i="13" s="1"/>
  <c r="DA27" i="13"/>
  <c r="DA47" i="13" s="1"/>
  <c r="BN27" i="13"/>
  <c r="BN47" i="13" s="1"/>
  <c r="AP27" i="13"/>
  <c r="AP47" i="13" s="1"/>
  <c r="AR27" i="13"/>
  <c r="AR47" i="13" s="1"/>
  <c r="BY27" i="13"/>
  <c r="BY47" i="13" s="1"/>
  <c r="CT27" i="13"/>
  <c r="CT47" i="13" s="1"/>
  <c r="BM27" i="13"/>
  <c r="BM47" i="13" s="1"/>
  <c r="AH48" i="13"/>
  <c r="AH50" i="13"/>
  <c r="CM49" i="13"/>
  <c r="AH53" i="13"/>
  <c r="AH51" i="13"/>
  <c r="AH49" i="13"/>
  <c r="AH52" i="13"/>
  <c r="AH59" i="13"/>
  <c r="CM59" i="13"/>
  <c r="AV63" i="13"/>
  <c r="DR63" i="13"/>
  <c r="AV58" i="13"/>
  <c r="DR58" i="13"/>
  <c r="AV52" i="13"/>
  <c r="DR52" i="13"/>
  <c r="AV57" i="13"/>
  <c r="DR57" i="13"/>
  <c r="AV65" i="13"/>
  <c r="DR65" i="13"/>
  <c r="AV62" i="13"/>
  <c r="DR62" i="13"/>
  <c r="AV56" i="13"/>
  <c r="DR56" i="13"/>
  <c r="AV60" i="13"/>
  <c r="DR60" i="13"/>
  <c r="AV66" i="13"/>
  <c r="DR66" i="13"/>
  <c r="AV48" i="13"/>
  <c r="DR48" i="13"/>
  <c r="AV64" i="13"/>
  <c r="DR64" i="13"/>
  <c r="AV53" i="13"/>
  <c r="DR53" i="13"/>
  <c r="AV55" i="13"/>
  <c r="DR55" i="13"/>
  <c r="AV61" i="13"/>
  <c r="DR61" i="13"/>
  <c r="AV51" i="13"/>
  <c r="DR51" i="13"/>
  <c r="AV49" i="13"/>
  <c r="DR49" i="13"/>
  <c r="AV50" i="13"/>
  <c r="DR50" i="13"/>
  <c r="AV59" i="13"/>
  <c r="DR59" i="13"/>
  <c r="CM48" i="13"/>
  <c r="AJ14" i="13"/>
  <c r="W27" i="13"/>
  <c r="V27" i="13"/>
  <c r="D1351" i="26" a="1"/>
  <c r="D1487" i="26" a="1"/>
  <c r="D695" i="26" a="1"/>
  <c r="D471" i="26" a="1"/>
  <c r="D911" i="26" a="1"/>
  <c r="D223" i="26" a="1"/>
  <c r="D447" i="26" a="1"/>
  <c r="D791" i="26" a="1"/>
  <c r="D503" i="26" a="1"/>
  <c r="D607" i="26" a="1"/>
  <c r="D823" i="26" a="1"/>
  <c r="D1079" i="26" a="1"/>
  <c r="D271" i="26" a="1"/>
  <c r="D671" i="26" a="1"/>
  <c r="D1047" i="26" a="1"/>
  <c r="D1223" i="26" a="1"/>
  <c r="D1319" i="26" a="1"/>
  <c r="D103" i="26" a="1"/>
  <c r="D855" i="26" a="1"/>
  <c r="D495" i="26" a="1"/>
  <c r="D191" i="26" a="1"/>
  <c r="D1535" i="26" a="1"/>
  <c r="D1159" i="26" a="1"/>
  <c r="D1063" i="26" a="1"/>
  <c r="D1527" i="26" a="1"/>
  <c r="D463" i="26" a="1"/>
  <c r="D207" i="26" a="1"/>
  <c r="D1327" i="26" a="1"/>
  <c r="D1335" i="26" a="1"/>
  <c r="D591" i="26" a="1"/>
  <c r="D1055" i="26" a="1"/>
  <c r="D1191" i="26" a="1"/>
  <c r="D583" i="26" a="1"/>
  <c r="D967" i="26" a="1"/>
  <c r="D255" i="26" a="1"/>
  <c r="D1287" i="26" a="1"/>
  <c r="D719" i="26" a="1"/>
  <c r="D1311" i="26" a="1"/>
  <c r="D1303" i="26" a="1"/>
  <c r="D1455" i="26" a="1"/>
  <c r="D319" i="26" a="1"/>
  <c r="D1039" i="26" a="1"/>
  <c r="D287" i="26" a="1"/>
  <c r="D895" i="26" a="1"/>
  <c r="D47" i="26" a="1"/>
  <c r="D1423" i="26" a="1"/>
  <c r="D1439" i="26" a="1"/>
  <c r="D527" i="26" a="1"/>
  <c r="D1007" i="26" a="1"/>
  <c r="D1015" i="26" a="1"/>
  <c r="D535" i="26" a="1"/>
  <c r="D367" i="26" a="1"/>
  <c r="D263" i="26" a="1"/>
  <c r="D135" i="26" a="1"/>
  <c r="D1511" i="26" a="1"/>
  <c r="D1255" i="26" a="1"/>
  <c r="D703" i="26" a="1"/>
  <c r="D1119" i="26" a="1"/>
  <c r="D1479" i="26" a="1"/>
  <c r="D879" i="26" a="1"/>
  <c r="D871" i="26" a="1"/>
  <c r="D631" i="26" a="1"/>
  <c r="D1135" i="26" a="1"/>
  <c r="D919" i="26" a="1"/>
  <c r="D1151" i="26" a="1"/>
  <c r="D359" i="26" a="1"/>
  <c r="D1167" i="26" a="1"/>
  <c r="D487" i="26" a="1"/>
  <c r="D711" i="26" a="1"/>
  <c r="D1087" i="26" a="1"/>
  <c r="D167" i="26" a="1"/>
  <c r="D511" i="26" a="1"/>
  <c r="D687" i="26" a="1"/>
  <c r="D1183" i="26" a="1"/>
  <c r="D807" i="26" a="1"/>
  <c r="D1095" i="26" a="1"/>
  <c r="D615" i="26" a="1"/>
  <c r="D95" i="26" a="1"/>
  <c r="D1175" i="26" a="1"/>
  <c r="D1471" i="26" a="1"/>
  <c r="D1127" i="26" a="1"/>
  <c r="D1231" i="26" a="1"/>
  <c r="D935" i="26" a="1"/>
  <c r="D1359" i="26" a="1"/>
  <c r="D119" i="26" a="1"/>
  <c r="D559" i="26" a="1"/>
  <c r="D151" i="26" a="1"/>
  <c r="D279" i="26" a="1"/>
  <c r="D927" i="26" a="1"/>
  <c r="D743" i="26" a="1"/>
  <c r="D1263" i="26" a="1"/>
  <c r="D903" i="26" a="1"/>
  <c r="D479" i="26" a="1"/>
  <c r="D423" i="26" a="1"/>
  <c r="D751" i="26" a="1"/>
  <c r="D1103" i="26" a="1"/>
  <c r="D1215" i="26" a="1"/>
  <c r="D1407" i="26" a="1"/>
  <c r="D295" i="26" a="1"/>
  <c r="D767" i="26" a="1"/>
  <c r="D335" i="26" a="1"/>
  <c r="D239" i="26" a="1"/>
  <c r="D55" i="26" a="1"/>
  <c r="D951" i="26" a="1"/>
  <c r="D71" i="26" a="1"/>
  <c r="D1279" i="26" a="1"/>
  <c r="D1239" i="26" a="1"/>
  <c r="D327" i="26" a="1"/>
  <c r="D663" i="26" a="1"/>
  <c r="D455" i="26" a="1"/>
  <c r="D31" i="26" a="1"/>
  <c r="D847" i="26" a="1"/>
  <c r="D343" i="26" a="1"/>
  <c r="D1023" i="26" a="1"/>
  <c r="D1495" i="26" a="1"/>
  <c r="D79" i="26" a="1"/>
  <c r="D1295" i="26" a="1"/>
  <c r="D759" i="26" a="1"/>
  <c r="D551" i="26" a="1"/>
  <c r="D975" i="26" a="1"/>
  <c r="D199" i="26" a="1"/>
  <c r="D519" i="26" a="1"/>
  <c r="D983" i="26" a="1"/>
  <c r="D143" i="26" a="1"/>
  <c r="D679" i="26" a="1"/>
  <c r="D87" i="26" a="1"/>
  <c r="D439" i="26" a="1"/>
  <c r="D127" i="26" a="1"/>
  <c r="D799" i="26" a="1"/>
  <c r="D815" i="26" a="1"/>
  <c r="D1383" i="26" a="1"/>
  <c r="D303" i="26" a="1"/>
  <c r="D575" i="26" a="1"/>
  <c r="D415" i="26" a="1"/>
  <c r="D391" i="26" a="1"/>
  <c r="D1207" i="26" a="1"/>
  <c r="D1071" i="26" a="1"/>
  <c r="D375" i="26" a="1"/>
  <c r="D831" i="26" a="1"/>
  <c r="D887" i="26" a="1"/>
  <c r="D1503" i="26" a="1"/>
  <c r="D351" i="26" a="1"/>
  <c r="D1367" i="26" a="1"/>
  <c r="D567" i="26" a="1"/>
  <c r="D1463" i="26" a="1"/>
  <c r="D63" i="26" a="1"/>
  <c r="D1247" i="26" a="1"/>
  <c r="D1375" i="26" a="1"/>
  <c r="D1415" i="26" a="1"/>
  <c r="D839" i="26" a="1"/>
  <c r="D1431" i="26" a="1"/>
  <c r="D1199" i="26" a="1"/>
  <c r="D543" i="26" a="1"/>
  <c r="D399" i="26" a="1"/>
  <c r="D15" i="26" a="1"/>
  <c r="D183" i="26" a="1"/>
  <c r="D1111" i="26" a="1"/>
  <c r="D863" i="26" a="1"/>
  <c r="D1031" i="26" a="1"/>
  <c r="D943" i="26" a="1"/>
  <c r="D655" i="26" a="1"/>
  <c r="D647" i="26" a="1"/>
  <c r="D1343" i="26" a="1"/>
  <c r="D1399" i="26" a="1"/>
  <c r="D23" i="26" a="1"/>
  <c r="D247" i="26" a="1"/>
  <c r="D991" i="26" a="1"/>
  <c r="D111" i="26" a="1"/>
  <c r="D623" i="26" a="1"/>
  <c r="D735" i="26" a="1"/>
  <c r="D175" i="26" a="1"/>
  <c r="D727" i="26" a="1"/>
  <c r="D39" i="26" a="1"/>
  <c r="D1271" i="26" a="1"/>
  <c r="D215" i="26" a="1"/>
  <c r="D1143" i="26" a="1"/>
  <c r="D383" i="26" a="1"/>
  <c r="D159" i="26" a="1"/>
  <c r="D783" i="26" a="1"/>
  <c r="D311" i="26" a="1"/>
  <c r="D1447" i="26" a="1"/>
  <c r="D407" i="26" a="1"/>
  <c r="D231" i="26" a="1"/>
  <c r="D599" i="26" a="1"/>
  <c r="D999" i="26" a="1"/>
  <c r="D1519" i="26" a="1"/>
  <c r="D1391" i="26" a="1"/>
  <c r="D959" i="26" a="1"/>
  <c r="D431" i="26" a="1"/>
  <c r="D639" i="26" a="1"/>
  <c r="D775" i="26" a="1"/>
  <c r="D471" i="26" l="1"/>
  <c r="F471" i="26" s="1"/>
  <c r="D615" i="26"/>
  <c r="F615" i="26" s="1"/>
  <c r="D743" i="26"/>
  <c r="F743" i="26" s="1"/>
  <c r="D1183" i="26"/>
  <c r="F1183" i="26" s="1"/>
  <c r="D767" i="26"/>
  <c r="F767" i="26" s="1"/>
  <c r="D887" i="26"/>
  <c r="F887" i="26" s="1"/>
  <c r="D455" i="26"/>
  <c r="F455" i="26" s="1"/>
  <c r="D47" i="26"/>
  <c r="F47" i="26" s="1"/>
  <c r="D1127" i="26"/>
  <c r="F1127" i="26" s="1"/>
  <c r="D1175" i="26"/>
  <c r="F1175" i="26" s="1"/>
  <c r="D303" i="26"/>
  <c r="F303" i="26" s="1"/>
  <c r="D655" i="26"/>
  <c r="F655" i="26" s="1"/>
  <c r="D775" i="26"/>
  <c r="F775" i="26" s="1"/>
  <c r="D503" i="26"/>
  <c r="F503" i="26" s="1"/>
  <c r="D1007" i="26"/>
  <c r="F1007" i="26" s="1"/>
  <c r="D1463" i="26"/>
  <c r="F1463" i="26" s="1"/>
  <c r="D1351" i="26"/>
  <c r="F1351" i="26" s="1"/>
  <c r="D1287" i="26"/>
  <c r="F1287" i="26" s="1"/>
  <c r="D751" i="26"/>
  <c r="F751" i="26" s="1"/>
  <c r="D631" i="26"/>
  <c r="F631" i="26" s="1"/>
  <c r="D951" i="26"/>
  <c r="F951" i="26" s="1"/>
  <c r="D719" i="26"/>
  <c r="F719" i="26" s="1"/>
  <c r="D343" i="26"/>
  <c r="F343" i="26" s="1"/>
  <c r="D487" i="26"/>
  <c r="F487" i="26" s="1"/>
  <c r="D279" i="26"/>
  <c r="F279" i="26" s="1"/>
  <c r="D263" i="26"/>
  <c r="F263" i="26" s="1"/>
  <c r="D1063" i="26"/>
  <c r="F1063" i="26" s="1"/>
  <c r="D1407" i="26"/>
  <c r="F1407" i="26" s="1"/>
  <c r="D1087" i="26"/>
  <c r="F1087" i="26" s="1"/>
  <c r="D1199" i="26"/>
  <c r="F1199" i="26" s="1"/>
  <c r="D847" i="26"/>
  <c r="F847" i="26" s="1"/>
  <c r="D1231" i="26"/>
  <c r="F1231" i="26" s="1"/>
  <c r="D55" i="26"/>
  <c r="F55" i="26" s="1"/>
  <c r="D551" i="26"/>
  <c r="F551" i="26" s="1"/>
  <c r="D1159" i="26"/>
  <c r="F1159" i="26" s="1"/>
  <c r="D1327" i="26"/>
  <c r="F1327" i="26" s="1"/>
  <c r="D447" i="26"/>
  <c r="F447" i="26" s="1"/>
  <c r="D1119" i="26"/>
  <c r="F1119" i="26" s="1"/>
  <c r="D711" i="26"/>
  <c r="F711" i="26" s="1"/>
  <c r="D399" i="26"/>
  <c r="F399" i="26" s="1"/>
  <c r="D975" i="26"/>
  <c r="F975" i="26" s="1"/>
  <c r="D511" i="26"/>
  <c r="F511" i="26" s="1"/>
  <c r="D327" i="26"/>
  <c r="F327" i="26" s="1"/>
  <c r="D207" i="26"/>
  <c r="F207" i="26" s="1"/>
  <c r="D583" i="26"/>
  <c r="F583" i="26" s="1"/>
  <c r="D87" i="26"/>
  <c r="F87" i="26" s="1"/>
  <c r="D799" i="26"/>
  <c r="F799" i="26" s="1"/>
  <c r="D1295" i="26"/>
  <c r="F1295" i="26" s="1"/>
  <c r="D1319" i="26"/>
  <c r="F1319" i="26" s="1"/>
  <c r="D783" i="26"/>
  <c r="F783" i="26" s="1"/>
  <c r="D23" i="26"/>
  <c r="F23" i="26" s="1"/>
  <c r="D1303" i="26"/>
  <c r="F1303" i="26" s="1"/>
  <c r="D1103" i="26"/>
  <c r="F1103" i="26" s="1"/>
  <c r="D1335" i="26"/>
  <c r="F1335" i="26" s="1"/>
  <c r="D175" i="26"/>
  <c r="F175" i="26" s="1"/>
  <c r="D839" i="26"/>
  <c r="F839" i="26" s="1"/>
  <c r="D239" i="26"/>
  <c r="F239" i="26" s="1"/>
  <c r="D367" i="26"/>
  <c r="F367" i="26" s="1"/>
  <c r="D135" i="26"/>
  <c r="F135" i="26" s="1"/>
  <c r="D663" i="26"/>
  <c r="F663" i="26" s="1"/>
  <c r="D871" i="26"/>
  <c r="F871" i="26" s="1"/>
  <c r="D151" i="26"/>
  <c r="F151" i="26" s="1"/>
  <c r="D1431" i="26"/>
  <c r="F1431" i="26" s="1"/>
  <c r="D927" i="26"/>
  <c r="F927" i="26" s="1"/>
  <c r="D1439" i="26"/>
  <c r="F1439" i="26" s="1"/>
  <c r="D1375" i="26"/>
  <c r="F1375" i="26" s="1"/>
  <c r="D1487" i="26"/>
  <c r="F1487" i="26" s="1"/>
  <c r="D359" i="26"/>
  <c r="F359" i="26" s="1"/>
  <c r="D727" i="26"/>
  <c r="F727" i="26" s="1"/>
  <c r="D215" i="26"/>
  <c r="F215" i="26" s="1"/>
  <c r="D735" i="26"/>
  <c r="F735" i="26" s="1"/>
  <c r="D999" i="26"/>
  <c r="F999" i="26" s="1"/>
  <c r="D855" i="26"/>
  <c r="F855" i="26" s="1"/>
  <c r="D679" i="26"/>
  <c r="F679" i="26" s="1"/>
  <c r="D1279" i="26"/>
  <c r="F1279" i="26" s="1"/>
  <c r="D1191" i="26"/>
  <c r="F1191" i="26" s="1"/>
  <c r="D479" i="26"/>
  <c r="F479" i="26" s="1"/>
  <c r="D599" i="26"/>
  <c r="F599" i="26" s="1"/>
  <c r="D903" i="26"/>
  <c r="F903" i="26" s="1"/>
  <c r="D119" i="26"/>
  <c r="F119" i="26" s="1"/>
  <c r="D415" i="26"/>
  <c r="F415" i="26" s="1"/>
  <c r="D575" i="26"/>
  <c r="F575" i="26" s="1"/>
  <c r="D991" i="26"/>
  <c r="F991" i="26" s="1"/>
  <c r="D759" i="26"/>
  <c r="F759" i="26" s="1"/>
  <c r="D1223" i="26"/>
  <c r="F1223" i="26" s="1"/>
  <c r="D623" i="26"/>
  <c r="F623" i="26" s="1"/>
  <c r="D1415" i="26"/>
  <c r="F1415" i="26" s="1"/>
  <c r="D863" i="26"/>
  <c r="F863" i="26" s="1"/>
  <c r="D543" i="26"/>
  <c r="F543" i="26" s="1"/>
  <c r="D791" i="26"/>
  <c r="F791" i="26" s="1"/>
  <c r="D495" i="26"/>
  <c r="F495" i="26" s="1"/>
  <c r="D1479" i="26"/>
  <c r="F1479" i="26" s="1"/>
  <c r="D1111" i="26"/>
  <c r="F1111" i="26" s="1"/>
  <c r="D1071" i="26"/>
  <c r="F1071" i="26" s="1"/>
  <c r="D919" i="26"/>
  <c r="F919" i="26" s="1"/>
  <c r="D687" i="26"/>
  <c r="F687" i="26" s="1"/>
  <c r="D223" i="26"/>
  <c r="F223" i="26" s="1"/>
  <c r="D1039" i="26"/>
  <c r="F1039" i="26" s="1"/>
  <c r="D935" i="26"/>
  <c r="F935" i="26" s="1"/>
  <c r="D391" i="26"/>
  <c r="F391" i="26" s="1"/>
  <c r="D15" i="26"/>
  <c r="F15" i="26" s="1"/>
  <c r="D183" i="26"/>
  <c r="F183" i="26" s="1"/>
  <c r="D423" i="26"/>
  <c r="F423" i="26" s="1"/>
  <c r="D1151" i="26"/>
  <c r="F1151" i="26" s="1"/>
  <c r="D895" i="26"/>
  <c r="F895" i="26" s="1"/>
  <c r="D1495" i="26"/>
  <c r="F1495" i="26" s="1"/>
  <c r="D255" i="26"/>
  <c r="F255" i="26" s="1"/>
  <c r="D111" i="26"/>
  <c r="F111" i="26" s="1"/>
  <c r="D247" i="26"/>
  <c r="F247" i="26" s="1"/>
  <c r="D431" i="26"/>
  <c r="F431" i="26" s="1"/>
  <c r="D1015" i="26"/>
  <c r="F1015" i="26" s="1"/>
  <c r="D607" i="26"/>
  <c r="F607" i="26" s="1"/>
  <c r="D1215" i="26"/>
  <c r="F1215" i="26" s="1"/>
  <c r="D375" i="26"/>
  <c r="F375" i="26" s="1"/>
  <c r="D1383" i="26"/>
  <c r="F1383" i="26" s="1"/>
  <c r="D1527" i="26"/>
  <c r="F1527" i="26" s="1"/>
  <c r="D1079" i="26"/>
  <c r="F1079" i="26" s="1"/>
  <c r="D831" i="26"/>
  <c r="F831" i="26" s="1"/>
  <c r="D1367" i="26"/>
  <c r="F1367" i="26" s="1"/>
  <c r="D1503" i="26"/>
  <c r="F1503" i="26" s="1"/>
  <c r="D407" i="26"/>
  <c r="F407" i="26" s="1"/>
  <c r="D1031" i="26"/>
  <c r="F1031" i="26" s="1"/>
  <c r="D943" i="26"/>
  <c r="F943" i="26" s="1"/>
  <c r="D231" i="26"/>
  <c r="F231" i="26" s="1"/>
  <c r="D351" i="26"/>
  <c r="F351" i="26" s="1"/>
  <c r="D1247" i="26"/>
  <c r="F1247" i="26" s="1"/>
  <c r="D287" i="26"/>
  <c r="F287" i="26" s="1"/>
  <c r="D527" i="26"/>
  <c r="F527" i="26" s="1"/>
  <c r="D535" i="26"/>
  <c r="F535" i="26" s="1"/>
  <c r="D439" i="26"/>
  <c r="F439" i="26" s="1"/>
  <c r="D1511" i="26"/>
  <c r="F1511" i="26" s="1"/>
  <c r="D159" i="26"/>
  <c r="F159" i="26" s="1"/>
  <c r="D591" i="26"/>
  <c r="F591" i="26" s="1"/>
  <c r="D1095" i="26"/>
  <c r="F1095" i="26" s="1"/>
  <c r="D1239" i="26"/>
  <c r="F1239" i="26" s="1"/>
  <c r="D671" i="26"/>
  <c r="F671" i="26" s="1"/>
  <c r="D463" i="26"/>
  <c r="F463" i="26" s="1"/>
  <c r="D79" i="26"/>
  <c r="F79" i="26" s="1"/>
  <c r="D1311" i="26"/>
  <c r="F1311" i="26" s="1"/>
  <c r="D127" i="26"/>
  <c r="F127" i="26" s="1"/>
  <c r="D1143" i="26"/>
  <c r="F1143" i="26" s="1"/>
  <c r="D807" i="26"/>
  <c r="F807" i="26" s="1"/>
  <c r="D815" i="26"/>
  <c r="F815" i="26" s="1"/>
  <c r="D879" i="26"/>
  <c r="F879" i="26" s="1"/>
  <c r="D911" i="26"/>
  <c r="F911" i="26" s="1"/>
  <c r="D383" i="26"/>
  <c r="F383" i="26" s="1"/>
  <c r="D1135" i="26"/>
  <c r="F1135" i="26" s="1"/>
  <c r="D103" i="26"/>
  <c r="F103" i="26" s="1"/>
  <c r="D1423" i="26"/>
  <c r="F1423" i="26" s="1"/>
  <c r="D1399" i="26"/>
  <c r="F1399" i="26" s="1"/>
  <c r="D1167" i="26"/>
  <c r="F1167" i="26" s="1"/>
  <c r="D1455" i="26"/>
  <c r="F1455" i="26" s="1"/>
  <c r="D311" i="26"/>
  <c r="F311" i="26" s="1"/>
  <c r="D335" i="26"/>
  <c r="F335" i="26" s="1"/>
  <c r="D959" i="26"/>
  <c r="F959" i="26" s="1"/>
  <c r="D319" i="26"/>
  <c r="F319" i="26" s="1"/>
  <c r="D1519" i="26"/>
  <c r="F1519" i="26" s="1"/>
  <c r="D639" i="26"/>
  <c r="F639" i="26" s="1"/>
  <c r="D95" i="26"/>
  <c r="F95" i="26" s="1"/>
  <c r="D1207" i="26"/>
  <c r="F1207" i="26" s="1"/>
  <c r="D967" i="26"/>
  <c r="F967" i="26" s="1"/>
  <c r="D519" i="26"/>
  <c r="F519" i="26" s="1"/>
  <c r="D31" i="26"/>
  <c r="F31" i="26" s="1"/>
  <c r="D143" i="26"/>
  <c r="F143" i="26" s="1"/>
  <c r="D191" i="26"/>
  <c r="F191" i="26" s="1"/>
  <c r="D71" i="26"/>
  <c r="F71" i="26" s="1"/>
  <c r="D199" i="26"/>
  <c r="F199" i="26" s="1"/>
  <c r="D1535" i="26"/>
  <c r="F1535" i="26" s="1"/>
  <c r="D39" i="26"/>
  <c r="F39" i="26" s="1"/>
  <c r="D1023" i="26"/>
  <c r="F1023" i="26" s="1"/>
  <c r="D823" i="26"/>
  <c r="F823" i="26" s="1"/>
  <c r="D1255" i="26"/>
  <c r="F1255" i="26" s="1"/>
  <c r="D167" i="26"/>
  <c r="F167" i="26" s="1"/>
  <c r="D271" i="26"/>
  <c r="F271" i="26" s="1"/>
  <c r="D1263" i="26"/>
  <c r="F1263" i="26" s="1"/>
  <c r="D1471" i="26"/>
  <c r="F1471" i="26" s="1"/>
  <c r="D1359" i="26"/>
  <c r="F1359" i="26" s="1"/>
  <c r="D567" i="26"/>
  <c r="F567" i="26" s="1"/>
  <c r="D1271" i="26"/>
  <c r="F1271" i="26" s="1"/>
  <c r="D647" i="26"/>
  <c r="F647" i="26" s="1"/>
  <c r="D295" i="26"/>
  <c r="F295" i="26" s="1"/>
  <c r="D1391" i="26"/>
  <c r="F1391" i="26" s="1"/>
  <c r="D1447" i="26"/>
  <c r="F1447" i="26" s="1"/>
  <c r="D1047" i="26"/>
  <c r="F1047" i="26" s="1"/>
  <c r="D63" i="26"/>
  <c r="F63" i="26" s="1"/>
  <c r="D559" i="26"/>
  <c r="F559" i="26" s="1"/>
  <c r="D1343" i="26"/>
  <c r="F1343" i="26" s="1"/>
  <c r="D695" i="26"/>
  <c r="F695" i="26" s="1"/>
  <c r="D983" i="26"/>
  <c r="F983" i="26" s="1"/>
  <c r="D1055" i="26"/>
  <c r="F1055" i="26" s="1"/>
  <c r="D703" i="26"/>
  <c r="F703" i="26" s="1"/>
  <c r="K130" i="13"/>
  <c r="K141" i="13"/>
  <c r="J1697" i="13"/>
  <c r="K1697" i="13"/>
  <c r="I1697" i="13"/>
  <c r="J1133" i="13"/>
  <c r="I1133" i="13"/>
  <c r="K1133" i="13"/>
  <c r="J1890" i="13"/>
  <c r="K1890" i="13"/>
  <c r="I1890" i="13"/>
  <c r="K2005" i="13"/>
  <c r="J2005" i="13"/>
  <c r="I2005" i="13"/>
  <c r="I1091" i="13"/>
  <c r="K1091" i="13"/>
  <c r="J1091" i="13"/>
  <c r="K1508" i="13"/>
  <c r="I1508" i="13"/>
  <c r="J1508" i="13"/>
  <c r="I1659" i="13"/>
  <c r="J1659" i="13"/>
  <c r="K1659" i="13"/>
  <c r="K1226" i="13"/>
  <c r="I1226" i="13"/>
  <c r="J1226" i="13"/>
  <c r="J985" i="13"/>
  <c r="I985" i="13"/>
  <c r="K985" i="13"/>
  <c r="J1383" i="13"/>
  <c r="I1383" i="13"/>
  <c r="K1383" i="13"/>
  <c r="K1093" i="13"/>
  <c r="J1093" i="13"/>
  <c r="I1093" i="13"/>
  <c r="J1469" i="13"/>
  <c r="K1469" i="13"/>
  <c r="I1469" i="13"/>
  <c r="J1696" i="13"/>
  <c r="K1696" i="13"/>
  <c r="I1696" i="13"/>
  <c r="K1029" i="13"/>
  <c r="I1029" i="13"/>
  <c r="J1029" i="13"/>
  <c r="I1603" i="13"/>
  <c r="J1603" i="13"/>
  <c r="K1603" i="13"/>
  <c r="K1564" i="13"/>
  <c r="I1564" i="13"/>
  <c r="J1564" i="13"/>
  <c r="J1692" i="13"/>
  <c r="I1692" i="13"/>
  <c r="K1692" i="13"/>
  <c r="J1210" i="13"/>
  <c r="K1210" i="13"/>
  <c r="I1210" i="13"/>
  <c r="K2056" i="13"/>
  <c r="I2056" i="13"/>
  <c r="J2056" i="13"/>
  <c r="K1111" i="13"/>
  <c r="J1111" i="13"/>
  <c r="I1111" i="13"/>
  <c r="J2032" i="13"/>
  <c r="K2032" i="13"/>
  <c r="I2032" i="13"/>
  <c r="J1533" i="13"/>
  <c r="K1533" i="13"/>
  <c r="I1533" i="13"/>
  <c r="J1101" i="13"/>
  <c r="I1101" i="13"/>
  <c r="K1101" i="13"/>
  <c r="K1856" i="13"/>
  <c r="I1856" i="13"/>
  <c r="J1856" i="13"/>
  <c r="I1680" i="13"/>
  <c r="K1680" i="13"/>
  <c r="J1680" i="13"/>
  <c r="I1962" i="13"/>
  <c r="J1962" i="13"/>
  <c r="K1962" i="13"/>
  <c r="I1209" i="13"/>
  <c r="K1209" i="13"/>
  <c r="J1209" i="13"/>
  <c r="I1084" i="13"/>
  <c r="K1084" i="13"/>
  <c r="J1084" i="13"/>
  <c r="K1654" i="13"/>
  <c r="I1654" i="13"/>
  <c r="J1654" i="13"/>
  <c r="J1822" i="13"/>
  <c r="I1822" i="13"/>
  <c r="K1822" i="13"/>
  <c r="I1380" i="13"/>
  <c r="K1380" i="13"/>
  <c r="J1380" i="13"/>
  <c r="K1845" i="13"/>
  <c r="J1845" i="13"/>
  <c r="I1845" i="13"/>
  <c r="J1541" i="13"/>
  <c r="I1541" i="13"/>
  <c r="K1541" i="13"/>
  <c r="K1425" i="13"/>
  <c r="J1425" i="13"/>
  <c r="I1425" i="13"/>
  <c r="K1355" i="13"/>
  <c r="J1355" i="13"/>
  <c r="I1355" i="13"/>
  <c r="J1178" i="13"/>
  <c r="I1178" i="13"/>
  <c r="K1178" i="13"/>
  <c r="J1768" i="13"/>
  <c r="K1768" i="13"/>
  <c r="I1768" i="13"/>
  <c r="I1548" i="13"/>
  <c r="J1548" i="13"/>
  <c r="K1548" i="13"/>
  <c r="J1077" i="13"/>
  <c r="K1077" i="13"/>
  <c r="I1077" i="13"/>
  <c r="K1106" i="13"/>
  <c r="J1106" i="13"/>
  <c r="I1106" i="13"/>
  <c r="K1409" i="13"/>
  <c r="J1409" i="13"/>
  <c r="I1409" i="13"/>
  <c r="K1808" i="13"/>
  <c r="J1808" i="13"/>
  <c r="I1808" i="13"/>
  <c r="K1005" i="13"/>
  <c r="J1005" i="13"/>
  <c r="I1005" i="13"/>
  <c r="J1854" i="13"/>
  <c r="I1854" i="13"/>
  <c r="K1854" i="13"/>
  <c r="I1595" i="13"/>
  <c r="J1595" i="13"/>
  <c r="K1595" i="13"/>
  <c r="I1836" i="13"/>
  <c r="K1836" i="13"/>
  <c r="J1836" i="13"/>
  <c r="J1496" i="13"/>
  <c r="I1496" i="13"/>
  <c r="K1496" i="13"/>
  <c r="K1366" i="13"/>
  <c r="J1366" i="13"/>
  <c r="I1366" i="13"/>
  <c r="K1552" i="13"/>
  <c r="J1552" i="13"/>
  <c r="I1552" i="13"/>
  <c r="I1013" i="13"/>
  <c r="K1013" i="13"/>
  <c r="J1013" i="13"/>
  <c r="J1358" i="13"/>
  <c r="I1358" i="13"/>
  <c r="K1358" i="13"/>
  <c r="J1999" i="13"/>
  <c r="I1999" i="13"/>
  <c r="K1999" i="13"/>
  <c r="J1117" i="13"/>
  <c r="K1117" i="13"/>
  <c r="I1117" i="13"/>
  <c r="I1132" i="13"/>
  <c r="J1132" i="13"/>
  <c r="K1132" i="13"/>
  <c r="J1914" i="13"/>
  <c r="K1914" i="13"/>
  <c r="I1914" i="13"/>
  <c r="I1417" i="13"/>
  <c r="K1417" i="13"/>
  <c r="J1417" i="13"/>
  <c r="I1224" i="13"/>
  <c r="K1224" i="13"/>
  <c r="J1224" i="13"/>
  <c r="K1862" i="13"/>
  <c r="I1862" i="13"/>
  <c r="J1862" i="13"/>
  <c r="K1551" i="13"/>
  <c r="J1551" i="13"/>
  <c r="I1551" i="13"/>
  <c r="J2016" i="13"/>
  <c r="I2016" i="13"/>
  <c r="K2016" i="13"/>
  <c r="I1732" i="13"/>
  <c r="J1732" i="13"/>
  <c r="K1732" i="13"/>
  <c r="K1397" i="13"/>
  <c r="I1397" i="13"/>
  <c r="J1397" i="13"/>
  <c r="J1173" i="13"/>
  <c r="I1173" i="13"/>
  <c r="K1173" i="13"/>
  <c r="K1563" i="13"/>
  <c r="I1563" i="13"/>
  <c r="J1563" i="13"/>
  <c r="I1657" i="13"/>
  <c r="J1657" i="13"/>
  <c r="K1657" i="13"/>
  <c r="K1078" i="13"/>
  <c r="I1078" i="13"/>
  <c r="J1078" i="13"/>
  <c r="K1215" i="13"/>
  <c r="J1215" i="13"/>
  <c r="I1215" i="13"/>
  <c r="J1662" i="13"/>
  <c r="K1662" i="13"/>
  <c r="I1662" i="13"/>
  <c r="I1767" i="13"/>
  <c r="K1767" i="13"/>
  <c r="J1767" i="13"/>
  <c r="J1046" i="13"/>
  <c r="K1046" i="13"/>
  <c r="I1046" i="13"/>
  <c r="K1269" i="13"/>
  <c r="I1269" i="13"/>
  <c r="J1269" i="13"/>
  <c r="I1923" i="13"/>
  <c r="K1923" i="13"/>
  <c r="J1923" i="13"/>
  <c r="K1075" i="13"/>
  <c r="I1075" i="13"/>
  <c r="J1075" i="13"/>
  <c r="I1059" i="13"/>
  <c r="K1059" i="13"/>
  <c r="J1059" i="13"/>
  <c r="J1253" i="13"/>
  <c r="K1253" i="13"/>
  <c r="I1253" i="13"/>
  <c r="J1281" i="13"/>
  <c r="I1281" i="13"/>
  <c r="K1281" i="13"/>
  <c r="K1994" i="13"/>
  <c r="I1994" i="13"/>
  <c r="J1994" i="13"/>
  <c r="J1241" i="13"/>
  <c r="K1241" i="13"/>
  <c r="I1241" i="13"/>
  <c r="K1895" i="13"/>
  <c r="J1895" i="13"/>
  <c r="I1895" i="13"/>
  <c r="J1127" i="13"/>
  <c r="I1127" i="13"/>
  <c r="K1127" i="13"/>
  <c r="J1295" i="13"/>
  <c r="I1295" i="13"/>
  <c r="K1295" i="13"/>
  <c r="K1871" i="13"/>
  <c r="J1871" i="13"/>
  <c r="I1871" i="13"/>
  <c r="J1730" i="13"/>
  <c r="I1730" i="13"/>
  <c r="K1730" i="13"/>
  <c r="K1954" i="13"/>
  <c r="J1954" i="13"/>
  <c r="I1954" i="13"/>
  <c r="J1661" i="13"/>
  <c r="I1661" i="13"/>
  <c r="K1661" i="13"/>
  <c r="K1026" i="13"/>
  <c r="I1026" i="13"/>
  <c r="J1026" i="13"/>
  <c r="K1978" i="13"/>
  <c r="J1978" i="13"/>
  <c r="I1978" i="13"/>
  <c r="I1481" i="13"/>
  <c r="K1481" i="13"/>
  <c r="J1481" i="13"/>
  <c r="K1032" i="13"/>
  <c r="J1032" i="13"/>
  <c r="I1032" i="13"/>
  <c r="K1670" i="13"/>
  <c r="J1670" i="13"/>
  <c r="I1670" i="13"/>
  <c r="J1934" i="13"/>
  <c r="K1934" i="13"/>
  <c r="I1934" i="13"/>
  <c r="K1587" i="13"/>
  <c r="I1587" i="13"/>
  <c r="J1587" i="13"/>
  <c r="K1709" i="13"/>
  <c r="J1709" i="13"/>
  <c r="I1709" i="13"/>
  <c r="I1517" i="13"/>
  <c r="J1517" i="13"/>
  <c r="K1517" i="13"/>
  <c r="K1489" i="13"/>
  <c r="J1489" i="13"/>
  <c r="I1489" i="13"/>
  <c r="I1883" i="13"/>
  <c r="J1883" i="13"/>
  <c r="K1883" i="13"/>
  <c r="K1706" i="13"/>
  <c r="I1706" i="13"/>
  <c r="J1706" i="13"/>
  <c r="K1721" i="13"/>
  <c r="I1721" i="13"/>
  <c r="J1721" i="13"/>
  <c r="I1272" i="13"/>
  <c r="K1272" i="13"/>
  <c r="J1272" i="13"/>
  <c r="J1351" i="13"/>
  <c r="K1351" i="13"/>
  <c r="I1351" i="13"/>
  <c r="K1952" i="13"/>
  <c r="J1952" i="13"/>
  <c r="I1952" i="13"/>
  <c r="J1669" i="13"/>
  <c r="K1669" i="13"/>
  <c r="I1669" i="13"/>
  <c r="K1605" i="13"/>
  <c r="I1605" i="13"/>
  <c r="J1605" i="13"/>
  <c r="J1043" i="13"/>
  <c r="K1043" i="13"/>
  <c r="I1043" i="13"/>
  <c r="I1773" i="13"/>
  <c r="J1773" i="13"/>
  <c r="K1773" i="13"/>
  <c r="K1650" i="13"/>
  <c r="J1650" i="13"/>
  <c r="I1650" i="13"/>
  <c r="K1500" i="13"/>
  <c r="I1500" i="13"/>
  <c r="J1500" i="13"/>
  <c r="J1705" i="13"/>
  <c r="I1705" i="13"/>
  <c r="K1705" i="13"/>
  <c r="J1512" i="13"/>
  <c r="I1512" i="13"/>
  <c r="K1512" i="13"/>
  <c r="K1079" i="13"/>
  <c r="I1079" i="13"/>
  <c r="J1079" i="13"/>
  <c r="J2003" i="13"/>
  <c r="K2003" i="13"/>
  <c r="I2003" i="13"/>
  <c r="I1220" i="13"/>
  <c r="J1220" i="13"/>
  <c r="K1220" i="13"/>
  <c r="K1183" i="13"/>
  <c r="J1183" i="13"/>
  <c r="I1183" i="13"/>
  <c r="K1727" i="13"/>
  <c r="J1727" i="13"/>
  <c r="I1727" i="13"/>
  <c r="K1457" i="13"/>
  <c r="J1457" i="13"/>
  <c r="I1457" i="13"/>
  <c r="K943" i="13"/>
  <c r="J943" i="13"/>
  <c r="I943" i="13"/>
  <c r="K1452" i="13"/>
  <c r="I1452" i="13"/>
  <c r="J1452" i="13"/>
  <c r="I1433" i="13"/>
  <c r="K1433" i="13"/>
  <c r="J1433" i="13"/>
  <c r="J1020" i="13"/>
  <c r="I1020" i="13"/>
  <c r="K1020" i="13"/>
  <c r="I1878" i="13"/>
  <c r="J1878" i="13"/>
  <c r="K1878" i="13"/>
  <c r="K1329" i="13"/>
  <c r="J1329" i="13"/>
  <c r="I1329" i="13"/>
  <c r="I1040" i="13"/>
  <c r="K1040" i="13"/>
  <c r="J1040" i="13"/>
  <c r="K1757" i="13"/>
  <c r="J1757" i="13"/>
  <c r="I1757" i="13"/>
  <c r="J1824" i="13"/>
  <c r="I1824" i="13"/>
  <c r="K1824" i="13"/>
  <c r="J1276" i="13"/>
  <c r="K1276" i="13"/>
  <c r="I1276" i="13"/>
  <c r="K1363" i="13"/>
  <c r="I1363" i="13"/>
  <c r="J1363" i="13"/>
  <c r="K1053" i="13"/>
  <c r="I1053" i="13"/>
  <c r="J1053" i="13"/>
  <c r="I1023" i="13"/>
  <c r="K1023" i="13"/>
  <c r="J1023" i="13"/>
  <c r="J1774" i="13"/>
  <c r="K1774" i="13"/>
  <c r="I1774" i="13"/>
  <c r="K1087" i="13"/>
  <c r="J1087" i="13"/>
  <c r="I1087" i="13"/>
  <c r="K1567" i="13"/>
  <c r="J1567" i="13"/>
  <c r="I1567" i="13"/>
  <c r="K1898" i="13"/>
  <c r="J1898" i="13"/>
  <c r="I1898" i="13"/>
  <c r="I1401" i="13"/>
  <c r="K1401" i="13"/>
  <c r="J1401" i="13"/>
  <c r="K2055" i="13"/>
  <c r="J2055" i="13"/>
  <c r="I2055" i="13"/>
  <c r="K1590" i="13"/>
  <c r="I1590" i="13"/>
  <c r="J1590" i="13"/>
  <c r="J1646" i="13"/>
  <c r="I1646" i="13"/>
  <c r="K1646" i="13"/>
  <c r="K1266" i="13"/>
  <c r="J1266" i="13"/>
  <c r="I1266" i="13"/>
  <c r="K1965" i="13"/>
  <c r="J1965" i="13"/>
  <c r="I1965" i="13"/>
  <c r="K1920" i="13"/>
  <c r="I1920" i="13"/>
  <c r="J1920" i="13"/>
  <c r="I1491" i="13"/>
  <c r="J1491" i="13"/>
  <c r="K1491" i="13"/>
  <c r="J1648" i="13"/>
  <c r="I1648" i="13"/>
  <c r="K1648" i="13"/>
  <c r="K1886" i="13"/>
  <c r="I1886" i="13"/>
  <c r="J1886" i="13"/>
  <c r="K1459" i="13"/>
  <c r="I1459" i="13"/>
  <c r="J1459" i="13"/>
  <c r="K1057" i="13"/>
  <c r="I1057" i="13"/>
  <c r="J1057" i="13"/>
  <c r="J1312" i="13"/>
  <c r="K1312" i="13"/>
  <c r="I1312" i="13"/>
  <c r="I1085" i="13"/>
  <c r="J1085" i="13"/>
  <c r="K1085" i="13"/>
  <c r="J1547" i="13"/>
  <c r="K1547" i="13"/>
  <c r="I1547" i="13"/>
  <c r="J1882" i="13"/>
  <c r="I1882" i="13"/>
  <c r="K1882" i="13"/>
  <c r="I1532" i="13"/>
  <c r="J1532" i="13"/>
  <c r="K1532" i="13"/>
  <c r="I1129" i="13"/>
  <c r="J1129" i="13"/>
  <c r="K1129" i="13"/>
  <c r="K936" i="13"/>
  <c r="I936" i="13"/>
  <c r="J936" i="13"/>
  <c r="J1527" i="13"/>
  <c r="I1527" i="13"/>
  <c r="K1527" i="13"/>
  <c r="J1015" i="13"/>
  <c r="K1015" i="13"/>
  <c r="I1015" i="13"/>
  <c r="J1318" i="13"/>
  <c r="I1318" i="13"/>
  <c r="K1318" i="13"/>
  <c r="K1791" i="13"/>
  <c r="I1791" i="13"/>
  <c r="J1791" i="13"/>
  <c r="I1071" i="13"/>
  <c r="J1071" i="13"/>
  <c r="K1071" i="13"/>
  <c r="K1471" i="13"/>
  <c r="J1471" i="13"/>
  <c r="I1471" i="13"/>
  <c r="K1921" i="13"/>
  <c r="J1921" i="13"/>
  <c r="I1921" i="13"/>
  <c r="K1695" i="13"/>
  <c r="J1695" i="13"/>
  <c r="I1695" i="13"/>
  <c r="I1154" i="13"/>
  <c r="K1154" i="13"/>
  <c r="J1154" i="13"/>
  <c r="J1981" i="13"/>
  <c r="K1981" i="13"/>
  <c r="I1981" i="13"/>
  <c r="K1829" i="13"/>
  <c r="J1829" i="13"/>
  <c r="I1829" i="13"/>
  <c r="K1826" i="13"/>
  <c r="I1826" i="13"/>
  <c r="J1826" i="13"/>
  <c r="I1376" i="13"/>
  <c r="K1376" i="13"/>
  <c r="J1376" i="13"/>
  <c r="K1938" i="13"/>
  <c r="J1938" i="13"/>
  <c r="I1938" i="13"/>
  <c r="J1027" i="13"/>
  <c r="K1027" i="13"/>
  <c r="I1027" i="13"/>
  <c r="J1037" i="13"/>
  <c r="K1037" i="13"/>
  <c r="I1037" i="13"/>
  <c r="K1282" i="13"/>
  <c r="I1282" i="13"/>
  <c r="J1282" i="13"/>
  <c r="J2043" i="13"/>
  <c r="K2043" i="13"/>
  <c r="I2043" i="13"/>
  <c r="I1275" i="13"/>
  <c r="K1275" i="13"/>
  <c r="J1275" i="13"/>
  <c r="J1116" i="13"/>
  <c r="K1116" i="13"/>
  <c r="I1116" i="13"/>
  <c r="K1610" i="13"/>
  <c r="J1610" i="13"/>
  <c r="I1610" i="13"/>
  <c r="K1098" i="13"/>
  <c r="J1098" i="13"/>
  <c r="I1098" i="13"/>
  <c r="J1881" i="13"/>
  <c r="I1881" i="13"/>
  <c r="K1881" i="13"/>
  <c r="I1625" i="13"/>
  <c r="J1625" i="13"/>
  <c r="K1625" i="13"/>
  <c r="I1113" i="13"/>
  <c r="K1113" i="13"/>
  <c r="J1113" i="13"/>
  <c r="J1944" i="13"/>
  <c r="K1944" i="13"/>
  <c r="I1944" i="13"/>
  <c r="K1432" i="13"/>
  <c r="I1432" i="13"/>
  <c r="J1432" i="13"/>
  <c r="K1964" i="13"/>
  <c r="J1964" i="13"/>
  <c r="I1964" i="13"/>
  <c r="I1511" i="13"/>
  <c r="K1511" i="13"/>
  <c r="J1511" i="13"/>
  <c r="J999" i="13"/>
  <c r="K999" i="13"/>
  <c r="I999" i="13"/>
  <c r="I1814" i="13"/>
  <c r="K1814" i="13"/>
  <c r="J1814" i="13"/>
  <c r="K1302" i="13"/>
  <c r="J1302" i="13"/>
  <c r="I1302" i="13"/>
  <c r="K1296" i="13"/>
  <c r="J1296" i="13"/>
  <c r="I1296" i="13"/>
  <c r="K1951" i="13"/>
  <c r="J1951" i="13"/>
  <c r="I1951" i="13"/>
  <c r="J1391" i="13"/>
  <c r="I1391" i="13"/>
  <c r="K1391" i="13"/>
  <c r="I1440" i="13"/>
  <c r="K1440" i="13"/>
  <c r="J1440" i="13"/>
  <c r="K1583" i="13"/>
  <c r="J1583" i="13"/>
  <c r="I1583" i="13"/>
  <c r="K2066" i="13"/>
  <c r="J2066" i="13"/>
  <c r="I2066" i="13"/>
  <c r="I1157" i="13"/>
  <c r="J1157" i="13"/>
  <c r="K1157" i="13"/>
  <c r="K1525" i="13"/>
  <c r="J1525" i="13"/>
  <c r="I1525" i="13"/>
  <c r="J1325" i="13"/>
  <c r="K1325" i="13"/>
  <c r="I1325" i="13"/>
  <c r="J1870" i="13"/>
  <c r="K1870" i="13"/>
  <c r="I1870" i="13"/>
  <c r="K1054" i="13"/>
  <c r="I1054" i="13"/>
  <c r="J1054" i="13"/>
  <c r="K1586" i="13"/>
  <c r="J1586" i="13"/>
  <c r="I1586" i="13"/>
  <c r="I1389" i="13"/>
  <c r="K1389" i="13"/>
  <c r="J1389" i="13"/>
  <c r="J1423" i="13"/>
  <c r="I1423" i="13"/>
  <c r="K1423" i="13"/>
  <c r="K1665" i="13"/>
  <c r="J1665" i="13"/>
  <c r="I1665" i="13"/>
  <c r="J1045" i="13"/>
  <c r="K1045" i="13"/>
  <c r="I1045" i="13"/>
  <c r="I1299" i="13"/>
  <c r="J1299" i="13"/>
  <c r="K1299" i="13"/>
  <c r="K1134" i="13"/>
  <c r="J1134" i="13"/>
  <c r="I1134" i="13"/>
  <c r="I1474" i="13"/>
  <c r="K1474" i="13"/>
  <c r="J1474" i="13"/>
  <c r="K1821" i="13"/>
  <c r="I1821" i="13"/>
  <c r="J1821" i="13"/>
  <c r="K1701" i="13"/>
  <c r="I1701" i="13"/>
  <c r="J1701" i="13"/>
  <c r="I1553" i="13"/>
  <c r="K1553" i="13"/>
  <c r="J1553" i="13"/>
  <c r="J1746" i="13"/>
  <c r="K1746" i="13"/>
  <c r="I1746" i="13"/>
  <c r="K1602" i="13"/>
  <c r="I1602" i="13"/>
  <c r="J1602" i="13"/>
  <c r="J1571" i="13"/>
  <c r="I1571" i="13"/>
  <c r="K1571" i="13"/>
  <c r="I1796" i="13"/>
  <c r="K1796" i="13"/>
  <c r="J1796" i="13"/>
  <c r="K1314" i="13"/>
  <c r="I1314" i="13"/>
  <c r="J1314" i="13"/>
  <c r="K1776" i="13"/>
  <c r="J1776" i="13"/>
  <c r="I1776" i="13"/>
  <c r="I1293" i="13"/>
  <c r="K1293" i="13"/>
  <c r="J1293" i="13"/>
  <c r="J1262" i="13"/>
  <c r="K1262" i="13"/>
  <c r="I1262" i="13"/>
  <c r="I1908" i="13"/>
  <c r="J1908" i="13"/>
  <c r="K1908" i="13"/>
  <c r="K1456" i="13"/>
  <c r="J1456" i="13"/>
  <c r="I1456" i="13"/>
  <c r="K997" i="13"/>
  <c r="I997" i="13"/>
  <c r="J997" i="13"/>
  <c r="K1038" i="13"/>
  <c r="J1038" i="13"/>
  <c r="I1038" i="13"/>
  <c r="K977" i="13"/>
  <c r="J977" i="13"/>
  <c r="I977" i="13"/>
  <c r="K1711" i="13"/>
  <c r="J1711" i="13"/>
  <c r="I1711" i="13"/>
  <c r="K1252" i="13"/>
  <c r="I1252" i="13"/>
  <c r="J1252" i="13"/>
  <c r="J1936" i="13"/>
  <c r="K1936" i="13"/>
  <c r="I1936" i="13"/>
  <c r="J1477" i="13"/>
  <c r="K1477" i="13"/>
  <c r="I1477" i="13"/>
  <c r="K1025" i="13"/>
  <c r="J1025" i="13"/>
  <c r="I1025" i="13"/>
  <c r="K2027" i="13"/>
  <c r="I2027" i="13"/>
  <c r="J2027" i="13"/>
  <c r="K1771" i="13"/>
  <c r="J1771" i="13"/>
  <c r="I1771" i="13"/>
  <c r="J1515" i="13"/>
  <c r="K1515" i="13"/>
  <c r="I1515" i="13"/>
  <c r="I1259" i="13"/>
  <c r="K1259" i="13"/>
  <c r="J1259" i="13"/>
  <c r="K1003" i="13"/>
  <c r="J1003" i="13"/>
  <c r="I1003" i="13"/>
  <c r="J1068" i="13"/>
  <c r="I1068" i="13"/>
  <c r="K1068" i="13"/>
  <c r="J1850" i="13"/>
  <c r="K1850" i="13"/>
  <c r="I1850" i="13"/>
  <c r="K1594" i="13"/>
  <c r="J1594" i="13"/>
  <c r="I1594" i="13"/>
  <c r="I1338" i="13"/>
  <c r="J1338" i="13"/>
  <c r="K1338" i="13"/>
  <c r="I1082" i="13"/>
  <c r="K1082" i="13"/>
  <c r="J1082" i="13"/>
  <c r="J1292" i="13"/>
  <c r="I1292" i="13"/>
  <c r="K1292" i="13"/>
  <c r="K1865" i="13"/>
  <c r="J1865" i="13"/>
  <c r="I1865" i="13"/>
  <c r="I1609" i="13"/>
  <c r="K1609" i="13"/>
  <c r="J1609" i="13"/>
  <c r="I1353" i="13"/>
  <c r="K1353" i="13"/>
  <c r="J1353" i="13"/>
  <c r="J1097" i="13"/>
  <c r="I1097" i="13"/>
  <c r="K1097" i="13"/>
  <c r="I1484" i="13"/>
  <c r="K1484" i="13"/>
  <c r="J1484" i="13"/>
  <c r="J1928" i="13"/>
  <c r="K1928" i="13"/>
  <c r="I1928" i="13"/>
  <c r="I1672" i="13"/>
  <c r="J1672" i="13"/>
  <c r="K1672" i="13"/>
  <c r="I1416" i="13"/>
  <c r="K1416" i="13"/>
  <c r="J1416" i="13"/>
  <c r="I1160" i="13"/>
  <c r="J1160" i="13"/>
  <c r="K1160" i="13"/>
  <c r="I1868" i="13"/>
  <c r="K1868" i="13"/>
  <c r="J1868" i="13"/>
  <c r="J2007" i="13"/>
  <c r="K2007" i="13"/>
  <c r="I2007" i="13"/>
  <c r="K1751" i="13"/>
  <c r="I1751" i="13"/>
  <c r="J1751" i="13"/>
  <c r="J1495" i="13"/>
  <c r="K1495" i="13"/>
  <c r="I1495" i="13"/>
  <c r="J1239" i="13"/>
  <c r="K1239" i="13"/>
  <c r="I1239" i="13"/>
  <c r="J983" i="13"/>
  <c r="K983" i="13"/>
  <c r="I983" i="13"/>
  <c r="K2054" i="13"/>
  <c r="J2054" i="13"/>
  <c r="I2054" i="13"/>
  <c r="K1798" i="13"/>
  <c r="J1798" i="13"/>
  <c r="I1798" i="13"/>
  <c r="I1542" i="13"/>
  <c r="K1542" i="13"/>
  <c r="J1542" i="13"/>
  <c r="K1286" i="13"/>
  <c r="J1286" i="13"/>
  <c r="I1286" i="13"/>
  <c r="K1030" i="13"/>
  <c r="I1030" i="13"/>
  <c r="J1030" i="13"/>
  <c r="K1136" i="13"/>
  <c r="I1136" i="13"/>
  <c r="J1136" i="13"/>
  <c r="K1123" i="13"/>
  <c r="J1123" i="13"/>
  <c r="I1123" i="13"/>
  <c r="K1072" i="13"/>
  <c r="J1072" i="13"/>
  <c r="I1072" i="13"/>
  <c r="K1327" i="13"/>
  <c r="J1327" i="13"/>
  <c r="I1327" i="13"/>
  <c r="K1570" i="13"/>
  <c r="I1570" i="13"/>
  <c r="J1570" i="13"/>
  <c r="K1632" i="13"/>
  <c r="I1632" i="13"/>
  <c r="J1632" i="13"/>
  <c r="I1403" i="13"/>
  <c r="K1403" i="13"/>
  <c r="J1403" i="13"/>
  <c r="J2009" i="13"/>
  <c r="I2009" i="13"/>
  <c r="K2009" i="13"/>
  <c r="K1304" i="13"/>
  <c r="J1304" i="13"/>
  <c r="I1304" i="13"/>
  <c r="I1942" i="13"/>
  <c r="J1942" i="13"/>
  <c r="K1942" i="13"/>
  <c r="J2067" i="13"/>
  <c r="I2067" i="13"/>
  <c r="K2067" i="13"/>
  <c r="K1664" i="13"/>
  <c r="J1664" i="13"/>
  <c r="I1664" i="13"/>
  <c r="I2052" i="13"/>
  <c r="J2052" i="13"/>
  <c r="K2052" i="13"/>
  <c r="K1230" i="13"/>
  <c r="J1230" i="13"/>
  <c r="I1230" i="13"/>
  <c r="K1251" i="13"/>
  <c r="I1251" i="13"/>
  <c r="J1251" i="13"/>
  <c r="K1722" i="13"/>
  <c r="I1722" i="13"/>
  <c r="J1722" i="13"/>
  <c r="K1737" i="13"/>
  <c r="I1737" i="13"/>
  <c r="J1737" i="13"/>
  <c r="J1544" i="13"/>
  <c r="K1544" i="13"/>
  <c r="I1544" i="13"/>
  <c r="K1724" i="13"/>
  <c r="I1724" i="13"/>
  <c r="J1724" i="13"/>
  <c r="I1807" i="13"/>
  <c r="K1807" i="13"/>
  <c r="J1807" i="13"/>
  <c r="J1411" i="13"/>
  <c r="I1411" i="13"/>
  <c r="K1411" i="13"/>
  <c r="J1982" i="13"/>
  <c r="K1982" i="13"/>
  <c r="I1982" i="13"/>
  <c r="J1971" i="13"/>
  <c r="I1971" i="13"/>
  <c r="K1971" i="13"/>
  <c r="J1455" i="13"/>
  <c r="I1455" i="13"/>
  <c r="K1455" i="13"/>
  <c r="K1371" i="13"/>
  <c r="I1371" i="13"/>
  <c r="J1371" i="13"/>
  <c r="I953" i="13"/>
  <c r="K953" i="13"/>
  <c r="J953" i="13"/>
  <c r="K1863" i="13"/>
  <c r="I1863" i="13"/>
  <c r="J1863" i="13"/>
  <c r="K1910" i="13"/>
  <c r="I1910" i="13"/>
  <c r="J1910" i="13"/>
  <c r="K1442" i="13"/>
  <c r="J1442" i="13"/>
  <c r="I1442" i="13"/>
  <c r="K1360" i="13"/>
  <c r="J1360" i="13"/>
  <c r="I1360" i="13"/>
  <c r="J946" i="13"/>
  <c r="I946" i="13"/>
  <c r="K946" i="13"/>
  <c r="K1170" i="13"/>
  <c r="J1170" i="13"/>
  <c r="I1170" i="13"/>
  <c r="I1340" i="13"/>
  <c r="J1340" i="13"/>
  <c r="K1340" i="13"/>
  <c r="I937" i="13"/>
  <c r="J937" i="13"/>
  <c r="K937" i="13"/>
  <c r="J1847" i="13"/>
  <c r="K1847" i="13"/>
  <c r="I1847" i="13"/>
  <c r="K1382" i="13"/>
  <c r="J1382" i="13"/>
  <c r="I1382" i="13"/>
  <c r="K2001" i="13"/>
  <c r="J2001" i="13"/>
  <c r="I2001" i="13"/>
  <c r="J1488" i="13"/>
  <c r="I1488" i="13"/>
  <c r="K1488" i="13"/>
  <c r="K1460" i="13"/>
  <c r="I1460" i="13"/>
  <c r="J1460" i="13"/>
  <c r="J1851" i="13"/>
  <c r="K1851" i="13"/>
  <c r="I1851" i="13"/>
  <c r="I1162" i="13"/>
  <c r="K1162" i="13"/>
  <c r="J1162" i="13"/>
  <c r="I1752" i="13"/>
  <c r="K1752" i="13"/>
  <c r="J1752" i="13"/>
  <c r="K1110" i="13"/>
  <c r="J1110" i="13"/>
  <c r="I1110" i="13"/>
  <c r="I1988" i="13"/>
  <c r="K1988" i="13"/>
  <c r="J1988" i="13"/>
  <c r="J2064" i="13"/>
  <c r="K2064" i="13"/>
  <c r="I2064" i="13"/>
  <c r="K1503" i="13"/>
  <c r="J1503" i="13"/>
  <c r="I1503" i="13"/>
  <c r="J1918" i="13"/>
  <c r="K1918" i="13"/>
  <c r="I1918" i="13"/>
  <c r="I1458" i="13"/>
  <c r="K1458" i="13"/>
  <c r="J1458" i="13"/>
  <c r="J2048" i="13"/>
  <c r="I2048" i="13"/>
  <c r="K2048" i="13"/>
  <c r="I1323" i="13"/>
  <c r="J1323" i="13"/>
  <c r="K1323" i="13"/>
  <c r="J1740" i="13"/>
  <c r="K1740" i="13"/>
  <c r="I1740" i="13"/>
  <c r="K1992" i="13"/>
  <c r="I1992" i="13"/>
  <c r="J1992" i="13"/>
  <c r="J1303" i="13"/>
  <c r="K1303" i="13"/>
  <c r="I1303" i="13"/>
  <c r="K1647" i="13"/>
  <c r="J1647" i="13"/>
  <c r="I1647" i="13"/>
  <c r="J1310" i="13"/>
  <c r="I1310" i="13"/>
  <c r="K1310" i="13"/>
  <c r="K2015" i="13"/>
  <c r="J2015" i="13"/>
  <c r="I2015" i="13"/>
  <c r="K1699" i="13"/>
  <c r="I1699" i="13"/>
  <c r="J1699" i="13"/>
  <c r="J1998" i="13"/>
  <c r="K1998" i="13"/>
  <c r="I1998" i="13"/>
  <c r="J1342" i="13"/>
  <c r="K1342" i="13"/>
  <c r="I1342" i="13"/>
  <c r="K1051" i="13"/>
  <c r="I1051" i="13"/>
  <c r="J1051" i="13"/>
  <c r="K1644" i="13"/>
  <c r="I1644" i="13"/>
  <c r="J1644" i="13"/>
  <c r="I1720" i="13"/>
  <c r="J1720" i="13"/>
  <c r="K1720" i="13"/>
  <c r="K1287" i="13"/>
  <c r="I1287" i="13"/>
  <c r="J1287" i="13"/>
  <c r="K1984" i="13"/>
  <c r="J1984" i="13"/>
  <c r="I1984" i="13"/>
  <c r="J1617" i="13"/>
  <c r="K1617" i="13"/>
  <c r="I1617" i="13"/>
  <c r="K1205" i="13"/>
  <c r="J1205" i="13"/>
  <c r="I1205" i="13"/>
  <c r="K1933" i="13"/>
  <c r="I1933" i="13"/>
  <c r="J1933" i="13"/>
  <c r="J1889" i="13"/>
  <c r="K1889" i="13"/>
  <c r="I1889" i="13"/>
  <c r="J1374" i="13"/>
  <c r="I1374" i="13"/>
  <c r="K1374" i="13"/>
  <c r="K1968" i="13"/>
  <c r="J1968" i="13"/>
  <c r="I1968" i="13"/>
  <c r="K1090" i="13"/>
  <c r="J1090" i="13"/>
  <c r="I1090" i="13"/>
  <c r="I2059" i="13"/>
  <c r="K2059" i="13"/>
  <c r="J2059" i="13"/>
  <c r="J1035" i="13"/>
  <c r="I1035" i="13"/>
  <c r="K1035" i="13"/>
  <c r="I1626" i="13"/>
  <c r="J1626" i="13"/>
  <c r="K1626" i="13"/>
  <c r="J1897" i="13"/>
  <c r="K1897" i="13"/>
  <c r="I1897" i="13"/>
  <c r="J1708" i="13"/>
  <c r="K1708" i="13"/>
  <c r="I1708" i="13"/>
  <c r="J1448" i="13"/>
  <c r="K1448" i="13"/>
  <c r="I1448" i="13"/>
  <c r="K1783" i="13"/>
  <c r="I1783" i="13"/>
  <c r="J1783" i="13"/>
  <c r="J1271" i="13"/>
  <c r="I1271" i="13"/>
  <c r="K1271" i="13"/>
  <c r="J988" i="13"/>
  <c r="K988" i="13"/>
  <c r="I988" i="13"/>
  <c r="J1062" i="13"/>
  <c r="I1062" i="13"/>
  <c r="K1062" i="13"/>
  <c r="I990" i="13"/>
  <c r="K990" i="13"/>
  <c r="J990" i="13"/>
  <c r="K1637" i="13"/>
  <c r="J1637" i="13"/>
  <c r="I1637" i="13"/>
  <c r="J958" i="13"/>
  <c r="K958" i="13"/>
  <c r="I958" i="13"/>
  <c r="K1760" i="13"/>
  <c r="J1760" i="13"/>
  <c r="I1760" i="13"/>
  <c r="K1280" i="13"/>
  <c r="J1280" i="13"/>
  <c r="I1280" i="13"/>
  <c r="J1905" i="13"/>
  <c r="I1905" i="13"/>
  <c r="K1905" i="13"/>
  <c r="I1631" i="13"/>
  <c r="K1631" i="13"/>
  <c r="J1631" i="13"/>
  <c r="K1859" i="13"/>
  <c r="J1859" i="13"/>
  <c r="I1859" i="13"/>
  <c r="K1285" i="13"/>
  <c r="J1285" i="13"/>
  <c r="I1285" i="13"/>
  <c r="J1486" i="13"/>
  <c r="I1486" i="13"/>
  <c r="K1486" i="13"/>
  <c r="K1121" i="13"/>
  <c r="J1121" i="13"/>
  <c r="I1121" i="13"/>
  <c r="I1741" i="13"/>
  <c r="J1741" i="13"/>
  <c r="K1741" i="13"/>
  <c r="J1966" i="13"/>
  <c r="K1966" i="13"/>
  <c r="I1966" i="13"/>
  <c r="K1055" i="13"/>
  <c r="I1055" i="13"/>
  <c r="J1055" i="13"/>
  <c r="J1787" i="13"/>
  <c r="K1787" i="13"/>
  <c r="I1787" i="13"/>
  <c r="J1019" i="13"/>
  <c r="I1019" i="13"/>
  <c r="K1019" i="13"/>
  <c r="K1866" i="13"/>
  <c r="I1866" i="13"/>
  <c r="J1866" i="13"/>
  <c r="I1354" i="13"/>
  <c r="K1354" i="13"/>
  <c r="J1354" i="13"/>
  <c r="I1388" i="13"/>
  <c r="J1388" i="13"/>
  <c r="K1388" i="13"/>
  <c r="I1369" i="13"/>
  <c r="K1369" i="13"/>
  <c r="J1369" i="13"/>
  <c r="K1580" i="13"/>
  <c r="J1580" i="13"/>
  <c r="I1580" i="13"/>
  <c r="I1688" i="13"/>
  <c r="K1688" i="13"/>
  <c r="J1688" i="13"/>
  <c r="K1176" i="13"/>
  <c r="I1176" i="13"/>
  <c r="J1176" i="13"/>
  <c r="I2023" i="13"/>
  <c r="K2023" i="13"/>
  <c r="J2023" i="13"/>
  <c r="J1255" i="13"/>
  <c r="I1255" i="13"/>
  <c r="K1255" i="13"/>
  <c r="J2070" i="13"/>
  <c r="I2070" i="13"/>
  <c r="K2070" i="13"/>
  <c r="I1558" i="13"/>
  <c r="K1558" i="13"/>
  <c r="J1558" i="13"/>
  <c r="K1953" i="13"/>
  <c r="I1953" i="13"/>
  <c r="J1953" i="13"/>
  <c r="J1588" i="13"/>
  <c r="K1588" i="13"/>
  <c r="I1588" i="13"/>
  <c r="K1041" i="13"/>
  <c r="J1041" i="13"/>
  <c r="I1041" i="13"/>
  <c r="K1331" i="13"/>
  <c r="I1331" i="13"/>
  <c r="J1331" i="13"/>
  <c r="J1379" i="13"/>
  <c r="K1379" i="13"/>
  <c r="I1379" i="13"/>
  <c r="J1726" i="13"/>
  <c r="I1726" i="13"/>
  <c r="K1726" i="13"/>
  <c r="I1069" i="13"/>
  <c r="K1069" i="13"/>
  <c r="J1069" i="13"/>
  <c r="K1328" i="13"/>
  <c r="J1328" i="13"/>
  <c r="I1328" i="13"/>
  <c r="J1216" i="13"/>
  <c r="I1216" i="13"/>
  <c r="K1216" i="13"/>
  <c r="J1812" i="13"/>
  <c r="I1812" i="13"/>
  <c r="K1812" i="13"/>
  <c r="K1010" i="13"/>
  <c r="J1010" i="13"/>
  <c r="I1010" i="13"/>
  <c r="I1439" i="13"/>
  <c r="K1439" i="13"/>
  <c r="J1439" i="13"/>
  <c r="K1236" i="13"/>
  <c r="I1236" i="13"/>
  <c r="J1236" i="13"/>
  <c r="K1073" i="13"/>
  <c r="J1073" i="13"/>
  <c r="I1073" i="13"/>
  <c r="I1556" i="13"/>
  <c r="K1556" i="13"/>
  <c r="J1556" i="13"/>
  <c r="K994" i="13"/>
  <c r="J994" i="13"/>
  <c r="I994" i="13"/>
  <c r="K1248" i="13"/>
  <c r="J1248" i="13"/>
  <c r="I1248" i="13"/>
  <c r="J981" i="13"/>
  <c r="K981" i="13"/>
  <c r="I981" i="13"/>
  <c r="I1277" i="13"/>
  <c r="J1277" i="13"/>
  <c r="K1277" i="13"/>
  <c r="I1668" i="13"/>
  <c r="J1668" i="13"/>
  <c r="K1668" i="13"/>
  <c r="J1613" i="13"/>
  <c r="K1613" i="13"/>
  <c r="I1613" i="13"/>
  <c r="J1502" i="13"/>
  <c r="K1502" i="13"/>
  <c r="I1502" i="13"/>
  <c r="K1716" i="13"/>
  <c r="I1716" i="13"/>
  <c r="J1716" i="13"/>
  <c r="I1519" i="13"/>
  <c r="K1519" i="13"/>
  <c r="J1519" i="13"/>
  <c r="J1518" i="13"/>
  <c r="K1518" i="13"/>
  <c r="I1518" i="13"/>
  <c r="K1743" i="13"/>
  <c r="J1743" i="13"/>
  <c r="I1743" i="13"/>
  <c r="K1284" i="13"/>
  <c r="J1284" i="13"/>
  <c r="I1284" i="13"/>
  <c r="I1663" i="13"/>
  <c r="K1663" i="13"/>
  <c r="J1663" i="13"/>
  <c r="K1203" i="13"/>
  <c r="I1203" i="13"/>
  <c r="J1203" i="13"/>
  <c r="I1202" i="13"/>
  <c r="J1202" i="13"/>
  <c r="K1202" i="13"/>
  <c r="K1885" i="13"/>
  <c r="I1885" i="13"/>
  <c r="J1885" i="13"/>
  <c r="K1426" i="13"/>
  <c r="J1426" i="13"/>
  <c r="I1426" i="13"/>
  <c r="K974" i="13"/>
  <c r="I974" i="13"/>
  <c r="J974" i="13"/>
  <c r="J948" i="13"/>
  <c r="K948" i="13"/>
  <c r="I948" i="13"/>
  <c r="K2000" i="13"/>
  <c r="I2000" i="13"/>
  <c r="J2000" i="13"/>
  <c r="K1681" i="13"/>
  <c r="J1681" i="13"/>
  <c r="I1681" i="13"/>
  <c r="I1229" i="13"/>
  <c r="K1229" i="13"/>
  <c r="J1229" i="13"/>
  <c r="I1906" i="13"/>
  <c r="J1906" i="13"/>
  <c r="K1906" i="13"/>
  <c r="K1454" i="13"/>
  <c r="J1454" i="13"/>
  <c r="I1454" i="13"/>
  <c r="J995" i="13"/>
  <c r="I995" i="13"/>
  <c r="K995" i="13"/>
  <c r="K2011" i="13"/>
  <c r="I2011" i="13"/>
  <c r="J2011" i="13"/>
  <c r="K1755" i="13"/>
  <c r="J1755" i="13"/>
  <c r="I1755" i="13"/>
  <c r="I1499" i="13"/>
  <c r="J1499" i="13"/>
  <c r="K1499" i="13"/>
  <c r="K1243" i="13"/>
  <c r="I1243" i="13"/>
  <c r="J1243" i="13"/>
  <c r="J987" i="13"/>
  <c r="I987" i="13"/>
  <c r="K987" i="13"/>
  <c r="J1036" i="13"/>
  <c r="I1036" i="13"/>
  <c r="K1036" i="13"/>
  <c r="K1834" i="13"/>
  <c r="I1834" i="13"/>
  <c r="J1834" i="13"/>
  <c r="I1578" i="13"/>
  <c r="K1578" i="13"/>
  <c r="J1578" i="13"/>
  <c r="J1322" i="13"/>
  <c r="I1322" i="13"/>
  <c r="K1322" i="13"/>
  <c r="J1066" i="13"/>
  <c r="I1066" i="13"/>
  <c r="K1066" i="13"/>
  <c r="K1180" i="13"/>
  <c r="I1180" i="13"/>
  <c r="J1180" i="13"/>
  <c r="I1849" i="13"/>
  <c r="J1849" i="13"/>
  <c r="K1849" i="13"/>
  <c r="I1593" i="13"/>
  <c r="J1593" i="13"/>
  <c r="K1593" i="13"/>
  <c r="K1337" i="13"/>
  <c r="J1337" i="13"/>
  <c r="I1337" i="13"/>
  <c r="K1081" i="13"/>
  <c r="J1081" i="13"/>
  <c r="I1081" i="13"/>
  <c r="I1404" i="13"/>
  <c r="J1404" i="13"/>
  <c r="K1404" i="13"/>
  <c r="K1912" i="13"/>
  <c r="J1912" i="13"/>
  <c r="I1912" i="13"/>
  <c r="J1656" i="13"/>
  <c r="I1656" i="13"/>
  <c r="K1656" i="13"/>
  <c r="K1400" i="13"/>
  <c r="I1400" i="13"/>
  <c r="J1400" i="13"/>
  <c r="J1144" i="13"/>
  <c r="I1144" i="13"/>
  <c r="K1144" i="13"/>
  <c r="K1756" i="13"/>
  <c r="J1756" i="13"/>
  <c r="I1756" i="13"/>
  <c r="I1991" i="13"/>
  <c r="J1991" i="13"/>
  <c r="K1991" i="13"/>
  <c r="I1735" i="13"/>
  <c r="J1735" i="13"/>
  <c r="K1735" i="13"/>
  <c r="I1479" i="13"/>
  <c r="J1479" i="13"/>
  <c r="K1479" i="13"/>
  <c r="I1223" i="13"/>
  <c r="J1223" i="13"/>
  <c r="K1223" i="13"/>
  <c r="I967" i="13"/>
  <c r="J967" i="13"/>
  <c r="K967" i="13"/>
  <c r="K2038" i="13"/>
  <c r="I2038" i="13"/>
  <c r="J2038" i="13"/>
  <c r="K1782" i="13"/>
  <c r="J1782" i="13"/>
  <c r="I1782" i="13"/>
  <c r="K1526" i="13"/>
  <c r="J1526" i="13"/>
  <c r="I1526" i="13"/>
  <c r="K1270" i="13"/>
  <c r="J1270" i="13"/>
  <c r="I1270" i="13"/>
  <c r="K1014" i="13"/>
  <c r="J1014" i="13"/>
  <c r="I1014" i="13"/>
  <c r="I1645" i="13"/>
  <c r="K1645" i="13"/>
  <c r="J1645" i="13"/>
  <c r="K1506" i="13"/>
  <c r="J1506" i="13"/>
  <c r="I1506" i="13"/>
  <c r="J1758" i="13"/>
  <c r="K1758" i="13"/>
  <c r="I1758" i="13"/>
  <c r="K1189" i="13"/>
  <c r="I1189" i="13"/>
  <c r="J1189" i="13"/>
  <c r="K1744" i="13"/>
  <c r="J1744" i="13"/>
  <c r="I1744" i="13"/>
  <c r="K1056" i="13"/>
  <c r="J1056" i="13"/>
  <c r="I1056" i="13"/>
  <c r="J1147" i="13"/>
  <c r="I1147" i="13"/>
  <c r="K1147" i="13"/>
  <c r="K1753" i="13"/>
  <c r="I1753" i="13"/>
  <c r="J1753" i="13"/>
  <c r="K1048" i="13"/>
  <c r="J1048" i="13"/>
  <c r="I1048" i="13"/>
  <c r="J1686" i="13"/>
  <c r="K1686" i="13"/>
  <c r="I1686" i="13"/>
  <c r="J980" i="13"/>
  <c r="I980" i="13"/>
  <c r="K980" i="13"/>
  <c r="J963" i="13"/>
  <c r="I963" i="13"/>
  <c r="K963" i="13"/>
  <c r="K1088" i="13"/>
  <c r="J1088" i="13"/>
  <c r="I1088" i="13"/>
  <c r="J1937" i="13"/>
  <c r="I1937" i="13"/>
  <c r="K1937" i="13"/>
  <c r="I1643" i="13"/>
  <c r="K1643" i="13"/>
  <c r="J1643" i="13"/>
  <c r="I1466" i="13"/>
  <c r="K1466" i="13"/>
  <c r="J1466" i="13"/>
  <c r="I1225" i="13"/>
  <c r="K1225" i="13"/>
  <c r="J1225" i="13"/>
  <c r="J1164" i="13"/>
  <c r="K1164" i="13"/>
  <c r="I1164" i="13"/>
  <c r="J1414" i="13"/>
  <c r="K1414" i="13"/>
  <c r="I1414" i="13"/>
  <c r="J1246" i="13"/>
  <c r="K1246" i="13"/>
  <c r="I1246" i="13"/>
  <c r="K1679" i="13"/>
  <c r="J1679" i="13"/>
  <c r="I1679" i="13"/>
  <c r="I1555" i="13"/>
  <c r="J1555" i="13"/>
  <c r="K1555" i="13"/>
  <c r="K1970" i="13"/>
  <c r="J1970" i="13"/>
  <c r="I1970" i="13"/>
  <c r="J1652" i="13"/>
  <c r="I1652" i="13"/>
  <c r="K1652" i="13"/>
  <c r="I1221" i="13"/>
  <c r="J1221" i="13"/>
  <c r="K1221" i="13"/>
  <c r="J938" i="13"/>
  <c r="I938" i="13"/>
  <c r="K938" i="13"/>
  <c r="K1784" i="13"/>
  <c r="J1784" i="13"/>
  <c r="I1784" i="13"/>
  <c r="K1095" i="13"/>
  <c r="I1095" i="13"/>
  <c r="J1095" i="13"/>
  <c r="J1135" i="13"/>
  <c r="I1135" i="13"/>
  <c r="K1135" i="13"/>
  <c r="J1213" i="13"/>
  <c r="K1213" i="13"/>
  <c r="I1213" i="13"/>
  <c r="I1635" i="13"/>
  <c r="K1635" i="13"/>
  <c r="J1635" i="13"/>
  <c r="I1858" i="13"/>
  <c r="K1858" i="13"/>
  <c r="J1858" i="13"/>
  <c r="J1877" i="13"/>
  <c r="K1877" i="13"/>
  <c r="I1877" i="13"/>
  <c r="J1099" i="13"/>
  <c r="I1099" i="13"/>
  <c r="K1099" i="13"/>
  <c r="J1961" i="13"/>
  <c r="K1961" i="13"/>
  <c r="I1961" i="13"/>
  <c r="I1591" i="13"/>
  <c r="J1591" i="13"/>
  <c r="K1591" i="13"/>
  <c r="K1618" i="13"/>
  <c r="J1618" i="13"/>
  <c r="I1618" i="13"/>
  <c r="J1155" i="13"/>
  <c r="I1155" i="13"/>
  <c r="K1155" i="13"/>
  <c r="K1475" i="13"/>
  <c r="I1475" i="13"/>
  <c r="J1475" i="13"/>
  <c r="I1857" i="13"/>
  <c r="J1857" i="13"/>
  <c r="K1857" i="13"/>
  <c r="J1599" i="13"/>
  <c r="I1599" i="13"/>
  <c r="K1599" i="13"/>
  <c r="J1620" i="13"/>
  <c r="K1620" i="13"/>
  <c r="I1620" i="13"/>
  <c r="K1930" i="13"/>
  <c r="I1930" i="13"/>
  <c r="J1930" i="13"/>
  <c r="J1980" i="13"/>
  <c r="K1980" i="13"/>
  <c r="I1980" i="13"/>
  <c r="I1319" i="13"/>
  <c r="J1319" i="13"/>
  <c r="K1319" i="13"/>
  <c r="K1472" i="13"/>
  <c r="J1472" i="13"/>
  <c r="I1472" i="13"/>
  <c r="K1125" i="13"/>
  <c r="I1125" i="13"/>
  <c r="J1125" i="13"/>
  <c r="K1523" i="13"/>
  <c r="I1523" i="13"/>
  <c r="J1523" i="13"/>
  <c r="K975" i="13"/>
  <c r="I975" i="13"/>
  <c r="J975" i="13"/>
  <c r="K1407" i="13"/>
  <c r="J1407" i="13"/>
  <c r="I1407" i="13"/>
  <c r="I1579" i="13"/>
  <c r="J1579" i="13"/>
  <c r="K1579" i="13"/>
  <c r="J1146" i="13"/>
  <c r="K1146" i="13"/>
  <c r="I1146" i="13"/>
  <c r="J1900" i="13"/>
  <c r="I1900" i="13"/>
  <c r="K1900" i="13"/>
  <c r="I1815" i="13"/>
  <c r="J1815" i="13"/>
  <c r="K1815" i="13"/>
  <c r="K1047" i="13"/>
  <c r="J1047" i="13"/>
  <c r="I1047" i="13"/>
  <c r="K1392" i="13"/>
  <c r="J1392" i="13"/>
  <c r="I1392" i="13"/>
  <c r="J1214" i="13"/>
  <c r="I1214" i="13"/>
  <c r="K1214" i="13"/>
  <c r="K945" i="13"/>
  <c r="J945" i="13"/>
  <c r="I945" i="13"/>
  <c r="K940" i="13"/>
  <c r="J940" i="13"/>
  <c r="I940" i="13"/>
  <c r="J1130" i="13"/>
  <c r="I1130" i="13"/>
  <c r="K1130" i="13"/>
  <c r="K1976" i="13"/>
  <c r="I1976" i="13"/>
  <c r="J1976" i="13"/>
  <c r="I1208" i="13"/>
  <c r="K1208" i="13"/>
  <c r="J1208" i="13"/>
  <c r="K1031" i="13"/>
  <c r="I1031" i="13"/>
  <c r="J1031" i="13"/>
  <c r="J1790" i="13"/>
  <c r="I1790" i="13"/>
  <c r="K1790" i="13"/>
  <c r="J1156" i="13"/>
  <c r="I1156" i="13"/>
  <c r="K1156" i="13"/>
  <c r="K962" i="13"/>
  <c r="I962" i="13"/>
  <c r="J962" i="13"/>
  <c r="K1745" i="13"/>
  <c r="J1745" i="13"/>
  <c r="I1745" i="13"/>
  <c r="K1345" i="13"/>
  <c r="J1345" i="13"/>
  <c r="I1345" i="13"/>
  <c r="K1204" i="13"/>
  <c r="I1204" i="13"/>
  <c r="J1204" i="13"/>
  <c r="K1989" i="13"/>
  <c r="J1989" i="13"/>
  <c r="I1989" i="13"/>
  <c r="J1291" i="13"/>
  <c r="I1291" i="13"/>
  <c r="K1291" i="13"/>
  <c r="I1370" i="13"/>
  <c r="K1370" i="13"/>
  <c r="J1370" i="13"/>
  <c r="I1641" i="13"/>
  <c r="J1641" i="13"/>
  <c r="K1641" i="13"/>
  <c r="J1704" i="13"/>
  <c r="K1704" i="13"/>
  <c r="I1704" i="13"/>
  <c r="J2039" i="13"/>
  <c r="I2039" i="13"/>
  <c r="K2039" i="13"/>
  <c r="K1574" i="13"/>
  <c r="I1574" i="13"/>
  <c r="J1574" i="13"/>
  <c r="K1507" i="13"/>
  <c r="I1507" i="13"/>
  <c r="J1507" i="13"/>
  <c r="K1589" i="13"/>
  <c r="I1589" i="13"/>
  <c r="J1589" i="13"/>
  <c r="K1902" i="13"/>
  <c r="I1902" i="13"/>
  <c r="J1902" i="13"/>
  <c r="K2045" i="13"/>
  <c r="J2045" i="13"/>
  <c r="I2045" i="13"/>
  <c r="K1185" i="13"/>
  <c r="J1185" i="13"/>
  <c r="I1185" i="13"/>
  <c r="I1124" i="13"/>
  <c r="J1124" i="13"/>
  <c r="K1124" i="13"/>
  <c r="K1413" i="13"/>
  <c r="I1413" i="13"/>
  <c r="J1413" i="13"/>
  <c r="I1011" i="13"/>
  <c r="J1011" i="13"/>
  <c r="K1011" i="13"/>
  <c r="K1219" i="13"/>
  <c r="I1219" i="13"/>
  <c r="J1219" i="13"/>
  <c r="J961" i="13"/>
  <c r="K961" i="13"/>
  <c r="I961" i="13"/>
  <c r="I1761" i="13"/>
  <c r="J1761" i="13"/>
  <c r="K1761" i="13"/>
  <c r="K959" i="13"/>
  <c r="J959" i="13"/>
  <c r="I959" i="13"/>
  <c r="I1022" i="13"/>
  <c r="J1022" i="13"/>
  <c r="K1022" i="13"/>
  <c r="K1076" i="13"/>
  <c r="I1076" i="13"/>
  <c r="J1076" i="13"/>
  <c r="K1983" i="13"/>
  <c r="J1983" i="13"/>
  <c r="I1983" i="13"/>
  <c r="J1461" i="13"/>
  <c r="I1461" i="13"/>
  <c r="K1461" i="13"/>
  <c r="K2013" i="13"/>
  <c r="J2013" i="13"/>
  <c r="I2013" i="13"/>
  <c r="J1197" i="13"/>
  <c r="I1197" i="13"/>
  <c r="K1197" i="13"/>
  <c r="J1935" i="13"/>
  <c r="I1935" i="13"/>
  <c r="K1935" i="13"/>
  <c r="J1182" i="13"/>
  <c r="K1182" i="13"/>
  <c r="I1182" i="13"/>
  <c r="I1566" i="13"/>
  <c r="J1566" i="13"/>
  <c r="K1566" i="13"/>
  <c r="J1504" i="13"/>
  <c r="K1504" i="13"/>
  <c r="I1504" i="13"/>
  <c r="J1444" i="13"/>
  <c r="I1444" i="13"/>
  <c r="K1444" i="13"/>
  <c r="I1633" i="13"/>
  <c r="K1633" i="13"/>
  <c r="J1633" i="13"/>
  <c r="J1429" i="13"/>
  <c r="I1429" i="13"/>
  <c r="K1429" i="13"/>
  <c r="I1428" i="13"/>
  <c r="K1428" i="13"/>
  <c r="J1428" i="13"/>
  <c r="K1713" i="13"/>
  <c r="J1713" i="13"/>
  <c r="I1713" i="13"/>
  <c r="K1261" i="13"/>
  <c r="J1261" i="13"/>
  <c r="I1261" i="13"/>
  <c r="I1573" i="13"/>
  <c r="J1573" i="13"/>
  <c r="K1573" i="13"/>
  <c r="K1120" i="13"/>
  <c r="J1120" i="13"/>
  <c r="I1120" i="13"/>
  <c r="J1172" i="13"/>
  <c r="K1172" i="13"/>
  <c r="I1172" i="13"/>
  <c r="I1855" i="13"/>
  <c r="K1855" i="13"/>
  <c r="J1855" i="13"/>
  <c r="K1396" i="13"/>
  <c r="I1396" i="13"/>
  <c r="J1396" i="13"/>
  <c r="J944" i="13"/>
  <c r="K944" i="13"/>
  <c r="I944" i="13"/>
  <c r="K2031" i="13"/>
  <c r="J2031" i="13"/>
  <c r="I2031" i="13"/>
  <c r="I1887" i="13"/>
  <c r="K1887" i="13"/>
  <c r="J1887" i="13"/>
  <c r="I1651" i="13"/>
  <c r="K1651" i="13"/>
  <c r="J1651" i="13"/>
  <c r="K1199" i="13"/>
  <c r="J1199" i="13"/>
  <c r="I1199" i="13"/>
  <c r="K1876" i="13"/>
  <c r="I1876" i="13"/>
  <c r="J1876" i="13"/>
  <c r="J1424" i="13"/>
  <c r="I1424" i="13"/>
  <c r="K1424" i="13"/>
  <c r="J965" i="13"/>
  <c r="I965" i="13"/>
  <c r="K965" i="13"/>
  <c r="I1995" i="13"/>
  <c r="J1995" i="13"/>
  <c r="K1995" i="13"/>
  <c r="K1739" i="13"/>
  <c r="J1739" i="13"/>
  <c r="I1739" i="13"/>
  <c r="J1483" i="13"/>
  <c r="K1483" i="13"/>
  <c r="I1483" i="13"/>
  <c r="I1227" i="13"/>
  <c r="K1227" i="13"/>
  <c r="J1227" i="13"/>
  <c r="K971" i="13"/>
  <c r="I971" i="13"/>
  <c r="J971" i="13"/>
  <c r="J956" i="13"/>
  <c r="I956" i="13"/>
  <c r="K956" i="13"/>
  <c r="K1818" i="13"/>
  <c r="J1818" i="13"/>
  <c r="I1818" i="13"/>
  <c r="J1562" i="13"/>
  <c r="K1562" i="13"/>
  <c r="I1562" i="13"/>
  <c r="I1306" i="13"/>
  <c r="K1306" i="13"/>
  <c r="J1306" i="13"/>
  <c r="J1050" i="13"/>
  <c r="I1050" i="13"/>
  <c r="K1050" i="13"/>
  <c r="I1004" i="13"/>
  <c r="K1004" i="13"/>
  <c r="J1004" i="13"/>
  <c r="J1833" i="13"/>
  <c r="I1833" i="13"/>
  <c r="K1833" i="13"/>
  <c r="K1577" i="13"/>
  <c r="J1577" i="13"/>
  <c r="I1577" i="13"/>
  <c r="K1321" i="13"/>
  <c r="J1321" i="13"/>
  <c r="I1321" i="13"/>
  <c r="J1065" i="13"/>
  <c r="K1065" i="13"/>
  <c r="I1065" i="13"/>
  <c r="I1356" i="13"/>
  <c r="J1356" i="13"/>
  <c r="K1356" i="13"/>
  <c r="I1896" i="13"/>
  <c r="J1896" i="13"/>
  <c r="K1896" i="13"/>
  <c r="J1640" i="13"/>
  <c r="K1640" i="13"/>
  <c r="I1640" i="13"/>
  <c r="J1384" i="13"/>
  <c r="I1384" i="13"/>
  <c r="K1384" i="13"/>
  <c r="J1128" i="13"/>
  <c r="I1128" i="13"/>
  <c r="K1128" i="13"/>
  <c r="I1676" i="13"/>
  <c r="J1676" i="13"/>
  <c r="K1676" i="13"/>
  <c r="J1975" i="13"/>
  <c r="I1975" i="13"/>
  <c r="K1975" i="13"/>
  <c r="I1719" i="13"/>
  <c r="J1719" i="13"/>
  <c r="K1719" i="13"/>
  <c r="J1463" i="13"/>
  <c r="K1463" i="13"/>
  <c r="I1463" i="13"/>
  <c r="J1207" i="13"/>
  <c r="K1207" i="13"/>
  <c r="I1207" i="13"/>
  <c r="K951" i="13"/>
  <c r="J951" i="13"/>
  <c r="I951" i="13"/>
  <c r="J2022" i="13"/>
  <c r="I2022" i="13"/>
  <c r="K2022" i="13"/>
  <c r="K1766" i="13"/>
  <c r="I1766" i="13"/>
  <c r="J1766" i="13"/>
  <c r="J1510" i="13"/>
  <c r="K1510" i="13"/>
  <c r="I1510" i="13"/>
  <c r="J1254" i="13"/>
  <c r="I1254" i="13"/>
  <c r="K1254" i="13"/>
  <c r="I998" i="13"/>
  <c r="J998" i="13"/>
  <c r="K998" i="13"/>
  <c r="K1973" i="13"/>
  <c r="I1973" i="13"/>
  <c r="J1973" i="13"/>
  <c r="K1893" i="13"/>
  <c r="J1893" i="13"/>
  <c r="I1893" i="13"/>
  <c r="K947" i="13"/>
  <c r="I947" i="13"/>
  <c r="J947" i="13"/>
  <c r="K1712" i="13"/>
  <c r="J1712" i="13"/>
  <c r="I1712" i="13"/>
  <c r="I1733" i="13"/>
  <c r="J1733" i="13"/>
  <c r="K1733" i="13"/>
  <c r="J1772" i="13"/>
  <c r="K1772" i="13"/>
  <c r="I1772" i="13"/>
  <c r="K1497" i="13"/>
  <c r="J1497" i="13"/>
  <c r="I1497" i="13"/>
  <c r="K1244" i="13"/>
  <c r="I1244" i="13"/>
  <c r="J1244" i="13"/>
  <c r="I1174" i="13"/>
  <c r="J1174" i="13"/>
  <c r="K1174" i="13"/>
  <c r="I1021" i="13"/>
  <c r="J1021" i="13"/>
  <c r="K1021" i="13"/>
  <c r="K1747" i="13"/>
  <c r="J1747" i="13"/>
  <c r="I1747" i="13"/>
  <c r="J1811" i="13"/>
  <c r="I1811" i="13"/>
  <c r="K1811" i="13"/>
  <c r="K978" i="13"/>
  <c r="J978" i="13"/>
  <c r="I978" i="13"/>
  <c r="K1899" i="13"/>
  <c r="I1899" i="13"/>
  <c r="J1899" i="13"/>
  <c r="J1623" i="13"/>
  <c r="K1623" i="13"/>
  <c r="I1623" i="13"/>
  <c r="J1332" i="13"/>
  <c r="K1332" i="13"/>
  <c r="I1332" i="13"/>
  <c r="K1359" i="13"/>
  <c r="J1359" i="13"/>
  <c r="I1359" i="13"/>
  <c r="J1839" i="13"/>
  <c r="K1839" i="13"/>
  <c r="I1839" i="13"/>
  <c r="K1006" i="13"/>
  <c r="I1006" i="13"/>
  <c r="J1006" i="13"/>
  <c r="K1200" i="13"/>
  <c r="J1200" i="13"/>
  <c r="I1200" i="13"/>
  <c r="I1468" i="13"/>
  <c r="J1468" i="13"/>
  <c r="K1468" i="13"/>
  <c r="K1596" i="13"/>
  <c r="I1596" i="13"/>
  <c r="J1596" i="13"/>
  <c r="K1977" i="13"/>
  <c r="J1977" i="13"/>
  <c r="I1977" i="13"/>
  <c r="J1528" i="13"/>
  <c r="K1528" i="13"/>
  <c r="I1528" i="13"/>
  <c r="J1607" i="13"/>
  <c r="K1607" i="13"/>
  <c r="I1607" i="13"/>
  <c r="J1438" i="13"/>
  <c r="K1438" i="13"/>
  <c r="I1438" i="13"/>
  <c r="J1453" i="13"/>
  <c r="I1453" i="13"/>
  <c r="K1453" i="13"/>
  <c r="K2053" i="13"/>
  <c r="J2053" i="13"/>
  <c r="I2053" i="13"/>
  <c r="K973" i="13"/>
  <c r="J973" i="13"/>
  <c r="I973" i="13"/>
  <c r="I1946" i="13"/>
  <c r="K1946" i="13"/>
  <c r="J1946" i="13"/>
  <c r="K1449" i="13"/>
  <c r="J1449" i="13"/>
  <c r="I1449" i="13"/>
  <c r="J1000" i="13"/>
  <c r="K1000" i="13"/>
  <c r="I1000" i="13"/>
  <c r="I1335" i="13"/>
  <c r="K1335" i="13"/>
  <c r="J1335" i="13"/>
  <c r="K1237" i="13"/>
  <c r="J1237" i="13"/>
  <c r="I1237" i="13"/>
  <c r="I1521" i="13"/>
  <c r="J1521" i="13"/>
  <c r="K1521" i="13"/>
  <c r="J1186" i="13"/>
  <c r="K1186" i="13"/>
  <c r="I1186" i="13"/>
  <c r="J989" i="13"/>
  <c r="K989" i="13"/>
  <c r="I989" i="13"/>
  <c r="K2051" i="13"/>
  <c r="J2051" i="13"/>
  <c r="I2051" i="13"/>
  <c r="K1140" i="13"/>
  <c r="I1140" i="13"/>
  <c r="J1140" i="13"/>
  <c r="K1168" i="13"/>
  <c r="J1168" i="13"/>
  <c r="I1168" i="13"/>
  <c r="K1674" i="13"/>
  <c r="I1674" i="13"/>
  <c r="J1674" i="13"/>
  <c r="I1177" i="13"/>
  <c r="K1177" i="13"/>
  <c r="J1177" i="13"/>
  <c r="K1831" i="13"/>
  <c r="J1831" i="13"/>
  <c r="I1831" i="13"/>
  <c r="J1063" i="13"/>
  <c r="I1063" i="13"/>
  <c r="K1063" i="13"/>
  <c r="I2037" i="13"/>
  <c r="J2037" i="13"/>
  <c r="K2037" i="13"/>
  <c r="I1104" i="13"/>
  <c r="J1104" i="13"/>
  <c r="K1104" i="13"/>
  <c r="J1278" i="13"/>
  <c r="K1278" i="13"/>
  <c r="I1278" i="13"/>
  <c r="K1427" i="13"/>
  <c r="J1427" i="13"/>
  <c r="I1427" i="13"/>
  <c r="J1365" i="13"/>
  <c r="K1365" i="13"/>
  <c r="I1365" i="13"/>
  <c r="J1658" i="13"/>
  <c r="K1658" i="13"/>
  <c r="I1658" i="13"/>
  <c r="I968" i="13"/>
  <c r="K968" i="13"/>
  <c r="J968" i="13"/>
  <c r="K1094" i="13"/>
  <c r="I1094" i="13"/>
  <c r="J1094" i="13"/>
  <c r="J979" i="13"/>
  <c r="I979" i="13"/>
  <c r="K979" i="13"/>
  <c r="K1987" i="13"/>
  <c r="J1987" i="13"/>
  <c r="I1987" i="13"/>
  <c r="J1326" i="13"/>
  <c r="I1326" i="13"/>
  <c r="K1326" i="13"/>
  <c r="I1939" i="13"/>
  <c r="J1939" i="13"/>
  <c r="K1939" i="13"/>
  <c r="J1317" i="13"/>
  <c r="K1317" i="13"/>
  <c r="I1317" i="13"/>
  <c r="J1819" i="13"/>
  <c r="I1819" i="13"/>
  <c r="K1819" i="13"/>
  <c r="J1386" i="13"/>
  <c r="I1386" i="13"/>
  <c r="K1386" i="13"/>
  <c r="J1804" i="13"/>
  <c r="K1804" i="13"/>
  <c r="I1804" i="13"/>
  <c r="K1799" i="13"/>
  <c r="I1799" i="13"/>
  <c r="J1799" i="13"/>
  <c r="K1334" i="13"/>
  <c r="I1334" i="13"/>
  <c r="J1334" i="13"/>
  <c r="K1844" i="13"/>
  <c r="I1844" i="13"/>
  <c r="J1844" i="13"/>
  <c r="K1268" i="13"/>
  <c r="I1268" i="13"/>
  <c r="J1268" i="13"/>
  <c r="K1875" i="13"/>
  <c r="J1875" i="13"/>
  <c r="I1875" i="13"/>
  <c r="J1841" i="13"/>
  <c r="I1841" i="13"/>
  <c r="K1841" i="13"/>
  <c r="I1408" i="13"/>
  <c r="K1408" i="13"/>
  <c r="J1408" i="13"/>
  <c r="J2062" i="13"/>
  <c r="K2062" i="13"/>
  <c r="I2062" i="13"/>
  <c r="J1684" i="13"/>
  <c r="I1684" i="13"/>
  <c r="K1684" i="13"/>
  <c r="K1949" i="13"/>
  <c r="J1949" i="13"/>
  <c r="I1949" i="13"/>
  <c r="J1509" i="13"/>
  <c r="K1509" i="13"/>
  <c r="I1509" i="13"/>
  <c r="I1764" i="13"/>
  <c r="J1764" i="13"/>
  <c r="K1764" i="13"/>
  <c r="K1537" i="13"/>
  <c r="J1537" i="13"/>
  <c r="I1537" i="13"/>
  <c r="I1803" i="13"/>
  <c r="J1803" i="13"/>
  <c r="K1803" i="13"/>
  <c r="I1212" i="13"/>
  <c r="J1212" i="13"/>
  <c r="K1212" i="13"/>
  <c r="K1114" i="13"/>
  <c r="J1114" i="13"/>
  <c r="I1114" i="13"/>
  <c r="I1385" i="13"/>
  <c r="J1385" i="13"/>
  <c r="K1385" i="13"/>
  <c r="K1960" i="13"/>
  <c r="J1960" i="13"/>
  <c r="I1960" i="13"/>
  <c r="J1192" i="13"/>
  <c r="I1192" i="13"/>
  <c r="K1192" i="13"/>
  <c r="K1830" i="13"/>
  <c r="J1830" i="13"/>
  <c r="I1830" i="13"/>
  <c r="J1245" i="13"/>
  <c r="I1245" i="13"/>
  <c r="K1245" i="13"/>
  <c r="K1780" i="13"/>
  <c r="I1780" i="13"/>
  <c r="J1780" i="13"/>
  <c r="K1729" i="13"/>
  <c r="J1729" i="13"/>
  <c r="I1729" i="13"/>
  <c r="K1105" i="13"/>
  <c r="I1105" i="13"/>
  <c r="J1105" i="13"/>
  <c r="K1634" i="13"/>
  <c r="J1634" i="13"/>
  <c r="I1634" i="13"/>
  <c r="K1357" i="13"/>
  <c r="J1357" i="13"/>
  <c r="I1357" i="13"/>
  <c r="J1678" i="13"/>
  <c r="I1678" i="13"/>
  <c r="K1678" i="13"/>
  <c r="K1604" i="13"/>
  <c r="I1604" i="13"/>
  <c r="J1604" i="13"/>
  <c r="K1344" i="13"/>
  <c r="J1344" i="13"/>
  <c r="I1344" i="13"/>
  <c r="I1531" i="13"/>
  <c r="K1531" i="13"/>
  <c r="J1531" i="13"/>
  <c r="K2044" i="13"/>
  <c r="J2044" i="13"/>
  <c r="I2044" i="13"/>
  <c r="J1188" i="13"/>
  <c r="I1188" i="13"/>
  <c r="K1188" i="13"/>
  <c r="K1187" i="13"/>
  <c r="I1187" i="13"/>
  <c r="J1187" i="13"/>
  <c r="J1749" i="13"/>
  <c r="I1749" i="13"/>
  <c r="K1749" i="13"/>
  <c r="K1039" i="13"/>
  <c r="J1039" i="13"/>
  <c r="I1039" i="13"/>
  <c r="K2033" i="13"/>
  <c r="J2033" i="13"/>
  <c r="I2033" i="13"/>
  <c r="K1267" i="13"/>
  <c r="I1267" i="13"/>
  <c r="J1267" i="13"/>
  <c r="K960" i="13"/>
  <c r="J960" i="13"/>
  <c r="I960" i="13"/>
  <c r="K1874" i="13"/>
  <c r="J1874" i="13"/>
  <c r="I1874" i="13"/>
  <c r="J2017" i="13"/>
  <c r="I2017" i="13"/>
  <c r="K2017" i="13"/>
  <c r="K1717" i="13"/>
  <c r="I1717" i="13"/>
  <c r="J1717" i="13"/>
  <c r="K1535" i="13"/>
  <c r="J1535" i="13"/>
  <c r="I1535" i="13"/>
  <c r="J1166" i="13"/>
  <c r="I1166" i="13"/>
  <c r="K1166" i="13"/>
  <c r="K1986" i="13"/>
  <c r="J1986" i="13"/>
  <c r="I1986" i="13"/>
  <c r="K1779" i="13"/>
  <c r="J1779" i="13"/>
  <c r="I1779" i="13"/>
  <c r="K1250" i="13"/>
  <c r="I1250" i="13"/>
  <c r="J1250" i="13"/>
  <c r="J1955" i="13"/>
  <c r="I1955" i="13"/>
  <c r="K1955" i="13"/>
  <c r="K1153" i="13"/>
  <c r="J1153" i="13"/>
  <c r="I1153" i="13"/>
  <c r="K1789" i="13"/>
  <c r="J1789" i="13"/>
  <c r="I1789" i="13"/>
  <c r="J2068" i="13"/>
  <c r="I2068" i="13"/>
  <c r="K2068" i="13"/>
  <c r="J1522" i="13"/>
  <c r="K1522" i="13"/>
  <c r="I1522" i="13"/>
  <c r="J1300" i="13"/>
  <c r="I1300" i="13"/>
  <c r="K1300" i="13"/>
  <c r="K1393" i="13"/>
  <c r="J1393" i="13"/>
  <c r="I1393" i="13"/>
  <c r="K1520" i="13"/>
  <c r="J1520" i="13"/>
  <c r="I1520" i="13"/>
  <c r="I1346" i="13"/>
  <c r="J1346" i="13"/>
  <c r="K1346" i="13"/>
  <c r="K1375" i="13"/>
  <c r="J1375" i="13"/>
  <c r="I1375" i="13"/>
  <c r="J1683" i="13"/>
  <c r="K1683" i="13"/>
  <c r="I1683" i="13"/>
  <c r="K1231" i="13"/>
  <c r="J1231" i="13"/>
  <c r="I1231" i="13"/>
  <c r="K1437" i="13"/>
  <c r="J1437" i="13"/>
  <c r="I1437" i="13"/>
  <c r="K1007" i="13"/>
  <c r="I1007" i="13"/>
  <c r="J1007" i="13"/>
  <c r="K1119" i="13"/>
  <c r="I1119" i="13"/>
  <c r="J1119" i="13"/>
  <c r="K1825" i="13"/>
  <c r="J1825" i="13"/>
  <c r="I1825" i="13"/>
  <c r="I1373" i="13"/>
  <c r="K1373" i="13"/>
  <c r="J1373" i="13"/>
  <c r="I2060" i="13"/>
  <c r="K2060" i="13"/>
  <c r="J2060" i="13"/>
  <c r="J1941" i="13"/>
  <c r="I1941" i="13"/>
  <c r="K1941" i="13"/>
  <c r="I1714" i="13"/>
  <c r="J1714" i="13"/>
  <c r="K1714" i="13"/>
  <c r="J1621" i="13"/>
  <c r="K1621" i="13"/>
  <c r="I1621" i="13"/>
  <c r="K1169" i="13"/>
  <c r="I1169" i="13"/>
  <c r="J1169" i="13"/>
  <c r="I1853" i="13"/>
  <c r="J1853" i="13"/>
  <c r="K1853" i="13"/>
  <c r="J1394" i="13"/>
  <c r="K1394" i="13"/>
  <c r="I1394" i="13"/>
  <c r="K942" i="13"/>
  <c r="J942" i="13"/>
  <c r="I942" i="13"/>
  <c r="K1979" i="13"/>
  <c r="J1979" i="13"/>
  <c r="I1979" i="13"/>
  <c r="K1723" i="13"/>
  <c r="I1723" i="13"/>
  <c r="J1723" i="13"/>
  <c r="J1467" i="13"/>
  <c r="K1467" i="13"/>
  <c r="I1467" i="13"/>
  <c r="I1211" i="13"/>
  <c r="K1211" i="13"/>
  <c r="J1211" i="13"/>
  <c r="K955" i="13"/>
  <c r="J955" i="13"/>
  <c r="I955" i="13"/>
  <c r="K2058" i="13"/>
  <c r="I2058" i="13"/>
  <c r="J2058" i="13"/>
  <c r="J1802" i="13"/>
  <c r="K1802" i="13"/>
  <c r="I1802" i="13"/>
  <c r="K1546" i="13"/>
  <c r="I1546" i="13"/>
  <c r="J1546" i="13"/>
  <c r="I1290" i="13"/>
  <c r="K1290" i="13"/>
  <c r="J1290" i="13"/>
  <c r="K1034" i="13"/>
  <c r="J1034" i="13"/>
  <c r="I1034" i="13"/>
  <c r="I2073" i="13"/>
  <c r="K2073" i="13"/>
  <c r="J2073" i="13"/>
  <c r="K1817" i="13"/>
  <c r="I1817" i="13"/>
  <c r="J1817" i="13"/>
  <c r="I1561" i="13"/>
  <c r="J1561" i="13"/>
  <c r="K1561" i="13"/>
  <c r="I1305" i="13"/>
  <c r="K1305" i="13"/>
  <c r="J1305" i="13"/>
  <c r="I1049" i="13"/>
  <c r="K1049" i="13"/>
  <c r="J1049" i="13"/>
  <c r="K1260" i="13"/>
  <c r="J1260" i="13"/>
  <c r="I1260" i="13"/>
  <c r="J1880" i="13"/>
  <c r="I1880" i="13"/>
  <c r="K1880" i="13"/>
  <c r="I1624" i="13"/>
  <c r="K1624" i="13"/>
  <c r="J1624" i="13"/>
  <c r="I1368" i="13"/>
  <c r="J1368" i="13"/>
  <c r="K1368" i="13"/>
  <c r="I1112" i="13"/>
  <c r="K1112" i="13"/>
  <c r="J1112" i="13"/>
  <c r="I1612" i="13"/>
  <c r="J1612" i="13"/>
  <c r="K1612" i="13"/>
  <c r="K1959" i="13"/>
  <c r="J1959" i="13"/>
  <c r="I1959" i="13"/>
  <c r="K1703" i="13"/>
  <c r="I1703" i="13"/>
  <c r="J1703" i="13"/>
  <c r="I1447" i="13"/>
  <c r="K1447" i="13"/>
  <c r="J1447" i="13"/>
  <c r="I1191" i="13"/>
  <c r="K1191" i="13"/>
  <c r="J1191" i="13"/>
  <c r="J935" i="13"/>
  <c r="K935" i="13"/>
  <c r="I935" i="13"/>
  <c r="K2006" i="13"/>
  <c r="J2006" i="13"/>
  <c r="I2006" i="13"/>
  <c r="J1750" i="13"/>
  <c r="I1750" i="13"/>
  <c r="K1750" i="13"/>
  <c r="K1494" i="13"/>
  <c r="I1494" i="13"/>
  <c r="J1494" i="13"/>
  <c r="K1238" i="13"/>
  <c r="I1238" i="13"/>
  <c r="J1238" i="13"/>
  <c r="J982" i="13"/>
  <c r="I982" i="13"/>
  <c r="K982" i="13"/>
  <c r="I1443" i="13"/>
  <c r="K1443" i="13"/>
  <c r="J1443" i="13"/>
  <c r="K1667" i="13"/>
  <c r="I1667" i="13"/>
  <c r="J1667" i="13"/>
  <c r="J1759" i="13"/>
  <c r="K1759" i="13"/>
  <c r="I1759" i="13"/>
  <c r="I1957" i="13"/>
  <c r="K1957" i="13"/>
  <c r="J1957" i="13"/>
  <c r="K1118" i="13"/>
  <c r="J1118" i="13"/>
  <c r="I1118" i="13"/>
  <c r="J1693" i="13"/>
  <c r="K1693" i="13"/>
  <c r="I1693" i="13"/>
  <c r="I1660" i="13"/>
  <c r="J1660" i="13"/>
  <c r="K1660" i="13"/>
  <c r="K1738" i="13"/>
  <c r="J1738" i="13"/>
  <c r="I1738" i="13"/>
  <c r="J2072" i="13"/>
  <c r="I2072" i="13"/>
  <c r="K2072" i="13"/>
  <c r="K1639" i="13"/>
  <c r="I1639" i="13"/>
  <c r="J1639" i="13"/>
  <c r="K1042" i="13"/>
  <c r="J1042" i="13"/>
  <c r="I1042" i="13"/>
  <c r="K1565" i="13"/>
  <c r="I1565" i="13"/>
  <c r="J1565" i="13"/>
  <c r="I1700" i="13"/>
  <c r="J1700" i="13"/>
  <c r="K1700" i="13"/>
  <c r="J1061" i="13"/>
  <c r="K1061" i="13"/>
  <c r="I1061" i="13"/>
  <c r="K1682" i="13"/>
  <c r="I1682" i="13"/>
  <c r="J1682" i="13"/>
  <c r="J1710" i="13"/>
  <c r="K1710" i="13"/>
  <c r="I1710" i="13"/>
  <c r="J954" i="13"/>
  <c r="I954" i="13"/>
  <c r="K954" i="13"/>
  <c r="K1800" i="13"/>
  <c r="I1800" i="13"/>
  <c r="J1800" i="13"/>
  <c r="I1367" i="13"/>
  <c r="J1367" i="13"/>
  <c r="K1367" i="13"/>
  <c r="J1470" i="13"/>
  <c r="K1470" i="13"/>
  <c r="I1470" i="13"/>
  <c r="K1536" i="13"/>
  <c r="J1536" i="13"/>
  <c r="I1536" i="13"/>
  <c r="K1550" i="13"/>
  <c r="I1550" i="13"/>
  <c r="J1550" i="13"/>
  <c r="I1398" i="13"/>
  <c r="J1398" i="13"/>
  <c r="K1398" i="13"/>
  <c r="K1616" i="13"/>
  <c r="J1616" i="13"/>
  <c r="I1616" i="13"/>
  <c r="K1122" i="13"/>
  <c r="J1122" i="13"/>
  <c r="I1122" i="13"/>
  <c r="J1614" i="13"/>
  <c r="K1614" i="13"/>
  <c r="I1614" i="13"/>
  <c r="I1028" i="13"/>
  <c r="J1028" i="13"/>
  <c r="K1028" i="13"/>
  <c r="J1406" i="13"/>
  <c r="K1406" i="13"/>
  <c r="I1406" i="13"/>
  <c r="I1611" i="13"/>
  <c r="J1611" i="13"/>
  <c r="K1611" i="13"/>
  <c r="I1434" i="13"/>
  <c r="K1434" i="13"/>
  <c r="J1434" i="13"/>
  <c r="I2024" i="13"/>
  <c r="J2024" i="13"/>
  <c r="K2024" i="13"/>
  <c r="K1894" i="13"/>
  <c r="J1894" i="13"/>
  <c r="I1894" i="13"/>
  <c r="J1092" i="13"/>
  <c r="I1092" i="13"/>
  <c r="K1092" i="13"/>
  <c r="K1421" i="13"/>
  <c r="I1421" i="13"/>
  <c r="J1421" i="13"/>
  <c r="K1777" i="13"/>
  <c r="J1777" i="13"/>
  <c r="I1777" i="13"/>
  <c r="K1505" i="13"/>
  <c r="J1505" i="13"/>
  <c r="I1505" i="13"/>
  <c r="K1775" i="13"/>
  <c r="J1775" i="13"/>
  <c r="I1775" i="13"/>
  <c r="J1316" i="13"/>
  <c r="I1316" i="13"/>
  <c r="K1316" i="13"/>
  <c r="K1339" i="13"/>
  <c r="J1339" i="13"/>
  <c r="I1339" i="13"/>
  <c r="J1945" i="13"/>
  <c r="I1945" i="13"/>
  <c r="K1945" i="13"/>
  <c r="I1240" i="13"/>
  <c r="J1240" i="13"/>
  <c r="K1240" i="13"/>
  <c r="I1622" i="13"/>
  <c r="J1622" i="13"/>
  <c r="K1622" i="13"/>
  <c r="K1412" i="13"/>
  <c r="I1412" i="13"/>
  <c r="J1412" i="13"/>
  <c r="J941" i="13"/>
  <c r="I941" i="13"/>
  <c r="K941" i="13"/>
  <c r="I2021" i="13"/>
  <c r="K2021" i="13"/>
  <c r="J2021" i="13"/>
  <c r="K1138" i="13"/>
  <c r="J1138" i="13"/>
  <c r="I1138" i="13"/>
  <c r="K1372" i="13"/>
  <c r="I1372" i="13"/>
  <c r="J1372" i="13"/>
  <c r="I1673" i="13"/>
  <c r="K1673" i="13"/>
  <c r="J1673" i="13"/>
  <c r="K1480" i="13"/>
  <c r="I1480" i="13"/>
  <c r="J1480" i="13"/>
  <c r="I1606" i="13"/>
  <c r="K1606" i="13"/>
  <c r="J1606" i="13"/>
  <c r="I1892" i="13"/>
  <c r="J1892" i="13"/>
  <c r="K1892" i="13"/>
  <c r="J2069" i="13"/>
  <c r="I2069" i="13"/>
  <c r="K2069" i="13"/>
  <c r="K1301" i="13"/>
  <c r="I1301" i="13"/>
  <c r="J1301" i="13"/>
  <c r="K1572" i="13"/>
  <c r="I1572" i="13"/>
  <c r="J1572" i="13"/>
  <c r="J1794" i="13"/>
  <c r="K1794" i="13"/>
  <c r="I1794" i="13"/>
  <c r="K1307" i="13"/>
  <c r="I1307" i="13"/>
  <c r="J1307" i="13"/>
  <c r="I1145" i="13"/>
  <c r="J1145" i="13"/>
  <c r="K1145" i="13"/>
  <c r="K1846" i="13"/>
  <c r="J1846" i="13"/>
  <c r="I1846" i="13"/>
  <c r="I2046" i="13"/>
  <c r="K2046" i="13"/>
  <c r="J2046" i="13"/>
  <c r="K2014" i="13"/>
  <c r="I2014" i="13"/>
  <c r="J2014" i="13"/>
  <c r="I1102" i="13"/>
  <c r="J1102" i="13"/>
  <c r="K1102" i="13"/>
  <c r="J1925" i="13"/>
  <c r="I1925" i="13"/>
  <c r="K1925" i="13"/>
  <c r="K1362" i="13"/>
  <c r="J1362" i="13"/>
  <c r="I1362" i="13"/>
  <c r="J957" i="13"/>
  <c r="I957" i="13"/>
  <c r="K957" i="13"/>
  <c r="J1349" i="13"/>
  <c r="K1349" i="13"/>
  <c r="I1349" i="13"/>
  <c r="K1377" i="13"/>
  <c r="J1377" i="13"/>
  <c r="I1377" i="13"/>
  <c r="I1233" i="13"/>
  <c r="K1233" i="13"/>
  <c r="J1233" i="13"/>
  <c r="J1315" i="13"/>
  <c r="K1315" i="13"/>
  <c r="I1315" i="13"/>
  <c r="I1653" i="13"/>
  <c r="K1653" i="13"/>
  <c r="J1653" i="13"/>
  <c r="I1347" i="13"/>
  <c r="J1347" i="13"/>
  <c r="K1347" i="13"/>
  <c r="J2030" i="13"/>
  <c r="K2030" i="13"/>
  <c r="I2030" i="13"/>
  <c r="K1089" i="13"/>
  <c r="J1089" i="13"/>
  <c r="I1089" i="13"/>
  <c r="K1795" i="13"/>
  <c r="I1795" i="13"/>
  <c r="J1795" i="13"/>
  <c r="K1343" i="13"/>
  <c r="J1343" i="13"/>
  <c r="I1343" i="13"/>
  <c r="K2002" i="13"/>
  <c r="J2002" i="13"/>
  <c r="I2002" i="13"/>
  <c r="K1888" i="13"/>
  <c r="J1888" i="13"/>
  <c r="I1888" i="13"/>
  <c r="J2049" i="13"/>
  <c r="I2049" i="13"/>
  <c r="K2049" i="13"/>
  <c r="I1598" i="13"/>
  <c r="J1598" i="13"/>
  <c r="K1598" i="13"/>
  <c r="K1139" i="13"/>
  <c r="I1139" i="13"/>
  <c r="J1139" i="13"/>
  <c r="K1823" i="13"/>
  <c r="J1823" i="13"/>
  <c r="I1823" i="13"/>
  <c r="J1364" i="13"/>
  <c r="K1364" i="13"/>
  <c r="I1364" i="13"/>
  <c r="J1996" i="13"/>
  <c r="K1996" i="13"/>
  <c r="I1996" i="13"/>
  <c r="K1963" i="13"/>
  <c r="I1963" i="13"/>
  <c r="J1963" i="13"/>
  <c r="K1707" i="13"/>
  <c r="J1707" i="13"/>
  <c r="I1707" i="13"/>
  <c r="J1451" i="13"/>
  <c r="K1451" i="13"/>
  <c r="I1451" i="13"/>
  <c r="K1195" i="13"/>
  <c r="I1195" i="13"/>
  <c r="J1195" i="13"/>
  <c r="I939" i="13"/>
  <c r="K939" i="13"/>
  <c r="J939" i="13"/>
  <c r="I2042" i="13"/>
  <c r="K2042" i="13"/>
  <c r="J2042" i="13"/>
  <c r="I1786" i="13"/>
  <c r="K1786" i="13"/>
  <c r="J1786" i="13"/>
  <c r="J1530" i="13"/>
  <c r="I1530" i="13"/>
  <c r="K1530" i="13"/>
  <c r="I1274" i="13"/>
  <c r="K1274" i="13"/>
  <c r="J1274" i="13"/>
  <c r="J1018" i="13"/>
  <c r="I1018" i="13"/>
  <c r="K1018" i="13"/>
  <c r="K2057" i="13"/>
  <c r="J2057" i="13"/>
  <c r="I2057" i="13"/>
  <c r="K1801" i="13"/>
  <c r="J1801" i="13"/>
  <c r="I1801" i="13"/>
  <c r="I1545" i="13"/>
  <c r="K1545" i="13"/>
  <c r="J1545" i="13"/>
  <c r="I1289" i="13"/>
  <c r="K1289" i="13"/>
  <c r="J1289" i="13"/>
  <c r="I1033" i="13"/>
  <c r="K1033" i="13"/>
  <c r="J1033" i="13"/>
  <c r="I1196" i="13"/>
  <c r="J1196" i="13"/>
  <c r="K1196" i="13"/>
  <c r="J1864" i="13"/>
  <c r="I1864" i="13"/>
  <c r="K1864" i="13"/>
  <c r="K1608" i="13"/>
  <c r="J1608" i="13"/>
  <c r="I1608" i="13"/>
  <c r="K1352" i="13"/>
  <c r="I1352" i="13"/>
  <c r="J1352" i="13"/>
  <c r="K1096" i="13"/>
  <c r="I1096" i="13"/>
  <c r="J1096" i="13"/>
  <c r="I1516" i="13"/>
  <c r="J1516" i="13"/>
  <c r="K1516" i="13"/>
  <c r="I1943" i="13"/>
  <c r="J1943" i="13"/>
  <c r="K1943" i="13"/>
  <c r="K1687" i="13"/>
  <c r="I1687" i="13"/>
  <c r="J1687" i="13"/>
  <c r="K1431" i="13"/>
  <c r="J1431" i="13"/>
  <c r="I1431" i="13"/>
  <c r="K1175" i="13"/>
  <c r="I1175" i="13"/>
  <c r="J1175" i="13"/>
  <c r="J2028" i="13"/>
  <c r="K2028" i="13"/>
  <c r="I2028" i="13"/>
  <c r="J1990" i="13"/>
  <c r="K1990" i="13"/>
  <c r="I1990" i="13"/>
  <c r="K1734" i="13"/>
  <c r="I1734" i="13"/>
  <c r="J1734" i="13"/>
  <c r="K1478" i="13"/>
  <c r="I1478" i="13"/>
  <c r="J1478" i="13"/>
  <c r="K1222" i="13"/>
  <c r="I1222" i="13"/>
  <c r="J1222" i="13"/>
  <c r="K966" i="13"/>
  <c r="I966" i="13"/>
  <c r="J966" i="13"/>
  <c r="J970" i="13"/>
  <c r="K970" i="13"/>
  <c r="I970" i="13"/>
  <c r="J1560" i="13"/>
  <c r="K1560" i="13"/>
  <c r="I1560" i="13"/>
  <c r="K1820" i="13"/>
  <c r="I1820" i="13"/>
  <c r="J1820" i="13"/>
  <c r="K1985" i="13"/>
  <c r="J1985" i="13"/>
  <c r="I1985" i="13"/>
  <c r="J1873" i="13"/>
  <c r="I1873" i="13"/>
  <c r="K1873" i="13"/>
  <c r="K1152" i="13"/>
  <c r="J1152" i="13"/>
  <c r="I1152" i="13"/>
  <c r="K1909" i="13"/>
  <c r="I1909" i="13"/>
  <c r="J1909" i="13"/>
  <c r="J1485" i="13"/>
  <c r="I1485" i="13"/>
  <c r="K1485" i="13"/>
  <c r="K1131" i="13"/>
  <c r="J1131" i="13"/>
  <c r="I1131" i="13"/>
  <c r="K1993" i="13"/>
  <c r="I1993" i="13"/>
  <c r="J1993" i="13"/>
  <c r="K1288" i="13"/>
  <c r="I1288" i="13"/>
  <c r="J1288" i="13"/>
  <c r="J1926" i="13"/>
  <c r="I1926" i="13"/>
  <c r="K1926" i="13"/>
  <c r="J1762" i="13"/>
  <c r="K1762" i="13"/>
  <c r="I1762" i="13"/>
  <c r="J1581" i="13"/>
  <c r="I1581" i="13"/>
  <c r="K1581" i="13"/>
  <c r="K1903" i="13"/>
  <c r="I1903" i="13"/>
  <c r="J1903" i="13"/>
  <c r="K1058" i="13"/>
  <c r="I1058" i="13"/>
  <c r="J1058" i="13"/>
  <c r="K1907" i="13"/>
  <c r="I1907" i="13"/>
  <c r="J1907" i="13"/>
  <c r="I1627" i="13"/>
  <c r="J1627" i="13"/>
  <c r="K1627" i="13"/>
  <c r="J1450" i="13"/>
  <c r="I1450" i="13"/>
  <c r="K1450" i="13"/>
  <c r="I1465" i="13"/>
  <c r="K1465" i="13"/>
  <c r="J1465" i="13"/>
  <c r="I1016" i="13"/>
  <c r="J1016" i="13"/>
  <c r="K1016" i="13"/>
  <c r="I1142" i="13"/>
  <c r="K1142" i="13"/>
  <c r="J1142" i="13"/>
  <c r="K1297" i="13"/>
  <c r="J1297" i="13"/>
  <c r="I1297" i="13"/>
  <c r="I1361" i="13"/>
  <c r="K1361" i="13"/>
  <c r="J1361" i="13"/>
  <c r="J1390" i="13"/>
  <c r="I1390" i="13"/>
  <c r="K1390" i="13"/>
  <c r="I1940" i="13"/>
  <c r="K1940" i="13"/>
  <c r="J1940" i="13"/>
  <c r="K1629" i="13"/>
  <c r="I1629" i="13"/>
  <c r="J1629" i="13"/>
  <c r="I1198" i="13"/>
  <c r="K1198" i="13"/>
  <c r="J1198" i="13"/>
  <c r="K1690" i="13"/>
  <c r="I1690" i="13"/>
  <c r="J1690" i="13"/>
  <c r="J1193" i="13"/>
  <c r="K1193" i="13"/>
  <c r="I1193" i="13"/>
  <c r="J1052" i="13"/>
  <c r="K1052" i="13"/>
  <c r="I1052" i="13"/>
  <c r="J1126" i="13"/>
  <c r="K1126" i="13"/>
  <c r="I1126" i="13"/>
  <c r="K1584" i="13"/>
  <c r="J1584" i="13"/>
  <c r="I1584" i="13"/>
  <c r="K1309" i="13"/>
  <c r="J1309" i="13"/>
  <c r="I1309" i="13"/>
  <c r="J1554" i="13"/>
  <c r="I1554" i="13"/>
  <c r="K1554" i="13"/>
  <c r="J992" i="13"/>
  <c r="K992" i="13"/>
  <c r="I992" i="13"/>
  <c r="K2050" i="13"/>
  <c r="J2050" i="13"/>
  <c r="I2050" i="13"/>
  <c r="K1395" i="13"/>
  <c r="I1395" i="13"/>
  <c r="J1395" i="13"/>
  <c r="J1083" i="13"/>
  <c r="I1083" i="13"/>
  <c r="K1083" i="13"/>
  <c r="I1689" i="13"/>
  <c r="K1689" i="13"/>
  <c r="J1689" i="13"/>
  <c r="I984" i="13"/>
  <c r="K984" i="13"/>
  <c r="J984" i="13"/>
  <c r="J1420" i="13"/>
  <c r="K1420" i="13"/>
  <c r="I1420" i="13"/>
  <c r="J1792" i="13"/>
  <c r="I1792" i="13"/>
  <c r="K1792" i="13"/>
  <c r="K1265" i="13"/>
  <c r="J1265" i="13"/>
  <c r="I1265" i="13"/>
  <c r="J1950" i="13"/>
  <c r="K1950" i="13"/>
  <c r="I1950" i="13"/>
  <c r="K1827" i="13"/>
  <c r="J1827" i="13"/>
  <c r="I1827" i="13"/>
  <c r="K1569" i="13"/>
  <c r="I1569" i="13"/>
  <c r="J1569" i="13"/>
  <c r="J1597" i="13"/>
  <c r="K1597" i="13"/>
  <c r="I1597" i="13"/>
  <c r="J1067" i="13"/>
  <c r="I1067" i="13"/>
  <c r="K1067" i="13"/>
  <c r="K1929" i="13"/>
  <c r="J1929" i="13"/>
  <c r="I1929" i="13"/>
  <c r="K1736" i="13"/>
  <c r="I1736" i="13"/>
  <c r="J1736" i="13"/>
  <c r="K1559" i="13"/>
  <c r="J1559" i="13"/>
  <c r="I1559" i="13"/>
  <c r="K2018" i="13"/>
  <c r="I2018" i="13"/>
  <c r="J2018" i="13"/>
  <c r="J1249" i="13"/>
  <c r="K1249" i="13"/>
  <c r="I1249" i="13"/>
  <c r="K1972" i="13"/>
  <c r="I1972" i="13"/>
  <c r="J1972" i="13"/>
  <c r="I1405" i="13"/>
  <c r="J1405" i="13"/>
  <c r="K1405" i="13"/>
  <c r="I2019" i="13"/>
  <c r="J2019" i="13"/>
  <c r="K2019" i="13"/>
  <c r="K1308" i="13"/>
  <c r="I1308" i="13"/>
  <c r="J1308" i="13"/>
  <c r="K1913" i="13"/>
  <c r="J1913" i="13"/>
  <c r="I1913" i="13"/>
  <c r="J1464" i="13"/>
  <c r="K1464" i="13"/>
  <c r="I1464" i="13"/>
  <c r="K1543" i="13"/>
  <c r="I1543" i="13"/>
  <c r="J1543" i="13"/>
  <c r="I1009" i="13"/>
  <c r="J1009" i="13"/>
  <c r="K1009" i="13"/>
  <c r="J1748" i="13"/>
  <c r="I1748" i="13"/>
  <c r="K1748" i="13"/>
  <c r="J1901" i="13"/>
  <c r="I1901" i="13"/>
  <c r="K1901" i="13"/>
  <c r="K1501" i="13"/>
  <c r="I1501" i="13"/>
  <c r="J1501" i="13"/>
  <c r="I1348" i="13"/>
  <c r="J1348" i="13"/>
  <c r="K1348" i="13"/>
  <c r="K2036" i="13"/>
  <c r="I2036" i="13"/>
  <c r="J2036" i="13"/>
  <c r="I1837" i="13"/>
  <c r="K1837" i="13"/>
  <c r="J1837" i="13"/>
  <c r="J1165" i="13"/>
  <c r="K1165" i="13"/>
  <c r="I1165" i="13"/>
  <c r="J1694" i="13"/>
  <c r="K1694" i="13"/>
  <c r="I1694" i="13"/>
  <c r="I1619" i="13"/>
  <c r="J1619" i="13"/>
  <c r="K1619" i="13"/>
  <c r="K1922" i="13"/>
  <c r="I1922" i="13"/>
  <c r="J1922" i="13"/>
  <c r="K1666" i="13"/>
  <c r="I1666" i="13"/>
  <c r="J1666" i="13"/>
  <c r="K1381" i="13"/>
  <c r="I1381" i="13"/>
  <c r="J1381" i="13"/>
  <c r="K1872" i="13"/>
  <c r="J1872" i="13"/>
  <c r="I1872" i="13"/>
  <c r="J1731" i="13"/>
  <c r="K1731" i="13"/>
  <c r="I1731" i="13"/>
  <c r="I1582" i="13"/>
  <c r="K1582" i="13"/>
  <c r="J1582" i="13"/>
  <c r="I1904" i="13"/>
  <c r="K1904" i="13"/>
  <c r="J1904" i="13"/>
  <c r="J1636" i="13"/>
  <c r="K1636" i="13"/>
  <c r="I1636" i="13"/>
  <c r="K1201" i="13"/>
  <c r="J1201" i="13"/>
  <c r="I1201" i="13"/>
  <c r="J2004" i="13"/>
  <c r="I2004" i="13"/>
  <c r="K2004" i="13"/>
  <c r="K1891" i="13"/>
  <c r="I1891" i="13"/>
  <c r="J1891" i="13"/>
  <c r="K1493" i="13"/>
  <c r="J1493" i="13"/>
  <c r="I1493" i="13"/>
  <c r="I991" i="13"/>
  <c r="J991" i="13"/>
  <c r="K991" i="13"/>
  <c r="K1840" i="13"/>
  <c r="J1840" i="13"/>
  <c r="I1840" i="13"/>
  <c r="J1677" i="13"/>
  <c r="I1677" i="13"/>
  <c r="K1677" i="13"/>
  <c r="K1012" i="13"/>
  <c r="I1012" i="13"/>
  <c r="J1012" i="13"/>
  <c r="K1534" i="13"/>
  <c r="J1534" i="13"/>
  <c r="I1534" i="13"/>
  <c r="J1422" i="13"/>
  <c r="I1422" i="13"/>
  <c r="K1422" i="13"/>
  <c r="J1813" i="13"/>
  <c r="I1813" i="13"/>
  <c r="K1813" i="13"/>
  <c r="J1615" i="13"/>
  <c r="I1615" i="13"/>
  <c r="K1615" i="13"/>
  <c r="K964" i="13"/>
  <c r="J964" i="13"/>
  <c r="I964" i="13"/>
  <c r="J1810" i="13"/>
  <c r="K1810" i="13"/>
  <c r="I1810" i="13"/>
  <c r="I1476" i="13"/>
  <c r="J1476" i="13"/>
  <c r="K1476" i="13"/>
  <c r="K1378" i="13"/>
  <c r="I1378" i="13"/>
  <c r="J1378" i="13"/>
  <c r="I1956" i="13"/>
  <c r="K1956" i="13"/>
  <c r="J1956" i="13"/>
  <c r="I1860" i="13"/>
  <c r="J1860" i="13"/>
  <c r="K1860" i="13"/>
  <c r="I1044" i="13"/>
  <c r="J1044" i="13"/>
  <c r="K1044" i="13"/>
  <c r="K1330" i="13"/>
  <c r="J1330" i="13"/>
  <c r="I1330" i="13"/>
  <c r="I1728" i="13"/>
  <c r="J1728" i="13"/>
  <c r="K1728" i="13"/>
  <c r="I1070" i="13"/>
  <c r="K1070" i="13"/>
  <c r="J1070" i="13"/>
  <c r="I2061" i="13"/>
  <c r="K2061" i="13"/>
  <c r="J2061" i="13"/>
  <c r="K1298" i="13"/>
  <c r="I1298" i="13"/>
  <c r="J1298" i="13"/>
  <c r="K1294" i="13"/>
  <c r="I1294" i="13"/>
  <c r="J1294" i="13"/>
  <c r="J1150" i="13"/>
  <c r="K1150" i="13"/>
  <c r="I1150" i="13"/>
  <c r="K1232" i="13"/>
  <c r="J1232" i="13"/>
  <c r="I1232" i="13"/>
  <c r="J1630" i="13"/>
  <c r="K1630" i="13"/>
  <c r="I1630" i="13"/>
  <c r="J1171" i="13"/>
  <c r="I1171" i="13"/>
  <c r="K1171" i="13"/>
  <c r="K1264" i="13"/>
  <c r="J1264" i="13"/>
  <c r="I1264" i="13"/>
  <c r="K1917" i="13"/>
  <c r="J1917" i="13"/>
  <c r="I1917" i="13"/>
  <c r="I976" i="13"/>
  <c r="K976" i="13"/>
  <c r="J976" i="13"/>
  <c r="K1765" i="13"/>
  <c r="I1765" i="13"/>
  <c r="J1765" i="13"/>
  <c r="I1313" i="13"/>
  <c r="K1313" i="13"/>
  <c r="J1313" i="13"/>
  <c r="K1919" i="13"/>
  <c r="J1919" i="13"/>
  <c r="I1919" i="13"/>
  <c r="K1805" i="13"/>
  <c r="I1805" i="13"/>
  <c r="J1805" i="13"/>
  <c r="K2020" i="13"/>
  <c r="I2020" i="13"/>
  <c r="J2020" i="13"/>
  <c r="K1568" i="13"/>
  <c r="J1568" i="13"/>
  <c r="I1568" i="13"/>
  <c r="I1109" i="13"/>
  <c r="J1109" i="13"/>
  <c r="K1109" i="13"/>
  <c r="K1793" i="13"/>
  <c r="J1793" i="13"/>
  <c r="I1793" i="13"/>
  <c r="J1341" i="13"/>
  <c r="I1341" i="13"/>
  <c r="K1341" i="13"/>
  <c r="I1916" i="13"/>
  <c r="J1916" i="13"/>
  <c r="K1916" i="13"/>
  <c r="I1947" i="13"/>
  <c r="J1947" i="13"/>
  <c r="K1947" i="13"/>
  <c r="J1691" i="13"/>
  <c r="K1691" i="13"/>
  <c r="I1691" i="13"/>
  <c r="K1435" i="13"/>
  <c r="J1435" i="13"/>
  <c r="I1435" i="13"/>
  <c r="K1179" i="13"/>
  <c r="I1179" i="13"/>
  <c r="J1179" i="13"/>
  <c r="K1948" i="13"/>
  <c r="J1948" i="13"/>
  <c r="I1948" i="13"/>
  <c r="I2026" i="13"/>
  <c r="J2026" i="13"/>
  <c r="K2026" i="13"/>
  <c r="J1770" i="13"/>
  <c r="I1770" i="13"/>
  <c r="K1770" i="13"/>
  <c r="I1514" i="13"/>
  <c r="J1514" i="13"/>
  <c r="K1514" i="13"/>
  <c r="J1258" i="13"/>
  <c r="K1258" i="13"/>
  <c r="I1258" i="13"/>
  <c r="I1002" i="13"/>
  <c r="K1002" i="13"/>
  <c r="J1002" i="13"/>
  <c r="J2041" i="13"/>
  <c r="K2041" i="13"/>
  <c r="I2041" i="13"/>
  <c r="I1785" i="13"/>
  <c r="J1785" i="13"/>
  <c r="K1785" i="13"/>
  <c r="I1529" i="13"/>
  <c r="K1529" i="13"/>
  <c r="J1529" i="13"/>
  <c r="I1273" i="13"/>
  <c r="K1273" i="13"/>
  <c r="J1273" i="13"/>
  <c r="J1017" i="13"/>
  <c r="K1017" i="13"/>
  <c r="I1017" i="13"/>
  <c r="K1100" i="13"/>
  <c r="I1100" i="13"/>
  <c r="J1100" i="13"/>
  <c r="I1848" i="13"/>
  <c r="J1848" i="13"/>
  <c r="K1848" i="13"/>
  <c r="K1592" i="13"/>
  <c r="I1592" i="13"/>
  <c r="J1592" i="13"/>
  <c r="I1336" i="13"/>
  <c r="J1336" i="13"/>
  <c r="K1336" i="13"/>
  <c r="I1080" i="13"/>
  <c r="J1080" i="13"/>
  <c r="K1080" i="13"/>
  <c r="K1436" i="13"/>
  <c r="I1436" i="13"/>
  <c r="J1436" i="13"/>
  <c r="K1927" i="13"/>
  <c r="J1927" i="13"/>
  <c r="I1927" i="13"/>
  <c r="K1671" i="13"/>
  <c r="I1671" i="13"/>
  <c r="J1671" i="13"/>
  <c r="K1415" i="13"/>
  <c r="I1415" i="13"/>
  <c r="J1415" i="13"/>
  <c r="K1159" i="13"/>
  <c r="I1159" i="13"/>
  <c r="J1159" i="13"/>
  <c r="K1932" i="13"/>
  <c r="I1932" i="13"/>
  <c r="J1932" i="13"/>
  <c r="I1974" i="13"/>
  <c r="K1974" i="13"/>
  <c r="J1974" i="13"/>
  <c r="K1718" i="13"/>
  <c r="I1718" i="13"/>
  <c r="J1718" i="13"/>
  <c r="I1462" i="13"/>
  <c r="J1462" i="13"/>
  <c r="K1462" i="13"/>
  <c r="K1206" i="13"/>
  <c r="I1206" i="13"/>
  <c r="J1206" i="13"/>
  <c r="J950" i="13"/>
  <c r="K950" i="13"/>
  <c r="I950" i="13"/>
  <c r="K1279" i="13"/>
  <c r="J1279" i="13"/>
  <c r="I1279" i="13"/>
  <c r="I949" i="13"/>
  <c r="K949" i="13"/>
  <c r="J949" i="13"/>
  <c r="K1151" i="13"/>
  <c r="I1151" i="13"/>
  <c r="J1151" i="13"/>
  <c r="K1969" i="13"/>
  <c r="J1969" i="13"/>
  <c r="I1969" i="13"/>
  <c r="I1967" i="13"/>
  <c r="K1967" i="13"/>
  <c r="J1967" i="13"/>
  <c r="K1915" i="13"/>
  <c r="J1915" i="13"/>
  <c r="I1915" i="13"/>
  <c r="K1482" i="13"/>
  <c r="J1482" i="13"/>
  <c r="I1482" i="13"/>
  <c r="J1816" i="13"/>
  <c r="I1816" i="13"/>
  <c r="K1816" i="13"/>
  <c r="K1430" i="13"/>
  <c r="J1430" i="13"/>
  <c r="I1430" i="13"/>
  <c r="I1492" i="13"/>
  <c r="K1492" i="13"/>
  <c r="J1492" i="13"/>
  <c r="K1869" i="13"/>
  <c r="J1869" i="13"/>
  <c r="I1869" i="13"/>
  <c r="K2035" i="13"/>
  <c r="I2035" i="13"/>
  <c r="J2035" i="13"/>
  <c r="K1540" i="13"/>
  <c r="J1540" i="13"/>
  <c r="I1540" i="13"/>
  <c r="K1549" i="13"/>
  <c r="I1549" i="13"/>
  <c r="J1549" i="13"/>
  <c r="I1387" i="13"/>
  <c r="K1387" i="13"/>
  <c r="J1387" i="13"/>
  <c r="I969" i="13"/>
  <c r="K969" i="13"/>
  <c r="J969" i="13"/>
  <c r="J1879" i="13"/>
  <c r="I1879" i="13"/>
  <c r="K1879" i="13"/>
  <c r="J1158" i="13"/>
  <c r="I1158" i="13"/>
  <c r="K1158" i="13"/>
  <c r="J1333" i="13"/>
  <c r="I1333" i="13"/>
  <c r="K1333" i="13"/>
  <c r="I1924" i="13"/>
  <c r="K1924" i="13"/>
  <c r="J1924" i="13"/>
  <c r="I1649" i="13"/>
  <c r="K1649" i="13"/>
  <c r="J1649" i="13"/>
  <c r="J1008" i="13"/>
  <c r="I1008" i="13"/>
  <c r="K1008" i="13"/>
  <c r="K1601" i="13"/>
  <c r="J1601" i="13"/>
  <c r="I1601" i="13"/>
  <c r="K996" i="13"/>
  <c r="I996" i="13"/>
  <c r="J996" i="13"/>
  <c r="J1115" i="13"/>
  <c r="K1115" i="13"/>
  <c r="I1115" i="13"/>
  <c r="I1194" i="13"/>
  <c r="J1194" i="13"/>
  <c r="K1194" i="13"/>
  <c r="J2040" i="13"/>
  <c r="K2040" i="13"/>
  <c r="I2040" i="13"/>
  <c r="K1628" i="13"/>
  <c r="I1628" i="13"/>
  <c r="J1628" i="13"/>
  <c r="J1781" i="13"/>
  <c r="I1781" i="13"/>
  <c r="K1781" i="13"/>
  <c r="K1441" i="13"/>
  <c r="J1441" i="13"/>
  <c r="I1441" i="13"/>
  <c r="J1778" i="13"/>
  <c r="K1778" i="13"/>
  <c r="I1778" i="13"/>
  <c r="K1487" i="13"/>
  <c r="J1487" i="13"/>
  <c r="I1487" i="13"/>
  <c r="K1490" i="13"/>
  <c r="I1490" i="13"/>
  <c r="J1490" i="13"/>
  <c r="J1867" i="13"/>
  <c r="K1867" i="13"/>
  <c r="I1867" i="13"/>
  <c r="K2012" i="13"/>
  <c r="J2012" i="13"/>
  <c r="I2012" i="13"/>
  <c r="J1256" i="13"/>
  <c r="I1256" i="13"/>
  <c r="K1256" i="13"/>
  <c r="J1638" i="13"/>
  <c r="K1638" i="13"/>
  <c r="I1638" i="13"/>
  <c r="I1228" i="13"/>
  <c r="K1228" i="13"/>
  <c r="J1228" i="13"/>
  <c r="K1418" i="13"/>
  <c r="J1418" i="13"/>
  <c r="I1418" i="13"/>
  <c r="K2008" i="13"/>
  <c r="J2008" i="13"/>
  <c r="I2008" i="13"/>
  <c r="I1575" i="13"/>
  <c r="J1575" i="13"/>
  <c r="K1575" i="13"/>
  <c r="J1074" i="13"/>
  <c r="I1074" i="13"/>
  <c r="K1074" i="13"/>
  <c r="J1107" i="13"/>
  <c r="I1107" i="13"/>
  <c r="K1107" i="13"/>
  <c r="J1410" i="13"/>
  <c r="K1410" i="13"/>
  <c r="I1410" i="13"/>
  <c r="J1685" i="13"/>
  <c r="K1685" i="13"/>
  <c r="I1685" i="13"/>
  <c r="J1263" i="13"/>
  <c r="K1263" i="13"/>
  <c r="I1263" i="13"/>
  <c r="K1835" i="13"/>
  <c r="I1835" i="13"/>
  <c r="J1835" i="13"/>
  <c r="I1402" i="13"/>
  <c r="K1402" i="13"/>
  <c r="J1402" i="13"/>
  <c r="I1161" i="13"/>
  <c r="K1161" i="13"/>
  <c r="J1161" i="13"/>
  <c r="J2071" i="13"/>
  <c r="I2071" i="13"/>
  <c r="K2071" i="13"/>
  <c r="K1350" i="13"/>
  <c r="I1350" i="13"/>
  <c r="J1350" i="13"/>
  <c r="K2034" i="13"/>
  <c r="J2034" i="13"/>
  <c r="I2034" i="13"/>
  <c r="K1445" i="13"/>
  <c r="I1445" i="13"/>
  <c r="J1445" i="13"/>
  <c r="I1828" i="13"/>
  <c r="J1828" i="13"/>
  <c r="K1828" i="13"/>
  <c r="I1539" i="13"/>
  <c r="J1539" i="13"/>
  <c r="K1539" i="13"/>
  <c r="I1108" i="13"/>
  <c r="K1108" i="13"/>
  <c r="J1108" i="13"/>
  <c r="I1642" i="13"/>
  <c r="K1642" i="13"/>
  <c r="J1642" i="13"/>
  <c r="K952" i="13"/>
  <c r="I952" i="13"/>
  <c r="J952" i="13"/>
  <c r="J1148" i="13"/>
  <c r="I1148" i="13"/>
  <c r="K1148" i="13"/>
  <c r="J1838" i="13"/>
  <c r="I1838" i="13"/>
  <c r="K1838" i="13"/>
  <c r="K1698" i="13"/>
  <c r="I1698" i="13"/>
  <c r="J1698" i="13"/>
  <c r="J1137" i="13"/>
  <c r="I1137" i="13"/>
  <c r="K1137" i="13"/>
  <c r="K1843" i="13"/>
  <c r="I1843" i="13"/>
  <c r="J1843" i="13"/>
  <c r="K1842" i="13"/>
  <c r="J1842" i="13"/>
  <c r="I1842" i="13"/>
  <c r="J1585" i="13"/>
  <c r="K1585" i="13"/>
  <c r="I1585" i="13"/>
  <c r="K1524" i="13"/>
  <c r="I1524" i="13"/>
  <c r="J1524" i="13"/>
  <c r="K2065" i="13"/>
  <c r="J2065" i="13"/>
  <c r="I2065" i="13"/>
  <c r="J1235" i="13"/>
  <c r="I1235" i="13"/>
  <c r="K1235" i="13"/>
  <c r="J1218" i="13"/>
  <c r="K1218" i="13"/>
  <c r="I1218" i="13"/>
  <c r="I1725" i="13"/>
  <c r="J1725" i="13"/>
  <c r="K1725" i="13"/>
  <c r="J1557" i="13"/>
  <c r="K1557" i="13"/>
  <c r="I1557" i="13"/>
  <c r="K1217" i="13"/>
  <c r="J1217" i="13"/>
  <c r="I1217" i="13"/>
  <c r="J1103" i="13"/>
  <c r="K1103" i="13"/>
  <c r="I1103" i="13"/>
  <c r="K1024" i="13"/>
  <c r="I1024" i="13"/>
  <c r="J1024" i="13"/>
  <c r="J1167" i="13"/>
  <c r="I1167" i="13"/>
  <c r="K1167" i="13"/>
  <c r="K1861" i="13"/>
  <c r="I1861" i="13"/>
  <c r="J1861" i="13"/>
  <c r="K1809" i="13"/>
  <c r="J1809" i="13"/>
  <c r="I1809" i="13"/>
  <c r="K993" i="13"/>
  <c r="I993" i="13"/>
  <c r="J993" i="13"/>
  <c r="J1184" i="13"/>
  <c r="I1184" i="13"/>
  <c r="K1184" i="13"/>
  <c r="K1473" i="13"/>
  <c r="J1473" i="13"/>
  <c r="I1473" i="13"/>
  <c r="K2063" i="13"/>
  <c r="J2063" i="13"/>
  <c r="I2063" i="13"/>
  <c r="K2047" i="13"/>
  <c r="I2047" i="13"/>
  <c r="J2047" i="13"/>
  <c r="K1247" i="13"/>
  <c r="J1247" i="13"/>
  <c r="I1247" i="13"/>
  <c r="K1234" i="13"/>
  <c r="J1234" i="13"/>
  <c r="I1234" i="13"/>
  <c r="J1060" i="13"/>
  <c r="K1060" i="13"/>
  <c r="I1060" i="13"/>
  <c r="J1149" i="13"/>
  <c r="K1149" i="13"/>
  <c r="I1149" i="13"/>
  <c r="K1600" i="13"/>
  <c r="J1600" i="13"/>
  <c r="I1600" i="13"/>
  <c r="K1141" i="13"/>
  <c r="J1141" i="13"/>
  <c r="I1141" i="13"/>
  <c r="K1181" i="13"/>
  <c r="J1181" i="13"/>
  <c r="I1181" i="13"/>
  <c r="J1797" i="13"/>
  <c r="I1797" i="13"/>
  <c r="K1797" i="13"/>
  <c r="K2029" i="13"/>
  <c r="I2029" i="13"/>
  <c r="J2029" i="13"/>
  <c r="J1742" i="13"/>
  <c r="I1742" i="13"/>
  <c r="K1742" i="13"/>
  <c r="J1283" i="13"/>
  <c r="K1283" i="13"/>
  <c r="I1283" i="13"/>
  <c r="I1806" i="13"/>
  <c r="K1806" i="13"/>
  <c r="J1806" i="13"/>
  <c r="K1715" i="13"/>
  <c r="J1715" i="13"/>
  <c r="I1715" i="13"/>
  <c r="J1997" i="13"/>
  <c r="I1997" i="13"/>
  <c r="K1997" i="13"/>
  <c r="K1538" i="13"/>
  <c r="I1538" i="13"/>
  <c r="J1538" i="13"/>
  <c r="J1086" i="13"/>
  <c r="K1086" i="13"/>
  <c r="I1086" i="13"/>
  <c r="I1763" i="13"/>
  <c r="J1763" i="13"/>
  <c r="K1763" i="13"/>
  <c r="K1311" i="13"/>
  <c r="J1311" i="13"/>
  <c r="I1311" i="13"/>
  <c r="K1788" i="13"/>
  <c r="I1788" i="13"/>
  <c r="J1788" i="13"/>
  <c r="K1931" i="13"/>
  <c r="I1931" i="13"/>
  <c r="J1931" i="13"/>
  <c r="I1675" i="13"/>
  <c r="J1675" i="13"/>
  <c r="K1675" i="13"/>
  <c r="I1419" i="13"/>
  <c r="K1419" i="13"/>
  <c r="J1419" i="13"/>
  <c r="I1163" i="13"/>
  <c r="J1163" i="13"/>
  <c r="K1163" i="13"/>
  <c r="J1852" i="13"/>
  <c r="K1852" i="13"/>
  <c r="I1852" i="13"/>
  <c r="I2010" i="13"/>
  <c r="K2010" i="13"/>
  <c r="J2010" i="13"/>
  <c r="J1754" i="13"/>
  <c r="I1754" i="13"/>
  <c r="K1754" i="13"/>
  <c r="I1498" i="13"/>
  <c r="K1498" i="13"/>
  <c r="J1498" i="13"/>
  <c r="I1242" i="13"/>
  <c r="J1242" i="13"/>
  <c r="K1242" i="13"/>
  <c r="J986" i="13"/>
  <c r="I986" i="13"/>
  <c r="K986" i="13"/>
  <c r="J2025" i="13"/>
  <c r="I2025" i="13"/>
  <c r="K2025" i="13"/>
  <c r="J1769" i="13"/>
  <c r="I1769" i="13"/>
  <c r="K1769" i="13"/>
  <c r="I1513" i="13"/>
  <c r="K1513" i="13"/>
  <c r="J1513" i="13"/>
  <c r="I1257" i="13"/>
  <c r="J1257" i="13"/>
  <c r="K1257" i="13"/>
  <c r="I1001" i="13"/>
  <c r="J1001" i="13"/>
  <c r="K1001" i="13"/>
  <c r="J972" i="13"/>
  <c r="I972" i="13"/>
  <c r="K972" i="13"/>
  <c r="K1832" i="13"/>
  <c r="I1832" i="13"/>
  <c r="J1832" i="13"/>
  <c r="I1576" i="13"/>
  <c r="K1576" i="13"/>
  <c r="J1576" i="13"/>
  <c r="I1320" i="13"/>
  <c r="K1320" i="13"/>
  <c r="J1320" i="13"/>
  <c r="I1064" i="13"/>
  <c r="K1064" i="13"/>
  <c r="J1064" i="13"/>
  <c r="I1324" i="13"/>
  <c r="J1324" i="13"/>
  <c r="K1324" i="13"/>
  <c r="J1911" i="13"/>
  <c r="K1911" i="13"/>
  <c r="I1911" i="13"/>
  <c r="K1655" i="13"/>
  <c r="I1655" i="13"/>
  <c r="J1655" i="13"/>
  <c r="I1399" i="13"/>
  <c r="J1399" i="13"/>
  <c r="K1399" i="13"/>
  <c r="I1143" i="13"/>
  <c r="J1143" i="13"/>
  <c r="K1143" i="13"/>
  <c r="K1884" i="13"/>
  <c r="J1884" i="13"/>
  <c r="I1884" i="13"/>
  <c r="K1958" i="13"/>
  <c r="J1958" i="13"/>
  <c r="I1958" i="13"/>
  <c r="I1702" i="13"/>
  <c r="J1702" i="13"/>
  <c r="K1702" i="13"/>
  <c r="I1446" i="13"/>
  <c r="J1446" i="13"/>
  <c r="K1446" i="13"/>
  <c r="K1190" i="13"/>
  <c r="J1190" i="13"/>
  <c r="I1190" i="13"/>
  <c r="I934" i="13"/>
  <c r="K934" i="13"/>
  <c r="J934" i="13"/>
  <c r="I912" i="13"/>
  <c r="J912" i="13"/>
  <c r="K912" i="13"/>
  <c r="J882" i="13"/>
  <c r="I882" i="13"/>
  <c r="K882" i="13"/>
  <c r="I927" i="13"/>
  <c r="K927" i="13"/>
  <c r="J927" i="13"/>
  <c r="K897" i="13"/>
  <c r="J897" i="13"/>
  <c r="I897" i="13"/>
  <c r="I894" i="13"/>
  <c r="J894" i="13"/>
  <c r="K894" i="13"/>
  <c r="K888" i="13"/>
  <c r="J888" i="13"/>
  <c r="I888" i="13"/>
  <c r="K908" i="13"/>
  <c r="J908" i="13"/>
  <c r="I908" i="13"/>
  <c r="I919" i="13"/>
  <c r="J919" i="13"/>
  <c r="K919" i="13"/>
  <c r="K892" i="13"/>
  <c r="I892" i="13"/>
  <c r="J892" i="13"/>
  <c r="I902" i="13"/>
  <c r="K902" i="13"/>
  <c r="J902" i="13"/>
  <c r="J876" i="13"/>
  <c r="I876" i="13"/>
  <c r="K876" i="13"/>
  <c r="K886" i="13"/>
  <c r="J886" i="13"/>
  <c r="I886" i="13"/>
  <c r="J923" i="13"/>
  <c r="I923" i="13"/>
  <c r="K923" i="13"/>
  <c r="K901" i="13"/>
  <c r="J901" i="13"/>
  <c r="I901" i="13"/>
  <c r="I889" i="13"/>
  <c r="K889" i="13"/>
  <c r="J889" i="13"/>
  <c r="K916" i="13"/>
  <c r="J916" i="13"/>
  <c r="I916" i="13"/>
  <c r="J904" i="13"/>
  <c r="I904" i="13"/>
  <c r="K904" i="13"/>
  <c r="K883" i="13"/>
  <c r="J883" i="13"/>
  <c r="I883" i="13"/>
  <c r="K899" i="13"/>
  <c r="J899" i="13"/>
  <c r="I899" i="13"/>
  <c r="K875" i="13"/>
  <c r="J875" i="13"/>
  <c r="I875" i="13"/>
  <c r="J898" i="13"/>
  <c r="I898" i="13"/>
  <c r="K898" i="13"/>
  <c r="J930" i="13"/>
  <c r="I930" i="13"/>
  <c r="K930" i="13"/>
  <c r="I885" i="13"/>
  <c r="K885" i="13"/>
  <c r="J885" i="13"/>
  <c r="K922" i="13"/>
  <c r="J922" i="13"/>
  <c r="I922" i="13"/>
  <c r="I879" i="13"/>
  <c r="K879" i="13"/>
  <c r="J879" i="13"/>
  <c r="K915" i="13"/>
  <c r="J915" i="13"/>
  <c r="I915" i="13"/>
  <c r="K926" i="13"/>
  <c r="I926" i="13"/>
  <c r="J926" i="13"/>
  <c r="J880" i="13"/>
  <c r="I880" i="13"/>
  <c r="K880" i="13"/>
  <c r="K910" i="13"/>
  <c r="I910" i="13"/>
  <c r="J910" i="13"/>
  <c r="K929" i="13"/>
  <c r="J929" i="13"/>
  <c r="I929" i="13"/>
  <c r="K895" i="13"/>
  <c r="I895" i="13"/>
  <c r="J895" i="13"/>
  <c r="K905" i="13"/>
  <c r="J905" i="13"/>
  <c r="I905" i="13"/>
  <c r="I924" i="13"/>
  <c r="K924" i="13"/>
  <c r="J924" i="13"/>
  <c r="J920" i="13"/>
  <c r="I920" i="13"/>
  <c r="K920" i="13"/>
  <c r="J925" i="13"/>
  <c r="I925" i="13"/>
  <c r="K925" i="13"/>
  <c r="K887" i="13"/>
  <c r="J887" i="13"/>
  <c r="I887" i="13"/>
  <c r="K909" i="13"/>
  <c r="J909" i="13"/>
  <c r="I909" i="13"/>
  <c r="K903" i="13"/>
  <c r="I903" i="13"/>
  <c r="J903" i="13"/>
  <c r="K933" i="13"/>
  <c r="J933" i="13"/>
  <c r="I933" i="13"/>
  <c r="J877" i="13"/>
  <c r="K877" i="13"/>
  <c r="I877" i="13"/>
  <c r="K917" i="13"/>
  <c r="J917" i="13"/>
  <c r="I917" i="13"/>
  <c r="K907" i="13"/>
  <c r="J907" i="13"/>
  <c r="I907" i="13"/>
  <c r="I884" i="13"/>
  <c r="K884" i="13"/>
  <c r="J884" i="13"/>
  <c r="I891" i="13"/>
  <c r="J891" i="13"/>
  <c r="K891" i="13"/>
  <c r="K918" i="13"/>
  <c r="I918" i="13"/>
  <c r="J918" i="13"/>
  <c r="I913" i="13"/>
  <c r="K913" i="13"/>
  <c r="J913" i="13"/>
  <c r="I914" i="13"/>
  <c r="K914" i="13"/>
  <c r="J914" i="13"/>
  <c r="K932" i="13"/>
  <c r="I932" i="13"/>
  <c r="J932" i="13"/>
  <c r="K906" i="13"/>
  <c r="I906" i="13"/>
  <c r="J906" i="13"/>
  <c r="K878" i="13"/>
  <c r="J878" i="13"/>
  <c r="I878" i="13"/>
  <c r="K921" i="13"/>
  <c r="I921" i="13"/>
  <c r="J921" i="13"/>
  <c r="K893" i="13"/>
  <c r="I893" i="13"/>
  <c r="J893" i="13"/>
  <c r="J896" i="13"/>
  <c r="K896" i="13"/>
  <c r="I896" i="13"/>
  <c r="J881" i="13"/>
  <c r="I881" i="13"/>
  <c r="K881" i="13"/>
  <c r="I900" i="13"/>
  <c r="K900" i="13"/>
  <c r="J900" i="13"/>
  <c r="K890" i="13"/>
  <c r="I890" i="13"/>
  <c r="J890" i="13"/>
  <c r="K911" i="13"/>
  <c r="J911" i="13"/>
  <c r="I911" i="13"/>
  <c r="K928" i="13"/>
  <c r="I928" i="13"/>
  <c r="J928" i="13"/>
  <c r="K931" i="13"/>
  <c r="J931" i="13"/>
  <c r="I931" i="13"/>
  <c r="I874" i="13"/>
  <c r="K874" i="13"/>
  <c r="J874" i="13"/>
  <c r="I703" i="13"/>
  <c r="K703" i="13"/>
  <c r="J703" i="13"/>
  <c r="I687" i="13"/>
  <c r="J687" i="13"/>
  <c r="K687" i="13"/>
  <c r="J692" i="13"/>
  <c r="K692" i="13"/>
  <c r="I692" i="13"/>
  <c r="J746" i="13"/>
  <c r="K746" i="13"/>
  <c r="I746" i="13"/>
  <c r="K854" i="13"/>
  <c r="I854" i="13"/>
  <c r="J854" i="13"/>
  <c r="I841" i="13"/>
  <c r="J841" i="13"/>
  <c r="K841" i="13"/>
  <c r="I697" i="13"/>
  <c r="J697" i="13"/>
  <c r="K697" i="13"/>
  <c r="J766" i="13"/>
  <c r="I766" i="13"/>
  <c r="K766" i="13"/>
  <c r="J707" i="13"/>
  <c r="K707" i="13"/>
  <c r="I707" i="13"/>
  <c r="J811" i="13"/>
  <c r="I811" i="13"/>
  <c r="K811" i="13"/>
  <c r="K759" i="13"/>
  <c r="I759" i="13"/>
  <c r="J759" i="13"/>
  <c r="K845" i="13"/>
  <c r="J845" i="13"/>
  <c r="I845" i="13"/>
  <c r="I825" i="13"/>
  <c r="J825" i="13"/>
  <c r="K825" i="13"/>
  <c r="J820" i="13"/>
  <c r="I820" i="13"/>
  <c r="K820" i="13"/>
  <c r="I715" i="13"/>
  <c r="J715" i="13"/>
  <c r="K715" i="13"/>
  <c r="K788" i="13"/>
  <c r="J788" i="13"/>
  <c r="I788" i="13"/>
  <c r="J815" i="13"/>
  <c r="I815" i="13"/>
  <c r="K815" i="13"/>
  <c r="K822" i="13"/>
  <c r="J822" i="13"/>
  <c r="I822" i="13"/>
  <c r="K770" i="13"/>
  <c r="J770" i="13"/>
  <c r="I770" i="13"/>
  <c r="K718" i="13"/>
  <c r="I718" i="13"/>
  <c r="J718" i="13"/>
  <c r="I808" i="13"/>
  <c r="J808" i="13"/>
  <c r="K808" i="13"/>
  <c r="J829" i="13"/>
  <c r="K829" i="13"/>
  <c r="I829" i="13"/>
  <c r="J741" i="13"/>
  <c r="I741" i="13"/>
  <c r="K741" i="13"/>
  <c r="K780" i="13"/>
  <c r="I780" i="13"/>
  <c r="J780" i="13"/>
  <c r="J810" i="13"/>
  <c r="I810" i="13"/>
  <c r="K810" i="13"/>
  <c r="I727" i="13"/>
  <c r="K727" i="13"/>
  <c r="J727" i="13"/>
  <c r="J701" i="13"/>
  <c r="I701" i="13"/>
  <c r="K701" i="13"/>
  <c r="I743" i="13"/>
  <c r="J743" i="13"/>
  <c r="K743" i="13"/>
  <c r="I730" i="13"/>
  <c r="K730" i="13"/>
  <c r="J730" i="13"/>
  <c r="I752" i="13"/>
  <c r="K752" i="13"/>
  <c r="J752" i="13"/>
  <c r="I866" i="13"/>
  <c r="J866" i="13"/>
  <c r="K866" i="13"/>
  <c r="K742" i="13"/>
  <c r="I742" i="13"/>
  <c r="J742" i="13"/>
  <c r="I798" i="13"/>
  <c r="J798" i="13"/>
  <c r="K798" i="13"/>
  <c r="K844" i="13"/>
  <c r="I844" i="13"/>
  <c r="J844" i="13"/>
  <c r="K739" i="13"/>
  <c r="I739" i="13"/>
  <c r="J739" i="13"/>
  <c r="I725" i="13"/>
  <c r="J725" i="13"/>
  <c r="K725" i="13"/>
  <c r="J869" i="13"/>
  <c r="K869" i="13"/>
  <c r="I869" i="13"/>
  <c r="K714" i="13"/>
  <c r="J714" i="13"/>
  <c r="I714" i="13"/>
  <c r="J831" i="13"/>
  <c r="I831" i="13"/>
  <c r="K831" i="13"/>
  <c r="I734" i="13"/>
  <c r="J734" i="13"/>
  <c r="K734" i="13"/>
  <c r="K789" i="13"/>
  <c r="J789" i="13"/>
  <c r="I789" i="13"/>
  <c r="I777" i="13"/>
  <c r="K777" i="13"/>
  <c r="J777" i="13"/>
  <c r="I740" i="13"/>
  <c r="K740" i="13"/>
  <c r="J740" i="13"/>
  <c r="K826" i="13"/>
  <c r="I826" i="13"/>
  <c r="J826" i="13"/>
  <c r="K708" i="13"/>
  <c r="I708" i="13"/>
  <c r="J708" i="13"/>
  <c r="I799" i="13"/>
  <c r="J799" i="13"/>
  <c r="K799" i="13"/>
  <c r="J694" i="13"/>
  <c r="K694" i="13"/>
  <c r="I694" i="13"/>
  <c r="I690" i="13"/>
  <c r="J690" i="13"/>
  <c r="K690" i="13"/>
  <c r="J702" i="13"/>
  <c r="K702" i="13"/>
  <c r="I702" i="13"/>
  <c r="J776" i="13"/>
  <c r="K776" i="13"/>
  <c r="I776" i="13"/>
  <c r="J813" i="13"/>
  <c r="K813" i="13"/>
  <c r="I813" i="13"/>
  <c r="I836" i="13"/>
  <c r="J836" i="13"/>
  <c r="K836" i="13"/>
  <c r="K764" i="13"/>
  <c r="I764" i="13"/>
  <c r="J764" i="13"/>
  <c r="I855" i="13"/>
  <c r="J855" i="13"/>
  <c r="K855" i="13"/>
  <c r="I691" i="13"/>
  <c r="J691" i="13"/>
  <c r="K691" i="13"/>
  <c r="J839" i="13"/>
  <c r="K839" i="13"/>
  <c r="I839" i="13"/>
  <c r="J756" i="13"/>
  <c r="I756" i="13"/>
  <c r="K756" i="13"/>
  <c r="I870" i="13"/>
  <c r="K870" i="13"/>
  <c r="J870" i="13"/>
  <c r="I763" i="13"/>
  <c r="J763" i="13"/>
  <c r="K763" i="13"/>
  <c r="K817" i="13"/>
  <c r="J817" i="13"/>
  <c r="I817" i="13"/>
  <c r="J867" i="13"/>
  <c r="K867" i="13"/>
  <c r="I867" i="13"/>
  <c r="J819" i="13"/>
  <c r="K819" i="13"/>
  <c r="I819" i="13"/>
  <c r="I774" i="13"/>
  <c r="J774" i="13"/>
  <c r="K774" i="13"/>
  <c r="K738" i="13"/>
  <c r="I738" i="13"/>
  <c r="J738" i="13"/>
  <c r="J710" i="13"/>
  <c r="K710" i="13"/>
  <c r="I710" i="13"/>
  <c r="K828" i="13"/>
  <c r="I828" i="13"/>
  <c r="J828" i="13"/>
  <c r="J688" i="13"/>
  <c r="I688" i="13"/>
  <c r="K688" i="13"/>
  <c r="I750" i="13"/>
  <c r="J750" i="13"/>
  <c r="K750" i="13"/>
  <c r="J868" i="13"/>
  <c r="K868" i="13"/>
  <c r="I868" i="13"/>
  <c r="J818" i="13"/>
  <c r="I818" i="13"/>
  <c r="K818" i="13"/>
  <c r="I824" i="13"/>
  <c r="J824" i="13"/>
  <c r="K824" i="13"/>
  <c r="I796" i="13"/>
  <c r="J796" i="13"/>
  <c r="K796" i="13"/>
  <c r="I745" i="13"/>
  <c r="J745" i="13"/>
  <c r="K745" i="13"/>
  <c r="I737" i="13"/>
  <c r="K737" i="13"/>
  <c r="J737" i="13"/>
  <c r="K698" i="13"/>
  <c r="I698" i="13"/>
  <c r="J698" i="13"/>
  <c r="J851" i="13"/>
  <c r="K851" i="13"/>
  <c r="I851" i="13"/>
  <c r="I783" i="13"/>
  <c r="J783" i="13"/>
  <c r="K783" i="13"/>
  <c r="I853" i="13"/>
  <c r="K853" i="13"/>
  <c r="J853" i="13"/>
  <c r="K865" i="13"/>
  <c r="J865" i="13"/>
  <c r="I865" i="13"/>
  <c r="J686" i="13"/>
  <c r="I686" i="13"/>
  <c r="K686" i="13"/>
  <c r="I696" i="13"/>
  <c r="J696" i="13"/>
  <c r="K696" i="13"/>
  <c r="K797" i="13"/>
  <c r="J797" i="13"/>
  <c r="I797" i="13"/>
  <c r="I772" i="13"/>
  <c r="J772" i="13"/>
  <c r="K772" i="13"/>
  <c r="K748" i="13"/>
  <c r="I748" i="13"/>
  <c r="J748" i="13"/>
  <c r="I754" i="13"/>
  <c r="J754" i="13"/>
  <c r="K754" i="13"/>
  <c r="I862" i="13"/>
  <c r="J862" i="13"/>
  <c r="K862" i="13"/>
  <c r="K790" i="13"/>
  <c r="I790" i="13"/>
  <c r="J790" i="13"/>
  <c r="J791" i="13"/>
  <c r="K791" i="13"/>
  <c r="I791" i="13"/>
  <c r="I685" i="13"/>
  <c r="J685" i="13"/>
  <c r="K685" i="13"/>
  <c r="K806" i="13"/>
  <c r="J806" i="13"/>
  <c r="I806" i="13"/>
  <c r="I814" i="13"/>
  <c r="K814" i="13"/>
  <c r="J814" i="13"/>
  <c r="K785" i="13"/>
  <c r="J785" i="13"/>
  <c r="I785" i="13"/>
  <c r="I802" i="13"/>
  <c r="J802" i="13"/>
  <c r="K802" i="13"/>
  <c r="K837" i="13"/>
  <c r="I837" i="13"/>
  <c r="J837" i="13"/>
  <c r="J782" i="13"/>
  <c r="K782" i="13"/>
  <c r="I782" i="13"/>
  <c r="I704" i="13"/>
  <c r="J704" i="13"/>
  <c r="K704" i="13"/>
  <c r="K721" i="13"/>
  <c r="J721" i="13"/>
  <c r="I721" i="13"/>
  <c r="I744" i="13"/>
  <c r="J744" i="13"/>
  <c r="K744" i="13"/>
  <c r="J840" i="13"/>
  <c r="I840" i="13"/>
  <c r="K840" i="13"/>
  <c r="I864" i="13"/>
  <c r="J864" i="13"/>
  <c r="K864" i="13"/>
  <c r="I809" i="13"/>
  <c r="J809" i="13"/>
  <c r="K809" i="13"/>
  <c r="I787" i="13"/>
  <c r="K787" i="13"/>
  <c r="J787" i="13"/>
  <c r="J767" i="13"/>
  <c r="I767" i="13"/>
  <c r="K767" i="13"/>
  <c r="K805" i="13"/>
  <c r="J805" i="13"/>
  <c r="I805" i="13"/>
  <c r="I833" i="13"/>
  <c r="K833" i="13"/>
  <c r="J833" i="13"/>
  <c r="K827" i="13"/>
  <c r="J827" i="13"/>
  <c r="I827" i="13"/>
  <c r="I871" i="13"/>
  <c r="J871" i="13"/>
  <c r="K871" i="13"/>
  <c r="K781" i="13"/>
  <c r="J781" i="13"/>
  <c r="I781" i="13"/>
  <c r="J724" i="13"/>
  <c r="K724" i="13"/>
  <c r="I724" i="13"/>
  <c r="K732" i="13"/>
  <c r="I732" i="13"/>
  <c r="J732" i="13"/>
  <c r="K800" i="13"/>
  <c r="J800" i="13"/>
  <c r="I800" i="13"/>
  <c r="K717" i="13"/>
  <c r="J717" i="13"/>
  <c r="I717" i="13"/>
  <c r="J846" i="13"/>
  <c r="K846" i="13"/>
  <c r="I846" i="13"/>
  <c r="K849" i="13"/>
  <c r="J849" i="13"/>
  <c r="I849" i="13"/>
  <c r="J722" i="13"/>
  <c r="K722" i="13"/>
  <c r="I722" i="13"/>
  <c r="I689" i="13"/>
  <c r="K689" i="13"/>
  <c r="J689" i="13"/>
  <c r="J857" i="13"/>
  <c r="I857" i="13"/>
  <c r="K857" i="13"/>
  <c r="I747" i="13"/>
  <c r="K747" i="13"/>
  <c r="J747" i="13"/>
  <c r="J762" i="13"/>
  <c r="I762" i="13"/>
  <c r="K762" i="13"/>
  <c r="J773" i="13"/>
  <c r="I773" i="13"/>
  <c r="K773" i="13"/>
  <c r="K726" i="13"/>
  <c r="I726" i="13"/>
  <c r="J726" i="13"/>
  <c r="J847" i="13"/>
  <c r="I847" i="13"/>
  <c r="K847" i="13"/>
  <c r="J729" i="13"/>
  <c r="I729" i="13"/>
  <c r="K729" i="13"/>
  <c r="I693" i="13"/>
  <c r="K693" i="13"/>
  <c r="J693" i="13"/>
  <c r="I792" i="13"/>
  <c r="J792" i="13"/>
  <c r="K792" i="13"/>
  <c r="K848" i="13"/>
  <c r="I848" i="13"/>
  <c r="J848" i="13"/>
  <c r="J713" i="13"/>
  <c r="K713" i="13"/>
  <c r="I713" i="13"/>
  <c r="K723" i="13"/>
  <c r="J723" i="13"/>
  <c r="I723" i="13"/>
  <c r="I751" i="13"/>
  <c r="K751" i="13"/>
  <c r="J751" i="13"/>
  <c r="J757" i="13"/>
  <c r="K757" i="13"/>
  <c r="I757" i="13"/>
  <c r="I801" i="13"/>
  <c r="K801" i="13"/>
  <c r="J801" i="13"/>
  <c r="I779" i="13"/>
  <c r="K779" i="13"/>
  <c r="J779" i="13"/>
  <c r="K823" i="13"/>
  <c r="J823" i="13"/>
  <c r="I823" i="13"/>
  <c r="I765" i="13"/>
  <c r="J765" i="13"/>
  <c r="K765" i="13"/>
  <c r="I835" i="13"/>
  <c r="K835" i="13"/>
  <c r="J835" i="13"/>
  <c r="I716" i="13"/>
  <c r="K716" i="13"/>
  <c r="J716" i="13"/>
  <c r="J838" i="13"/>
  <c r="K838" i="13"/>
  <c r="I838" i="13"/>
  <c r="I706" i="13"/>
  <c r="K706" i="13"/>
  <c r="J706" i="13"/>
  <c r="J834" i="13"/>
  <c r="I834" i="13"/>
  <c r="K834" i="13"/>
  <c r="J758" i="13"/>
  <c r="K758" i="13"/>
  <c r="I758" i="13"/>
  <c r="I843" i="13"/>
  <c r="J843" i="13"/>
  <c r="K843" i="13"/>
  <c r="K859" i="13"/>
  <c r="J859" i="13"/>
  <c r="I859" i="13"/>
  <c r="J795" i="13"/>
  <c r="K795" i="13"/>
  <c r="I795" i="13"/>
  <c r="J860" i="13"/>
  <c r="I860" i="13"/>
  <c r="K860" i="13"/>
  <c r="K753" i="13"/>
  <c r="I753" i="13"/>
  <c r="J753" i="13"/>
  <c r="J771" i="13"/>
  <c r="K771" i="13"/>
  <c r="I771" i="13"/>
  <c r="I842" i="13"/>
  <c r="K842" i="13"/>
  <c r="J842" i="13"/>
  <c r="K872" i="13"/>
  <c r="I872" i="13"/>
  <c r="J872" i="13"/>
  <c r="J821" i="13"/>
  <c r="K821" i="13"/>
  <c r="I821" i="13"/>
  <c r="K812" i="13"/>
  <c r="J812" i="13"/>
  <c r="I812" i="13"/>
  <c r="J760" i="13"/>
  <c r="I760" i="13"/>
  <c r="K760" i="13"/>
  <c r="K832" i="13"/>
  <c r="I832" i="13"/>
  <c r="J832" i="13"/>
  <c r="I856" i="13"/>
  <c r="J856" i="13"/>
  <c r="K856" i="13"/>
  <c r="J850" i="13"/>
  <c r="I850" i="13"/>
  <c r="K850" i="13"/>
  <c r="K735" i="13"/>
  <c r="I735" i="13"/>
  <c r="J735" i="13"/>
  <c r="J709" i="13"/>
  <c r="I709" i="13"/>
  <c r="K709" i="13"/>
  <c r="K769" i="13"/>
  <c r="I769" i="13"/>
  <c r="J769" i="13"/>
  <c r="I731" i="13"/>
  <c r="J731" i="13"/>
  <c r="K731" i="13"/>
  <c r="I775" i="13"/>
  <c r="J775" i="13"/>
  <c r="K775" i="13"/>
  <c r="J749" i="13"/>
  <c r="K749" i="13"/>
  <c r="I749" i="13"/>
  <c r="I803" i="13"/>
  <c r="J803" i="13"/>
  <c r="K803" i="13"/>
  <c r="K700" i="13"/>
  <c r="J700" i="13"/>
  <c r="I700" i="13"/>
  <c r="K807" i="13"/>
  <c r="J807" i="13"/>
  <c r="I807" i="13"/>
  <c r="I804" i="13"/>
  <c r="J804" i="13"/>
  <c r="K804" i="13"/>
  <c r="I784" i="13"/>
  <c r="J784" i="13"/>
  <c r="K784" i="13"/>
  <c r="I778" i="13"/>
  <c r="J778" i="13"/>
  <c r="K778" i="13"/>
  <c r="I768" i="13"/>
  <c r="J768" i="13"/>
  <c r="K768" i="13"/>
  <c r="J830" i="13"/>
  <c r="K830" i="13"/>
  <c r="I830" i="13"/>
  <c r="I695" i="13"/>
  <c r="J695" i="13"/>
  <c r="K695" i="13"/>
  <c r="K873" i="13"/>
  <c r="I873" i="13"/>
  <c r="J873" i="13"/>
  <c r="I736" i="13"/>
  <c r="K736" i="13"/>
  <c r="J736" i="13"/>
  <c r="K699" i="13"/>
  <c r="I699" i="13"/>
  <c r="J699" i="13"/>
  <c r="K720" i="13"/>
  <c r="J720" i="13"/>
  <c r="I720" i="13"/>
  <c r="J793" i="13"/>
  <c r="I793" i="13"/>
  <c r="K793" i="13"/>
  <c r="I863" i="13"/>
  <c r="J863" i="13"/>
  <c r="K863" i="13"/>
  <c r="I761" i="13"/>
  <c r="J761" i="13"/>
  <c r="K761" i="13"/>
  <c r="I794" i="13"/>
  <c r="J794" i="13"/>
  <c r="K794" i="13"/>
  <c r="J861" i="13"/>
  <c r="K861" i="13"/>
  <c r="I861" i="13"/>
  <c r="I712" i="13"/>
  <c r="J712" i="13"/>
  <c r="K712" i="13"/>
  <c r="I816" i="13"/>
  <c r="J816" i="13"/>
  <c r="K816" i="13"/>
  <c r="I728" i="13"/>
  <c r="K728" i="13"/>
  <c r="J728" i="13"/>
  <c r="K786" i="13"/>
  <c r="J786" i="13"/>
  <c r="I786" i="13"/>
  <c r="I719" i="13"/>
  <c r="J719" i="13"/>
  <c r="K719" i="13"/>
  <c r="I852" i="13"/>
  <c r="K852" i="13"/>
  <c r="J852" i="13"/>
  <c r="J705" i="13"/>
  <c r="K705" i="13"/>
  <c r="I705" i="13"/>
  <c r="I858" i="13"/>
  <c r="K858" i="13"/>
  <c r="J858" i="13"/>
  <c r="K711" i="13"/>
  <c r="I711" i="13"/>
  <c r="J711" i="13"/>
  <c r="J733" i="13"/>
  <c r="I733" i="13"/>
  <c r="K733" i="13"/>
  <c r="J755" i="13"/>
  <c r="K755" i="13"/>
  <c r="I755" i="13"/>
  <c r="K684" i="13"/>
  <c r="I684" i="13"/>
  <c r="J684" i="13"/>
  <c r="I679" i="13"/>
  <c r="J679" i="13"/>
  <c r="K679" i="13"/>
  <c r="I678" i="13"/>
  <c r="J678" i="13"/>
  <c r="K678" i="13"/>
  <c r="I680" i="13"/>
  <c r="J680" i="13"/>
  <c r="K680" i="13"/>
  <c r="I677" i="13"/>
  <c r="J677" i="13"/>
  <c r="K677" i="13"/>
  <c r="J676" i="13"/>
  <c r="K676" i="13"/>
  <c r="I676" i="13"/>
  <c r="J141" i="13"/>
  <c r="I682" i="13"/>
  <c r="J682" i="13"/>
  <c r="K682" i="13"/>
  <c r="I675" i="13"/>
  <c r="J675" i="13"/>
  <c r="K675" i="13"/>
  <c r="J681" i="13"/>
  <c r="I681" i="13"/>
  <c r="K681" i="13"/>
  <c r="K683" i="13"/>
  <c r="I683" i="13"/>
  <c r="J683" i="13"/>
  <c r="J674" i="13"/>
  <c r="I674" i="13"/>
  <c r="K674" i="13"/>
  <c r="K401" i="13"/>
  <c r="J401" i="13"/>
  <c r="I401" i="13"/>
  <c r="K416" i="13"/>
  <c r="J416" i="13"/>
  <c r="I416" i="13"/>
  <c r="K557" i="13"/>
  <c r="J557" i="13"/>
  <c r="I557" i="13"/>
  <c r="J671" i="13"/>
  <c r="K671" i="13"/>
  <c r="I671" i="13"/>
  <c r="J386" i="13"/>
  <c r="K386" i="13"/>
  <c r="I386" i="13"/>
  <c r="I544" i="13"/>
  <c r="K544" i="13"/>
  <c r="J544" i="13"/>
  <c r="K579" i="13"/>
  <c r="I579" i="13"/>
  <c r="J579" i="13"/>
  <c r="K533" i="13"/>
  <c r="I533" i="13"/>
  <c r="J533" i="13"/>
  <c r="K620" i="13"/>
  <c r="I620" i="13"/>
  <c r="J620" i="13"/>
  <c r="K527" i="13"/>
  <c r="J527" i="13"/>
  <c r="I527" i="13"/>
  <c r="I632" i="13"/>
  <c r="K632" i="13"/>
  <c r="J632" i="13"/>
  <c r="J622" i="13"/>
  <c r="I622" i="13"/>
  <c r="K622" i="13"/>
  <c r="I565" i="13"/>
  <c r="J565" i="13"/>
  <c r="K565" i="13"/>
  <c r="I549" i="13"/>
  <c r="J549" i="13"/>
  <c r="K549" i="13"/>
  <c r="J459" i="13"/>
  <c r="I459" i="13"/>
  <c r="K459" i="13"/>
  <c r="J564" i="13"/>
  <c r="K564" i="13"/>
  <c r="I564" i="13"/>
  <c r="J443" i="13"/>
  <c r="K443" i="13"/>
  <c r="I443" i="13"/>
  <c r="J537" i="13"/>
  <c r="I537" i="13"/>
  <c r="K537" i="13"/>
  <c r="J556" i="13"/>
  <c r="K556" i="13"/>
  <c r="I556" i="13"/>
  <c r="K430" i="13"/>
  <c r="J430" i="13"/>
  <c r="I430" i="13"/>
  <c r="K418" i="13"/>
  <c r="J418" i="13"/>
  <c r="I418" i="13"/>
  <c r="K434" i="13"/>
  <c r="I434" i="13"/>
  <c r="J434" i="13"/>
  <c r="K558" i="13"/>
  <c r="J558" i="13"/>
  <c r="I558" i="13"/>
  <c r="K521" i="13"/>
  <c r="I521" i="13"/>
  <c r="J521" i="13"/>
  <c r="J436" i="13"/>
  <c r="I436" i="13"/>
  <c r="K436" i="13"/>
  <c r="K568" i="13"/>
  <c r="I568" i="13"/>
  <c r="J568" i="13"/>
  <c r="I580" i="13"/>
  <c r="K580" i="13"/>
  <c r="J580" i="13"/>
  <c r="K631" i="13"/>
  <c r="I631" i="13"/>
  <c r="J631" i="13"/>
  <c r="J375" i="13"/>
  <c r="I375" i="13"/>
  <c r="K375" i="13"/>
  <c r="K447" i="13"/>
  <c r="J447" i="13"/>
  <c r="I447" i="13"/>
  <c r="I502" i="13"/>
  <c r="K502" i="13"/>
  <c r="J502" i="13"/>
  <c r="K531" i="13"/>
  <c r="I531" i="13"/>
  <c r="J531" i="13"/>
  <c r="K638" i="13"/>
  <c r="I638" i="13"/>
  <c r="J638" i="13"/>
  <c r="J540" i="13"/>
  <c r="K540" i="13"/>
  <c r="I540" i="13"/>
  <c r="K657" i="13"/>
  <c r="J657" i="13"/>
  <c r="I657" i="13"/>
  <c r="J445" i="13"/>
  <c r="I445" i="13"/>
  <c r="K445" i="13"/>
  <c r="J411" i="13"/>
  <c r="I411" i="13"/>
  <c r="K411" i="13"/>
  <c r="J625" i="13"/>
  <c r="I625" i="13"/>
  <c r="K625" i="13"/>
  <c r="I413" i="13"/>
  <c r="J413" i="13"/>
  <c r="K413" i="13"/>
  <c r="I442" i="13"/>
  <c r="K442" i="13"/>
  <c r="J442" i="13"/>
  <c r="I673" i="13"/>
  <c r="K673" i="13"/>
  <c r="J673" i="13"/>
  <c r="I494" i="13"/>
  <c r="K494" i="13"/>
  <c r="J494" i="13"/>
  <c r="J505" i="13"/>
  <c r="K505" i="13"/>
  <c r="I505" i="13"/>
  <c r="J595" i="13"/>
  <c r="I595" i="13"/>
  <c r="K595" i="13"/>
  <c r="J552" i="13"/>
  <c r="I552" i="13"/>
  <c r="K552" i="13"/>
  <c r="I532" i="13"/>
  <c r="J532" i="13"/>
  <c r="K532" i="13"/>
  <c r="I615" i="13"/>
  <c r="K615" i="13"/>
  <c r="J615" i="13"/>
  <c r="I597" i="13"/>
  <c r="K597" i="13"/>
  <c r="J597" i="13"/>
  <c r="J590" i="13"/>
  <c r="K590" i="13"/>
  <c r="I590" i="13"/>
  <c r="I486" i="13"/>
  <c r="J486" i="13"/>
  <c r="K486" i="13"/>
  <c r="J412" i="13"/>
  <c r="K412" i="13"/>
  <c r="I412" i="13"/>
  <c r="I487" i="13"/>
  <c r="J487" i="13"/>
  <c r="K487" i="13"/>
  <c r="I396" i="13"/>
  <c r="J396" i="13"/>
  <c r="K396" i="13"/>
  <c r="K617" i="13"/>
  <c r="J617" i="13"/>
  <c r="I617" i="13"/>
  <c r="J538" i="13"/>
  <c r="K538" i="13"/>
  <c r="I538" i="13"/>
  <c r="J463" i="13"/>
  <c r="K463" i="13"/>
  <c r="I463" i="13"/>
  <c r="I480" i="13"/>
  <c r="J480" i="13"/>
  <c r="K480" i="13"/>
  <c r="J499" i="13"/>
  <c r="K499" i="13"/>
  <c r="I499" i="13"/>
  <c r="K439" i="13"/>
  <c r="I439" i="13"/>
  <c r="J439" i="13"/>
  <c r="K448" i="13"/>
  <c r="J448" i="13"/>
  <c r="I448" i="13"/>
  <c r="K594" i="13"/>
  <c r="I594" i="13"/>
  <c r="J594" i="13"/>
  <c r="K616" i="13"/>
  <c r="J616" i="13"/>
  <c r="I616" i="13"/>
  <c r="K546" i="13"/>
  <c r="J546" i="13"/>
  <c r="I546" i="13"/>
  <c r="I663" i="13"/>
  <c r="J663" i="13"/>
  <c r="K663" i="13"/>
  <c r="K495" i="13"/>
  <c r="J495" i="13"/>
  <c r="I495" i="13"/>
  <c r="K530" i="13"/>
  <c r="I530" i="13"/>
  <c r="J530" i="13"/>
  <c r="J647" i="13"/>
  <c r="I647" i="13"/>
  <c r="K647" i="13"/>
  <c r="J450" i="13"/>
  <c r="K450" i="13"/>
  <c r="I450" i="13"/>
  <c r="J403" i="13"/>
  <c r="K403" i="13"/>
  <c r="I403" i="13"/>
  <c r="J526" i="13"/>
  <c r="I526" i="13"/>
  <c r="K526" i="13"/>
  <c r="J524" i="13"/>
  <c r="K524" i="13"/>
  <c r="I524" i="13"/>
  <c r="K577" i="13"/>
  <c r="J577" i="13"/>
  <c r="I577" i="13"/>
  <c r="I652" i="13"/>
  <c r="J652" i="13"/>
  <c r="K652" i="13"/>
  <c r="J395" i="13"/>
  <c r="I395" i="13"/>
  <c r="K395" i="13"/>
  <c r="J529" i="13"/>
  <c r="K529" i="13"/>
  <c r="I529" i="13"/>
  <c r="J619" i="13"/>
  <c r="K619" i="13"/>
  <c r="I619" i="13"/>
  <c r="K426" i="13"/>
  <c r="J426" i="13"/>
  <c r="I426" i="13"/>
  <c r="K609" i="13"/>
  <c r="I609" i="13"/>
  <c r="J609" i="13"/>
  <c r="J446" i="13"/>
  <c r="K446" i="13"/>
  <c r="I446" i="13"/>
  <c r="K489" i="13"/>
  <c r="J489" i="13"/>
  <c r="I489" i="13"/>
  <c r="K483" i="13"/>
  <c r="J483" i="13"/>
  <c r="I483" i="13"/>
  <c r="K536" i="13"/>
  <c r="I536" i="13"/>
  <c r="J536" i="13"/>
  <c r="I484" i="13"/>
  <c r="J484" i="13"/>
  <c r="K484" i="13"/>
  <c r="K599" i="13"/>
  <c r="I599" i="13"/>
  <c r="J599" i="13"/>
  <c r="K437" i="13"/>
  <c r="I437" i="13"/>
  <c r="J437" i="13"/>
  <c r="J414" i="13"/>
  <c r="I414" i="13"/>
  <c r="K414" i="13"/>
  <c r="K470" i="13"/>
  <c r="J470" i="13"/>
  <c r="I470" i="13"/>
  <c r="K461" i="13"/>
  <c r="J461" i="13"/>
  <c r="I461" i="13"/>
  <c r="K570" i="13"/>
  <c r="J570" i="13"/>
  <c r="I570" i="13"/>
  <c r="I633" i="13"/>
  <c r="J633" i="13"/>
  <c r="K633" i="13"/>
  <c r="K655" i="13"/>
  <c r="I655" i="13"/>
  <c r="J655" i="13"/>
  <c r="J664" i="13"/>
  <c r="K664" i="13"/>
  <c r="I664" i="13"/>
  <c r="K543" i="13"/>
  <c r="J543" i="13"/>
  <c r="I543" i="13"/>
  <c r="K593" i="13"/>
  <c r="I593" i="13"/>
  <c r="J593" i="13"/>
  <c r="I642" i="13"/>
  <c r="J642" i="13"/>
  <c r="K642" i="13"/>
  <c r="I376" i="13"/>
  <c r="J376" i="13"/>
  <c r="K376" i="13"/>
  <c r="J475" i="13"/>
  <c r="I475" i="13"/>
  <c r="K475" i="13"/>
  <c r="K573" i="13"/>
  <c r="I573" i="13"/>
  <c r="J573" i="13"/>
  <c r="K559" i="13"/>
  <c r="I559" i="13"/>
  <c r="J559" i="13"/>
  <c r="I670" i="13"/>
  <c r="K670" i="13"/>
  <c r="J670" i="13"/>
  <c r="I600" i="13"/>
  <c r="K600" i="13"/>
  <c r="J600" i="13"/>
  <c r="I498" i="13"/>
  <c r="J498" i="13"/>
  <c r="K498" i="13"/>
  <c r="K639" i="13"/>
  <c r="J639" i="13"/>
  <c r="I639" i="13"/>
  <c r="K427" i="13"/>
  <c r="I427" i="13"/>
  <c r="J427" i="13"/>
  <c r="I626" i="13"/>
  <c r="J626" i="13"/>
  <c r="K626" i="13"/>
  <c r="K382" i="13"/>
  <c r="I382" i="13"/>
  <c r="J382" i="13"/>
  <c r="J508" i="13"/>
  <c r="K508" i="13"/>
  <c r="I508" i="13"/>
  <c r="I513" i="13"/>
  <c r="K513" i="13"/>
  <c r="J513" i="13"/>
  <c r="K667" i="13"/>
  <c r="J667" i="13"/>
  <c r="I667" i="13"/>
  <c r="J379" i="13"/>
  <c r="I379" i="13"/>
  <c r="K379" i="13"/>
  <c r="I417" i="13"/>
  <c r="J417" i="13"/>
  <c r="K417" i="13"/>
  <c r="J666" i="13"/>
  <c r="I666" i="13"/>
  <c r="K666" i="13"/>
  <c r="I410" i="13"/>
  <c r="K410" i="13"/>
  <c r="J410" i="13"/>
  <c r="K545" i="13"/>
  <c r="J545" i="13"/>
  <c r="I545" i="13"/>
  <c r="J669" i="13"/>
  <c r="I669" i="13"/>
  <c r="K669" i="13"/>
  <c r="K473" i="13"/>
  <c r="J473" i="13"/>
  <c r="I473" i="13"/>
  <c r="J435" i="13"/>
  <c r="I435" i="13"/>
  <c r="K435" i="13"/>
  <c r="J520" i="13"/>
  <c r="I520" i="13"/>
  <c r="K520" i="13"/>
  <c r="K452" i="13"/>
  <c r="I452" i="13"/>
  <c r="J452" i="13"/>
  <c r="J583" i="13"/>
  <c r="K583" i="13"/>
  <c r="I583" i="13"/>
  <c r="J644" i="13"/>
  <c r="K644" i="13"/>
  <c r="I644" i="13"/>
  <c r="K621" i="13"/>
  <c r="J621" i="13"/>
  <c r="I621" i="13"/>
  <c r="K454" i="13"/>
  <c r="J454" i="13"/>
  <c r="I454" i="13"/>
  <c r="K464" i="13"/>
  <c r="J464" i="13"/>
  <c r="I464" i="13"/>
  <c r="K614" i="13"/>
  <c r="J614" i="13"/>
  <c r="I614" i="13"/>
  <c r="I383" i="13"/>
  <c r="K383" i="13"/>
  <c r="J383" i="13"/>
  <c r="I607" i="13"/>
  <c r="J607" i="13"/>
  <c r="K607" i="13"/>
  <c r="K507" i="13"/>
  <c r="J507" i="13"/>
  <c r="I507" i="13"/>
  <c r="I392" i="13"/>
  <c r="K392" i="13"/>
  <c r="J392" i="13"/>
  <c r="I661" i="13"/>
  <c r="J661" i="13"/>
  <c r="K661" i="13"/>
  <c r="I421" i="13"/>
  <c r="K421" i="13"/>
  <c r="J421" i="13"/>
  <c r="I431" i="13"/>
  <c r="K431" i="13"/>
  <c r="J431" i="13"/>
  <c r="K592" i="13"/>
  <c r="J592" i="13"/>
  <c r="I592" i="13"/>
  <c r="J637" i="13"/>
  <c r="K637" i="13"/>
  <c r="I637" i="13"/>
  <c r="K384" i="13"/>
  <c r="J384" i="13"/>
  <c r="I384" i="13"/>
  <c r="K572" i="13"/>
  <c r="J572" i="13"/>
  <c r="I572" i="13"/>
  <c r="J606" i="13"/>
  <c r="I606" i="13"/>
  <c r="K606" i="13"/>
  <c r="J584" i="13"/>
  <c r="K584" i="13"/>
  <c r="I584" i="13"/>
  <c r="J458" i="13"/>
  <c r="K458" i="13"/>
  <c r="I458" i="13"/>
  <c r="I562" i="13"/>
  <c r="J562" i="13"/>
  <c r="K562" i="13"/>
  <c r="J653" i="13"/>
  <c r="I653" i="13"/>
  <c r="K653" i="13"/>
  <c r="K492" i="13"/>
  <c r="I492" i="13"/>
  <c r="J492" i="13"/>
  <c r="K497" i="13"/>
  <c r="J497" i="13"/>
  <c r="I497" i="13"/>
  <c r="I651" i="13"/>
  <c r="J651" i="13"/>
  <c r="K651" i="13"/>
  <c r="I581" i="13"/>
  <c r="K581" i="13"/>
  <c r="J581" i="13"/>
  <c r="K656" i="13"/>
  <c r="J656" i="13"/>
  <c r="I656" i="13"/>
  <c r="K650" i="13"/>
  <c r="J650" i="13"/>
  <c r="I650" i="13"/>
  <c r="I394" i="13"/>
  <c r="K394" i="13"/>
  <c r="J394" i="13"/>
  <c r="K481" i="13"/>
  <c r="J481" i="13"/>
  <c r="I481" i="13"/>
  <c r="J541" i="13"/>
  <c r="I541" i="13"/>
  <c r="K541" i="13"/>
  <c r="J457" i="13"/>
  <c r="K457" i="13"/>
  <c r="I457" i="13"/>
  <c r="I482" i="13"/>
  <c r="K482" i="13"/>
  <c r="J482" i="13"/>
  <c r="K504" i="13"/>
  <c r="I504" i="13"/>
  <c r="J504" i="13"/>
  <c r="K659" i="13"/>
  <c r="J659" i="13"/>
  <c r="I659" i="13"/>
  <c r="I567" i="13"/>
  <c r="J567" i="13"/>
  <c r="K567" i="13"/>
  <c r="I548" i="13"/>
  <c r="J548" i="13"/>
  <c r="K548" i="13"/>
  <c r="I429" i="13"/>
  <c r="K429" i="13"/>
  <c r="J429" i="13"/>
  <c r="I438" i="13"/>
  <c r="K438" i="13"/>
  <c r="J438" i="13"/>
  <c r="K628" i="13"/>
  <c r="J628" i="13"/>
  <c r="I628" i="13"/>
  <c r="I424" i="13"/>
  <c r="K424" i="13"/>
  <c r="J424" i="13"/>
  <c r="I640" i="13"/>
  <c r="K640" i="13"/>
  <c r="J640" i="13"/>
  <c r="J420" i="13"/>
  <c r="K420" i="13"/>
  <c r="I420" i="13"/>
  <c r="I598" i="13"/>
  <c r="K598" i="13"/>
  <c r="J598" i="13"/>
  <c r="J668" i="13"/>
  <c r="I668" i="13"/>
  <c r="K668" i="13"/>
  <c r="K591" i="13"/>
  <c r="I591" i="13"/>
  <c r="J591" i="13"/>
  <c r="J601" i="13"/>
  <c r="K601" i="13"/>
  <c r="I601" i="13"/>
  <c r="J542" i="13"/>
  <c r="K542" i="13"/>
  <c r="I542" i="13"/>
  <c r="K566" i="13"/>
  <c r="I566" i="13"/>
  <c r="J566" i="13"/>
  <c r="J604" i="13"/>
  <c r="K604" i="13"/>
  <c r="I604" i="13"/>
  <c r="J506" i="13"/>
  <c r="K506" i="13"/>
  <c r="I506" i="13"/>
  <c r="I569" i="13"/>
  <c r="J569" i="13"/>
  <c r="K569" i="13"/>
  <c r="K389" i="13"/>
  <c r="J389" i="13"/>
  <c r="I389" i="13"/>
  <c r="I553" i="13"/>
  <c r="K553" i="13"/>
  <c r="J553" i="13"/>
  <c r="I468" i="13"/>
  <c r="J468" i="13"/>
  <c r="K468" i="13"/>
  <c r="I500" i="13"/>
  <c r="J500" i="13"/>
  <c r="K500" i="13"/>
  <c r="J509" i="13"/>
  <c r="K509" i="13"/>
  <c r="I509" i="13"/>
  <c r="K514" i="13"/>
  <c r="J514" i="13"/>
  <c r="I514" i="13"/>
  <c r="K589" i="13"/>
  <c r="I589" i="13"/>
  <c r="J589" i="13"/>
  <c r="K476" i="13"/>
  <c r="J476" i="13"/>
  <c r="I476" i="13"/>
  <c r="K449" i="13"/>
  <c r="I449" i="13"/>
  <c r="J449" i="13"/>
  <c r="J635" i="13"/>
  <c r="K635" i="13"/>
  <c r="I635" i="13"/>
  <c r="I469" i="13"/>
  <c r="J469" i="13"/>
  <c r="K469" i="13"/>
  <c r="K576" i="13"/>
  <c r="J576" i="13"/>
  <c r="I576" i="13"/>
  <c r="J634" i="13"/>
  <c r="I634" i="13"/>
  <c r="K634" i="13"/>
  <c r="I378" i="13"/>
  <c r="J378" i="13"/>
  <c r="K378" i="13"/>
  <c r="K433" i="13"/>
  <c r="I433" i="13"/>
  <c r="J433" i="13"/>
  <c r="K397" i="13"/>
  <c r="I397" i="13"/>
  <c r="J397" i="13"/>
  <c r="K441" i="13"/>
  <c r="I441" i="13"/>
  <c r="J441" i="13"/>
  <c r="K400" i="13"/>
  <c r="J400" i="13"/>
  <c r="I400" i="13"/>
  <c r="J488" i="13"/>
  <c r="K488" i="13"/>
  <c r="I488" i="13"/>
  <c r="I547" i="13"/>
  <c r="J547" i="13"/>
  <c r="K547" i="13"/>
  <c r="I551" i="13"/>
  <c r="K551" i="13"/>
  <c r="J551" i="13"/>
  <c r="K388" i="13"/>
  <c r="J388" i="13"/>
  <c r="I388" i="13"/>
  <c r="J636" i="13"/>
  <c r="K636" i="13"/>
  <c r="I636" i="13"/>
  <c r="I422" i="13"/>
  <c r="K422" i="13"/>
  <c r="J422" i="13"/>
  <c r="J511" i="13"/>
  <c r="K511" i="13"/>
  <c r="I511" i="13"/>
  <c r="K377" i="13"/>
  <c r="J377" i="13"/>
  <c r="I377" i="13"/>
  <c r="K523" i="13"/>
  <c r="I523" i="13"/>
  <c r="J523" i="13"/>
  <c r="K408" i="13"/>
  <c r="J408" i="13"/>
  <c r="I408" i="13"/>
  <c r="J380" i="13"/>
  <c r="I380" i="13"/>
  <c r="K380" i="13"/>
  <c r="I582" i="13"/>
  <c r="K582" i="13"/>
  <c r="J582" i="13"/>
  <c r="J491" i="13"/>
  <c r="K491" i="13"/>
  <c r="I491" i="13"/>
  <c r="K462" i="13"/>
  <c r="I462" i="13"/>
  <c r="J462" i="13"/>
  <c r="J517" i="13"/>
  <c r="K517" i="13"/>
  <c r="I517" i="13"/>
  <c r="J423" i="13"/>
  <c r="K423" i="13"/>
  <c r="I423" i="13"/>
  <c r="K588" i="13"/>
  <c r="J588" i="13"/>
  <c r="I588" i="13"/>
  <c r="I610" i="13"/>
  <c r="K610" i="13"/>
  <c r="J610" i="13"/>
  <c r="I405" i="13"/>
  <c r="K405" i="13"/>
  <c r="J405" i="13"/>
  <c r="K510" i="13"/>
  <c r="J510" i="13"/>
  <c r="I510" i="13"/>
  <c r="K518" i="13"/>
  <c r="I518" i="13"/>
  <c r="J518" i="13"/>
  <c r="J402" i="13"/>
  <c r="I402" i="13"/>
  <c r="K402" i="13"/>
  <c r="J525" i="13"/>
  <c r="K525" i="13"/>
  <c r="I525" i="13"/>
  <c r="J460" i="13"/>
  <c r="K460" i="13"/>
  <c r="I460" i="13"/>
  <c r="I624" i="13"/>
  <c r="J624" i="13"/>
  <c r="K624" i="13"/>
  <c r="J587" i="13"/>
  <c r="K587" i="13"/>
  <c r="I587" i="13"/>
  <c r="I596" i="13"/>
  <c r="J596" i="13"/>
  <c r="K596" i="13"/>
  <c r="K496" i="13"/>
  <c r="J496" i="13"/>
  <c r="I496" i="13"/>
  <c r="I618" i="13"/>
  <c r="J618" i="13"/>
  <c r="K618" i="13"/>
  <c r="I613" i="13"/>
  <c r="K613" i="13"/>
  <c r="J613" i="13"/>
  <c r="K672" i="13"/>
  <c r="J672" i="13"/>
  <c r="I672" i="13"/>
  <c r="K603" i="13"/>
  <c r="I603" i="13"/>
  <c r="J603" i="13"/>
  <c r="I425" i="13"/>
  <c r="J425" i="13"/>
  <c r="K425" i="13"/>
  <c r="K623" i="13"/>
  <c r="J623" i="13"/>
  <c r="I623" i="13"/>
  <c r="J472" i="13"/>
  <c r="I472" i="13"/>
  <c r="K472" i="13"/>
  <c r="K419" i="13"/>
  <c r="J419" i="13"/>
  <c r="I419" i="13"/>
  <c r="I535" i="13"/>
  <c r="K535" i="13"/>
  <c r="J535" i="13"/>
  <c r="I611" i="13"/>
  <c r="K611" i="13"/>
  <c r="J611" i="13"/>
  <c r="I662" i="13"/>
  <c r="J662" i="13"/>
  <c r="K662" i="13"/>
  <c r="K406" i="13"/>
  <c r="J406" i="13"/>
  <c r="I406" i="13"/>
  <c r="I539" i="13"/>
  <c r="K539" i="13"/>
  <c r="J539" i="13"/>
  <c r="I465" i="13"/>
  <c r="J465" i="13"/>
  <c r="K465" i="13"/>
  <c r="J563" i="13"/>
  <c r="I563" i="13"/>
  <c r="K563" i="13"/>
  <c r="K471" i="13"/>
  <c r="I471" i="13"/>
  <c r="J471" i="13"/>
  <c r="K387" i="13"/>
  <c r="J387" i="13"/>
  <c r="I387" i="13"/>
  <c r="I455" i="13"/>
  <c r="K455" i="13"/>
  <c r="J455" i="13"/>
  <c r="K522" i="13"/>
  <c r="J522" i="13"/>
  <c r="I522" i="13"/>
  <c r="J385" i="13"/>
  <c r="I385" i="13"/>
  <c r="K385" i="13"/>
  <c r="K149" i="13"/>
  <c r="K398" i="13"/>
  <c r="J398" i="13"/>
  <c r="I398" i="13"/>
  <c r="J612" i="13"/>
  <c r="I612" i="13"/>
  <c r="K612" i="13"/>
  <c r="J490" i="13"/>
  <c r="K490" i="13"/>
  <c r="I490" i="13"/>
  <c r="I407" i="13"/>
  <c r="K407" i="13"/>
  <c r="J407" i="13"/>
  <c r="I474" i="13"/>
  <c r="K474" i="13"/>
  <c r="J474" i="13"/>
  <c r="I391" i="13"/>
  <c r="K391" i="13"/>
  <c r="J391" i="13"/>
  <c r="J627" i="13"/>
  <c r="I627" i="13"/>
  <c r="K627" i="13"/>
  <c r="K641" i="13"/>
  <c r="J641" i="13"/>
  <c r="I641" i="13"/>
  <c r="J493" i="13"/>
  <c r="I493" i="13"/>
  <c r="K493" i="13"/>
  <c r="I444" i="13"/>
  <c r="J444" i="13"/>
  <c r="K444" i="13"/>
  <c r="K560" i="13"/>
  <c r="J560" i="13"/>
  <c r="I560" i="13"/>
  <c r="J571" i="13"/>
  <c r="I571" i="13"/>
  <c r="K571" i="13"/>
  <c r="J516" i="13"/>
  <c r="K516" i="13"/>
  <c r="I516" i="13"/>
  <c r="I432" i="13"/>
  <c r="K432" i="13"/>
  <c r="J432" i="13"/>
  <c r="K602" i="13"/>
  <c r="J602" i="13"/>
  <c r="I602" i="13"/>
  <c r="J501" i="13"/>
  <c r="K501" i="13"/>
  <c r="I501" i="13"/>
  <c r="K608" i="13"/>
  <c r="I608" i="13"/>
  <c r="J608" i="13"/>
  <c r="J665" i="13"/>
  <c r="I665" i="13"/>
  <c r="K665" i="13"/>
  <c r="K409" i="13"/>
  <c r="J409" i="13"/>
  <c r="I409" i="13"/>
  <c r="K479" i="13"/>
  <c r="J479" i="13"/>
  <c r="I479" i="13"/>
  <c r="I456" i="13"/>
  <c r="K456" i="13"/>
  <c r="J456" i="13"/>
  <c r="K658" i="13"/>
  <c r="J658" i="13"/>
  <c r="I658" i="13"/>
  <c r="J519" i="13"/>
  <c r="K519" i="13"/>
  <c r="I519" i="13"/>
  <c r="K515" i="13"/>
  <c r="J515" i="13"/>
  <c r="I515" i="13"/>
  <c r="K646" i="13"/>
  <c r="I646" i="13"/>
  <c r="J646" i="13"/>
  <c r="K390" i="13"/>
  <c r="J390" i="13"/>
  <c r="I390" i="13"/>
  <c r="K643" i="13"/>
  <c r="I643" i="13"/>
  <c r="J643" i="13"/>
  <c r="K578" i="13"/>
  <c r="J578" i="13"/>
  <c r="I578" i="13"/>
  <c r="J381" i="13"/>
  <c r="I381" i="13"/>
  <c r="K381" i="13"/>
  <c r="J554" i="13"/>
  <c r="I554" i="13"/>
  <c r="K554" i="13"/>
  <c r="I645" i="13"/>
  <c r="J645" i="13"/>
  <c r="K645" i="13"/>
  <c r="K654" i="13"/>
  <c r="J654" i="13"/>
  <c r="I654" i="13"/>
  <c r="I648" i="13"/>
  <c r="K648" i="13"/>
  <c r="J648" i="13"/>
  <c r="I415" i="13"/>
  <c r="K415" i="13"/>
  <c r="J415" i="13"/>
  <c r="J585" i="13"/>
  <c r="K585" i="13"/>
  <c r="I585" i="13"/>
  <c r="J629" i="13"/>
  <c r="I629" i="13"/>
  <c r="K629" i="13"/>
  <c r="J467" i="13"/>
  <c r="K467" i="13"/>
  <c r="I467" i="13"/>
  <c r="I550" i="13"/>
  <c r="K550" i="13"/>
  <c r="J550" i="13"/>
  <c r="J574" i="13"/>
  <c r="I574" i="13"/>
  <c r="K574" i="13"/>
  <c r="K534" i="13"/>
  <c r="I534" i="13"/>
  <c r="J534" i="13"/>
  <c r="K485" i="13"/>
  <c r="I485" i="13"/>
  <c r="J485" i="13"/>
  <c r="K605" i="13"/>
  <c r="I605" i="13"/>
  <c r="J605" i="13"/>
  <c r="J660" i="13"/>
  <c r="K660" i="13"/>
  <c r="I660" i="13"/>
  <c r="K399" i="13"/>
  <c r="J399" i="13"/>
  <c r="I399" i="13"/>
  <c r="K561" i="13"/>
  <c r="J561" i="13"/>
  <c r="I561" i="13"/>
  <c r="I477" i="13"/>
  <c r="K477" i="13"/>
  <c r="J477" i="13"/>
  <c r="K428" i="13"/>
  <c r="I428" i="13"/>
  <c r="J428" i="13"/>
  <c r="K512" i="13"/>
  <c r="I512" i="13"/>
  <c r="J512" i="13"/>
  <c r="J555" i="13"/>
  <c r="K555" i="13"/>
  <c r="I555" i="13"/>
  <c r="I404" i="13"/>
  <c r="J404" i="13"/>
  <c r="K404" i="13"/>
  <c r="K575" i="13"/>
  <c r="J575" i="13"/>
  <c r="I575" i="13"/>
  <c r="J586" i="13"/>
  <c r="I586" i="13"/>
  <c r="K586" i="13"/>
  <c r="I453" i="13"/>
  <c r="K453" i="13"/>
  <c r="J453" i="13"/>
  <c r="K528" i="13"/>
  <c r="I528" i="13"/>
  <c r="J528" i="13"/>
  <c r="I649" i="13"/>
  <c r="J649" i="13"/>
  <c r="K649" i="13"/>
  <c r="I393" i="13"/>
  <c r="K393" i="13"/>
  <c r="J393" i="13"/>
  <c r="K478" i="13"/>
  <c r="J478" i="13"/>
  <c r="I478" i="13"/>
  <c r="K440" i="13"/>
  <c r="I440" i="13"/>
  <c r="J440" i="13"/>
  <c r="J466" i="13"/>
  <c r="K466" i="13"/>
  <c r="I466" i="13"/>
  <c r="K503" i="13"/>
  <c r="I503" i="13"/>
  <c r="J503" i="13"/>
  <c r="J451" i="13"/>
  <c r="I451" i="13"/>
  <c r="K451" i="13"/>
  <c r="I630" i="13"/>
  <c r="J630" i="13"/>
  <c r="K630" i="13"/>
  <c r="J374" i="13"/>
  <c r="I374" i="13"/>
  <c r="K374" i="13"/>
  <c r="J130" i="13"/>
  <c r="K363" i="13"/>
  <c r="I363" i="13"/>
  <c r="J363" i="13"/>
  <c r="J339" i="13"/>
  <c r="K339" i="13"/>
  <c r="I339" i="13"/>
  <c r="I367" i="13"/>
  <c r="J367" i="13"/>
  <c r="K367" i="13"/>
  <c r="J278" i="13"/>
  <c r="I278" i="13"/>
  <c r="K278" i="13"/>
  <c r="J347" i="13"/>
  <c r="K347" i="13"/>
  <c r="I347" i="13"/>
  <c r="K348" i="13"/>
  <c r="I348" i="13"/>
  <c r="J348" i="13"/>
  <c r="K335" i="13"/>
  <c r="I335" i="13"/>
  <c r="J335" i="13"/>
  <c r="J357" i="13"/>
  <c r="I357" i="13"/>
  <c r="K357" i="13"/>
  <c r="K316" i="13"/>
  <c r="I316" i="13"/>
  <c r="J316" i="13"/>
  <c r="J275" i="13"/>
  <c r="K275" i="13"/>
  <c r="I275" i="13"/>
  <c r="K303" i="13"/>
  <c r="I303" i="13"/>
  <c r="J303" i="13"/>
  <c r="I325" i="13"/>
  <c r="K325" i="13"/>
  <c r="J325" i="13"/>
  <c r="I369" i="13"/>
  <c r="K369" i="13"/>
  <c r="J369" i="13"/>
  <c r="K366" i="13"/>
  <c r="I366" i="13"/>
  <c r="J366" i="13"/>
  <c r="I280" i="13"/>
  <c r="J280" i="13"/>
  <c r="K280" i="13"/>
  <c r="I297" i="13"/>
  <c r="K297" i="13"/>
  <c r="J297" i="13"/>
  <c r="I353" i="13"/>
  <c r="J353" i="13"/>
  <c r="K353" i="13"/>
  <c r="K350" i="13"/>
  <c r="J350" i="13"/>
  <c r="I350" i="13"/>
  <c r="I362" i="13"/>
  <c r="J362" i="13"/>
  <c r="K362" i="13"/>
  <c r="I277" i="13"/>
  <c r="K277" i="13"/>
  <c r="J277" i="13"/>
  <c r="J294" i="13"/>
  <c r="K294" i="13"/>
  <c r="I294" i="13"/>
  <c r="K343" i="13"/>
  <c r="J343" i="13"/>
  <c r="I343" i="13"/>
  <c r="K318" i="13"/>
  <c r="I318" i="13"/>
  <c r="J318" i="13"/>
  <c r="J292" i="13"/>
  <c r="I292" i="13"/>
  <c r="K292" i="13"/>
  <c r="K305" i="13"/>
  <c r="I305" i="13"/>
  <c r="J305" i="13"/>
  <c r="K302" i="13"/>
  <c r="I302" i="13"/>
  <c r="J302" i="13"/>
  <c r="J370" i="13"/>
  <c r="I370" i="13"/>
  <c r="K370" i="13"/>
  <c r="K289" i="13"/>
  <c r="I289" i="13"/>
  <c r="J289" i="13"/>
  <c r="J354" i="13"/>
  <c r="K354" i="13"/>
  <c r="I354" i="13"/>
  <c r="K368" i="13"/>
  <c r="J368" i="13"/>
  <c r="I368" i="13"/>
  <c r="J365" i="13"/>
  <c r="I365" i="13"/>
  <c r="K365" i="13"/>
  <c r="K361" i="13"/>
  <c r="J361" i="13"/>
  <c r="I361" i="13"/>
  <c r="J279" i="13"/>
  <c r="I279" i="13"/>
  <c r="K279" i="13"/>
  <c r="J338" i="13"/>
  <c r="I338" i="13"/>
  <c r="K338" i="13"/>
  <c r="K304" i="13"/>
  <c r="J304" i="13"/>
  <c r="I304" i="13"/>
  <c r="K308" i="13"/>
  <c r="J308" i="13"/>
  <c r="I308" i="13"/>
  <c r="I352" i="13"/>
  <c r="J352" i="13"/>
  <c r="K352" i="13"/>
  <c r="K349" i="13"/>
  <c r="I349" i="13"/>
  <c r="J349" i="13"/>
  <c r="I345" i="13"/>
  <c r="K345" i="13"/>
  <c r="J345" i="13"/>
  <c r="J358" i="13"/>
  <c r="K358" i="13"/>
  <c r="I358" i="13"/>
  <c r="I322" i="13"/>
  <c r="K322" i="13"/>
  <c r="J322" i="13"/>
  <c r="J287" i="13"/>
  <c r="K287" i="13"/>
  <c r="I287" i="13"/>
  <c r="K276" i="13"/>
  <c r="I276" i="13"/>
  <c r="J276" i="13"/>
  <c r="K336" i="13"/>
  <c r="J336" i="13"/>
  <c r="I336" i="13"/>
  <c r="K333" i="13"/>
  <c r="I333" i="13"/>
  <c r="J333" i="13"/>
  <c r="I329" i="13"/>
  <c r="K329" i="13"/>
  <c r="J329" i="13"/>
  <c r="J342" i="13"/>
  <c r="K342" i="13"/>
  <c r="I342" i="13"/>
  <c r="I306" i="13"/>
  <c r="K306" i="13"/>
  <c r="J306" i="13"/>
  <c r="K364" i="13"/>
  <c r="I364" i="13"/>
  <c r="J364" i="13"/>
  <c r="J323" i="13"/>
  <c r="K323" i="13"/>
  <c r="I323" i="13"/>
  <c r="J373" i="13"/>
  <c r="K373" i="13"/>
  <c r="I373" i="13"/>
  <c r="K331" i="13"/>
  <c r="I331" i="13"/>
  <c r="J331" i="13"/>
  <c r="K328" i="13"/>
  <c r="J328" i="13"/>
  <c r="I328" i="13"/>
  <c r="K315" i="13"/>
  <c r="J315" i="13"/>
  <c r="I315" i="13"/>
  <c r="K319" i="13"/>
  <c r="J319" i="13"/>
  <c r="I319" i="13"/>
  <c r="I341" i="13"/>
  <c r="J341" i="13"/>
  <c r="K341" i="13"/>
  <c r="K283" i="13"/>
  <c r="J283" i="13"/>
  <c r="I283" i="13"/>
  <c r="J296" i="13"/>
  <c r="I296" i="13"/>
  <c r="K296" i="13"/>
  <c r="I346" i="13"/>
  <c r="J346" i="13"/>
  <c r="K346" i="13"/>
  <c r="J309" i="13"/>
  <c r="K309" i="13"/>
  <c r="I309" i="13"/>
  <c r="I337" i="13"/>
  <c r="K337" i="13"/>
  <c r="J337" i="13"/>
  <c r="K334" i="13"/>
  <c r="I334" i="13"/>
  <c r="J334" i="13"/>
  <c r="J372" i="13"/>
  <c r="K372" i="13"/>
  <c r="I372" i="13"/>
  <c r="J321" i="13"/>
  <c r="I321" i="13"/>
  <c r="K321" i="13"/>
  <c r="I314" i="13"/>
  <c r="J314" i="13"/>
  <c r="K314" i="13"/>
  <c r="J356" i="13"/>
  <c r="K356" i="13"/>
  <c r="I356" i="13"/>
  <c r="J311" i="13"/>
  <c r="K311" i="13"/>
  <c r="I311" i="13"/>
  <c r="J340" i="13"/>
  <c r="I340" i="13"/>
  <c r="K340" i="13"/>
  <c r="K295" i="13"/>
  <c r="I295" i="13"/>
  <c r="J295" i="13"/>
  <c r="K317" i="13"/>
  <c r="I317" i="13"/>
  <c r="J317" i="13"/>
  <c r="J371" i="13"/>
  <c r="I371" i="13"/>
  <c r="K371" i="13"/>
  <c r="K320" i="13"/>
  <c r="I320" i="13"/>
  <c r="J320" i="13"/>
  <c r="K301" i="13"/>
  <c r="I301" i="13"/>
  <c r="J301" i="13"/>
  <c r="I313" i="13"/>
  <c r="K313" i="13"/>
  <c r="J313" i="13"/>
  <c r="J326" i="13"/>
  <c r="I326" i="13"/>
  <c r="K326" i="13"/>
  <c r="J290" i="13"/>
  <c r="I290" i="13"/>
  <c r="K290" i="13"/>
  <c r="K360" i="13"/>
  <c r="J360" i="13"/>
  <c r="I360" i="13"/>
  <c r="K351" i="13"/>
  <c r="J351" i="13"/>
  <c r="I351" i="13"/>
  <c r="I344" i="13"/>
  <c r="J344" i="13"/>
  <c r="K344" i="13"/>
  <c r="J307" i="13"/>
  <c r="K307" i="13"/>
  <c r="I307" i="13"/>
  <c r="K332" i="13"/>
  <c r="I332" i="13"/>
  <c r="J332" i="13"/>
  <c r="K291" i="13"/>
  <c r="J291" i="13"/>
  <c r="I291" i="13"/>
  <c r="I312" i="13"/>
  <c r="K312" i="13"/>
  <c r="J312" i="13"/>
  <c r="K284" i="13"/>
  <c r="I284" i="13"/>
  <c r="J284" i="13"/>
  <c r="K299" i="13"/>
  <c r="I299" i="13"/>
  <c r="J299" i="13"/>
  <c r="K359" i="13"/>
  <c r="I359" i="13"/>
  <c r="J359" i="13"/>
  <c r="I330" i="13"/>
  <c r="K330" i="13"/>
  <c r="J330" i="13"/>
  <c r="J293" i="13"/>
  <c r="K293" i="13"/>
  <c r="I293" i="13"/>
  <c r="K327" i="13"/>
  <c r="I327" i="13"/>
  <c r="J327" i="13"/>
  <c r="J298" i="13"/>
  <c r="I298" i="13"/>
  <c r="K298" i="13"/>
  <c r="K286" i="13"/>
  <c r="J286" i="13"/>
  <c r="I286" i="13"/>
  <c r="I282" i="13"/>
  <c r="K282" i="13"/>
  <c r="J282" i="13"/>
  <c r="J324" i="13"/>
  <c r="I324" i="13"/>
  <c r="K324" i="13"/>
  <c r="I147" i="13"/>
  <c r="K300" i="13"/>
  <c r="I300" i="13"/>
  <c r="J300" i="13"/>
  <c r="I355" i="13"/>
  <c r="J355" i="13"/>
  <c r="K355" i="13"/>
  <c r="J288" i="13"/>
  <c r="K288" i="13"/>
  <c r="I288" i="13"/>
  <c r="K285" i="13"/>
  <c r="I285" i="13"/>
  <c r="J285" i="13"/>
  <c r="J281" i="13"/>
  <c r="I281" i="13"/>
  <c r="K281" i="13"/>
  <c r="J310" i="13"/>
  <c r="K310" i="13"/>
  <c r="I310" i="13"/>
  <c r="J274" i="13"/>
  <c r="I274" i="13"/>
  <c r="K274" i="13"/>
  <c r="J271" i="13"/>
  <c r="K271" i="13"/>
  <c r="I271" i="13"/>
  <c r="I260" i="13"/>
  <c r="K260" i="13"/>
  <c r="J260" i="13"/>
  <c r="I255" i="13"/>
  <c r="J255" i="13"/>
  <c r="K255" i="13"/>
  <c r="K212" i="13"/>
  <c r="I212" i="13"/>
  <c r="J212" i="13"/>
  <c r="J239" i="13"/>
  <c r="K239" i="13"/>
  <c r="I239" i="13"/>
  <c r="K111" i="13"/>
  <c r="I228" i="13"/>
  <c r="J228" i="13"/>
  <c r="K228" i="13"/>
  <c r="I272" i="13"/>
  <c r="K272" i="13"/>
  <c r="J272" i="13"/>
  <c r="I223" i="13"/>
  <c r="J223" i="13"/>
  <c r="K223" i="13"/>
  <c r="J205" i="13"/>
  <c r="K205" i="13"/>
  <c r="I205" i="13"/>
  <c r="K250" i="13"/>
  <c r="J250" i="13"/>
  <c r="I250" i="13"/>
  <c r="K183" i="13"/>
  <c r="I183" i="13"/>
  <c r="J183" i="13"/>
  <c r="I206" i="13"/>
  <c r="J206" i="13"/>
  <c r="K206" i="13"/>
  <c r="J259" i="13"/>
  <c r="I259" i="13"/>
  <c r="K259" i="13"/>
  <c r="I240" i="13"/>
  <c r="J240" i="13"/>
  <c r="K240" i="13"/>
  <c r="I191" i="13"/>
  <c r="J191" i="13"/>
  <c r="K191" i="13"/>
  <c r="J203" i="13"/>
  <c r="K203" i="13"/>
  <c r="I203" i="13"/>
  <c r="K232" i="13"/>
  <c r="J232" i="13"/>
  <c r="I232" i="13"/>
  <c r="J245" i="13"/>
  <c r="K245" i="13"/>
  <c r="I245" i="13"/>
  <c r="K174" i="13"/>
  <c r="I174" i="13"/>
  <c r="J174" i="13"/>
  <c r="J146" i="13"/>
  <c r="K186" i="13"/>
  <c r="J186" i="13"/>
  <c r="I186" i="13"/>
  <c r="J227" i="13"/>
  <c r="I227" i="13"/>
  <c r="K227" i="13"/>
  <c r="K231" i="13"/>
  <c r="J231" i="13"/>
  <c r="I231" i="13"/>
  <c r="I208" i="13"/>
  <c r="J208" i="13"/>
  <c r="K208" i="13"/>
  <c r="I197" i="13"/>
  <c r="K197" i="13"/>
  <c r="J197" i="13"/>
  <c r="K221" i="13"/>
  <c r="J221" i="13"/>
  <c r="I221" i="13"/>
  <c r="I128" i="13"/>
  <c r="K185" i="13"/>
  <c r="I185" i="13"/>
  <c r="J185" i="13"/>
  <c r="K211" i="13"/>
  <c r="I211" i="13"/>
  <c r="J211" i="13"/>
  <c r="I214" i="13"/>
  <c r="K214" i="13"/>
  <c r="J214" i="13"/>
  <c r="J192" i="13"/>
  <c r="K192" i="13"/>
  <c r="I192" i="13"/>
  <c r="I196" i="13"/>
  <c r="K196" i="13"/>
  <c r="J196" i="13"/>
  <c r="J236" i="13"/>
  <c r="K236" i="13"/>
  <c r="I236" i="13"/>
  <c r="I181" i="13"/>
  <c r="J181" i="13"/>
  <c r="K181" i="13"/>
  <c r="I213" i="13"/>
  <c r="J213" i="13"/>
  <c r="K213" i="13"/>
  <c r="J254" i="13"/>
  <c r="K254" i="13"/>
  <c r="I254" i="13"/>
  <c r="J220" i="13"/>
  <c r="K220" i="13"/>
  <c r="I220" i="13"/>
  <c r="K230" i="13"/>
  <c r="J230" i="13"/>
  <c r="I230" i="13"/>
  <c r="I270" i="13"/>
  <c r="J270" i="13"/>
  <c r="K270" i="13"/>
  <c r="J237" i="13"/>
  <c r="I237" i="13"/>
  <c r="K237" i="13"/>
  <c r="J244" i="13"/>
  <c r="I244" i="13"/>
  <c r="K244" i="13"/>
  <c r="J201" i="13"/>
  <c r="I201" i="13"/>
  <c r="K201" i="13"/>
  <c r="I238" i="13"/>
  <c r="J238" i="13"/>
  <c r="K238" i="13"/>
  <c r="K269" i="13"/>
  <c r="J269" i="13"/>
  <c r="I269" i="13"/>
  <c r="I235" i="13"/>
  <c r="K235" i="13"/>
  <c r="J235" i="13"/>
  <c r="I184" i="13"/>
  <c r="J184" i="13"/>
  <c r="K184" i="13"/>
  <c r="J222" i="13"/>
  <c r="K222" i="13"/>
  <c r="I222" i="13"/>
  <c r="I180" i="13"/>
  <c r="J180" i="13"/>
  <c r="K180" i="13"/>
  <c r="I256" i="13"/>
  <c r="K256" i="13"/>
  <c r="J256" i="13"/>
  <c r="I207" i="13"/>
  <c r="J207" i="13"/>
  <c r="K207" i="13"/>
  <c r="J188" i="13"/>
  <c r="K188" i="13"/>
  <c r="I188" i="13"/>
  <c r="K249" i="13"/>
  <c r="I249" i="13"/>
  <c r="J249" i="13"/>
  <c r="J182" i="13"/>
  <c r="I182" i="13"/>
  <c r="K182" i="13"/>
  <c r="K190" i="13"/>
  <c r="I190" i="13"/>
  <c r="J190" i="13"/>
  <c r="K146" i="13"/>
  <c r="J243" i="13"/>
  <c r="K243" i="13"/>
  <c r="I243" i="13"/>
  <c r="I224" i="13"/>
  <c r="J224" i="13"/>
  <c r="K224" i="13"/>
  <c r="J175" i="13"/>
  <c r="I175" i="13"/>
  <c r="K175" i="13"/>
  <c r="J128" i="13"/>
  <c r="K264" i="13"/>
  <c r="I264" i="13"/>
  <c r="J264" i="13"/>
  <c r="J195" i="13"/>
  <c r="K195" i="13"/>
  <c r="I195" i="13"/>
  <c r="J253" i="13"/>
  <c r="I253" i="13"/>
  <c r="K253" i="13"/>
  <c r="I176" i="13"/>
  <c r="K176" i="13"/>
  <c r="J176" i="13"/>
  <c r="K273" i="13"/>
  <c r="J273" i="13"/>
  <c r="I273" i="13"/>
  <c r="K219" i="13"/>
  <c r="I219" i="13"/>
  <c r="J219" i="13"/>
  <c r="K200" i="13"/>
  <c r="I200" i="13"/>
  <c r="J200" i="13"/>
  <c r="J179" i="13"/>
  <c r="I179" i="13"/>
  <c r="K179" i="13"/>
  <c r="K252" i="13"/>
  <c r="J252" i="13"/>
  <c r="I252" i="13"/>
  <c r="J189" i="13"/>
  <c r="I189" i="13"/>
  <c r="K189" i="13"/>
  <c r="I257" i="13"/>
  <c r="K257" i="13"/>
  <c r="J257" i="13"/>
  <c r="J218" i="13"/>
  <c r="K218" i="13"/>
  <c r="I218" i="13"/>
  <c r="J178" i="13"/>
  <c r="I178" i="13"/>
  <c r="K178" i="13"/>
  <c r="K265" i="13"/>
  <c r="J265" i="13"/>
  <c r="I265" i="13"/>
  <c r="I119" i="13"/>
  <c r="I263" i="13"/>
  <c r="K263" i="13"/>
  <c r="J263" i="13"/>
  <c r="I258" i="13"/>
  <c r="J258" i="13"/>
  <c r="K258" i="13"/>
  <c r="J251" i="13"/>
  <c r="K251" i="13"/>
  <c r="I251" i="13"/>
  <c r="I268" i="13"/>
  <c r="J268" i="13"/>
  <c r="K268" i="13"/>
  <c r="K241" i="13"/>
  <c r="J241" i="13"/>
  <c r="I241" i="13"/>
  <c r="K233" i="13"/>
  <c r="J233" i="13"/>
  <c r="I233" i="13"/>
  <c r="J202" i="13"/>
  <c r="I202" i="13"/>
  <c r="K202" i="13"/>
  <c r="J149" i="13"/>
  <c r="J199" i="13"/>
  <c r="I199" i="13"/>
  <c r="K199" i="13"/>
  <c r="I242" i="13"/>
  <c r="J242" i="13"/>
  <c r="K242" i="13"/>
  <c r="I234" i="13"/>
  <c r="K234" i="13"/>
  <c r="J234" i="13"/>
  <c r="K204" i="13"/>
  <c r="J204" i="13"/>
  <c r="I204" i="13"/>
  <c r="I225" i="13"/>
  <c r="K225" i="13"/>
  <c r="J225" i="13"/>
  <c r="K248" i="13"/>
  <c r="I248" i="13"/>
  <c r="J248" i="13"/>
  <c r="K262" i="13"/>
  <c r="J262" i="13"/>
  <c r="I262" i="13"/>
  <c r="I226" i="13"/>
  <c r="K226" i="13"/>
  <c r="J226" i="13"/>
  <c r="K217" i="13"/>
  <c r="J217" i="13"/>
  <c r="I217" i="13"/>
  <c r="I267" i="13"/>
  <c r="K267" i="13"/>
  <c r="J267" i="13"/>
  <c r="I209" i="13"/>
  <c r="K209" i="13"/>
  <c r="J209" i="13"/>
  <c r="K247" i="13"/>
  <c r="I247" i="13"/>
  <c r="J247" i="13"/>
  <c r="J119" i="13"/>
  <c r="I136" i="13"/>
  <c r="J198" i="13"/>
  <c r="I198" i="13"/>
  <c r="K198" i="13"/>
  <c r="J210" i="13"/>
  <c r="K210" i="13"/>
  <c r="I210" i="13"/>
  <c r="I216" i="13"/>
  <c r="J216" i="13"/>
  <c r="K216" i="13"/>
  <c r="K187" i="13"/>
  <c r="I187" i="13"/>
  <c r="J187" i="13"/>
  <c r="I193" i="13"/>
  <c r="J193" i="13"/>
  <c r="K193" i="13"/>
  <c r="J246" i="13"/>
  <c r="I246" i="13"/>
  <c r="K246" i="13"/>
  <c r="K133" i="13"/>
  <c r="I261" i="13"/>
  <c r="J261" i="13"/>
  <c r="K261" i="13"/>
  <c r="K194" i="13"/>
  <c r="I194" i="13"/>
  <c r="J194" i="13"/>
  <c r="J215" i="13"/>
  <c r="K215" i="13"/>
  <c r="I215" i="13"/>
  <c r="K266" i="13"/>
  <c r="J266" i="13"/>
  <c r="I266" i="13"/>
  <c r="J177" i="13"/>
  <c r="I177" i="13"/>
  <c r="K177" i="13"/>
  <c r="K229" i="13"/>
  <c r="J229" i="13"/>
  <c r="I229" i="13"/>
  <c r="I142" i="13"/>
  <c r="J147" i="13"/>
  <c r="J142" i="13"/>
  <c r="J134" i="13"/>
  <c r="K143" i="13"/>
  <c r="J145" i="13"/>
  <c r="J115" i="13"/>
  <c r="J143" i="13"/>
  <c r="K145" i="13"/>
  <c r="K134" i="13"/>
  <c r="K114" i="13"/>
  <c r="K107" i="13"/>
  <c r="J123" i="13"/>
  <c r="J91" i="13"/>
  <c r="K96" i="13"/>
  <c r="J113" i="13"/>
  <c r="I111" i="13"/>
  <c r="K144" i="13"/>
  <c r="I104" i="13"/>
  <c r="I99" i="13"/>
  <c r="J99" i="13"/>
  <c r="I137" i="13"/>
  <c r="I118" i="13"/>
  <c r="J121" i="13"/>
  <c r="I95" i="13"/>
  <c r="J118" i="13"/>
  <c r="I114" i="13"/>
  <c r="K137" i="13"/>
  <c r="K104" i="13"/>
  <c r="K121" i="13"/>
  <c r="J95" i="13"/>
  <c r="K100" i="13"/>
  <c r="K113" i="13"/>
  <c r="I122" i="13"/>
  <c r="J122" i="13"/>
  <c r="I91" i="13"/>
  <c r="K89" i="13"/>
  <c r="I89" i="13"/>
  <c r="J150" i="13"/>
  <c r="I150" i="13"/>
  <c r="K150" i="13"/>
  <c r="K153" i="13"/>
  <c r="J153" i="13"/>
  <c r="I153" i="13"/>
  <c r="K166" i="13"/>
  <c r="I166" i="13"/>
  <c r="J166" i="13"/>
  <c r="K161" i="13"/>
  <c r="J161" i="13"/>
  <c r="I161" i="13"/>
  <c r="J132" i="13"/>
  <c r="K160" i="13"/>
  <c r="J160" i="13"/>
  <c r="I160" i="13"/>
  <c r="K132" i="13"/>
  <c r="K112" i="13"/>
  <c r="K159" i="13"/>
  <c r="J159" i="13"/>
  <c r="I159" i="13"/>
  <c r="I112" i="13"/>
  <c r="I125" i="13"/>
  <c r="I157" i="13"/>
  <c r="K157" i="13"/>
  <c r="J157" i="13"/>
  <c r="J138" i="13"/>
  <c r="I102" i="13"/>
  <c r="K125" i="13"/>
  <c r="I156" i="13"/>
  <c r="K156" i="13"/>
  <c r="J156" i="13"/>
  <c r="K138" i="13"/>
  <c r="J100" i="13"/>
  <c r="J102" i="13"/>
  <c r="I105" i="13"/>
  <c r="K131" i="13"/>
  <c r="I108" i="13"/>
  <c r="J88" i="13"/>
  <c r="J173" i="13"/>
  <c r="K173" i="13"/>
  <c r="I173" i="13"/>
  <c r="I126" i="13"/>
  <c r="J131" i="13"/>
  <c r="K103" i="13"/>
  <c r="K140" i="13"/>
  <c r="I110" i="13"/>
  <c r="J148" i="13"/>
  <c r="J172" i="13"/>
  <c r="K172" i="13"/>
  <c r="I172" i="13"/>
  <c r="J126" i="13"/>
  <c r="I129" i="13"/>
  <c r="J103" i="13"/>
  <c r="J110" i="13"/>
  <c r="K139" i="13"/>
  <c r="J171" i="13"/>
  <c r="K171" i="13"/>
  <c r="I171" i="13"/>
  <c r="K124" i="13"/>
  <c r="K127" i="13"/>
  <c r="J129" i="13"/>
  <c r="J94" i="13"/>
  <c r="I133" i="13"/>
  <c r="I144" i="13"/>
  <c r="J139" i="13"/>
  <c r="K152" i="13"/>
  <c r="I152" i="13"/>
  <c r="J152" i="13"/>
  <c r="J170" i="13"/>
  <c r="K170" i="13"/>
  <c r="I170" i="13"/>
  <c r="K168" i="13"/>
  <c r="I168" i="13"/>
  <c r="J168" i="13"/>
  <c r="K167" i="13"/>
  <c r="I167" i="13"/>
  <c r="J167" i="13"/>
  <c r="K162" i="13"/>
  <c r="J162" i="13"/>
  <c r="I162" i="13"/>
  <c r="K165" i="13"/>
  <c r="I165" i="13"/>
  <c r="J165" i="13"/>
  <c r="K164" i="13"/>
  <c r="I164" i="13"/>
  <c r="J164" i="13"/>
  <c r="I163" i="13"/>
  <c r="J163" i="13"/>
  <c r="K163" i="13"/>
  <c r="K158" i="13"/>
  <c r="J158" i="13"/>
  <c r="I158" i="13"/>
  <c r="J108" i="13"/>
  <c r="K155" i="13"/>
  <c r="J155" i="13"/>
  <c r="I155" i="13"/>
  <c r="I101" i="13"/>
  <c r="J105" i="13"/>
  <c r="I148" i="13"/>
  <c r="K154" i="13"/>
  <c r="J154" i="13"/>
  <c r="I154" i="13"/>
  <c r="J101" i="13"/>
  <c r="J140" i="13"/>
  <c r="I127" i="13"/>
  <c r="I124" i="13"/>
  <c r="K94" i="13"/>
  <c r="J96" i="13"/>
  <c r="I115" i="13"/>
  <c r="K151" i="13"/>
  <c r="J151" i="13"/>
  <c r="I151" i="13"/>
  <c r="J169" i="13"/>
  <c r="K169" i="13"/>
  <c r="I169" i="13"/>
  <c r="K93" i="13"/>
  <c r="K84" i="13"/>
  <c r="K92" i="13"/>
  <c r="K85" i="13"/>
  <c r="I85" i="13"/>
  <c r="J90" i="13"/>
  <c r="J87" i="13"/>
  <c r="I88" i="13"/>
  <c r="J80" i="13"/>
  <c r="I87" i="13"/>
  <c r="K80" i="13"/>
  <c r="J83" i="13"/>
  <c r="I78" i="13"/>
  <c r="J78" i="13"/>
  <c r="I86" i="13"/>
  <c r="J86" i="13"/>
  <c r="I90" i="13"/>
  <c r="J92" i="13"/>
  <c r="J93" i="13"/>
  <c r="J81" i="13"/>
  <c r="K81" i="13"/>
  <c r="I76" i="13"/>
  <c r="J76" i="13"/>
  <c r="I75" i="13"/>
  <c r="K79" i="13"/>
  <c r="J77" i="13"/>
  <c r="I79" i="13"/>
  <c r="K77" i="13"/>
  <c r="I83" i="13"/>
  <c r="I84" i="13"/>
  <c r="M39" i="6"/>
  <c r="N39" i="6" s="1"/>
  <c r="I135" i="13"/>
  <c r="J135" i="13"/>
  <c r="I97" i="13"/>
  <c r="J97" i="13"/>
  <c r="I117" i="13"/>
  <c r="J117" i="13"/>
  <c r="I116" i="13"/>
  <c r="J116" i="13"/>
  <c r="F74" i="13"/>
  <c r="J109" i="13"/>
  <c r="I106" i="13"/>
  <c r="J136" i="13"/>
  <c r="J107" i="13"/>
  <c r="J106" i="13"/>
  <c r="K98" i="13"/>
  <c r="K120" i="13"/>
  <c r="I109" i="13"/>
  <c r="I98" i="13"/>
  <c r="K82" i="13"/>
  <c r="I120" i="13"/>
  <c r="I82" i="13"/>
  <c r="K123" i="13"/>
  <c r="J75" i="13"/>
  <c r="F39" i="23"/>
  <c r="K39" i="23" s="1"/>
  <c r="F40" i="23"/>
  <c r="K40" i="23" s="1"/>
  <c r="F36" i="23"/>
  <c r="K36" i="23" s="1"/>
  <c r="F38" i="23"/>
  <c r="K38" i="23" s="1"/>
  <c r="F34" i="23"/>
  <c r="K34" i="23" s="1"/>
  <c r="F37" i="23"/>
  <c r="K37" i="23" s="1"/>
  <c r="F4" i="23"/>
  <c r="H4" i="23" s="1"/>
  <c r="H39" i="23"/>
  <c r="H40" i="23"/>
  <c r="F35" i="23"/>
  <c r="K35" i="23" s="1"/>
  <c r="H41" i="23"/>
  <c r="F41" i="23"/>
  <c r="K41" i="23" s="1"/>
  <c r="H34" i="23"/>
  <c r="H38" i="23"/>
  <c r="H17" i="10"/>
  <c r="J17" i="10"/>
  <c r="H37" i="23"/>
  <c r="H36" i="23"/>
  <c r="K126" i="23"/>
  <c r="H126" i="23"/>
  <c r="K372" i="23"/>
  <c r="H372" i="23"/>
  <c r="K782" i="23"/>
  <c r="H782" i="23"/>
  <c r="K741" i="23"/>
  <c r="H741" i="23"/>
  <c r="K44" i="23"/>
  <c r="H44" i="23"/>
  <c r="CY27" i="13"/>
  <c r="CY47" i="13" s="1"/>
  <c r="DV27" i="13"/>
  <c r="DV47" i="13" s="1"/>
  <c r="CE27" i="13"/>
  <c r="CE47" i="13" s="1"/>
  <c r="DO27" i="13"/>
  <c r="DO47" i="13" s="1"/>
  <c r="BA27" i="13"/>
  <c r="BA47" i="13" s="1"/>
  <c r="DN27" i="13"/>
  <c r="DN47" i="13" s="1"/>
  <c r="ET27" i="13"/>
  <c r="ET47" i="13" s="1"/>
  <c r="ES27" i="13"/>
  <c r="ES47" i="13" s="1"/>
  <c r="DL27" i="13"/>
  <c r="DL47" i="13" s="1"/>
  <c r="EO27" i="13"/>
  <c r="EO47" i="13" s="1"/>
  <c r="EP27" i="13"/>
  <c r="EP47" i="13" s="1"/>
  <c r="DU27" i="13"/>
  <c r="DU47" i="13" s="1"/>
  <c r="EN27" i="13"/>
  <c r="EN47" i="13" s="1"/>
  <c r="EZ27" i="13"/>
  <c r="EZ47" i="13" s="1"/>
  <c r="EB27" i="13"/>
  <c r="EB47" i="13" s="1"/>
  <c r="EA27" i="13"/>
  <c r="EA47" i="13" s="1"/>
  <c r="DQ27" i="13"/>
  <c r="DQ47" i="13" s="1"/>
  <c r="EY27" i="13"/>
  <c r="EY47" i="13" s="1"/>
  <c r="EQ27" i="13"/>
  <c r="EQ47" i="13" s="1"/>
  <c r="EM27" i="13"/>
  <c r="EM47" i="13" s="1"/>
  <c r="DM27" i="13"/>
  <c r="DM47" i="13" s="1"/>
  <c r="CX27" i="13"/>
  <c r="CX47" i="13" s="1"/>
  <c r="DE27" i="13"/>
  <c r="DE47" i="13" s="1"/>
  <c r="BR27" i="13"/>
  <c r="BR47" i="13" s="1"/>
  <c r="CM27" i="13"/>
  <c r="CM47" i="13" s="1"/>
  <c r="BV27" i="13"/>
  <c r="BV47" i="13" s="1"/>
  <c r="BS27" i="13"/>
  <c r="BS47" i="13" s="1"/>
  <c r="AK27" i="13"/>
  <c r="AK47" i="13" s="1"/>
  <c r="CP27" i="13"/>
  <c r="CP47" i="13" s="1"/>
  <c r="CO27" i="13"/>
  <c r="CO47" i="13" s="1"/>
  <c r="DD27" i="13"/>
  <c r="DD47" i="13" s="1"/>
  <c r="AI27" i="13"/>
  <c r="AI47" i="13" s="1"/>
  <c r="CA27" i="13"/>
  <c r="CA47" i="13" s="1"/>
  <c r="CD27" i="13"/>
  <c r="CD47" i="13" s="1"/>
  <c r="CN27" i="13"/>
  <c r="CN47" i="13" s="1"/>
  <c r="BP27" i="13"/>
  <c r="BP47" i="13" s="1"/>
  <c r="BQ27" i="13"/>
  <c r="BQ47" i="13" s="1"/>
  <c r="CR27" i="13"/>
  <c r="CR47" i="13" s="1"/>
  <c r="AJ27" i="13"/>
  <c r="AJ47" i="13" s="1"/>
  <c r="AH27" i="13"/>
  <c r="CB27" i="13"/>
  <c r="CB47" i="13" s="1"/>
  <c r="F27" i="22"/>
  <c r="BQ52" i="13"/>
  <c r="BP48" i="13"/>
  <c r="BP64" i="13"/>
  <c r="BQ53" i="13"/>
  <c r="BP49" i="13"/>
  <c r="BP65" i="13"/>
  <c r="BP62" i="13"/>
  <c r="BQ54" i="13"/>
  <c r="BP50" i="13"/>
  <c r="BP66" i="13"/>
  <c r="BQ55" i="13"/>
  <c r="BP51" i="13"/>
  <c r="BQ56" i="13"/>
  <c r="BP52" i="13"/>
  <c r="BQ65" i="13"/>
  <c r="BQ57" i="13"/>
  <c r="BP53" i="13"/>
  <c r="BQ58" i="13"/>
  <c r="BP54" i="13"/>
  <c r="BP61" i="13"/>
  <c r="BQ66" i="13"/>
  <c r="BQ59" i="13"/>
  <c r="BP55" i="13"/>
  <c r="BQ60" i="13"/>
  <c r="BP56" i="13"/>
  <c r="BQ50" i="13"/>
  <c r="BQ61" i="13"/>
  <c r="BP57" i="13"/>
  <c r="BQ62" i="13"/>
  <c r="BP58" i="13"/>
  <c r="BQ63" i="13"/>
  <c r="BP59" i="13"/>
  <c r="BQ48" i="13"/>
  <c r="BQ64" i="13"/>
  <c r="BP60" i="13"/>
  <c r="BQ51" i="13"/>
  <c r="BP63" i="13"/>
  <c r="BQ49" i="13"/>
  <c r="X20" i="13"/>
  <c r="X22" i="13"/>
  <c r="X23" i="13"/>
  <c r="W20" i="13"/>
  <c r="W21" i="13"/>
  <c r="W24" i="13"/>
  <c r="Y27" i="13" s="1"/>
  <c r="AD39" i="13"/>
  <c r="AD37" i="13"/>
  <c r="J65" i="15"/>
  <c r="J28" i="15"/>
  <c r="J27" i="15"/>
  <c r="J33" i="15"/>
  <c r="J10" i="15"/>
  <c r="J57" i="15"/>
  <c r="J68" i="15"/>
  <c r="J56" i="15"/>
  <c r="J26" i="15"/>
  <c r="J15" i="15"/>
  <c r="J55" i="15"/>
  <c r="J25" i="15"/>
  <c r="J22" i="15"/>
  <c r="J11" i="15"/>
  <c r="J13" i="15"/>
  <c r="J72" i="15"/>
  <c r="J30" i="15"/>
  <c r="J52" i="15"/>
  <c r="J24" i="15"/>
  <c r="J46" i="15"/>
  <c r="J39" i="15"/>
  <c r="J31" i="15"/>
  <c r="J49" i="15"/>
  <c r="J23" i="15"/>
  <c r="J18" i="15"/>
  <c r="J29" i="15"/>
  <c r="J81" i="15"/>
  <c r="J45" i="15"/>
  <c r="J19" i="15"/>
  <c r="J12" i="15"/>
  <c r="J73" i="15"/>
  <c r="J71" i="15"/>
  <c r="J42" i="15"/>
  <c r="J77" i="15"/>
  <c r="J32" i="15"/>
  <c r="J74" i="15"/>
  <c r="J34" i="15"/>
  <c r="J64" i="15"/>
  <c r="G8" i="6"/>
  <c r="AL27" i="13" l="1"/>
  <c r="C16" i="22"/>
  <c r="Q23" i="22" s="1"/>
  <c r="Z8" i="22"/>
  <c r="AN27" i="13"/>
  <c r="AN47" i="13" s="1"/>
  <c r="AM27" i="13"/>
  <c r="AM47" i="13" s="1"/>
  <c r="I74" i="13"/>
  <c r="K74" i="13"/>
  <c r="J74" i="13"/>
  <c r="K4" i="23"/>
  <c r="I17" i="10"/>
  <c r="I56" i="10" s="1"/>
  <c r="H56" i="10"/>
  <c r="AD27" i="13"/>
  <c r="BO27" i="13"/>
  <c r="BO47" i="13" s="1"/>
  <c r="DP27" i="13"/>
  <c r="DP47" i="13" s="1"/>
  <c r="BX27" i="13"/>
  <c r="BX47" i="13" s="1"/>
  <c r="AZ27" i="13"/>
  <c r="AZ47" i="13" s="1"/>
  <c r="CQ27" i="13"/>
  <c r="CQ47" i="13" s="1"/>
  <c r="AW27" i="13"/>
  <c r="AW47" i="13" s="1"/>
  <c r="M23" i="22"/>
  <c r="P15" i="22"/>
  <c r="P11" i="22"/>
  <c r="P18" i="22"/>
  <c r="AE39" i="13"/>
  <c r="AE59" i="13" s="1"/>
  <c r="F495" i="23"/>
  <c r="AE37" i="13"/>
  <c r="AE57" i="13" s="1"/>
  <c r="F413" i="23"/>
  <c r="AH47" i="13"/>
  <c r="DS27" i="13"/>
  <c r="DS47" i="13" s="1"/>
  <c r="ED27" i="13"/>
  <c r="ED47" i="13" s="1"/>
  <c r="EF27" i="13"/>
  <c r="EF47" i="13" s="1"/>
  <c r="DR27" i="13"/>
  <c r="DR47" i="13" s="1"/>
  <c r="EE27" i="13"/>
  <c r="EE47" i="13" s="1"/>
  <c r="CF27" i="13"/>
  <c r="CF47" i="13" s="1"/>
  <c r="BU27" i="13"/>
  <c r="BU47" i="13" s="1"/>
  <c r="DI27" i="13"/>
  <c r="DI47" i="13" s="1"/>
  <c r="CH27" i="13"/>
  <c r="CH47" i="13" s="1"/>
  <c r="AW62" i="13"/>
  <c r="AW61" i="13"/>
  <c r="AW66" i="13"/>
  <c r="AW56" i="13"/>
  <c r="DG27" i="13"/>
  <c r="DG47" i="13" s="1"/>
  <c r="AO27" i="13"/>
  <c r="AO47" i="13" s="1"/>
  <c r="AW58" i="13"/>
  <c r="CV27" i="13"/>
  <c r="CV47" i="13" s="1"/>
  <c r="CI27" i="13"/>
  <c r="CI47" i="13" s="1"/>
  <c r="CU27" i="13"/>
  <c r="CU47" i="13" s="1"/>
  <c r="AW54" i="13"/>
  <c r="DH27" i="13"/>
  <c r="DH47" i="13" s="1"/>
  <c r="AW63" i="13"/>
  <c r="AW64" i="13"/>
  <c r="AW50" i="13"/>
  <c r="AD42" i="13"/>
  <c r="AD44" i="13"/>
  <c r="AD33" i="13"/>
  <c r="J14" i="15"/>
  <c r="J16" i="15"/>
  <c r="AF8" i="22" l="1"/>
  <c r="K495" i="23"/>
  <c r="H495" i="23"/>
  <c r="K413" i="23"/>
  <c r="H413" i="23"/>
  <c r="P13" i="22"/>
  <c r="AE44" i="13"/>
  <c r="AE64" i="13" s="1"/>
  <c r="F700" i="23"/>
  <c r="AE42" i="13"/>
  <c r="AE62" i="13" s="1"/>
  <c r="F618" i="23"/>
  <c r="AE33" i="13"/>
  <c r="AE53" i="13" s="1"/>
  <c r="F249" i="23"/>
  <c r="AH92" i="13" a="1"/>
  <c r="AH92" i="13" s="1"/>
  <c r="AH99" i="13" a="1"/>
  <c r="AH99" i="13" s="1"/>
  <c r="N22" i="21" s="1"/>
  <c r="AH107" i="13" a="1"/>
  <c r="AH107" i="13" s="1"/>
  <c r="AE27" i="13"/>
  <c r="AE47" i="13" s="1"/>
  <c r="F3" i="23"/>
  <c r="AW57" i="13"/>
  <c r="AH149" i="13" a="1"/>
  <c r="AH149" i="13" s="1"/>
  <c r="AW52" i="13"/>
  <c r="AW51" i="13"/>
  <c r="AH81" i="13" a="1"/>
  <c r="AH74" i="13" a="1"/>
  <c r="AH281" i="13" a="1"/>
  <c r="AH281" i="13" s="1"/>
  <c r="AH162" i="13" a="1"/>
  <c r="AH176" i="13" a="1"/>
  <c r="AL47" i="13"/>
  <c r="AH77" i="13" a="1"/>
  <c r="AH86" i="13" a="1"/>
  <c r="AH137" i="13" a="1"/>
  <c r="AW49" i="13"/>
  <c r="AW65" i="13"/>
  <c r="AH126" i="13" a="1"/>
  <c r="AH302" i="13" a="1"/>
  <c r="AH302" i="13" s="1"/>
  <c r="AH261" i="13" a="1"/>
  <c r="AH261" i="13" s="1"/>
  <c r="AH207" i="13" a="1"/>
  <c r="AH207" i="13" s="1"/>
  <c r="AW53" i="13"/>
  <c r="AH242" i="13" a="1"/>
  <c r="AH242" i="13" s="1"/>
  <c r="AH191" i="13" a="1"/>
  <c r="AW55" i="13"/>
  <c r="AW60" i="13"/>
  <c r="AH224" i="13" a="1"/>
  <c r="AH224" i="13" s="1"/>
  <c r="AW59" i="13"/>
  <c r="AH116" i="13" a="1"/>
  <c r="AW48" i="13"/>
  <c r="AD41" i="13"/>
  <c r="AD43" i="13"/>
  <c r="AD38" i="13"/>
  <c r="AD40" i="13"/>
  <c r="AD31" i="13"/>
  <c r="AD35" i="13"/>
  <c r="AD34" i="13"/>
  <c r="AD32" i="13"/>
  <c r="F85" i="23"/>
  <c r="J47" i="15"/>
  <c r="J79" i="15"/>
  <c r="F26" i="19"/>
  <c r="C16" i="19"/>
  <c r="J21" i="15"/>
  <c r="J3" i="15"/>
  <c r="J70" i="15"/>
  <c r="K249" i="23" l="1"/>
  <c r="H249" i="23"/>
  <c r="AN249" i="23" s="1" a="1"/>
  <c r="AN249" i="23" s="1"/>
  <c r="K618" i="23"/>
  <c r="H618" i="23"/>
  <c r="K700" i="23"/>
  <c r="H700" i="23"/>
  <c r="K3" i="23"/>
  <c r="H3" i="23"/>
  <c r="AE43" i="13"/>
  <c r="AE63" i="13" s="1"/>
  <c r="F659" i="23"/>
  <c r="AE40" i="13"/>
  <c r="AE60" i="13" s="1"/>
  <c r="F536" i="23"/>
  <c r="AE41" i="13"/>
  <c r="AE61" i="13" s="1"/>
  <c r="F577" i="23"/>
  <c r="AE34" i="13"/>
  <c r="AE54" i="13" s="1"/>
  <c r="F290" i="23"/>
  <c r="AE35" i="13"/>
  <c r="AE55" i="13" s="1"/>
  <c r="F331" i="23"/>
  <c r="AE38" i="13"/>
  <c r="AE58" i="13" s="1"/>
  <c r="F454" i="23"/>
  <c r="AE32" i="13"/>
  <c r="AE52" i="13" s="1"/>
  <c r="F208" i="23"/>
  <c r="AE31" i="13"/>
  <c r="AE51" i="13" s="1"/>
  <c r="F167" i="23"/>
  <c r="AE29" i="13"/>
  <c r="AE49" i="13" s="1"/>
  <c r="AA17" i="21"/>
  <c r="AA33" i="21"/>
  <c r="AA49" i="21"/>
  <c r="AA65" i="21"/>
  <c r="AA81" i="21"/>
  <c r="AA97" i="21"/>
  <c r="AA113" i="21"/>
  <c r="AA129" i="21"/>
  <c r="AA18" i="21"/>
  <c r="AA34" i="21"/>
  <c r="AA50" i="21"/>
  <c r="AA66" i="21"/>
  <c r="AA82" i="21"/>
  <c r="AA98" i="21"/>
  <c r="AA114" i="21"/>
  <c r="AA130" i="21"/>
  <c r="AA19" i="21"/>
  <c r="AA35" i="21"/>
  <c r="AA51" i="21"/>
  <c r="AA67" i="21"/>
  <c r="AA83" i="21"/>
  <c r="AA99" i="21"/>
  <c r="AA115" i="21"/>
  <c r="AA131" i="21"/>
  <c r="AA20" i="21"/>
  <c r="AA36" i="21"/>
  <c r="AA52" i="21"/>
  <c r="AA68" i="21"/>
  <c r="AA84" i="21"/>
  <c r="AA100" i="21"/>
  <c r="AA116" i="21"/>
  <c r="AA132" i="21"/>
  <c r="AA21" i="21"/>
  <c r="AA37" i="21"/>
  <c r="AA53" i="21"/>
  <c r="AA69" i="21"/>
  <c r="AA85" i="21"/>
  <c r="AA101" i="21"/>
  <c r="AA117" i="21"/>
  <c r="AA133" i="21"/>
  <c r="AA22" i="21"/>
  <c r="AA38" i="21"/>
  <c r="AA54" i="21"/>
  <c r="AA70" i="21"/>
  <c r="AA86" i="21"/>
  <c r="AA102" i="21"/>
  <c r="AA118" i="21"/>
  <c r="AA134" i="21"/>
  <c r="AA23" i="21"/>
  <c r="AA39" i="21"/>
  <c r="AA55" i="21"/>
  <c r="AA71" i="21"/>
  <c r="AA87" i="21"/>
  <c r="AA103" i="21"/>
  <c r="AA119" i="21"/>
  <c r="AA135" i="21"/>
  <c r="AA24" i="21"/>
  <c r="AA40" i="21"/>
  <c r="AA56" i="21"/>
  <c r="AA72" i="21"/>
  <c r="AA88" i="21"/>
  <c r="AA104" i="21"/>
  <c r="AA120" i="21"/>
  <c r="AA136" i="21"/>
  <c r="AA25" i="21"/>
  <c r="AA41" i="21"/>
  <c r="AA57" i="21"/>
  <c r="AA73" i="21"/>
  <c r="AA89" i="21"/>
  <c r="AA105" i="21"/>
  <c r="AA121" i="21"/>
  <c r="AA137" i="21"/>
  <c r="AA26" i="21"/>
  <c r="AA42" i="21"/>
  <c r="AA58" i="21"/>
  <c r="AA74" i="21"/>
  <c r="AA90" i="21"/>
  <c r="AA106" i="21"/>
  <c r="AA122" i="21"/>
  <c r="AA138" i="21"/>
  <c r="AA27" i="21"/>
  <c r="AA43" i="21"/>
  <c r="AA59" i="21"/>
  <c r="AA75" i="21"/>
  <c r="AA91" i="21"/>
  <c r="AA107" i="21"/>
  <c r="AA123" i="21"/>
  <c r="AA139" i="21"/>
  <c r="AA28" i="21"/>
  <c r="AA44" i="21"/>
  <c r="AA60" i="21"/>
  <c r="AA76" i="21"/>
  <c r="AA92" i="21"/>
  <c r="AA108" i="21"/>
  <c r="AA124" i="21"/>
  <c r="AA140" i="21"/>
  <c r="AA16" i="21"/>
  <c r="AA80" i="21"/>
  <c r="AA29" i="21"/>
  <c r="AA93" i="21"/>
  <c r="AA30" i="21"/>
  <c r="AA94" i="21"/>
  <c r="AA31" i="21"/>
  <c r="AA95" i="21"/>
  <c r="AA32" i="21"/>
  <c r="AA96" i="21"/>
  <c r="AA45" i="21"/>
  <c r="AA109" i="21"/>
  <c r="AA46" i="21"/>
  <c r="AA110" i="21"/>
  <c r="AA47" i="21"/>
  <c r="AA111" i="21"/>
  <c r="AA48" i="21"/>
  <c r="AA112" i="21"/>
  <c r="AA61" i="21"/>
  <c r="AA125" i="21"/>
  <c r="AA62" i="21"/>
  <c r="AA126" i="21"/>
  <c r="AA63" i="21"/>
  <c r="AA127" i="21"/>
  <c r="AA64" i="21"/>
  <c r="AA128" i="21"/>
  <c r="AA13" i="21"/>
  <c r="AA14" i="21"/>
  <c r="AA15" i="21"/>
  <c r="AA77" i="21"/>
  <c r="AA78" i="21"/>
  <c r="AA79" i="21"/>
  <c r="AA141" i="21"/>
  <c r="AA142" i="21"/>
  <c r="AA12" i="21"/>
  <c r="X24" i="21"/>
  <c r="X40" i="21"/>
  <c r="X56" i="21"/>
  <c r="X72" i="21"/>
  <c r="X88" i="21"/>
  <c r="X104" i="21"/>
  <c r="X120" i="21"/>
  <c r="X136" i="21"/>
  <c r="X25" i="21"/>
  <c r="X41" i="21"/>
  <c r="X57" i="21"/>
  <c r="X73" i="21"/>
  <c r="X89" i="21"/>
  <c r="X105" i="21"/>
  <c r="X121" i="21"/>
  <c r="X137" i="21"/>
  <c r="X26" i="21"/>
  <c r="X42" i="21"/>
  <c r="X58" i="21"/>
  <c r="X74" i="21"/>
  <c r="X90" i="21"/>
  <c r="X106" i="21"/>
  <c r="X122" i="21"/>
  <c r="X138" i="21"/>
  <c r="X27" i="21"/>
  <c r="X43" i="21"/>
  <c r="X59" i="21"/>
  <c r="X75" i="21"/>
  <c r="X91" i="21"/>
  <c r="X107" i="21"/>
  <c r="X123" i="21"/>
  <c r="X139" i="21"/>
  <c r="X28" i="21"/>
  <c r="X44" i="21"/>
  <c r="X60" i="21"/>
  <c r="X76" i="21"/>
  <c r="X92" i="21"/>
  <c r="X108" i="21"/>
  <c r="X124" i="21"/>
  <c r="X140" i="21"/>
  <c r="X13" i="21"/>
  <c r="X29" i="21"/>
  <c r="X45" i="21"/>
  <c r="X61" i="21"/>
  <c r="X77" i="21"/>
  <c r="X93" i="21"/>
  <c r="X109" i="21"/>
  <c r="X125" i="21"/>
  <c r="X141" i="21"/>
  <c r="X14" i="21"/>
  <c r="X30" i="21"/>
  <c r="X46" i="21"/>
  <c r="X62" i="21"/>
  <c r="X78" i="21"/>
  <c r="X94" i="21"/>
  <c r="X110" i="21"/>
  <c r="X126" i="21"/>
  <c r="X142" i="21"/>
  <c r="X15" i="21"/>
  <c r="X31" i="21"/>
  <c r="X47" i="21"/>
  <c r="X63" i="21"/>
  <c r="X79" i="21"/>
  <c r="X95" i="21"/>
  <c r="X111" i="21"/>
  <c r="X127" i="21"/>
  <c r="X12" i="21"/>
  <c r="X16" i="21"/>
  <c r="X32" i="21"/>
  <c r="X48" i="21"/>
  <c r="X64" i="21"/>
  <c r="X80" i="21"/>
  <c r="X96" i="21"/>
  <c r="X112" i="21"/>
  <c r="X128" i="21"/>
  <c r="X17" i="21"/>
  <c r="X33" i="21"/>
  <c r="X49" i="21"/>
  <c r="X65" i="21"/>
  <c r="X81" i="21"/>
  <c r="X97" i="21"/>
  <c r="X113" i="21"/>
  <c r="X129" i="21"/>
  <c r="X18" i="21"/>
  <c r="X34" i="21"/>
  <c r="X50" i="21"/>
  <c r="X66" i="21"/>
  <c r="X82" i="21"/>
  <c r="X98" i="21"/>
  <c r="X114" i="21"/>
  <c r="X130" i="21"/>
  <c r="X19" i="21"/>
  <c r="X35" i="21"/>
  <c r="X51" i="21"/>
  <c r="X67" i="21"/>
  <c r="X83" i="21"/>
  <c r="X99" i="21"/>
  <c r="X115" i="21"/>
  <c r="X131" i="21"/>
  <c r="X71" i="21"/>
  <c r="X135" i="21"/>
  <c r="X20" i="21"/>
  <c r="X84" i="21"/>
  <c r="X21" i="21"/>
  <c r="X85" i="21"/>
  <c r="X22" i="21"/>
  <c r="X86" i="21"/>
  <c r="X23" i="21"/>
  <c r="X87" i="21"/>
  <c r="X36" i="21"/>
  <c r="X100" i="21"/>
  <c r="X37" i="21"/>
  <c r="X101" i="21"/>
  <c r="X38" i="21"/>
  <c r="X102" i="21"/>
  <c r="X39" i="21"/>
  <c r="X103" i="21"/>
  <c r="X52" i="21"/>
  <c r="X116" i="21"/>
  <c r="X53" i="21"/>
  <c r="X117" i="21"/>
  <c r="X54" i="21"/>
  <c r="X118" i="21"/>
  <c r="X55" i="21"/>
  <c r="X119" i="21"/>
  <c r="X68" i="21"/>
  <c r="X69" i="21"/>
  <c r="X70" i="21"/>
  <c r="X132" i="21"/>
  <c r="X133" i="21"/>
  <c r="X134" i="21"/>
  <c r="W21" i="21"/>
  <c r="W37" i="21"/>
  <c r="W53" i="21"/>
  <c r="W69" i="21"/>
  <c r="W85" i="21"/>
  <c r="W101" i="21"/>
  <c r="W117" i="21"/>
  <c r="W133" i="21"/>
  <c r="W22" i="21"/>
  <c r="W38" i="21"/>
  <c r="W54" i="21"/>
  <c r="W70" i="21"/>
  <c r="W86" i="21"/>
  <c r="W102" i="21"/>
  <c r="W118" i="21"/>
  <c r="W134" i="21"/>
  <c r="W23" i="21"/>
  <c r="W39" i="21"/>
  <c r="W55" i="21"/>
  <c r="W71" i="21"/>
  <c r="W87" i="21"/>
  <c r="W103" i="21"/>
  <c r="W119" i="21"/>
  <c r="W135" i="21"/>
  <c r="W24" i="21"/>
  <c r="W40" i="21"/>
  <c r="W56" i="21"/>
  <c r="W72" i="21"/>
  <c r="W25" i="21"/>
  <c r="W41" i="21"/>
  <c r="W57" i="21"/>
  <c r="W73" i="21"/>
  <c r="W89" i="21"/>
  <c r="W105" i="21"/>
  <c r="W121" i="21"/>
  <c r="W137" i="21"/>
  <c r="W26" i="21"/>
  <c r="W42" i="21"/>
  <c r="W58" i="21"/>
  <c r="W74" i="21"/>
  <c r="W90" i="21"/>
  <c r="W106" i="21"/>
  <c r="W122" i="21"/>
  <c r="W138" i="21"/>
  <c r="W27" i="21"/>
  <c r="W43" i="21"/>
  <c r="W59" i="21"/>
  <c r="W75" i="21"/>
  <c r="W91" i="21"/>
  <c r="W107" i="21"/>
  <c r="W123" i="21"/>
  <c r="W139" i="21"/>
  <c r="W28" i="21"/>
  <c r="W44" i="21"/>
  <c r="W60" i="21"/>
  <c r="W76" i="21"/>
  <c r="W92" i="21"/>
  <c r="W108" i="21"/>
  <c r="W124" i="21"/>
  <c r="W140" i="21"/>
  <c r="W13" i="21"/>
  <c r="W29" i="21"/>
  <c r="W45" i="21"/>
  <c r="W61" i="21"/>
  <c r="W77" i="21"/>
  <c r="W93" i="21"/>
  <c r="W109" i="21"/>
  <c r="W125" i="21"/>
  <c r="W141" i="21"/>
  <c r="W14" i="21"/>
  <c r="W30" i="21"/>
  <c r="W46" i="21"/>
  <c r="W62" i="21"/>
  <c r="W78" i="21"/>
  <c r="W94" i="21"/>
  <c r="W110" i="21"/>
  <c r="W126" i="21"/>
  <c r="W142" i="21"/>
  <c r="W15" i="21"/>
  <c r="W31" i="21"/>
  <c r="W47" i="21"/>
  <c r="W63" i="21"/>
  <c r="W79" i="21"/>
  <c r="W95" i="21"/>
  <c r="W111" i="21"/>
  <c r="W127" i="21"/>
  <c r="W12" i="21"/>
  <c r="W16" i="21"/>
  <c r="W32" i="21"/>
  <c r="W48" i="21"/>
  <c r="W64" i="21"/>
  <c r="W80" i="21"/>
  <c r="W96" i="21"/>
  <c r="W112" i="21"/>
  <c r="W128" i="21"/>
  <c r="W68" i="21"/>
  <c r="W129" i="21"/>
  <c r="W17" i="21"/>
  <c r="W81" i="21"/>
  <c r="W130" i="21"/>
  <c r="W18" i="21"/>
  <c r="W82" i="21"/>
  <c r="W131" i="21"/>
  <c r="W19" i="21"/>
  <c r="W83" i="21"/>
  <c r="W132" i="21"/>
  <c r="W20" i="21"/>
  <c r="W84" i="21"/>
  <c r="W136" i="21"/>
  <c r="W33" i="21"/>
  <c r="W88" i="21"/>
  <c r="W34" i="21"/>
  <c r="W97" i="21"/>
  <c r="W35" i="21"/>
  <c r="W98" i="21"/>
  <c r="W36" i="21"/>
  <c r="W99" i="21"/>
  <c r="W49" i="21"/>
  <c r="W100" i="21"/>
  <c r="W50" i="21"/>
  <c r="W104" i="21"/>
  <c r="W51" i="21"/>
  <c r="W113" i="21"/>
  <c r="W52" i="21"/>
  <c r="W114" i="21"/>
  <c r="W115" i="21"/>
  <c r="W116" i="21"/>
  <c r="W120" i="21"/>
  <c r="W66" i="21"/>
  <c r="W65" i="21"/>
  <c r="W67" i="21"/>
  <c r="Z14" i="21"/>
  <c r="Z30" i="21"/>
  <c r="Z46" i="21"/>
  <c r="Z62" i="21"/>
  <c r="Z78" i="21"/>
  <c r="Z94" i="21"/>
  <c r="Z110" i="21"/>
  <c r="Z126" i="21"/>
  <c r="Z142" i="21"/>
  <c r="Z15" i="21"/>
  <c r="Z31" i="21"/>
  <c r="Z47" i="21"/>
  <c r="Z63" i="21"/>
  <c r="Z79" i="21"/>
  <c r="Z95" i="21"/>
  <c r="Z111" i="21"/>
  <c r="Z127" i="21"/>
  <c r="Z12" i="21"/>
  <c r="Z16" i="21"/>
  <c r="Z32" i="21"/>
  <c r="Z48" i="21"/>
  <c r="Z64" i="21"/>
  <c r="Z80" i="21"/>
  <c r="Z96" i="21"/>
  <c r="Z112" i="21"/>
  <c r="Z128" i="21"/>
  <c r="Z17" i="21"/>
  <c r="Z33" i="21"/>
  <c r="Z49" i="21"/>
  <c r="Z65" i="21"/>
  <c r="Z81" i="21"/>
  <c r="Z97" i="21"/>
  <c r="Z113" i="21"/>
  <c r="Z129" i="21"/>
  <c r="Z18" i="21"/>
  <c r="Z34" i="21"/>
  <c r="Z50" i="21"/>
  <c r="Z66" i="21"/>
  <c r="Z82" i="21"/>
  <c r="Z98" i="21"/>
  <c r="Z114" i="21"/>
  <c r="Z130" i="21"/>
  <c r="Z19" i="21"/>
  <c r="Z35" i="21"/>
  <c r="Z51" i="21"/>
  <c r="Z67" i="21"/>
  <c r="Z83" i="21"/>
  <c r="Z99" i="21"/>
  <c r="Z115" i="21"/>
  <c r="Z131" i="21"/>
  <c r="Z20" i="21"/>
  <c r="Z36" i="21"/>
  <c r="Z52" i="21"/>
  <c r="Z68" i="21"/>
  <c r="Z84" i="21"/>
  <c r="Z100" i="21"/>
  <c r="Z116" i="21"/>
  <c r="Z132" i="21"/>
  <c r="Z21" i="21"/>
  <c r="Z37" i="21"/>
  <c r="Z53" i="21"/>
  <c r="Z69" i="21"/>
  <c r="Z85" i="21"/>
  <c r="Z101" i="21"/>
  <c r="Z117" i="21"/>
  <c r="Z133" i="21"/>
  <c r="Z22" i="21"/>
  <c r="Z38" i="21"/>
  <c r="Z54" i="21"/>
  <c r="Z70" i="21"/>
  <c r="Z86" i="21"/>
  <c r="Z102" i="21"/>
  <c r="Z118" i="21"/>
  <c r="Z134" i="21"/>
  <c r="Z23" i="21"/>
  <c r="Z39" i="21"/>
  <c r="Z55" i="21"/>
  <c r="Z71" i="21"/>
  <c r="Z87" i="21"/>
  <c r="Z103" i="21"/>
  <c r="Z119" i="21"/>
  <c r="Z135" i="21"/>
  <c r="Z24" i="21"/>
  <c r="Z40" i="21"/>
  <c r="Z56" i="21"/>
  <c r="Z72" i="21"/>
  <c r="Z88" i="21"/>
  <c r="Z104" i="21"/>
  <c r="Z120" i="21"/>
  <c r="Z136" i="21"/>
  <c r="Z25" i="21"/>
  <c r="Z41" i="21"/>
  <c r="Z57" i="21"/>
  <c r="Z73" i="21"/>
  <c r="Z89" i="21"/>
  <c r="Z105" i="21"/>
  <c r="Z121" i="21"/>
  <c r="Z137" i="21"/>
  <c r="Z13" i="21"/>
  <c r="Z77" i="21"/>
  <c r="Z141" i="21"/>
  <c r="Z26" i="21"/>
  <c r="Z90" i="21"/>
  <c r="Z27" i="21"/>
  <c r="Z91" i="21"/>
  <c r="Z28" i="21"/>
  <c r="Z92" i="21"/>
  <c r="Z29" i="21"/>
  <c r="Z93" i="21"/>
  <c r="Z42" i="21"/>
  <c r="Z106" i="21"/>
  <c r="Z43" i="21"/>
  <c r="Z107" i="21"/>
  <c r="Z44" i="21"/>
  <c r="Z108" i="21"/>
  <c r="Z45" i="21"/>
  <c r="Z109" i="21"/>
  <c r="Z58" i="21"/>
  <c r="Z122" i="21"/>
  <c r="Z59" i="21"/>
  <c r="Z123" i="21"/>
  <c r="Z60" i="21"/>
  <c r="Z124" i="21"/>
  <c r="Z61" i="21"/>
  <c r="Z125" i="21"/>
  <c r="Z140" i="21"/>
  <c r="Z139" i="21"/>
  <c r="Z138" i="21"/>
  <c r="Z74" i="21"/>
  <c r="Z76" i="21"/>
  <c r="Z75" i="21"/>
  <c r="N19" i="21"/>
  <c r="N35" i="21"/>
  <c r="N51" i="21"/>
  <c r="N67" i="21"/>
  <c r="N83" i="21"/>
  <c r="N99" i="21"/>
  <c r="N115" i="21"/>
  <c r="N131" i="21"/>
  <c r="N20" i="21"/>
  <c r="N36" i="21"/>
  <c r="N52" i="21"/>
  <c r="N68" i="21"/>
  <c r="N84" i="21"/>
  <c r="N100" i="21"/>
  <c r="N116" i="21"/>
  <c r="N132" i="21"/>
  <c r="N21" i="21"/>
  <c r="N37" i="21"/>
  <c r="N53" i="21"/>
  <c r="N69" i="21"/>
  <c r="N85" i="21"/>
  <c r="N101" i="21"/>
  <c r="N117" i="21"/>
  <c r="N133" i="21"/>
  <c r="N38" i="21"/>
  <c r="N54" i="21"/>
  <c r="N70" i="21"/>
  <c r="N86" i="21"/>
  <c r="N102" i="21"/>
  <c r="N118" i="21"/>
  <c r="N134" i="21"/>
  <c r="N23" i="21"/>
  <c r="N39" i="21"/>
  <c r="N55" i="21"/>
  <c r="N71" i="21"/>
  <c r="N87" i="21"/>
  <c r="N103" i="21"/>
  <c r="N119" i="21"/>
  <c r="N135" i="21"/>
  <c r="N24" i="21"/>
  <c r="N40" i="21"/>
  <c r="N56" i="21"/>
  <c r="N72" i="21"/>
  <c r="N88" i="21"/>
  <c r="N104" i="21"/>
  <c r="N120" i="21"/>
  <c r="N136" i="21"/>
  <c r="N25" i="21"/>
  <c r="N41" i="21"/>
  <c r="N57" i="21"/>
  <c r="N73" i="21"/>
  <c r="N89" i="21"/>
  <c r="N105" i="21"/>
  <c r="N121" i="21"/>
  <c r="N137" i="21"/>
  <c r="N26" i="21"/>
  <c r="N42" i="21"/>
  <c r="N58" i="21"/>
  <c r="N74" i="21"/>
  <c r="N90" i="21"/>
  <c r="N106" i="21"/>
  <c r="N122" i="21"/>
  <c r="N138" i="21"/>
  <c r="N27" i="21"/>
  <c r="N43" i="21"/>
  <c r="N59" i="21"/>
  <c r="N75" i="21"/>
  <c r="N91" i="21"/>
  <c r="N107" i="21"/>
  <c r="N123" i="21"/>
  <c r="N139" i="21"/>
  <c r="N28" i="21"/>
  <c r="N44" i="21"/>
  <c r="N60" i="21"/>
  <c r="N76" i="21"/>
  <c r="N92" i="21"/>
  <c r="N108" i="21"/>
  <c r="N124" i="21"/>
  <c r="N140" i="21"/>
  <c r="N14" i="21"/>
  <c r="N30" i="21"/>
  <c r="N46" i="21"/>
  <c r="N62" i="21"/>
  <c r="N78" i="21"/>
  <c r="N94" i="21"/>
  <c r="N110" i="21"/>
  <c r="N126" i="21"/>
  <c r="N142" i="21"/>
  <c r="N15" i="21"/>
  <c r="N31" i="21"/>
  <c r="N47" i="21"/>
  <c r="N63" i="21"/>
  <c r="N79" i="21"/>
  <c r="N95" i="21"/>
  <c r="N16" i="21"/>
  <c r="N80" i="21"/>
  <c r="N130" i="21"/>
  <c r="N128" i="21"/>
  <c r="N17" i="21"/>
  <c r="N81" i="21"/>
  <c r="N141" i="21"/>
  <c r="N65" i="21"/>
  <c r="N18" i="21"/>
  <c r="N82" i="21"/>
  <c r="N12" i="21"/>
  <c r="N29" i="21"/>
  <c r="N93" i="21"/>
  <c r="N77" i="21"/>
  <c r="N32" i="21"/>
  <c r="N96" i="21"/>
  <c r="N66" i="21"/>
  <c r="N33" i="21"/>
  <c r="N97" i="21"/>
  <c r="N34" i="21"/>
  <c r="N98" i="21"/>
  <c r="N129" i="21"/>
  <c r="N45" i="21"/>
  <c r="N109" i="21"/>
  <c r="N48" i="21"/>
  <c r="N111" i="21"/>
  <c r="N49" i="21"/>
  <c r="N112" i="21"/>
  <c r="N127" i="21"/>
  <c r="N50" i="21"/>
  <c r="N113" i="21"/>
  <c r="N61" i="21"/>
  <c r="N114" i="21"/>
  <c r="N64" i="21"/>
  <c r="N125" i="21"/>
  <c r="N13" i="21"/>
  <c r="Y27" i="21"/>
  <c r="Y43" i="21"/>
  <c r="Y59" i="21"/>
  <c r="Y75" i="21"/>
  <c r="Y91" i="21"/>
  <c r="Y107" i="21"/>
  <c r="Y123" i="21"/>
  <c r="Y139" i="21"/>
  <c r="Y28" i="21"/>
  <c r="Y44" i="21"/>
  <c r="Y60" i="21"/>
  <c r="Y76" i="21"/>
  <c r="Y92" i="21"/>
  <c r="Y108" i="21"/>
  <c r="Y124" i="21"/>
  <c r="Y140" i="21"/>
  <c r="Y13" i="21"/>
  <c r="Y29" i="21"/>
  <c r="Y45" i="21"/>
  <c r="Y61" i="21"/>
  <c r="Y77" i="21"/>
  <c r="Y93" i="21"/>
  <c r="Y109" i="21"/>
  <c r="Y125" i="21"/>
  <c r="Y141" i="21"/>
  <c r="Y14" i="21"/>
  <c r="Y30" i="21"/>
  <c r="Y46" i="21"/>
  <c r="Y62" i="21"/>
  <c r="Y78" i="21"/>
  <c r="Y94" i="21"/>
  <c r="Y110" i="21"/>
  <c r="Y126" i="21"/>
  <c r="Y142" i="21"/>
  <c r="Y15" i="21"/>
  <c r="Y31" i="21"/>
  <c r="Y47" i="21"/>
  <c r="Y63" i="21"/>
  <c r="Y79" i="21"/>
  <c r="Y95" i="21"/>
  <c r="Y111" i="21"/>
  <c r="Y127" i="21"/>
  <c r="Y12" i="21"/>
  <c r="Y16" i="21"/>
  <c r="Y32" i="21"/>
  <c r="Y48" i="21"/>
  <c r="Y64" i="21"/>
  <c r="Y80" i="21"/>
  <c r="Y96" i="21"/>
  <c r="Y112" i="21"/>
  <c r="Y128" i="21"/>
  <c r="Y17" i="21"/>
  <c r="Y33" i="21"/>
  <c r="Y49" i="21"/>
  <c r="Y65" i="21"/>
  <c r="Y81" i="21"/>
  <c r="Y97" i="21"/>
  <c r="Y113" i="21"/>
  <c r="Y129" i="21"/>
  <c r="Y18" i="21"/>
  <c r="Y34" i="21"/>
  <c r="Y50" i="21"/>
  <c r="Y66" i="21"/>
  <c r="Y82" i="21"/>
  <c r="Y98" i="21"/>
  <c r="Y114" i="21"/>
  <c r="Y130" i="21"/>
  <c r="Y19" i="21"/>
  <c r="Y35" i="21"/>
  <c r="Y51" i="21"/>
  <c r="Y67" i="21"/>
  <c r="Y83" i="21"/>
  <c r="Y99" i="21"/>
  <c r="Y115" i="21"/>
  <c r="Y131" i="21"/>
  <c r="Y20" i="21"/>
  <c r="Y36" i="21"/>
  <c r="Y52" i="21"/>
  <c r="Y68" i="21"/>
  <c r="Y84" i="21"/>
  <c r="Y100" i="21"/>
  <c r="Y116" i="21"/>
  <c r="Y132" i="21"/>
  <c r="Y21" i="21"/>
  <c r="Y37" i="21"/>
  <c r="Y53" i="21"/>
  <c r="Y69" i="21"/>
  <c r="Y85" i="21"/>
  <c r="Y101" i="21"/>
  <c r="Y117" i="21"/>
  <c r="Y133" i="21"/>
  <c r="Y22" i="21"/>
  <c r="Y38" i="21"/>
  <c r="Y54" i="21"/>
  <c r="Y70" i="21"/>
  <c r="Y86" i="21"/>
  <c r="Y102" i="21"/>
  <c r="Y118" i="21"/>
  <c r="Y134" i="21"/>
  <c r="Y74" i="21"/>
  <c r="Y138" i="21"/>
  <c r="Y23" i="21"/>
  <c r="Y87" i="21"/>
  <c r="Y24" i="21"/>
  <c r="Y88" i="21"/>
  <c r="Y25" i="21"/>
  <c r="Y89" i="21"/>
  <c r="Y26" i="21"/>
  <c r="Y90" i="21"/>
  <c r="Y39" i="21"/>
  <c r="Y103" i="21"/>
  <c r="Y40" i="21"/>
  <c r="Y104" i="21"/>
  <c r="Y41" i="21"/>
  <c r="Y105" i="21"/>
  <c r="Y42" i="21"/>
  <c r="Y106" i="21"/>
  <c r="Y55" i="21"/>
  <c r="Y119" i="21"/>
  <c r="Y56" i="21"/>
  <c r="Y120" i="21"/>
  <c r="Y57" i="21"/>
  <c r="Y121" i="21"/>
  <c r="Y58" i="21"/>
  <c r="Y122" i="21"/>
  <c r="Y71" i="21"/>
  <c r="Y72" i="21"/>
  <c r="Y73" i="21"/>
  <c r="Y135" i="21"/>
  <c r="Y136" i="21"/>
  <c r="Y137" i="21"/>
  <c r="S14" i="21"/>
  <c r="S111" i="21"/>
  <c r="S33" i="21"/>
  <c r="S130" i="21"/>
  <c r="S36" i="21"/>
  <c r="S117" i="21"/>
  <c r="S103" i="21"/>
  <c r="S57" i="21"/>
  <c r="S73" i="21"/>
  <c r="S135" i="21"/>
  <c r="S47" i="21"/>
  <c r="S139" i="21"/>
  <c r="S30" i="21"/>
  <c r="S127" i="21"/>
  <c r="S49" i="21"/>
  <c r="S26" i="21"/>
  <c r="S52" i="21"/>
  <c r="S133" i="21"/>
  <c r="S119" i="21"/>
  <c r="S71" i="21"/>
  <c r="S17" i="21"/>
  <c r="S46" i="21"/>
  <c r="S12" i="21"/>
  <c r="S65" i="21"/>
  <c r="S59" i="21"/>
  <c r="S68" i="21"/>
  <c r="S22" i="21"/>
  <c r="S89" i="21"/>
  <c r="S25" i="21"/>
  <c r="S87" i="21"/>
  <c r="S62" i="21"/>
  <c r="S138" i="21"/>
  <c r="S81" i="21"/>
  <c r="S140" i="21"/>
  <c r="S84" i="21"/>
  <c r="S38" i="21"/>
  <c r="S122" i="21"/>
  <c r="S105" i="21"/>
  <c r="S66" i="21"/>
  <c r="S41" i="21"/>
  <c r="S78" i="21"/>
  <c r="S107" i="21"/>
  <c r="S97" i="21"/>
  <c r="S19" i="21"/>
  <c r="S100" i="21"/>
  <c r="S54" i="21"/>
  <c r="S24" i="21"/>
  <c r="S121" i="21"/>
  <c r="S106" i="21"/>
  <c r="S128" i="21"/>
  <c r="S79" i="21"/>
  <c r="S94" i="21"/>
  <c r="S16" i="21"/>
  <c r="S113" i="21"/>
  <c r="S35" i="21"/>
  <c r="S116" i="21"/>
  <c r="S70" i="21"/>
  <c r="S40" i="21"/>
  <c r="S137" i="21"/>
  <c r="S124" i="21"/>
  <c r="S93" i="21"/>
  <c r="S90" i="21"/>
  <c r="S53" i="21"/>
  <c r="S125" i="21"/>
  <c r="S114" i="21"/>
  <c r="S28" i="21"/>
  <c r="S110" i="21"/>
  <c r="S32" i="21"/>
  <c r="S129" i="21"/>
  <c r="S51" i="21"/>
  <c r="S132" i="21"/>
  <c r="S86" i="21"/>
  <c r="S56" i="21"/>
  <c r="S74" i="21"/>
  <c r="S104" i="21"/>
  <c r="S39" i="21"/>
  <c r="S44" i="21"/>
  <c r="S20" i="21"/>
  <c r="S13" i="21"/>
  <c r="S142" i="21"/>
  <c r="S48" i="21"/>
  <c r="S58" i="21"/>
  <c r="S67" i="21"/>
  <c r="S42" i="21"/>
  <c r="S102" i="21"/>
  <c r="S72" i="21"/>
  <c r="S123" i="21"/>
  <c r="S83" i="21"/>
  <c r="S92" i="21"/>
  <c r="S134" i="21"/>
  <c r="S98" i="21"/>
  <c r="S141" i="21"/>
  <c r="S29" i="21"/>
  <c r="S126" i="21"/>
  <c r="S64" i="21"/>
  <c r="S75" i="21"/>
  <c r="S27" i="21"/>
  <c r="S118" i="21"/>
  <c r="S88" i="21"/>
  <c r="S120" i="21"/>
  <c r="S101" i="21"/>
  <c r="S45" i="21"/>
  <c r="S60" i="21"/>
  <c r="S80" i="21"/>
  <c r="S18" i="21"/>
  <c r="S99" i="21"/>
  <c r="S61" i="21"/>
  <c r="S15" i="21"/>
  <c r="S96" i="21"/>
  <c r="S34" i="21"/>
  <c r="S115" i="21"/>
  <c r="S21" i="21"/>
  <c r="S108" i="21"/>
  <c r="S77" i="21"/>
  <c r="S31" i="21"/>
  <c r="S112" i="21"/>
  <c r="S50" i="21"/>
  <c r="S131" i="21"/>
  <c r="S37" i="21"/>
  <c r="S23" i="21"/>
  <c r="S136" i="21"/>
  <c r="S95" i="21"/>
  <c r="S109" i="21"/>
  <c r="S63" i="21"/>
  <c r="S91" i="21"/>
  <c r="S82" i="21"/>
  <c r="S43" i="21"/>
  <c r="S69" i="21"/>
  <c r="S55" i="21"/>
  <c r="S76" i="21"/>
  <c r="S85" i="21"/>
  <c r="AB20" i="21"/>
  <c r="AB36" i="21"/>
  <c r="AB52" i="21"/>
  <c r="AB68" i="21"/>
  <c r="AB84" i="21"/>
  <c r="AB100" i="21"/>
  <c r="AB116" i="21"/>
  <c r="AB132" i="21"/>
  <c r="AB21" i="21"/>
  <c r="AB37" i="21"/>
  <c r="AB53" i="21"/>
  <c r="AB69" i="21"/>
  <c r="AB85" i="21"/>
  <c r="AB101" i="21"/>
  <c r="AB117" i="21"/>
  <c r="AB133" i="21"/>
  <c r="AB22" i="21"/>
  <c r="AB38" i="21"/>
  <c r="AB54" i="21"/>
  <c r="AB70" i="21"/>
  <c r="AB86" i="21"/>
  <c r="AB102" i="21"/>
  <c r="AB118" i="21"/>
  <c r="AB134" i="21"/>
  <c r="AB23" i="21"/>
  <c r="AB39" i="21"/>
  <c r="AB55" i="21"/>
  <c r="AB71" i="21"/>
  <c r="AB87" i="21"/>
  <c r="AB103" i="21"/>
  <c r="AB119" i="21"/>
  <c r="AB135" i="21"/>
  <c r="AB24" i="21"/>
  <c r="AB40" i="21"/>
  <c r="AB56" i="21"/>
  <c r="AB72" i="21"/>
  <c r="AB88" i="21"/>
  <c r="AB104" i="21"/>
  <c r="AB120" i="21"/>
  <c r="AB136" i="21"/>
  <c r="AB25" i="21"/>
  <c r="AB41" i="21"/>
  <c r="AB57" i="21"/>
  <c r="AB73" i="21"/>
  <c r="AB89" i="21"/>
  <c r="AB105" i="21"/>
  <c r="AB121" i="21"/>
  <c r="AB137" i="21"/>
  <c r="AB26" i="21"/>
  <c r="AB42" i="21"/>
  <c r="AB58" i="21"/>
  <c r="AB74" i="21"/>
  <c r="AB90" i="21"/>
  <c r="AB106" i="21"/>
  <c r="AB122" i="21"/>
  <c r="AB138" i="21"/>
  <c r="AB27" i="21"/>
  <c r="AB43" i="21"/>
  <c r="AB59" i="21"/>
  <c r="AB75" i="21"/>
  <c r="AB91" i="21"/>
  <c r="AB107" i="21"/>
  <c r="AB123" i="21"/>
  <c r="AB139" i="21"/>
  <c r="AB28" i="21"/>
  <c r="AB44" i="21"/>
  <c r="AB60" i="21"/>
  <c r="AB76" i="21"/>
  <c r="AB92" i="21"/>
  <c r="AB108" i="21"/>
  <c r="AB124" i="21"/>
  <c r="AB140" i="21"/>
  <c r="AB13" i="21"/>
  <c r="AB29" i="21"/>
  <c r="AB45" i="21"/>
  <c r="AB61" i="21"/>
  <c r="AB77" i="21"/>
  <c r="AB93" i="21"/>
  <c r="AB109" i="21"/>
  <c r="AB125" i="21"/>
  <c r="AB141" i="21"/>
  <c r="AB14" i="21"/>
  <c r="AB30" i="21"/>
  <c r="AB46" i="21"/>
  <c r="AB62" i="21"/>
  <c r="AB78" i="21"/>
  <c r="AB94" i="21"/>
  <c r="AB110" i="21"/>
  <c r="AB126" i="21"/>
  <c r="AB142" i="21"/>
  <c r="AB15" i="21"/>
  <c r="AB31" i="21"/>
  <c r="AB47" i="21"/>
  <c r="AB63" i="21"/>
  <c r="AB79" i="21"/>
  <c r="AB95" i="21"/>
  <c r="AB111" i="21"/>
  <c r="AB127" i="21"/>
  <c r="AB12" i="21"/>
  <c r="AB19" i="21"/>
  <c r="AB83" i="21"/>
  <c r="AB32" i="21"/>
  <c r="AB96" i="21"/>
  <c r="AB33" i="21"/>
  <c r="AB97" i="21"/>
  <c r="AB34" i="21"/>
  <c r="AB98" i="21"/>
  <c r="AB35" i="21"/>
  <c r="AB99" i="21"/>
  <c r="AB48" i="21"/>
  <c r="AB112" i="21"/>
  <c r="AB49" i="21"/>
  <c r="AB113" i="21"/>
  <c r="AB50" i="21"/>
  <c r="AB114" i="21"/>
  <c r="AB51" i="21"/>
  <c r="AB115" i="21"/>
  <c r="AB64" i="21"/>
  <c r="AB128" i="21"/>
  <c r="AB65" i="21"/>
  <c r="AB129" i="21"/>
  <c r="AB66" i="21"/>
  <c r="AB130" i="21"/>
  <c r="AB67" i="21"/>
  <c r="AB131" i="21"/>
  <c r="AB81" i="21"/>
  <c r="AB18" i="21"/>
  <c r="AB82" i="21"/>
  <c r="AB17" i="21"/>
  <c r="AB80" i="21"/>
  <c r="AB16" i="21"/>
  <c r="O22" i="21"/>
  <c r="O38" i="21"/>
  <c r="O54" i="21"/>
  <c r="O70" i="21"/>
  <c r="O86" i="21"/>
  <c r="O102" i="21"/>
  <c r="O118" i="21"/>
  <c r="O134" i="21"/>
  <c r="O23" i="21"/>
  <c r="O39" i="21"/>
  <c r="O55" i="21"/>
  <c r="O71" i="21"/>
  <c r="O87" i="21"/>
  <c r="O103" i="21"/>
  <c r="O119" i="21"/>
  <c r="O135" i="21"/>
  <c r="O24" i="21"/>
  <c r="O40" i="21"/>
  <c r="O56" i="21"/>
  <c r="O72" i="21"/>
  <c r="O88" i="21"/>
  <c r="O104" i="21"/>
  <c r="O120" i="21"/>
  <c r="O136" i="21"/>
  <c r="O25" i="21"/>
  <c r="O41" i="21"/>
  <c r="O57" i="21"/>
  <c r="O73" i="21"/>
  <c r="O89" i="21"/>
  <c r="O105" i="21"/>
  <c r="O121" i="21"/>
  <c r="O137" i="21"/>
  <c r="O26" i="21"/>
  <c r="O42" i="21"/>
  <c r="O58" i="21"/>
  <c r="O74" i="21"/>
  <c r="O90" i="21"/>
  <c r="O106" i="21"/>
  <c r="O122" i="21"/>
  <c r="O138" i="21"/>
  <c r="O27" i="21"/>
  <c r="O43" i="21"/>
  <c r="O59" i="21"/>
  <c r="O75" i="21"/>
  <c r="O91" i="21"/>
  <c r="O107" i="21"/>
  <c r="O123" i="21"/>
  <c r="O139" i="21"/>
  <c r="O28" i="21"/>
  <c r="O44" i="21"/>
  <c r="O60" i="21"/>
  <c r="O76" i="21"/>
  <c r="O92" i="21"/>
  <c r="O108" i="21"/>
  <c r="O124" i="21"/>
  <c r="O140" i="21"/>
  <c r="O13" i="21"/>
  <c r="O29" i="21"/>
  <c r="O45" i="21"/>
  <c r="O61" i="21"/>
  <c r="O77" i="21"/>
  <c r="O93" i="21"/>
  <c r="O109" i="21"/>
  <c r="O125" i="21"/>
  <c r="O141" i="21"/>
  <c r="O14" i="21"/>
  <c r="O30" i="21"/>
  <c r="O46" i="21"/>
  <c r="O62" i="21"/>
  <c r="O78" i="21"/>
  <c r="O94" i="21"/>
  <c r="O110" i="21"/>
  <c r="O126" i="21"/>
  <c r="O142" i="21"/>
  <c r="O15" i="21"/>
  <c r="O31" i="21"/>
  <c r="O47" i="21"/>
  <c r="O63" i="21"/>
  <c r="O79" i="21"/>
  <c r="O95" i="21"/>
  <c r="O111" i="21"/>
  <c r="O127" i="21"/>
  <c r="O12" i="21"/>
  <c r="O17" i="21"/>
  <c r="O33" i="21"/>
  <c r="O49" i="21"/>
  <c r="O65" i="21"/>
  <c r="O81" i="21"/>
  <c r="O97" i="21"/>
  <c r="O113" i="21"/>
  <c r="O129" i="21"/>
  <c r="O18" i="21"/>
  <c r="O34" i="21"/>
  <c r="O50" i="21"/>
  <c r="O66" i="21"/>
  <c r="O82" i="21"/>
  <c r="O98" i="21"/>
  <c r="O114" i="21"/>
  <c r="O130" i="21"/>
  <c r="O19" i="21"/>
  <c r="O83" i="21"/>
  <c r="O20" i="21"/>
  <c r="O84" i="21"/>
  <c r="O69" i="21"/>
  <c r="O21" i="21"/>
  <c r="O85" i="21"/>
  <c r="O32" i="21"/>
  <c r="O96" i="21"/>
  <c r="O35" i="21"/>
  <c r="O99" i="21"/>
  <c r="O36" i="21"/>
  <c r="O100" i="21"/>
  <c r="O68" i="21"/>
  <c r="O37" i="21"/>
  <c r="O101" i="21"/>
  <c r="O48" i="21"/>
  <c r="O112" i="21"/>
  <c r="O133" i="21"/>
  <c r="O16" i="21"/>
  <c r="O51" i="21"/>
  <c r="O115" i="21"/>
  <c r="O52" i="21"/>
  <c r="O116" i="21"/>
  <c r="O53" i="21"/>
  <c r="O117" i="21"/>
  <c r="O64" i="21"/>
  <c r="O128" i="21"/>
  <c r="O132" i="21"/>
  <c r="O80" i="21"/>
  <c r="O67" i="21"/>
  <c r="O131" i="21"/>
  <c r="M16" i="21"/>
  <c r="M32" i="21"/>
  <c r="M48" i="21"/>
  <c r="M64" i="21"/>
  <c r="M80" i="21"/>
  <c r="M96" i="21"/>
  <c r="M112" i="21"/>
  <c r="M128" i="21"/>
  <c r="M17" i="21"/>
  <c r="M33" i="21"/>
  <c r="M49" i="21"/>
  <c r="M65" i="21"/>
  <c r="M81" i="21"/>
  <c r="M97" i="21"/>
  <c r="M113" i="21"/>
  <c r="M129" i="21"/>
  <c r="M18" i="21"/>
  <c r="M34" i="21"/>
  <c r="M50" i="21"/>
  <c r="M66" i="21"/>
  <c r="M82" i="21"/>
  <c r="M98" i="21"/>
  <c r="M114" i="21"/>
  <c r="M130" i="21"/>
  <c r="M19" i="21"/>
  <c r="M35" i="21"/>
  <c r="M51" i="21"/>
  <c r="M67" i="21"/>
  <c r="M83" i="21"/>
  <c r="M99" i="21"/>
  <c r="M115" i="21"/>
  <c r="M131" i="21"/>
  <c r="M20" i="21"/>
  <c r="M36" i="21"/>
  <c r="M52" i="21"/>
  <c r="M68" i="21"/>
  <c r="M84" i="21"/>
  <c r="M100" i="21"/>
  <c r="M116" i="21"/>
  <c r="M132" i="21"/>
  <c r="M21" i="21"/>
  <c r="M37" i="21"/>
  <c r="M53" i="21"/>
  <c r="M69" i="21"/>
  <c r="M85" i="21"/>
  <c r="M101" i="21"/>
  <c r="M117" i="21"/>
  <c r="M133" i="21"/>
  <c r="M22" i="21"/>
  <c r="M38" i="21"/>
  <c r="M54" i="21"/>
  <c r="M70" i="21"/>
  <c r="M86" i="21"/>
  <c r="M102" i="21"/>
  <c r="M118" i="21"/>
  <c r="M134" i="21"/>
  <c r="M23" i="21"/>
  <c r="M39" i="21"/>
  <c r="M55" i="21"/>
  <c r="M71" i="21"/>
  <c r="M87" i="21"/>
  <c r="M103" i="21"/>
  <c r="M119" i="21"/>
  <c r="M135" i="21"/>
  <c r="M24" i="21"/>
  <c r="M40" i="21"/>
  <c r="M56" i="21"/>
  <c r="M72" i="21"/>
  <c r="M88" i="21"/>
  <c r="M104" i="21"/>
  <c r="M120" i="21"/>
  <c r="M136" i="21"/>
  <c r="M25" i="21"/>
  <c r="M41" i="21"/>
  <c r="M57" i="21"/>
  <c r="M73" i="21"/>
  <c r="M89" i="21"/>
  <c r="M105" i="21"/>
  <c r="M121" i="21"/>
  <c r="M137" i="21"/>
  <c r="M27" i="21"/>
  <c r="M43" i="21"/>
  <c r="M59" i="21"/>
  <c r="M75" i="21"/>
  <c r="M91" i="21"/>
  <c r="M107" i="21"/>
  <c r="M123" i="21"/>
  <c r="M139" i="21"/>
  <c r="M58" i="21"/>
  <c r="M108" i="21"/>
  <c r="M45" i="21"/>
  <c r="M106" i="21"/>
  <c r="M60" i="21"/>
  <c r="M109" i="21"/>
  <c r="M61" i="21"/>
  <c r="M110" i="21"/>
  <c r="M13" i="21"/>
  <c r="M62" i="21"/>
  <c r="M111" i="21"/>
  <c r="M14" i="21"/>
  <c r="M63" i="21"/>
  <c r="M122" i="21"/>
  <c r="M15" i="21"/>
  <c r="M74" i="21"/>
  <c r="M124" i="21"/>
  <c r="M26" i="21"/>
  <c r="M76" i="21"/>
  <c r="M125" i="21"/>
  <c r="M28" i="21"/>
  <c r="M77" i="21"/>
  <c r="M126" i="21"/>
  <c r="M94" i="21"/>
  <c r="M29" i="21"/>
  <c r="M78" i="21"/>
  <c r="M127" i="21"/>
  <c r="M95" i="21"/>
  <c r="M30" i="21"/>
  <c r="M79" i="21"/>
  <c r="M138" i="21"/>
  <c r="M47" i="21"/>
  <c r="M31" i="21"/>
  <c r="M90" i="21"/>
  <c r="M140" i="21"/>
  <c r="M12" i="21"/>
  <c r="M46" i="21"/>
  <c r="M42" i="21"/>
  <c r="M92" i="21"/>
  <c r="M141" i="21"/>
  <c r="M44" i="21"/>
  <c r="M93" i="21"/>
  <c r="M142" i="21"/>
  <c r="AH86" i="13"/>
  <c r="AH74" i="13"/>
  <c r="AH116" i="13"/>
  <c r="AH77" i="13"/>
  <c r="AH137" i="13"/>
  <c r="AH162" i="13"/>
  <c r="AH81" i="13"/>
  <c r="AH176" i="13"/>
  <c r="AH191" i="13"/>
  <c r="AH126" i="13"/>
  <c r="J58" i="15"/>
  <c r="J78" i="15"/>
  <c r="J8" i="15"/>
  <c r="J62" i="15"/>
  <c r="J37" i="15"/>
  <c r="J75" i="15"/>
  <c r="J4" i="15"/>
  <c r="J60" i="15"/>
  <c r="J51" i="15"/>
  <c r="J41" i="15"/>
  <c r="J40" i="15"/>
  <c r="J76" i="15"/>
  <c r="J2" i="15"/>
  <c r="J69" i="15"/>
  <c r="J6" i="15"/>
  <c r="J7" i="15"/>
  <c r="J67" i="15"/>
  <c r="J38" i="15"/>
  <c r="J50" i="15"/>
  <c r="J48" i="15"/>
  <c r="J9" i="15"/>
  <c r="J59" i="15"/>
  <c r="J53" i="15"/>
  <c r="J80" i="15"/>
  <c r="J43" i="15"/>
  <c r="J17" i="15"/>
  <c r="J36" i="15"/>
  <c r="J61" i="15"/>
  <c r="J35" i="15"/>
  <c r="J5" i="15"/>
  <c r="J66" i="15"/>
  <c r="J54" i="15"/>
  <c r="J63" i="15"/>
  <c r="J44" i="15"/>
  <c r="J20" i="15"/>
  <c r="K290" i="23" l="1"/>
  <c r="H290" i="23"/>
  <c r="K577" i="23"/>
  <c r="H577" i="23"/>
  <c r="K536" i="23"/>
  <c r="H536" i="23"/>
  <c r="K659" i="23"/>
  <c r="H659" i="23"/>
  <c r="K167" i="23"/>
  <c r="H167" i="23"/>
  <c r="K208" i="23"/>
  <c r="H208" i="23"/>
  <c r="AN208" i="23" s="1" a="1"/>
  <c r="AN208" i="23" s="1"/>
  <c r="K454" i="23"/>
  <c r="H454" i="23"/>
  <c r="K331" i="23"/>
  <c r="H331" i="23"/>
  <c r="K85" i="23"/>
  <c r="H85" i="23"/>
  <c r="L13" i="21"/>
  <c r="L29" i="21"/>
  <c r="L45" i="21"/>
  <c r="L61" i="21"/>
  <c r="L14" i="21"/>
  <c r="L15" i="21"/>
  <c r="L31" i="21"/>
  <c r="L47" i="21"/>
  <c r="L63" i="21"/>
  <c r="L79" i="21"/>
  <c r="L95" i="21"/>
  <c r="L111" i="21"/>
  <c r="L127" i="21"/>
  <c r="L12" i="21"/>
  <c r="L16" i="21"/>
  <c r="L32" i="21"/>
  <c r="L48" i="21"/>
  <c r="L64" i="21"/>
  <c r="L80" i="21"/>
  <c r="L96" i="21"/>
  <c r="L112" i="21"/>
  <c r="L128" i="21"/>
  <c r="L17" i="21"/>
  <c r="L33" i="21"/>
  <c r="L49" i="21"/>
  <c r="L65" i="21"/>
  <c r="L81" i="21"/>
  <c r="L18" i="21"/>
  <c r="L34" i="21"/>
  <c r="L19" i="21"/>
  <c r="L35" i="21"/>
  <c r="L51" i="21"/>
  <c r="L67" i="21"/>
  <c r="L20" i="21"/>
  <c r="L36" i="21"/>
  <c r="L52" i="21"/>
  <c r="L68" i="21"/>
  <c r="L84" i="21"/>
  <c r="L100" i="21"/>
  <c r="L116" i="21"/>
  <c r="L21" i="21"/>
  <c r="L37" i="21"/>
  <c r="L53" i="21"/>
  <c r="L69" i="21"/>
  <c r="L85" i="21"/>
  <c r="L101" i="21"/>
  <c r="L117" i="21"/>
  <c r="L133" i="21"/>
  <c r="L22" i="21"/>
  <c r="L24" i="21"/>
  <c r="L40" i="21"/>
  <c r="L56" i="21"/>
  <c r="L72" i="21"/>
  <c r="L26" i="21"/>
  <c r="L59" i="21"/>
  <c r="L88" i="21"/>
  <c r="L108" i="21"/>
  <c r="L130" i="21"/>
  <c r="L126" i="21"/>
  <c r="L27" i="21"/>
  <c r="L60" i="21"/>
  <c r="L89" i="21"/>
  <c r="L109" i="21"/>
  <c r="L131" i="21"/>
  <c r="L83" i="21"/>
  <c r="L57" i="21"/>
  <c r="L87" i="21"/>
  <c r="L28" i="21"/>
  <c r="L62" i="21"/>
  <c r="L90" i="21"/>
  <c r="L110" i="21"/>
  <c r="L132" i="21"/>
  <c r="L105" i="21"/>
  <c r="L86" i="21"/>
  <c r="L107" i="21"/>
  <c r="L30" i="21"/>
  <c r="L66" i="21"/>
  <c r="L91" i="21"/>
  <c r="L113" i="21"/>
  <c r="L134" i="21"/>
  <c r="L38" i="21"/>
  <c r="L70" i="21"/>
  <c r="L92" i="21"/>
  <c r="L114" i="21"/>
  <c r="L135" i="21"/>
  <c r="L58" i="21"/>
  <c r="L39" i="21"/>
  <c r="L71" i="21"/>
  <c r="L93" i="21"/>
  <c r="L115" i="21"/>
  <c r="L136" i="21"/>
  <c r="L55" i="21"/>
  <c r="L41" i="21"/>
  <c r="L73" i="21"/>
  <c r="L94" i="21"/>
  <c r="L118" i="21"/>
  <c r="L137" i="21"/>
  <c r="L42" i="21"/>
  <c r="L74" i="21"/>
  <c r="L97" i="21"/>
  <c r="L119" i="21"/>
  <c r="L138" i="21"/>
  <c r="L129" i="21"/>
  <c r="L43" i="21"/>
  <c r="L75" i="21"/>
  <c r="L98" i="21"/>
  <c r="L120" i="21"/>
  <c r="L139" i="21"/>
  <c r="L25" i="21"/>
  <c r="L44" i="21"/>
  <c r="L76" i="21"/>
  <c r="L99" i="21"/>
  <c r="L121" i="21"/>
  <c r="L140" i="21"/>
  <c r="L23" i="21"/>
  <c r="L46" i="21"/>
  <c r="L77" i="21"/>
  <c r="L102" i="21"/>
  <c r="L122" i="21"/>
  <c r="L141" i="21"/>
  <c r="L50" i="21"/>
  <c r="L78" i="21"/>
  <c r="L103" i="21"/>
  <c r="L123" i="21"/>
  <c r="L142" i="21"/>
  <c r="L54" i="21"/>
  <c r="L82" i="21"/>
  <c r="L104" i="21"/>
  <c r="L124" i="21"/>
  <c r="L125" i="21"/>
  <c r="L106" i="21"/>
  <c r="Q23" i="21"/>
  <c r="Q28" i="21"/>
  <c r="Q44" i="21"/>
  <c r="Q60" i="21"/>
  <c r="Q76" i="21"/>
  <c r="Q92" i="21"/>
  <c r="Q108" i="21"/>
  <c r="Q124" i="21"/>
  <c r="Q140" i="21"/>
  <c r="Q29" i="21"/>
  <c r="Q45" i="21"/>
  <c r="Q61" i="21"/>
  <c r="Q77" i="21"/>
  <c r="Q93" i="21"/>
  <c r="Q109" i="21"/>
  <c r="Q125" i="21"/>
  <c r="Q141" i="21"/>
  <c r="Q13" i="21"/>
  <c r="Q30" i="21"/>
  <c r="Q46" i="21"/>
  <c r="Q62" i="21"/>
  <c r="Q78" i="21"/>
  <c r="Q94" i="21"/>
  <c r="Q110" i="21"/>
  <c r="Q126" i="21"/>
  <c r="Q142" i="21"/>
  <c r="Q14" i="21"/>
  <c r="Q31" i="21"/>
  <c r="Q47" i="21"/>
  <c r="Q63" i="21"/>
  <c r="Q79" i="21"/>
  <c r="Q95" i="21"/>
  <c r="Q111" i="21"/>
  <c r="Q127" i="21"/>
  <c r="Q12" i="21"/>
  <c r="Q15" i="21"/>
  <c r="Q32" i="21"/>
  <c r="Q48" i="21"/>
  <c r="Q64" i="21"/>
  <c r="Q80" i="21"/>
  <c r="Q96" i="21"/>
  <c r="Q112" i="21"/>
  <c r="Q128" i="21"/>
  <c r="Q16" i="21"/>
  <c r="Q33" i="21"/>
  <c r="Q49" i="21"/>
  <c r="Q65" i="21"/>
  <c r="Q81" i="21"/>
  <c r="Q97" i="21"/>
  <c r="Q113" i="21"/>
  <c r="Q129" i="21"/>
  <c r="Q17" i="21"/>
  <c r="Q34" i="21"/>
  <c r="Q50" i="21"/>
  <c r="Q66" i="21"/>
  <c r="Q82" i="21"/>
  <c r="Q98" i="21"/>
  <c r="Q114" i="21"/>
  <c r="Q130" i="21"/>
  <c r="Q18" i="21"/>
  <c r="Q35" i="21"/>
  <c r="Q51" i="21"/>
  <c r="Q67" i="21"/>
  <c r="Q83" i="21"/>
  <c r="Q99" i="21"/>
  <c r="Q115" i="21"/>
  <c r="Q131" i="21"/>
  <c r="Q19" i="21"/>
  <c r="Q36" i="21"/>
  <c r="Q52" i="21"/>
  <c r="Q68" i="21"/>
  <c r="Q84" i="21"/>
  <c r="Q100" i="21"/>
  <c r="Q116" i="21"/>
  <c r="Q132" i="21"/>
  <c r="Q20" i="21"/>
  <c r="Q37" i="21"/>
  <c r="Q53" i="21"/>
  <c r="Q69" i="21"/>
  <c r="Q85" i="21"/>
  <c r="Q101" i="21"/>
  <c r="Q117" i="21"/>
  <c r="Q133" i="21"/>
  <c r="Q21" i="21"/>
  <c r="Q38" i="21"/>
  <c r="Q54" i="21"/>
  <c r="Q22" i="21"/>
  <c r="Q39" i="21"/>
  <c r="Q55" i="21"/>
  <c r="Q71" i="21"/>
  <c r="Q87" i="21"/>
  <c r="Q103" i="21"/>
  <c r="Q119" i="21"/>
  <c r="Q135" i="21"/>
  <c r="Q24" i="21"/>
  <c r="Q40" i="21"/>
  <c r="Q56" i="21"/>
  <c r="Q72" i="21"/>
  <c r="Q88" i="21"/>
  <c r="Q104" i="21"/>
  <c r="Q120" i="21"/>
  <c r="Q136" i="21"/>
  <c r="Q89" i="21"/>
  <c r="Q86" i="21"/>
  <c r="Q90" i="21"/>
  <c r="Q25" i="21"/>
  <c r="Q91" i="21"/>
  <c r="Q26" i="21"/>
  <c r="Q102" i="21"/>
  <c r="Q138" i="21"/>
  <c r="Q139" i="21"/>
  <c r="Q27" i="21"/>
  <c r="Q105" i="21"/>
  <c r="Q41" i="21"/>
  <c r="Q106" i="21"/>
  <c r="Q74" i="21"/>
  <c r="Q75" i="21"/>
  <c r="Q42" i="21"/>
  <c r="Q107" i="21"/>
  <c r="Q43" i="21"/>
  <c r="Q118" i="21"/>
  <c r="Q57" i="21"/>
  <c r="Q121" i="21"/>
  <c r="Q58" i="21"/>
  <c r="Q122" i="21"/>
  <c r="Q59" i="21"/>
  <c r="Q123" i="21"/>
  <c r="Q70" i="21"/>
  <c r="Q134" i="21"/>
  <c r="Q73" i="21"/>
  <c r="Q137" i="21"/>
  <c r="U15" i="21"/>
  <c r="U31" i="21"/>
  <c r="U47" i="21"/>
  <c r="U63" i="21"/>
  <c r="U79" i="21"/>
  <c r="U95" i="21"/>
  <c r="U111" i="21"/>
  <c r="U127" i="21"/>
  <c r="U12" i="21"/>
  <c r="U16" i="21"/>
  <c r="U32" i="21"/>
  <c r="U48" i="21"/>
  <c r="U64" i="21"/>
  <c r="U80" i="21"/>
  <c r="U96" i="21"/>
  <c r="U112" i="21"/>
  <c r="U128" i="21"/>
  <c r="U19" i="21"/>
  <c r="U35" i="21"/>
  <c r="U51" i="21"/>
  <c r="U67" i="21"/>
  <c r="U83" i="21"/>
  <c r="U99" i="21"/>
  <c r="U115" i="21"/>
  <c r="U131" i="21"/>
  <c r="U20" i="21"/>
  <c r="U36" i="21"/>
  <c r="U52" i="21"/>
  <c r="U68" i="21"/>
  <c r="U21" i="21"/>
  <c r="U22" i="21"/>
  <c r="U38" i="21"/>
  <c r="U54" i="21"/>
  <c r="U70" i="21"/>
  <c r="U86" i="21"/>
  <c r="U102" i="21"/>
  <c r="U23" i="21"/>
  <c r="U39" i="21"/>
  <c r="U55" i="21"/>
  <c r="U71" i="21"/>
  <c r="U87" i="21"/>
  <c r="U25" i="21"/>
  <c r="U41" i="21"/>
  <c r="U57" i="21"/>
  <c r="U73" i="21"/>
  <c r="U89" i="21"/>
  <c r="U105" i="21"/>
  <c r="U121" i="21"/>
  <c r="U137" i="21"/>
  <c r="U26" i="21"/>
  <c r="U42" i="21"/>
  <c r="U58" i="21"/>
  <c r="U74" i="21"/>
  <c r="U90" i="21"/>
  <c r="U106" i="21"/>
  <c r="U40" i="21"/>
  <c r="U72" i="21"/>
  <c r="U100" i="21"/>
  <c r="U123" i="21"/>
  <c r="U43" i="21"/>
  <c r="U75" i="21"/>
  <c r="U101" i="21"/>
  <c r="U124" i="21"/>
  <c r="U44" i="21"/>
  <c r="U76" i="21"/>
  <c r="U103" i="21"/>
  <c r="U125" i="21"/>
  <c r="U45" i="21"/>
  <c r="U77" i="21"/>
  <c r="U104" i="21"/>
  <c r="U126" i="21"/>
  <c r="U13" i="21"/>
  <c r="U46" i="21"/>
  <c r="U78" i="21"/>
  <c r="U107" i="21"/>
  <c r="U129" i="21"/>
  <c r="U14" i="21"/>
  <c r="U49" i="21"/>
  <c r="U81" i="21"/>
  <c r="U108" i="21"/>
  <c r="U130" i="21"/>
  <c r="U17" i="21"/>
  <c r="U50" i="21"/>
  <c r="U82" i="21"/>
  <c r="U109" i="21"/>
  <c r="U132" i="21"/>
  <c r="U18" i="21"/>
  <c r="U53" i="21"/>
  <c r="U84" i="21"/>
  <c r="U110" i="21"/>
  <c r="U133" i="21"/>
  <c r="U24" i="21"/>
  <c r="U56" i="21"/>
  <c r="U85" i="21"/>
  <c r="U113" i="21"/>
  <c r="U134" i="21"/>
  <c r="U27" i="21"/>
  <c r="U59" i="21"/>
  <c r="U88" i="21"/>
  <c r="U114" i="21"/>
  <c r="U135" i="21"/>
  <c r="U28" i="21"/>
  <c r="U60" i="21"/>
  <c r="U91" i="21"/>
  <c r="U116" i="21"/>
  <c r="U136" i="21"/>
  <c r="U29" i="21"/>
  <c r="U61" i="21"/>
  <c r="U92" i="21"/>
  <c r="U117" i="21"/>
  <c r="U138" i="21"/>
  <c r="U30" i="21"/>
  <c r="U62" i="21"/>
  <c r="U93" i="21"/>
  <c r="U118" i="21"/>
  <c r="U139" i="21"/>
  <c r="U66" i="21"/>
  <c r="U69" i="21"/>
  <c r="U37" i="21"/>
  <c r="U94" i="21"/>
  <c r="U97" i="21"/>
  <c r="U98" i="21"/>
  <c r="U119" i="21"/>
  <c r="U120" i="21"/>
  <c r="U122" i="21"/>
  <c r="U140" i="21"/>
  <c r="U65" i="21"/>
  <c r="U141" i="21"/>
  <c r="U34" i="21"/>
  <c r="U142" i="21"/>
  <c r="U33" i="21"/>
  <c r="V18" i="21"/>
  <c r="V34" i="21"/>
  <c r="V50" i="21"/>
  <c r="V66" i="21"/>
  <c r="V82" i="21"/>
  <c r="V98" i="21"/>
  <c r="V114" i="21"/>
  <c r="V130" i="21"/>
  <c r="V19" i="21"/>
  <c r="V35" i="21"/>
  <c r="V51" i="21"/>
  <c r="V67" i="21"/>
  <c r="V83" i="21"/>
  <c r="V99" i="21"/>
  <c r="V115" i="21"/>
  <c r="V131" i="21"/>
  <c r="V20" i="21"/>
  <c r="V36" i="21"/>
  <c r="V52" i="21"/>
  <c r="V68" i="21"/>
  <c r="V84" i="21"/>
  <c r="V100" i="21"/>
  <c r="V22" i="21"/>
  <c r="V38" i="21"/>
  <c r="V54" i="21"/>
  <c r="V70" i="21"/>
  <c r="V86" i="21"/>
  <c r="V102" i="21"/>
  <c r="V118" i="21"/>
  <c r="V134" i="21"/>
  <c r="V23" i="21"/>
  <c r="V39" i="21"/>
  <c r="V55" i="21"/>
  <c r="V71" i="21"/>
  <c r="V87" i="21"/>
  <c r="V103" i="21"/>
  <c r="V119" i="21"/>
  <c r="V135" i="21"/>
  <c r="V24" i="21"/>
  <c r="V40" i="21"/>
  <c r="V56" i="21"/>
  <c r="V72" i="21"/>
  <c r="V88" i="21"/>
  <c r="V104" i="21"/>
  <c r="V120" i="21"/>
  <c r="V136" i="21"/>
  <c r="V25" i="21"/>
  <c r="V41" i="21"/>
  <c r="V57" i="21"/>
  <c r="V73" i="21"/>
  <c r="V89" i="21"/>
  <c r="V105" i="21"/>
  <c r="V121" i="21"/>
  <c r="V137" i="21"/>
  <c r="V26" i="21"/>
  <c r="V42" i="21"/>
  <c r="V58" i="21"/>
  <c r="V74" i="21"/>
  <c r="V90" i="21"/>
  <c r="V106" i="21"/>
  <c r="V122" i="21"/>
  <c r="V138" i="21"/>
  <c r="V27" i="21"/>
  <c r="V43" i="21"/>
  <c r="V59" i="21"/>
  <c r="V75" i="21"/>
  <c r="V91" i="21"/>
  <c r="V28" i="21"/>
  <c r="V44" i="21"/>
  <c r="V60" i="21"/>
  <c r="V76" i="21"/>
  <c r="V92" i="21"/>
  <c r="V108" i="21"/>
  <c r="V124" i="21"/>
  <c r="V140" i="21"/>
  <c r="V13" i="21"/>
  <c r="V29" i="21"/>
  <c r="V45" i="21"/>
  <c r="V61" i="21"/>
  <c r="V77" i="21"/>
  <c r="V93" i="21"/>
  <c r="V109" i="21"/>
  <c r="V125" i="21"/>
  <c r="V141" i="21"/>
  <c r="V47" i="21"/>
  <c r="V96" i="21"/>
  <c r="V133" i="21"/>
  <c r="V48" i="21"/>
  <c r="V97" i="21"/>
  <c r="V139" i="21"/>
  <c r="V49" i="21"/>
  <c r="V101" i="21"/>
  <c r="V142" i="21"/>
  <c r="V53" i="21"/>
  <c r="V107" i="21"/>
  <c r="V12" i="21"/>
  <c r="V62" i="21"/>
  <c r="V110" i="21"/>
  <c r="V14" i="21"/>
  <c r="V63" i="21"/>
  <c r="V111" i="21"/>
  <c r="V15" i="21"/>
  <c r="V64" i="21"/>
  <c r="V112" i="21"/>
  <c r="V16" i="21"/>
  <c r="V65" i="21"/>
  <c r="V113" i="21"/>
  <c r="V17" i="21"/>
  <c r="V69" i="21"/>
  <c r="V116" i="21"/>
  <c r="V21" i="21"/>
  <c r="V78" i="21"/>
  <c r="V117" i="21"/>
  <c r="V30" i="21"/>
  <c r="V79" i="21"/>
  <c r="V123" i="21"/>
  <c r="V31" i="21"/>
  <c r="V80" i="21"/>
  <c r="V126" i="21"/>
  <c r="V32" i="21"/>
  <c r="V81" i="21"/>
  <c r="V127" i="21"/>
  <c r="V33" i="21"/>
  <c r="V37" i="21"/>
  <c r="V46" i="21"/>
  <c r="V85" i="21"/>
  <c r="V94" i="21"/>
  <c r="V95" i="21"/>
  <c r="V128" i="21"/>
  <c r="V129" i="21"/>
  <c r="V132" i="21"/>
  <c r="T28" i="21"/>
  <c r="T44" i="21"/>
  <c r="T60" i="21"/>
  <c r="T76" i="21"/>
  <c r="T92" i="21"/>
  <c r="T108" i="21"/>
  <c r="T124" i="21"/>
  <c r="T140" i="21"/>
  <c r="T13" i="21"/>
  <c r="T29" i="21"/>
  <c r="T45" i="21"/>
  <c r="T61" i="21"/>
  <c r="T77" i="21"/>
  <c r="T93" i="21"/>
  <c r="T109" i="21"/>
  <c r="T125" i="21"/>
  <c r="T141" i="21"/>
  <c r="T16" i="21"/>
  <c r="T32" i="21"/>
  <c r="T48" i="21"/>
  <c r="T64" i="21"/>
  <c r="T80" i="21"/>
  <c r="T96" i="21"/>
  <c r="T112" i="21"/>
  <c r="T128" i="21"/>
  <c r="T22" i="21"/>
  <c r="T38" i="21"/>
  <c r="T54" i="21"/>
  <c r="T70" i="21"/>
  <c r="T86" i="21"/>
  <c r="T102" i="21"/>
  <c r="T118" i="21"/>
  <c r="T134" i="21"/>
  <c r="T14" i="21"/>
  <c r="T35" i="21"/>
  <c r="T56" i="21"/>
  <c r="T78" i="21"/>
  <c r="T99" i="21"/>
  <c r="T120" i="21"/>
  <c r="T142" i="21"/>
  <c r="T15" i="21"/>
  <c r="T36" i="21"/>
  <c r="T57" i="21"/>
  <c r="T79" i="21"/>
  <c r="T100" i="21"/>
  <c r="T121" i="21"/>
  <c r="T12" i="21"/>
  <c r="T17" i="21"/>
  <c r="T37" i="21"/>
  <c r="T58" i="21"/>
  <c r="T81" i="21"/>
  <c r="T101" i="21"/>
  <c r="T122" i="21"/>
  <c r="T18" i="21"/>
  <c r="T39" i="21"/>
  <c r="T59" i="21"/>
  <c r="T82" i="21"/>
  <c r="T103" i="21"/>
  <c r="T123" i="21"/>
  <c r="T19" i="21"/>
  <c r="T40" i="21"/>
  <c r="T62" i="21"/>
  <c r="T83" i="21"/>
  <c r="T104" i="21"/>
  <c r="T126" i="21"/>
  <c r="T20" i="21"/>
  <c r="T41" i="21"/>
  <c r="T63" i="21"/>
  <c r="T84" i="21"/>
  <c r="T105" i="21"/>
  <c r="T127" i="21"/>
  <c r="T21" i="21"/>
  <c r="T42" i="21"/>
  <c r="T65" i="21"/>
  <c r="T85" i="21"/>
  <c r="T106" i="21"/>
  <c r="T129" i="21"/>
  <c r="T23" i="21"/>
  <c r="T43" i="21"/>
  <c r="T66" i="21"/>
  <c r="T87" i="21"/>
  <c r="T107" i="21"/>
  <c r="T130" i="21"/>
  <c r="T24" i="21"/>
  <c r="T46" i="21"/>
  <c r="T67" i="21"/>
  <c r="T88" i="21"/>
  <c r="T110" i="21"/>
  <c r="T131" i="21"/>
  <c r="T25" i="21"/>
  <c r="T47" i="21"/>
  <c r="T68" i="21"/>
  <c r="T89" i="21"/>
  <c r="T111" i="21"/>
  <c r="T132" i="21"/>
  <c r="T26" i="21"/>
  <c r="T49" i="21"/>
  <c r="T69" i="21"/>
  <c r="T90" i="21"/>
  <c r="T113" i="21"/>
  <c r="T133" i="21"/>
  <c r="T27" i="21"/>
  <c r="T50" i="21"/>
  <c r="T71" i="21"/>
  <c r="T91" i="21"/>
  <c r="T114" i="21"/>
  <c r="T135" i="21"/>
  <c r="T30" i="21"/>
  <c r="T51" i="21"/>
  <c r="T72" i="21"/>
  <c r="T94" i="21"/>
  <c r="T115" i="21"/>
  <c r="T136" i="21"/>
  <c r="T55" i="21"/>
  <c r="T73" i="21"/>
  <c r="T74" i="21"/>
  <c r="T52" i="21"/>
  <c r="T75" i="21"/>
  <c r="T95" i="21"/>
  <c r="T97" i="21"/>
  <c r="T98" i="21"/>
  <c r="T116" i="21"/>
  <c r="T34" i="21"/>
  <c r="T117" i="21"/>
  <c r="T119" i="21"/>
  <c r="T137" i="21"/>
  <c r="T53" i="21"/>
  <c r="T31" i="21"/>
  <c r="T138" i="21"/>
  <c r="T33" i="21"/>
  <c r="T139" i="21"/>
  <c r="K13" i="21"/>
  <c r="K29" i="21"/>
  <c r="K45" i="21"/>
  <c r="K18" i="21"/>
  <c r="K34" i="21"/>
  <c r="K50" i="21"/>
  <c r="K19" i="21"/>
  <c r="K37" i="21"/>
  <c r="K55" i="21"/>
  <c r="K71" i="21"/>
  <c r="K87" i="21"/>
  <c r="K103" i="21"/>
  <c r="K119" i="21"/>
  <c r="K135" i="21"/>
  <c r="K133" i="21"/>
  <c r="K54" i="21"/>
  <c r="K20" i="21"/>
  <c r="K38" i="21"/>
  <c r="K56" i="21"/>
  <c r="K72" i="21"/>
  <c r="K88" i="21"/>
  <c r="K104" i="21"/>
  <c r="K120" i="21"/>
  <c r="K136" i="21"/>
  <c r="K100" i="21"/>
  <c r="K101" i="21"/>
  <c r="K102" i="21"/>
  <c r="K21" i="21"/>
  <c r="K39" i="21"/>
  <c r="K57" i="21"/>
  <c r="K73" i="21"/>
  <c r="K89" i="21"/>
  <c r="K105" i="21"/>
  <c r="K121" i="21"/>
  <c r="K137" i="21"/>
  <c r="K132" i="21"/>
  <c r="K22" i="21"/>
  <c r="K40" i="21"/>
  <c r="K58" i="21"/>
  <c r="K74" i="21"/>
  <c r="K90" i="21"/>
  <c r="K106" i="21"/>
  <c r="K122" i="21"/>
  <c r="K138" i="21"/>
  <c r="K15" i="21"/>
  <c r="K85" i="21"/>
  <c r="K23" i="21"/>
  <c r="K41" i="21"/>
  <c r="K59" i="21"/>
  <c r="K75" i="21"/>
  <c r="K91" i="21"/>
  <c r="K107" i="21"/>
  <c r="K123" i="21"/>
  <c r="K139" i="21"/>
  <c r="K116" i="21"/>
  <c r="K35" i="21"/>
  <c r="K24" i="21"/>
  <c r="K42" i="21"/>
  <c r="K60" i="21"/>
  <c r="K76" i="21"/>
  <c r="K92" i="21"/>
  <c r="K108" i="21"/>
  <c r="K124" i="21"/>
  <c r="K140" i="21"/>
  <c r="K84" i="21"/>
  <c r="K86" i="21"/>
  <c r="K25" i="21"/>
  <c r="K43" i="21"/>
  <c r="K61" i="21"/>
  <c r="K77" i="21"/>
  <c r="K93" i="21"/>
  <c r="K109" i="21"/>
  <c r="K125" i="21"/>
  <c r="K141" i="21"/>
  <c r="K53" i="21"/>
  <c r="K118" i="21"/>
  <c r="K26" i="21"/>
  <c r="K44" i="21"/>
  <c r="K62" i="21"/>
  <c r="K78" i="21"/>
  <c r="K94" i="21"/>
  <c r="K110" i="21"/>
  <c r="K126" i="21"/>
  <c r="K142" i="21"/>
  <c r="K68" i="21"/>
  <c r="K134" i="21"/>
  <c r="K27" i="21"/>
  <c r="K46" i="21"/>
  <c r="K63" i="21"/>
  <c r="K79" i="21"/>
  <c r="K95" i="21"/>
  <c r="K111" i="21"/>
  <c r="K127" i="21"/>
  <c r="K12" i="21"/>
  <c r="K28" i="21"/>
  <c r="K47" i="21"/>
  <c r="K64" i="21"/>
  <c r="K80" i="21"/>
  <c r="K96" i="21"/>
  <c r="K112" i="21"/>
  <c r="K128" i="21"/>
  <c r="K33" i="21"/>
  <c r="K16" i="21"/>
  <c r="K117" i="21"/>
  <c r="K36" i="21"/>
  <c r="K30" i="21"/>
  <c r="K48" i="21"/>
  <c r="K65" i="21"/>
  <c r="K81" i="21"/>
  <c r="K97" i="21"/>
  <c r="K113" i="21"/>
  <c r="K129" i="21"/>
  <c r="K70" i="21"/>
  <c r="K31" i="21"/>
  <c r="K49" i="21"/>
  <c r="K66" i="21"/>
  <c r="K82" i="21"/>
  <c r="K98" i="21"/>
  <c r="K114" i="21"/>
  <c r="K130" i="21"/>
  <c r="K52" i="21"/>
  <c r="K69" i="21"/>
  <c r="K14" i="21"/>
  <c r="K32" i="21"/>
  <c r="K51" i="21"/>
  <c r="K67" i="21"/>
  <c r="K83" i="21"/>
  <c r="K99" i="21"/>
  <c r="K115" i="21"/>
  <c r="K131" i="21"/>
  <c r="K17" i="21"/>
  <c r="R25" i="21"/>
  <c r="R26" i="21"/>
  <c r="R42" i="21"/>
  <c r="R58" i="21"/>
  <c r="R74" i="21"/>
  <c r="R90" i="21"/>
  <c r="R106" i="21"/>
  <c r="R122" i="21"/>
  <c r="R138" i="21"/>
  <c r="R13" i="21"/>
  <c r="R29" i="21"/>
  <c r="R45" i="21"/>
  <c r="R61" i="21"/>
  <c r="R77" i="21"/>
  <c r="R93" i="21"/>
  <c r="R109" i="21"/>
  <c r="R125" i="21"/>
  <c r="R141" i="21"/>
  <c r="R19" i="21"/>
  <c r="R32" i="21"/>
  <c r="R50" i="21"/>
  <c r="R68" i="21"/>
  <c r="R86" i="21"/>
  <c r="R104" i="21"/>
  <c r="R123" i="21"/>
  <c r="R142" i="21"/>
  <c r="R33" i="21"/>
  <c r="R51" i="21"/>
  <c r="R69" i="21"/>
  <c r="R87" i="21"/>
  <c r="R105" i="21"/>
  <c r="R124" i="21"/>
  <c r="R12" i="21"/>
  <c r="R14" i="21"/>
  <c r="R34" i="21"/>
  <c r="R52" i="21"/>
  <c r="R70" i="21"/>
  <c r="R88" i="21"/>
  <c r="R107" i="21"/>
  <c r="R126" i="21"/>
  <c r="R15" i="21"/>
  <c r="R35" i="21"/>
  <c r="R53" i="21"/>
  <c r="R71" i="21"/>
  <c r="R89" i="21"/>
  <c r="R108" i="21"/>
  <c r="R127" i="21"/>
  <c r="R16" i="21"/>
  <c r="R36" i="21"/>
  <c r="R54" i="21"/>
  <c r="R72" i="21"/>
  <c r="R91" i="21"/>
  <c r="R110" i="21"/>
  <c r="R128" i="21"/>
  <c r="R17" i="21"/>
  <c r="R37" i="21"/>
  <c r="R55" i="21"/>
  <c r="R73" i="21"/>
  <c r="R92" i="21"/>
  <c r="R111" i="21"/>
  <c r="R129" i="21"/>
  <c r="R18" i="21"/>
  <c r="R38" i="21"/>
  <c r="R56" i="21"/>
  <c r="R75" i="21"/>
  <c r="R94" i="21"/>
  <c r="R112" i="21"/>
  <c r="R130" i="21"/>
  <c r="R20" i="21"/>
  <c r="R39" i="21"/>
  <c r="R57" i="21"/>
  <c r="R76" i="21"/>
  <c r="R95" i="21"/>
  <c r="R113" i="21"/>
  <c r="R131" i="21"/>
  <c r="R21" i="21"/>
  <c r="R40" i="21"/>
  <c r="R59" i="21"/>
  <c r="R78" i="21"/>
  <c r="R96" i="21"/>
  <c r="R114" i="21"/>
  <c r="R132" i="21"/>
  <c r="R22" i="21"/>
  <c r="R41" i="21"/>
  <c r="R60" i="21"/>
  <c r="R79" i="21"/>
  <c r="R97" i="21"/>
  <c r="R115" i="21"/>
  <c r="R133" i="21"/>
  <c r="R23" i="21"/>
  <c r="R43" i="21"/>
  <c r="R62" i="21"/>
  <c r="R80" i="21"/>
  <c r="R98" i="21"/>
  <c r="R116" i="21"/>
  <c r="R134" i="21"/>
  <c r="R24" i="21"/>
  <c r="R44" i="21"/>
  <c r="R63" i="21"/>
  <c r="R81" i="21"/>
  <c r="R99" i="21"/>
  <c r="R117" i="21"/>
  <c r="R135" i="21"/>
  <c r="R27" i="21"/>
  <c r="R46" i="21"/>
  <c r="R64" i="21"/>
  <c r="R82" i="21"/>
  <c r="R100" i="21"/>
  <c r="R118" i="21"/>
  <c r="R136" i="21"/>
  <c r="R47" i="21"/>
  <c r="R139" i="21"/>
  <c r="R121" i="21"/>
  <c r="R48" i="21"/>
  <c r="R140" i="21"/>
  <c r="R120" i="21"/>
  <c r="R49" i="21"/>
  <c r="R65" i="21"/>
  <c r="R66" i="21"/>
  <c r="R31" i="21"/>
  <c r="R67" i="21"/>
  <c r="R83" i="21"/>
  <c r="R28" i="21"/>
  <c r="R84" i="21"/>
  <c r="R85" i="21"/>
  <c r="R101" i="21"/>
  <c r="R137" i="21"/>
  <c r="R102" i="21"/>
  <c r="R103" i="21"/>
  <c r="R119" i="21"/>
  <c r="R30" i="21"/>
  <c r="J20" i="21"/>
  <c r="J36" i="21"/>
  <c r="J52" i="21"/>
  <c r="J68" i="21"/>
  <c r="J84" i="21"/>
  <c r="J100" i="21"/>
  <c r="J116" i="21"/>
  <c r="J132" i="21"/>
  <c r="J97" i="21"/>
  <c r="J114" i="21"/>
  <c r="J67" i="21"/>
  <c r="J21" i="21"/>
  <c r="J37" i="21"/>
  <c r="J53" i="21"/>
  <c r="J69" i="21"/>
  <c r="J85" i="21"/>
  <c r="J101" i="21"/>
  <c r="J117" i="21"/>
  <c r="J133" i="21"/>
  <c r="J113" i="21"/>
  <c r="J50" i="21"/>
  <c r="J115" i="21"/>
  <c r="J22" i="21"/>
  <c r="J38" i="21"/>
  <c r="J54" i="21"/>
  <c r="J70" i="21"/>
  <c r="J86" i="21"/>
  <c r="J102" i="21"/>
  <c r="J118" i="21"/>
  <c r="J134" i="21"/>
  <c r="J34" i="21"/>
  <c r="J23" i="21"/>
  <c r="J39" i="21"/>
  <c r="J55" i="21"/>
  <c r="J71" i="21"/>
  <c r="J87" i="21"/>
  <c r="J103" i="21"/>
  <c r="J119" i="21"/>
  <c r="J135" i="21"/>
  <c r="J83" i="21"/>
  <c r="J24" i="21"/>
  <c r="J40" i="21"/>
  <c r="J56" i="21"/>
  <c r="J72" i="21"/>
  <c r="J88" i="21"/>
  <c r="J104" i="21"/>
  <c r="J120" i="21"/>
  <c r="J136" i="21"/>
  <c r="J130" i="21"/>
  <c r="J19" i="21"/>
  <c r="J25" i="21"/>
  <c r="J41" i="21"/>
  <c r="J57" i="21"/>
  <c r="J73" i="21"/>
  <c r="J89" i="21"/>
  <c r="J105" i="21"/>
  <c r="J121" i="21"/>
  <c r="J137" i="21"/>
  <c r="J106" i="21"/>
  <c r="J81" i="21"/>
  <c r="J18" i="21"/>
  <c r="J26" i="21"/>
  <c r="J42" i="21"/>
  <c r="J58" i="21"/>
  <c r="J74" i="21"/>
  <c r="J90" i="21"/>
  <c r="J122" i="21"/>
  <c r="J138" i="21"/>
  <c r="J49" i="21"/>
  <c r="J27" i="21"/>
  <c r="J43" i="21"/>
  <c r="J59" i="21"/>
  <c r="J75" i="21"/>
  <c r="J91" i="21"/>
  <c r="J107" i="21"/>
  <c r="J123" i="21"/>
  <c r="J139" i="21"/>
  <c r="J65" i="21"/>
  <c r="J131" i="21"/>
  <c r="J28" i="21"/>
  <c r="J44" i="21"/>
  <c r="J60" i="21"/>
  <c r="J76" i="21"/>
  <c r="J92" i="21"/>
  <c r="J108" i="21"/>
  <c r="J124" i="21"/>
  <c r="J140" i="21"/>
  <c r="J129" i="21"/>
  <c r="J99" i="21"/>
  <c r="J13" i="21"/>
  <c r="J29" i="21"/>
  <c r="J45" i="21"/>
  <c r="J61" i="21"/>
  <c r="J77" i="21"/>
  <c r="J93" i="21"/>
  <c r="J109" i="21"/>
  <c r="J125" i="21"/>
  <c r="J141" i="21"/>
  <c r="J126" i="21"/>
  <c r="J17" i="21"/>
  <c r="J82" i="21"/>
  <c r="J51" i="21"/>
  <c r="J14" i="21"/>
  <c r="J30" i="21"/>
  <c r="J46" i="21"/>
  <c r="J62" i="21"/>
  <c r="J78" i="21"/>
  <c r="J94" i="21"/>
  <c r="J110" i="21"/>
  <c r="J142" i="21"/>
  <c r="J33" i="21"/>
  <c r="J98" i="21"/>
  <c r="J15" i="21"/>
  <c r="J31" i="21"/>
  <c r="J47" i="21"/>
  <c r="J63" i="21"/>
  <c r="J79" i="21"/>
  <c r="J95" i="21"/>
  <c r="J111" i="21"/>
  <c r="J127" i="21"/>
  <c r="J12" i="21"/>
  <c r="J16" i="21"/>
  <c r="J32" i="21"/>
  <c r="J48" i="21"/>
  <c r="J64" i="21"/>
  <c r="J80" i="21"/>
  <c r="J96" i="21"/>
  <c r="J112" i="21"/>
  <c r="J128" i="21"/>
  <c r="J66" i="21"/>
  <c r="J35" i="21"/>
  <c r="P25" i="21"/>
  <c r="P41" i="21"/>
  <c r="P57" i="21"/>
  <c r="P73" i="21"/>
  <c r="P89" i="21"/>
  <c r="P105" i="21"/>
  <c r="P121" i="21"/>
  <c r="P137" i="21"/>
  <c r="P26" i="21"/>
  <c r="P42" i="21"/>
  <c r="P58" i="21"/>
  <c r="P74" i="21"/>
  <c r="P90" i="21"/>
  <c r="P106" i="21"/>
  <c r="P122" i="21"/>
  <c r="P138" i="21"/>
  <c r="P27" i="21"/>
  <c r="P43" i="21"/>
  <c r="P59" i="21"/>
  <c r="P75" i="21"/>
  <c r="P91" i="21"/>
  <c r="P107" i="21"/>
  <c r="P123" i="21"/>
  <c r="P139" i="21"/>
  <c r="P28" i="21"/>
  <c r="P44" i="21"/>
  <c r="P60" i="21"/>
  <c r="P76" i="21"/>
  <c r="P92" i="21"/>
  <c r="P108" i="21"/>
  <c r="P124" i="21"/>
  <c r="P140" i="21"/>
  <c r="P13" i="21"/>
  <c r="P29" i="21"/>
  <c r="P45" i="21"/>
  <c r="P61" i="21"/>
  <c r="P77" i="21"/>
  <c r="P93" i="21"/>
  <c r="P109" i="21"/>
  <c r="P125" i="21"/>
  <c r="P141" i="21"/>
  <c r="P14" i="21"/>
  <c r="P30" i="21"/>
  <c r="P46" i="21"/>
  <c r="P62" i="21"/>
  <c r="P78" i="21"/>
  <c r="P94" i="21"/>
  <c r="P110" i="21"/>
  <c r="P126" i="21"/>
  <c r="P142" i="21"/>
  <c r="P15" i="21"/>
  <c r="P31" i="21"/>
  <c r="P47" i="21"/>
  <c r="P63" i="21"/>
  <c r="P79" i="21"/>
  <c r="P95" i="21"/>
  <c r="P111" i="21"/>
  <c r="P127" i="21"/>
  <c r="P12" i="21"/>
  <c r="P16" i="21"/>
  <c r="P32" i="21"/>
  <c r="P48" i="21"/>
  <c r="P64" i="21"/>
  <c r="P80" i="21"/>
  <c r="P96" i="21"/>
  <c r="P112" i="21"/>
  <c r="P128" i="21"/>
  <c r="P17" i="21"/>
  <c r="P33" i="21"/>
  <c r="P49" i="21"/>
  <c r="P65" i="21"/>
  <c r="P81" i="21"/>
  <c r="P97" i="21"/>
  <c r="P113" i="21"/>
  <c r="P129" i="21"/>
  <c r="P18" i="21"/>
  <c r="P34" i="21"/>
  <c r="P50" i="21"/>
  <c r="P66" i="21"/>
  <c r="P82" i="21"/>
  <c r="P98" i="21"/>
  <c r="P114" i="21"/>
  <c r="P130" i="21"/>
  <c r="P20" i="21"/>
  <c r="P36" i="21"/>
  <c r="P52" i="21"/>
  <c r="P68" i="21"/>
  <c r="P84" i="21"/>
  <c r="P100" i="21"/>
  <c r="P116" i="21"/>
  <c r="P132" i="21"/>
  <c r="P21" i="21"/>
  <c r="P37" i="21"/>
  <c r="P53" i="21"/>
  <c r="P69" i="21"/>
  <c r="P85" i="21"/>
  <c r="P101" i="21"/>
  <c r="P117" i="21"/>
  <c r="P133" i="21"/>
  <c r="P22" i="21"/>
  <c r="P86" i="21"/>
  <c r="P23" i="21"/>
  <c r="P87" i="21"/>
  <c r="P83" i="21"/>
  <c r="P24" i="21"/>
  <c r="P88" i="21"/>
  <c r="P71" i="21"/>
  <c r="P35" i="21"/>
  <c r="P99" i="21"/>
  <c r="P38" i="21"/>
  <c r="P102" i="21"/>
  <c r="P135" i="21"/>
  <c r="P39" i="21"/>
  <c r="P103" i="21"/>
  <c r="P19" i="21"/>
  <c r="P40" i="21"/>
  <c r="P104" i="21"/>
  <c r="P72" i="21"/>
  <c r="P51" i="21"/>
  <c r="P115" i="21"/>
  <c r="P54" i="21"/>
  <c r="P118" i="21"/>
  <c r="P55" i="21"/>
  <c r="P119" i="21"/>
  <c r="P136" i="21"/>
  <c r="P56" i="21"/>
  <c r="P120" i="21"/>
  <c r="P67" i="21"/>
  <c r="P131" i="21"/>
  <c r="P70" i="21"/>
  <c r="P134" i="21"/>
  <c r="I17" i="21"/>
  <c r="I33" i="21"/>
  <c r="I49" i="21"/>
  <c r="I65" i="21"/>
  <c r="I81" i="21"/>
  <c r="I97" i="21"/>
  <c r="I113" i="21"/>
  <c r="I129" i="21"/>
  <c r="I51" i="21"/>
  <c r="I115" i="21"/>
  <c r="I100" i="21"/>
  <c r="I95" i="21"/>
  <c r="I48" i="21"/>
  <c r="I18" i="21"/>
  <c r="I34" i="21"/>
  <c r="I50" i="21"/>
  <c r="I66" i="21"/>
  <c r="I82" i="21"/>
  <c r="I98" i="21"/>
  <c r="I114" i="21"/>
  <c r="I130" i="21"/>
  <c r="I35" i="21"/>
  <c r="I99" i="21"/>
  <c r="I135" i="21"/>
  <c r="I110" i="21"/>
  <c r="I63" i="21"/>
  <c r="I128" i="21"/>
  <c r="I19" i="21"/>
  <c r="I67" i="21"/>
  <c r="I83" i="21"/>
  <c r="I131" i="21"/>
  <c r="I62" i="21"/>
  <c r="I12" i="21"/>
  <c r="I20" i="21"/>
  <c r="I36" i="21"/>
  <c r="I52" i="21"/>
  <c r="I68" i="21"/>
  <c r="I84" i="21"/>
  <c r="I116" i="21"/>
  <c r="I132" i="21"/>
  <c r="I30" i="21"/>
  <c r="I31" i="21"/>
  <c r="I21" i="21"/>
  <c r="I37" i="21"/>
  <c r="I53" i="21"/>
  <c r="I69" i="21"/>
  <c r="I85" i="21"/>
  <c r="I101" i="21"/>
  <c r="I117" i="21"/>
  <c r="I133" i="21"/>
  <c r="I126" i="21"/>
  <c r="I96" i="21"/>
  <c r="I22" i="21"/>
  <c r="I38" i="21"/>
  <c r="I54" i="21"/>
  <c r="I70" i="21"/>
  <c r="I86" i="21"/>
  <c r="I102" i="21"/>
  <c r="I118" i="21"/>
  <c r="I134" i="21"/>
  <c r="I23" i="21"/>
  <c r="I55" i="21"/>
  <c r="I87" i="21"/>
  <c r="I119" i="21"/>
  <c r="I94" i="21"/>
  <c r="I111" i="21"/>
  <c r="I16" i="21"/>
  <c r="I39" i="21"/>
  <c r="I71" i="21"/>
  <c r="I103" i="21"/>
  <c r="I15" i="21"/>
  <c r="I80" i="21"/>
  <c r="I24" i="21"/>
  <c r="I40" i="21"/>
  <c r="I56" i="21"/>
  <c r="I72" i="21"/>
  <c r="I88" i="21"/>
  <c r="I104" i="21"/>
  <c r="I120" i="21"/>
  <c r="I136" i="21"/>
  <c r="I25" i="21"/>
  <c r="I73" i="21"/>
  <c r="I105" i="21"/>
  <c r="I137" i="21"/>
  <c r="I28" i="21"/>
  <c r="I92" i="21"/>
  <c r="I78" i="21"/>
  <c r="I47" i="21"/>
  <c r="I41" i="21"/>
  <c r="I57" i="21"/>
  <c r="I89" i="21"/>
  <c r="I121" i="21"/>
  <c r="I76" i="21"/>
  <c r="I26" i="21"/>
  <c r="I42" i="21"/>
  <c r="I58" i="21"/>
  <c r="I74" i="21"/>
  <c r="I90" i="21"/>
  <c r="I106" i="21"/>
  <c r="I122" i="21"/>
  <c r="I138" i="21"/>
  <c r="I43" i="21"/>
  <c r="I75" i="21"/>
  <c r="I91" i="21"/>
  <c r="I139" i="21"/>
  <c r="I44" i="21"/>
  <c r="I108" i="21"/>
  <c r="I46" i="21"/>
  <c r="I79" i="21"/>
  <c r="I32" i="21"/>
  <c r="I27" i="21"/>
  <c r="I59" i="21"/>
  <c r="I107" i="21"/>
  <c r="I123" i="21"/>
  <c r="I124" i="21"/>
  <c r="I142" i="21"/>
  <c r="I112" i="21"/>
  <c r="I60" i="21"/>
  <c r="I140" i="21"/>
  <c r="I14" i="21"/>
  <c r="I13" i="21"/>
  <c r="I29" i="21"/>
  <c r="I45" i="21"/>
  <c r="I61" i="21"/>
  <c r="I77" i="21"/>
  <c r="I93" i="21"/>
  <c r="I109" i="21"/>
  <c r="I125" i="21"/>
  <c r="I141" i="21"/>
  <c r="I127" i="21"/>
  <c r="I64" i="21"/>
  <c r="DK59" i="13"/>
  <c r="FI59" i="13" s="1"/>
  <c r="FL59" i="13" s="1"/>
  <c r="DK62" i="13"/>
  <c r="FI62" i="13" s="1"/>
  <c r="FL62" i="13" s="1"/>
  <c r="DK56" i="13"/>
  <c r="FI56" i="13" s="1"/>
  <c r="FL56" i="13" s="1"/>
  <c r="DK61" i="13"/>
  <c r="FI61" i="13" s="1"/>
  <c r="FL61" i="13" s="1"/>
  <c r="DK53" i="13"/>
  <c r="DK57" i="13"/>
  <c r="FI57" i="13" s="1"/>
  <c r="FL57" i="13" s="1"/>
  <c r="DK65" i="13"/>
  <c r="FI65" i="13" s="1"/>
  <c r="FL65" i="13" s="1"/>
  <c r="DK63" i="13"/>
  <c r="FI63" i="13" s="1"/>
  <c r="FL63" i="13" s="1"/>
  <c r="DK66" i="13"/>
  <c r="FI66" i="13" s="1"/>
  <c r="FL66" i="13" s="1"/>
  <c r="DK55" i="13"/>
  <c r="FI55" i="13" s="1"/>
  <c r="FL55" i="13" s="1"/>
  <c r="DK60" i="13"/>
  <c r="FI60" i="13" s="1"/>
  <c r="FL60" i="13" s="1"/>
  <c r="DK52" i="13"/>
  <c r="DK58" i="13"/>
  <c r="DK64" i="13"/>
  <c r="FI64" i="13" s="1"/>
  <c r="FL64" i="13" s="1"/>
  <c r="DK54" i="13"/>
  <c r="FI54" i="13" s="1"/>
  <c r="FL54" i="13" s="1"/>
  <c r="DK50" i="13"/>
  <c r="FI50" i="13" s="1"/>
  <c r="FL50" i="13" s="1"/>
  <c r="DK51" i="13"/>
  <c r="FI51" i="13" s="1"/>
  <c r="FL51" i="13" s="1"/>
  <c r="DK48" i="13"/>
  <c r="FI48" i="13" s="1"/>
  <c r="FL48" i="13" s="1"/>
  <c r="DK49" i="13"/>
  <c r="FI49" i="13" s="1"/>
  <c r="FL49" i="13" s="1"/>
  <c r="J82" i="15"/>
  <c r="FI52" i="13" l="1"/>
  <c r="FL52" i="13" s="1"/>
  <c r="FI53" i="13"/>
  <c r="FL53" i="13" s="1"/>
  <c r="FI58" i="13"/>
  <c r="FL58" i="13" s="1"/>
  <c r="L575" i="23" a="1"/>
  <c r="L329" i="23" a="1"/>
  <c r="L288" i="23" a="1"/>
  <c r="L370" i="23" a="1"/>
  <c r="L739" i="23" a="1"/>
  <c r="L493" i="23" a="1"/>
  <c r="L165" i="23" a="1"/>
  <c r="L42" i="23" a="1"/>
  <c r="L124" i="23" a="1"/>
  <c r="L616" i="23" a="1"/>
  <c r="L83" i="23" a="1"/>
  <c r="L206" i="23" a="1"/>
  <c r="L780" i="23" a="1"/>
  <c r="L452" i="23" a="1"/>
  <c r="L411" i="23" a="1"/>
  <c r="L657" i="23" a="1"/>
  <c r="L534" i="23" a="1"/>
  <c r="L698" i="23" a="1"/>
  <c r="L247" i="23" a="1"/>
  <c r="L1" i="23" a="1"/>
  <c r="R34" i="6"/>
  <c r="R28" i="6"/>
  <c r="R32" i="6"/>
  <c r="R33" i="6"/>
  <c r="R35" i="6"/>
  <c r="R31" i="6"/>
  <c r="R36" i="6"/>
  <c r="R20" i="6"/>
  <c r="R27" i="6"/>
  <c r="R22" i="6"/>
  <c r="R25" i="6"/>
  <c r="R26" i="6"/>
  <c r="R19" i="6"/>
  <c r="R21" i="6"/>
  <c r="R30" i="6"/>
  <c r="R37" i="6"/>
  <c r="DK47" i="13"/>
  <c r="FI47" i="13" s="1"/>
  <c r="FL47" i="13" s="1"/>
  <c r="G238" i="23" l="1"/>
  <c r="D238" i="23"/>
  <c r="B238" i="23"/>
  <c r="A238" i="23"/>
  <c r="F238" i="23"/>
  <c r="B525" i="23"/>
  <c r="A525" i="23"/>
  <c r="D525" i="23"/>
  <c r="G525" i="23"/>
  <c r="F525" i="23"/>
  <c r="K525" i="23" s="1"/>
  <c r="G320" i="23"/>
  <c r="D320" i="23"/>
  <c r="B320" i="23"/>
  <c r="A320" i="23"/>
  <c r="F320" i="23"/>
  <c r="D566" i="23"/>
  <c r="A566" i="23"/>
  <c r="G566" i="23"/>
  <c r="B566" i="23"/>
  <c r="F566" i="23"/>
  <c r="G689" i="23"/>
  <c r="A689" i="23"/>
  <c r="D689" i="23"/>
  <c r="B689" i="23"/>
  <c r="F689" i="23"/>
  <c r="G812" i="23"/>
  <c r="B812" i="23"/>
  <c r="A812" i="23"/>
  <c r="D812" i="23"/>
  <c r="F812" i="23"/>
  <c r="K812" i="23" s="1"/>
  <c r="D648" i="23"/>
  <c r="B648" i="23"/>
  <c r="A648" i="23"/>
  <c r="G648" i="23"/>
  <c r="F648" i="23"/>
  <c r="G197" i="23"/>
  <c r="D197" i="23"/>
  <c r="B197" i="23"/>
  <c r="A197" i="23"/>
  <c r="F197" i="23"/>
  <c r="A402" i="23"/>
  <c r="B402" i="23"/>
  <c r="G402" i="23"/>
  <c r="D402" i="23"/>
  <c r="F402" i="23"/>
  <c r="D730" i="23"/>
  <c r="G730" i="23"/>
  <c r="B730" i="23"/>
  <c r="A730" i="23"/>
  <c r="F730" i="23"/>
  <c r="G607" i="23"/>
  <c r="D607" i="23"/>
  <c r="B607" i="23"/>
  <c r="A607" i="23"/>
  <c r="F607" i="23"/>
  <c r="D443" i="23"/>
  <c r="B443" i="23"/>
  <c r="A443" i="23"/>
  <c r="G443" i="23"/>
  <c r="F443" i="23"/>
  <c r="K443" i="23" s="1"/>
  <c r="D115" i="23"/>
  <c r="A115" i="23"/>
  <c r="G115" i="23"/>
  <c r="B115" i="23"/>
  <c r="F115" i="23"/>
  <c r="F73" i="23"/>
  <c r="G74" i="23"/>
  <c r="B74" i="23"/>
  <c r="D74" i="23"/>
  <c r="A74" i="23"/>
  <c r="F74" i="23"/>
  <c r="G771" i="23"/>
  <c r="D771" i="23"/>
  <c r="A771" i="23"/>
  <c r="B771" i="23"/>
  <c r="F771" i="23"/>
  <c r="K771" i="23" s="1"/>
  <c r="B279" i="23"/>
  <c r="A279" i="23"/>
  <c r="G279" i="23"/>
  <c r="D279" i="23"/>
  <c r="F279" i="23"/>
  <c r="D361" i="23"/>
  <c r="B361" i="23"/>
  <c r="A361" i="23"/>
  <c r="G361" i="23"/>
  <c r="F361" i="23"/>
  <c r="G484" i="23"/>
  <c r="A484" i="23"/>
  <c r="B484" i="23"/>
  <c r="D484" i="23"/>
  <c r="F484" i="23"/>
  <c r="K484" i="23" s="1"/>
  <c r="D156" i="23"/>
  <c r="B156" i="23"/>
  <c r="G156" i="23"/>
  <c r="A156" i="23"/>
  <c r="F156" i="23"/>
  <c r="G33" i="23"/>
  <c r="D33" i="23"/>
  <c r="A33" i="23"/>
  <c r="B33" i="23"/>
  <c r="F33" i="23"/>
  <c r="R24" i="6"/>
  <c r="R23" i="6"/>
  <c r="R29" i="6"/>
  <c r="F67" i="23"/>
  <c r="F68" i="23"/>
  <c r="F69" i="23"/>
  <c r="F70" i="23"/>
  <c r="F71" i="23"/>
  <c r="F72" i="23"/>
  <c r="F96" i="23"/>
  <c r="F112" i="23"/>
  <c r="F97" i="23"/>
  <c r="F113" i="23"/>
  <c r="F109" i="23"/>
  <c r="F98" i="23"/>
  <c r="F114" i="23"/>
  <c r="F89" i="23"/>
  <c r="F108" i="23"/>
  <c r="F99" i="23"/>
  <c r="F90" i="23"/>
  <c r="F93" i="23"/>
  <c r="F95" i="23"/>
  <c r="F100" i="23"/>
  <c r="F105" i="23"/>
  <c r="F91" i="23"/>
  <c r="F101" i="23"/>
  <c r="F92" i="23"/>
  <c r="F94" i="23"/>
  <c r="F102" i="23"/>
  <c r="F87" i="23"/>
  <c r="F103" i="23"/>
  <c r="F106" i="23"/>
  <c r="F88" i="23"/>
  <c r="F104" i="23"/>
  <c r="F107" i="23"/>
  <c r="F111" i="23"/>
  <c r="F110" i="23"/>
  <c r="F47" i="23"/>
  <c r="F63" i="23"/>
  <c r="F46" i="23"/>
  <c r="F48" i="23"/>
  <c r="F64" i="23"/>
  <c r="F49" i="23"/>
  <c r="F65" i="23"/>
  <c r="F50" i="23"/>
  <c r="F66" i="23"/>
  <c r="F51" i="23"/>
  <c r="F62" i="23"/>
  <c r="F52" i="23"/>
  <c r="F58" i="23"/>
  <c r="F60" i="23"/>
  <c r="F53" i="23"/>
  <c r="F59" i="23"/>
  <c r="F61" i="23"/>
  <c r="F54" i="23"/>
  <c r="F55" i="23"/>
  <c r="F56" i="23"/>
  <c r="F57" i="23"/>
  <c r="L42" i="23"/>
  <c r="G71" i="23"/>
  <c r="D68" i="23"/>
  <c r="G64" i="23"/>
  <c r="A61" i="23"/>
  <c r="A57" i="23"/>
  <c r="A50" i="23"/>
  <c r="B46" i="23"/>
  <c r="C46" i="23" s="1"/>
  <c r="A60" i="23"/>
  <c r="B68" i="23"/>
  <c r="C68" i="23" s="1"/>
  <c r="D64" i="23"/>
  <c r="G60" i="23"/>
  <c r="G56" i="23"/>
  <c r="D53" i="23"/>
  <c r="G49" i="23"/>
  <c r="A46" i="23"/>
  <c r="D67" i="23"/>
  <c r="D71" i="23"/>
  <c r="A68" i="23"/>
  <c r="B64" i="23"/>
  <c r="C64" i="23" s="1"/>
  <c r="D60" i="23"/>
  <c r="D56" i="23"/>
  <c r="B53" i="23"/>
  <c r="C53" i="23" s="1"/>
  <c r="D49" i="23"/>
  <c r="A71" i="23"/>
  <c r="B71" i="23"/>
  <c r="C71" i="23" s="1"/>
  <c r="G67" i="23"/>
  <c r="A64" i="23"/>
  <c r="B60" i="23"/>
  <c r="C60" i="23" s="1"/>
  <c r="B56" i="23"/>
  <c r="C56" i="23" s="1"/>
  <c r="A53" i="23"/>
  <c r="B49" i="23"/>
  <c r="C49" i="23" s="1"/>
  <c r="G52" i="23"/>
  <c r="G63" i="23"/>
  <c r="A56" i="23"/>
  <c r="A49" i="23"/>
  <c r="G70" i="23"/>
  <c r="B67" i="23"/>
  <c r="C67" i="23" s="1"/>
  <c r="D63" i="23"/>
  <c r="G59" i="23"/>
  <c r="G55" i="23"/>
  <c r="D52" i="23"/>
  <c r="G48" i="23"/>
  <c r="A67" i="23"/>
  <c r="B63" i="23"/>
  <c r="C63" i="23" s="1"/>
  <c r="D59" i="23"/>
  <c r="B52" i="23"/>
  <c r="C52" i="23" s="1"/>
  <c r="D48" i="23"/>
  <c r="D70" i="23"/>
  <c r="G66" i="23"/>
  <c r="A63" i="23"/>
  <c r="B59" i="23"/>
  <c r="C59" i="23" s="1"/>
  <c r="D55" i="23"/>
  <c r="A52" i="23"/>
  <c r="B48" i="23"/>
  <c r="C48" i="23" s="1"/>
  <c r="D58" i="23"/>
  <c r="G73" i="23"/>
  <c r="B70" i="23"/>
  <c r="C70" i="23" s="1"/>
  <c r="G62" i="23"/>
  <c r="A59" i="23"/>
  <c r="B55" i="23"/>
  <c r="C55" i="23" s="1"/>
  <c r="G51" i="23"/>
  <c r="A48" i="23"/>
  <c r="D62" i="23"/>
  <c r="D73" i="23"/>
  <c r="A70" i="23"/>
  <c r="D66" i="23"/>
  <c r="G58" i="23"/>
  <c r="A55" i="23"/>
  <c r="D51" i="23"/>
  <c r="G47" i="23"/>
  <c r="B66" i="23"/>
  <c r="C66" i="23" s="1"/>
  <c r="B73" i="23"/>
  <c r="G69" i="23"/>
  <c r="G54" i="23"/>
  <c r="B51" i="23"/>
  <c r="C51" i="23" s="1"/>
  <c r="D47" i="23"/>
  <c r="A73" i="23"/>
  <c r="A66" i="23"/>
  <c r="B62" i="23"/>
  <c r="C62" i="23" s="1"/>
  <c r="B58" i="23"/>
  <c r="C58" i="23" s="1"/>
  <c r="A51" i="23"/>
  <c r="B47" i="23"/>
  <c r="C47" i="23" s="1"/>
  <c r="G72" i="23"/>
  <c r="D69" i="23"/>
  <c r="G65" i="23"/>
  <c r="A62" i="23"/>
  <c r="A58" i="23"/>
  <c r="D54" i="23"/>
  <c r="G50" i="23"/>
  <c r="A47" i="23"/>
  <c r="B57" i="23"/>
  <c r="C57" i="23" s="1"/>
  <c r="B54" i="23"/>
  <c r="C54" i="23" s="1"/>
  <c r="B72" i="23"/>
  <c r="C72" i="23" s="1"/>
  <c r="D72" i="23"/>
  <c r="A54" i="23"/>
  <c r="G53" i="23"/>
  <c r="A72" i="23"/>
  <c r="B69" i="23"/>
  <c r="C69" i="23" s="1"/>
  <c r="D50" i="23"/>
  <c r="A69" i="23"/>
  <c r="B50" i="23"/>
  <c r="C50" i="23" s="1"/>
  <c r="G57" i="23"/>
  <c r="G68" i="23"/>
  <c r="G46" i="23"/>
  <c r="D65" i="23"/>
  <c r="B61" i="23"/>
  <c r="C61" i="23" s="1"/>
  <c r="B65" i="23"/>
  <c r="C65" i="23" s="1"/>
  <c r="D46" i="23"/>
  <c r="A65" i="23"/>
  <c r="G61" i="23"/>
  <c r="D61" i="23"/>
  <c r="D57" i="23"/>
  <c r="L657" i="23"/>
  <c r="F677" i="23"/>
  <c r="B688" i="23"/>
  <c r="C688" i="23" s="1"/>
  <c r="D684" i="23"/>
  <c r="G680" i="23"/>
  <c r="A677" i="23"/>
  <c r="A673" i="23"/>
  <c r="D669" i="23"/>
  <c r="G665" i="23"/>
  <c r="A662" i="23"/>
  <c r="F662" i="23"/>
  <c r="F678" i="23"/>
  <c r="A688" i="23"/>
  <c r="B684" i="23"/>
  <c r="C684" i="23" s="1"/>
  <c r="D680" i="23"/>
  <c r="G676" i="23"/>
  <c r="B669" i="23"/>
  <c r="C669" i="23" s="1"/>
  <c r="G661" i="23"/>
  <c r="F663" i="23"/>
  <c r="F679" i="23"/>
  <c r="F664" i="23"/>
  <c r="F680" i="23"/>
  <c r="D687" i="23"/>
  <c r="G683" i="23"/>
  <c r="A680" i="23"/>
  <c r="B676" i="23"/>
  <c r="C676" i="23" s="1"/>
  <c r="G668" i="23"/>
  <c r="B665" i="23"/>
  <c r="C665" i="23" s="1"/>
  <c r="D661" i="23"/>
  <c r="F665" i="23"/>
  <c r="F681" i="23"/>
  <c r="B687" i="23"/>
  <c r="C687" i="23" s="1"/>
  <c r="D683" i="23"/>
  <c r="G679" i="23"/>
  <c r="A676" i="23"/>
  <c r="D672" i="23"/>
  <c r="A665" i="23"/>
  <c r="B661" i="23"/>
  <c r="C661" i="23" s="1"/>
  <c r="F666" i="23"/>
  <c r="F682" i="23"/>
  <c r="F661" i="23"/>
  <c r="A687" i="23"/>
  <c r="B683" i="23"/>
  <c r="C683" i="23" s="1"/>
  <c r="D679" i="23"/>
  <c r="G675" i="23"/>
  <c r="B672" i="23"/>
  <c r="C672" i="23" s="1"/>
  <c r="D668" i="23"/>
  <c r="G664" i="23"/>
  <c r="A661" i="23"/>
  <c r="F667" i="23"/>
  <c r="F683" i="23"/>
  <c r="G686" i="23"/>
  <c r="A683" i="23"/>
  <c r="B679" i="23"/>
  <c r="C679" i="23" s="1"/>
  <c r="D675" i="23"/>
  <c r="A672" i="23"/>
  <c r="B668" i="23"/>
  <c r="C668" i="23" s="1"/>
  <c r="D664" i="23"/>
  <c r="F668" i="23"/>
  <c r="F684" i="23"/>
  <c r="D686" i="23"/>
  <c r="G682" i="23"/>
  <c r="A679" i="23"/>
  <c r="B675" i="23"/>
  <c r="C675" i="23" s="1"/>
  <c r="G671" i="23"/>
  <c r="A668" i="23"/>
  <c r="B664" i="23"/>
  <c r="C664" i="23" s="1"/>
  <c r="F669" i="23"/>
  <c r="F685" i="23"/>
  <c r="B686" i="23"/>
  <c r="C686" i="23" s="1"/>
  <c r="D682" i="23"/>
  <c r="G678" i="23"/>
  <c r="A675" i="23"/>
  <c r="D671" i="23"/>
  <c r="G667" i="23"/>
  <c r="F670" i="23"/>
  <c r="F686" i="23"/>
  <c r="A686" i="23"/>
  <c r="B682" i="23"/>
  <c r="C682" i="23" s="1"/>
  <c r="D678" i="23"/>
  <c r="G674" i="23"/>
  <c r="B671" i="23"/>
  <c r="C671" i="23" s="1"/>
  <c r="D667" i="23"/>
  <c r="G663" i="23"/>
  <c r="F671" i="23"/>
  <c r="F687" i="23"/>
  <c r="G685" i="23"/>
  <c r="A682" i="23"/>
  <c r="F672" i="23"/>
  <c r="F688" i="23"/>
  <c r="D685" i="23"/>
  <c r="G681" i="23"/>
  <c r="A678" i="23"/>
  <c r="B674" i="23"/>
  <c r="C674" i="23" s="1"/>
  <c r="G670" i="23"/>
  <c r="A667" i="23"/>
  <c r="F673" i="23"/>
  <c r="B685" i="23"/>
  <c r="C685" i="23" s="1"/>
  <c r="G677" i="23"/>
  <c r="A674" i="23"/>
  <c r="D670" i="23"/>
  <c r="G666" i="23"/>
  <c r="A663" i="23"/>
  <c r="F676" i="23"/>
  <c r="D688" i="23"/>
  <c r="A681" i="23"/>
  <c r="B677" i="23"/>
  <c r="C677" i="23" s="1"/>
  <c r="B673" i="23"/>
  <c r="C673" i="23" s="1"/>
  <c r="G669" i="23"/>
  <c r="A666" i="23"/>
  <c r="B662" i="23"/>
  <c r="C662" i="23" s="1"/>
  <c r="D674" i="23"/>
  <c r="D662" i="23"/>
  <c r="G673" i="23"/>
  <c r="D673" i="23"/>
  <c r="G688" i="23"/>
  <c r="G672" i="23"/>
  <c r="A671" i="23"/>
  <c r="G687" i="23"/>
  <c r="B670" i="23"/>
  <c r="C670" i="23" s="1"/>
  <c r="A685" i="23"/>
  <c r="A670" i="23"/>
  <c r="G684" i="23"/>
  <c r="A669" i="23"/>
  <c r="A684" i="23"/>
  <c r="B667" i="23"/>
  <c r="C667" i="23" s="1"/>
  <c r="D681" i="23"/>
  <c r="D666" i="23"/>
  <c r="B681" i="23"/>
  <c r="C681" i="23" s="1"/>
  <c r="B666" i="23"/>
  <c r="C666" i="23" s="1"/>
  <c r="F674" i="23"/>
  <c r="B680" i="23"/>
  <c r="C680" i="23" s="1"/>
  <c r="D665" i="23"/>
  <c r="F675" i="23"/>
  <c r="B678" i="23"/>
  <c r="C678" i="23" s="1"/>
  <c r="A664" i="23"/>
  <c r="D677" i="23"/>
  <c r="D676" i="23"/>
  <c r="D663" i="23"/>
  <c r="B663" i="23"/>
  <c r="C663" i="23" s="1"/>
  <c r="G662" i="23"/>
  <c r="L247" i="23"/>
  <c r="F266" i="23"/>
  <c r="F267" i="23"/>
  <c r="F252" i="23"/>
  <c r="F268" i="23"/>
  <c r="F253" i="23"/>
  <c r="F269" i="23"/>
  <c r="F254" i="23"/>
  <c r="F270" i="23"/>
  <c r="F255" i="23"/>
  <c r="F271" i="23"/>
  <c r="F256" i="23"/>
  <c r="F272" i="23"/>
  <c r="F251" i="23"/>
  <c r="F257" i="23"/>
  <c r="F273" i="23"/>
  <c r="F258" i="23"/>
  <c r="F274" i="23"/>
  <c r="F259" i="23"/>
  <c r="F275" i="23"/>
  <c r="F260" i="23"/>
  <c r="F276" i="23"/>
  <c r="F261" i="23"/>
  <c r="F277" i="23"/>
  <c r="F262" i="23"/>
  <c r="F278" i="23"/>
  <c r="F265" i="23"/>
  <c r="B275" i="23"/>
  <c r="C275" i="23" s="1"/>
  <c r="G267" i="23"/>
  <c r="B264" i="23"/>
  <c r="C264" i="23" s="1"/>
  <c r="A257" i="23"/>
  <c r="B253" i="23"/>
  <c r="C253" i="23" s="1"/>
  <c r="G278" i="23"/>
  <c r="A275" i="23"/>
  <c r="D271" i="23"/>
  <c r="A264" i="23"/>
  <c r="D260" i="23"/>
  <c r="G256" i="23"/>
  <c r="A253" i="23"/>
  <c r="B278" i="23"/>
  <c r="C278" i="23" s="1"/>
  <c r="A271" i="23"/>
  <c r="B267" i="23"/>
  <c r="C267" i="23" s="1"/>
  <c r="A260" i="23"/>
  <c r="B256" i="23"/>
  <c r="A278" i="23"/>
  <c r="D274" i="23"/>
  <c r="G270" i="23"/>
  <c r="A267" i="23"/>
  <c r="D263" i="23"/>
  <c r="G259" i="23"/>
  <c r="A256" i="23"/>
  <c r="B252" i="23"/>
  <c r="C252" i="23" s="1"/>
  <c r="D277" i="23"/>
  <c r="A274" i="23"/>
  <c r="B270" i="23"/>
  <c r="C270" i="23" s="1"/>
  <c r="D266" i="23"/>
  <c r="A263" i="23"/>
  <c r="B259" i="23"/>
  <c r="C259" i="23" s="1"/>
  <c r="G251" i="23"/>
  <c r="B277" i="23"/>
  <c r="C277" i="23" s="1"/>
  <c r="G273" i="23"/>
  <c r="A270" i="23"/>
  <c r="B266" i="23"/>
  <c r="C266" i="23" s="1"/>
  <c r="G262" i="23"/>
  <c r="A259" i="23"/>
  <c r="D255" i="23"/>
  <c r="F263" i="23"/>
  <c r="A277" i="23"/>
  <c r="D273" i="23"/>
  <c r="G269" i="23"/>
  <c r="A266" i="23"/>
  <c r="D262" i="23"/>
  <c r="G258" i="23"/>
  <c r="B255" i="23"/>
  <c r="C255" i="23" s="1"/>
  <c r="D251" i="23"/>
  <c r="F264" i="23"/>
  <c r="D276" i="23"/>
  <c r="G272" i="23"/>
  <c r="A269" i="23"/>
  <c r="B265" i="23"/>
  <c r="C265" i="23" s="1"/>
  <c r="G261" i="23"/>
  <c r="B258" i="23"/>
  <c r="C258" i="23" s="1"/>
  <c r="D254" i="23"/>
  <c r="B276" i="23"/>
  <c r="C276" i="23" s="1"/>
  <c r="D272" i="23"/>
  <c r="G268" i="23"/>
  <c r="A265" i="23"/>
  <c r="D261" i="23"/>
  <c r="A258" i="23"/>
  <c r="B254" i="23"/>
  <c r="C254" i="23" s="1"/>
  <c r="A276" i="23"/>
  <c r="A268" i="23"/>
  <c r="D259" i="23"/>
  <c r="B251" i="23"/>
  <c r="C251" i="23" s="1"/>
  <c r="G275" i="23"/>
  <c r="D267" i="23"/>
  <c r="A251" i="23"/>
  <c r="D275" i="23"/>
  <c r="G266" i="23"/>
  <c r="D258" i="23"/>
  <c r="G274" i="23"/>
  <c r="G265" i="23"/>
  <c r="G257" i="23"/>
  <c r="B274" i="23"/>
  <c r="C274" i="23" s="1"/>
  <c r="D265" i="23"/>
  <c r="D257" i="23"/>
  <c r="B273" i="23"/>
  <c r="C273" i="23" s="1"/>
  <c r="G264" i="23"/>
  <c r="B257" i="23"/>
  <c r="C257" i="23" s="1"/>
  <c r="G252" i="23"/>
  <c r="A273" i="23"/>
  <c r="D256" i="23"/>
  <c r="B272" i="23"/>
  <c r="C272" i="23" s="1"/>
  <c r="D264" i="23"/>
  <c r="G255" i="23"/>
  <c r="A272" i="23"/>
  <c r="G263" i="23"/>
  <c r="A255" i="23"/>
  <c r="G271" i="23"/>
  <c r="B263" i="23"/>
  <c r="C263" i="23" s="1"/>
  <c r="G254" i="23"/>
  <c r="B271" i="23"/>
  <c r="C271" i="23" s="1"/>
  <c r="B262" i="23"/>
  <c r="C262" i="23" s="1"/>
  <c r="A254" i="23"/>
  <c r="D270" i="23"/>
  <c r="A262" i="23"/>
  <c r="G253" i="23"/>
  <c r="D278" i="23"/>
  <c r="D269" i="23"/>
  <c r="B261" i="23"/>
  <c r="C261" i="23" s="1"/>
  <c r="D253" i="23"/>
  <c r="G277" i="23"/>
  <c r="A252" i="23"/>
  <c r="G276" i="23"/>
  <c r="B269" i="23"/>
  <c r="C269" i="23" s="1"/>
  <c r="D268" i="23"/>
  <c r="D252" i="23"/>
  <c r="B268" i="23"/>
  <c r="C268" i="23" s="1"/>
  <c r="A261" i="23"/>
  <c r="G260" i="23"/>
  <c r="B260" i="23"/>
  <c r="C260" i="23" s="1"/>
  <c r="L411" i="23"/>
  <c r="F419" i="23"/>
  <c r="F435" i="23"/>
  <c r="F420" i="23"/>
  <c r="F436" i="23"/>
  <c r="F415" i="23"/>
  <c r="F421" i="23"/>
  <c r="F437" i="23"/>
  <c r="F422" i="23"/>
  <c r="F438" i="23"/>
  <c r="F423" i="23"/>
  <c r="F439" i="23"/>
  <c r="F424" i="23"/>
  <c r="F440" i="23"/>
  <c r="F425" i="23"/>
  <c r="F441" i="23"/>
  <c r="F426" i="23"/>
  <c r="F442" i="23"/>
  <c r="F427" i="23"/>
  <c r="F428" i="23"/>
  <c r="F429" i="23"/>
  <c r="F430" i="23"/>
  <c r="F431" i="23"/>
  <c r="F418" i="23"/>
  <c r="F434" i="23"/>
  <c r="B441" i="23"/>
  <c r="C441" i="23" s="1"/>
  <c r="D437" i="23"/>
  <c r="G433" i="23"/>
  <c r="A430" i="23"/>
  <c r="B426" i="23"/>
  <c r="C426" i="23" s="1"/>
  <c r="D422" i="23"/>
  <c r="G418" i="23"/>
  <c r="A415" i="23"/>
  <c r="A441" i="23"/>
  <c r="B437" i="23"/>
  <c r="C437" i="23" s="1"/>
  <c r="D433" i="23"/>
  <c r="G429" i="23"/>
  <c r="A426" i="23"/>
  <c r="B422" i="23"/>
  <c r="C422" i="23" s="1"/>
  <c r="D418" i="23"/>
  <c r="G440" i="23"/>
  <c r="A437" i="23"/>
  <c r="B433" i="23"/>
  <c r="C433" i="23" s="1"/>
  <c r="D429" i="23"/>
  <c r="G425" i="23"/>
  <c r="A422" i="23"/>
  <c r="B418" i="23"/>
  <c r="C418" i="23" s="1"/>
  <c r="D440" i="23"/>
  <c r="G436" i="23"/>
  <c r="A433" i="23"/>
  <c r="B429" i="23"/>
  <c r="C429" i="23" s="1"/>
  <c r="D425" i="23"/>
  <c r="G421" i="23"/>
  <c r="A418" i="23"/>
  <c r="B440" i="23"/>
  <c r="C440" i="23" s="1"/>
  <c r="D436" i="23"/>
  <c r="G432" i="23"/>
  <c r="A429" i="23"/>
  <c r="B425" i="23"/>
  <c r="C425" i="23" s="1"/>
  <c r="D421" i="23"/>
  <c r="G417" i="23"/>
  <c r="F416" i="23"/>
  <c r="A440" i="23"/>
  <c r="B436" i="23"/>
  <c r="C436" i="23" s="1"/>
  <c r="D432" i="23"/>
  <c r="G428" i="23"/>
  <c r="A425" i="23"/>
  <c r="B421" i="23"/>
  <c r="C421" i="23" s="1"/>
  <c r="D417" i="23"/>
  <c r="F417" i="23"/>
  <c r="G439" i="23"/>
  <c r="A436" i="23"/>
  <c r="B432" i="23"/>
  <c r="C432" i="23" s="1"/>
  <c r="G424" i="23"/>
  <c r="A421" i="23"/>
  <c r="B417" i="23"/>
  <c r="C417" i="23" s="1"/>
  <c r="F432" i="23"/>
  <c r="D439" i="23"/>
  <c r="G435" i="23"/>
  <c r="A432" i="23"/>
  <c r="D428" i="23"/>
  <c r="D424" i="23"/>
  <c r="G420" i="23"/>
  <c r="A417" i="23"/>
  <c r="F433" i="23"/>
  <c r="B439" i="23"/>
  <c r="C439" i="23" s="1"/>
  <c r="G431" i="23"/>
  <c r="B428" i="23"/>
  <c r="C428" i="23" s="1"/>
  <c r="B424" i="23"/>
  <c r="C424" i="23" s="1"/>
  <c r="D420" i="23"/>
  <c r="G416" i="23"/>
  <c r="A439" i="23"/>
  <c r="D435" i="23"/>
  <c r="A428" i="23"/>
  <c r="A424" i="23"/>
  <c r="B420" i="23"/>
  <c r="C420" i="23" s="1"/>
  <c r="D416" i="23"/>
  <c r="G442" i="23"/>
  <c r="G438" i="23"/>
  <c r="B435" i="23"/>
  <c r="C435" i="23" s="1"/>
  <c r="D431" i="23"/>
  <c r="G427" i="23"/>
  <c r="G423" i="23"/>
  <c r="A420" i="23"/>
  <c r="B416" i="23"/>
  <c r="C416" i="23" s="1"/>
  <c r="D442" i="23"/>
  <c r="A435" i="23"/>
  <c r="B431" i="23"/>
  <c r="C431" i="23" s="1"/>
  <c r="D427" i="23"/>
  <c r="D423" i="23"/>
  <c r="G419" i="23"/>
  <c r="A416" i="23"/>
  <c r="B442" i="23"/>
  <c r="C442" i="23" s="1"/>
  <c r="D438" i="23"/>
  <c r="G434" i="23"/>
  <c r="A431" i="23"/>
  <c r="B427" i="23"/>
  <c r="C427" i="23" s="1"/>
  <c r="B423" i="23"/>
  <c r="C423" i="23" s="1"/>
  <c r="G415" i="23"/>
  <c r="A438" i="23"/>
  <c r="A419" i="23"/>
  <c r="G437" i="23"/>
  <c r="D434" i="23"/>
  <c r="D415" i="23"/>
  <c r="B434" i="23"/>
  <c r="C434" i="23" s="1"/>
  <c r="B415" i="23"/>
  <c r="C415" i="23" s="1"/>
  <c r="A434" i="23"/>
  <c r="G430" i="23"/>
  <c r="D430" i="23"/>
  <c r="B430" i="23"/>
  <c r="C430" i="23" s="1"/>
  <c r="A427" i="23"/>
  <c r="G426" i="23"/>
  <c r="D426" i="23"/>
  <c r="A423" i="23"/>
  <c r="A442" i="23"/>
  <c r="G422" i="23"/>
  <c r="G441" i="23"/>
  <c r="D441" i="23"/>
  <c r="B438" i="23"/>
  <c r="C438" i="23" s="1"/>
  <c r="D419" i="23"/>
  <c r="B419" i="23"/>
  <c r="C419" i="23" s="1"/>
  <c r="L698" i="23"/>
  <c r="F706" i="23"/>
  <c r="F723" i="23"/>
  <c r="F702" i="23"/>
  <c r="G728" i="23"/>
  <c r="A723" i="23"/>
  <c r="A720" i="23"/>
  <c r="B717" i="23"/>
  <c r="C717" i="23" s="1"/>
  <c r="B714" i="23"/>
  <c r="C714" i="23" s="1"/>
  <c r="B711" i="23"/>
  <c r="C711" i="23" s="1"/>
  <c r="D708" i="23"/>
  <c r="B705" i="23"/>
  <c r="C705" i="23" s="1"/>
  <c r="D702" i="23"/>
  <c r="F707" i="23"/>
  <c r="F724" i="23"/>
  <c r="G725" i="23"/>
  <c r="G722" i="23"/>
  <c r="G719" i="23"/>
  <c r="A717" i="23"/>
  <c r="A714" i="23"/>
  <c r="A711" i="23"/>
  <c r="B708" i="23"/>
  <c r="C708" i="23" s="1"/>
  <c r="A705" i="23"/>
  <c r="B702" i="23"/>
  <c r="C702" i="23" s="1"/>
  <c r="F708" i="23"/>
  <c r="F725" i="23"/>
  <c r="D728" i="23"/>
  <c r="G716" i="23"/>
  <c r="G713" i="23"/>
  <c r="G710" i="23"/>
  <c r="F710" i="23"/>
  <c r="F726" i="23"/>
  <c r="B728" i="23"/>
  <c r="C728" i="23" s="1"/>
  <c r="D725" i="23"/>
  <c r="D722" i="23"/>
  <c r="D719" i="23"/>
  <c r="G707" i="23"/>
  <c r="G704" i="23"/>
  <c r="F711" i="23"/>
  <c r="F727" i="23"/>
  <c r="A728" i="23"/>
  <c r="B725" i="23"/>
  <c r="C725" i="23" s="1"/>
  <c r="B722" i="23"/>
  <c r="C722" i="23" s="1"/>
  <c r="B719" i="23"/>
  <c r="C719" i="23" s="1"/>
  <c r="D716" i="23"/>
  <c r="D713" i="23"/>
  <c r="D710" i="23"/>
  <c r="F712" i="23"/>
  <c r="F728" i="23"/>
  <c r="A725" i="23"/>
  <c r="A722" i="23"/>
  <c r="A719" i="23"/>
  <c r="B716" i="23"/>
  <c r="C716" i="23" s="1"/>
  <c r="B713" i="23"/>
  <c r="C713" i="23" s="1"/>
  <c r="B710" i="23"/>
  <c r="C710" i="23" s="1"/>
  <c r="D707" i="23"/>
  <c r="D704" i="23"/>
  <c r="F713" i="23"/>
  <c r="F729" i="23"/>
  <c r="G727" i="23"/>
  <c r="G721" i="23"/>
  <c r="A716" i="23"/>
  <c r="A713" i="23"/>
  <c r="A710" i="23"/>
  <c r="B707" i="23"/>
  <c r="C707" i="23" s="1"/>
  <c r="B704" i="23"/>
  <c r="C704" i="23" s="1"/>
  <c r="F714" i="23"/>
  <c r="G724" i="23"/>
  <c r="G718" i="23"/>
  <c r="G712" i="23"/>
  <c r="A707" i="23"/>
  <c r="A704" i="23"/>
  <c r="F715" i="23"/>
  <c r="D727" i="23"/>
  <c r="D721" i="23"/>
  <c r="G715" i="23"/>
  <c r="G709" i="23"/>
  <c r="G706" i="23"/>
  <c r="G703" i="23"/>
  <c r="F716" i="23"/>
  <c r="B727" i="23"/>
  <c r="C727" i="23" s="1"/>
  <c r="D724" i="23"/>
  <c r="B721" i="23"/>
  <c r="C721" i="23" s="1"/>
  <c r="D718" i="23"/>
  <c r="D712" i="23"/>
  <c r="F717" i="23"/>
  <c r="A727" i="23"/>
  <c r="B724" i="23"/>
  <c r="C724" i="23" s="1"/>
  <c r="A721" i="23"/>
  <c r="B718" i="23"/>
  <c r="C718" i="23" s="1"/>
  <c r="D715" i="23"/>
  <c r="B712" i="23"/>
  <c r="C712" i="23" s="1"/>
  <c r="D709" i="23"/>
  <c r="D706" i="23"/>
  <c r="D703" i="23"/>
  <c r="F718" i="23"/>
  <c r="G729" i="23"/>
  <c r="G726" i="23"/>
  <c r="A724" i="23"/>
  <c r="A718" i="23"/>
  <c r="B715" i="23"/>
  <c r="C715" i="23" s="1"/>
  <c r="A712" i="23"/>
  <c r="B709" i="23"/>
  <c r="C709" i="23" s="1"/>
  <c r="B706" i="23"/>
  <c r="C706" i="23" s="1"/>
  <c r="B703" i="23"/>
  <c r="C703" i="23" s="1"/>
  <c r="F719" i="23"/>
  <c r="G723" i="23"/>
  <c r="G720" i="23"/>
  <c r="A715" i="23"/>
  <c r="A709" i="23"/>
  <c r="A706" i="23"/>
  <c r="A703" i="23"/>
  <c r="F705" i="23"/>
  <c r="F722" i="23"/>
  <c r="A729" i="23"/>
  <c r="A726" i="23"/>
  <c r="B723" i="23"/>
  <c r="C723" i="23" s="1"/>
  <c r="B720" i="23"/>
  <c r="C720" i="23" s="1"/>
  <c r="D717" i="23"/>
  <c r="D714" i="23"/>
  <c r="D711" i="23"/>
  <c r="D705" i="23"/>
  <c r="F720" i="23"/>
  <c r="F721" i="23"/>
  <c r="G708" i="23"/>
  <c r="D729" i="23"/>
  <c r="A708" i="23"/>
  <c r="B729" i="23"/>
  <c r="C729" i="23" s="1"/>
  <c r="G705" i="23"/>
  <c r="D726" i="23"/>
  <c r="B726" i="23"/>
  <c r="C726" i="23" s="1"/>
  <c r="D723" i="23"/>
  <c r="G702" i="23"/>
  <c r="A702" i="23"/>
  <c r="D720" i="23"/>
  <c r="G717" i="23"/>
  <c r="G714" i="23"/>
  <c r="G711" i="23"/>
  <c r="F703" i="23"/>
  <c r="F704" i="23"/>
  <c r="F709" i="23"/>
  <c r="L452" i="23"/>
  <c r="F465" i="23"/>
  <c r="F481" i="23"/>
  <c r="F466" i="23"/>
  <c r="F482" i="23"/>
  <c r="F467" i="23"/>
  <c r="F483" i="23"/>
  <c r="F468" i="23"/>
  <c r="F469" i="23"/>
  <c r="F470" i="23"/>
  <c r="F471" i="23"/>
  <c r="F472" i="23"/>
  <c r="F457" i="23"/>
  <c r="F473" i="23"/>
  <c r="F458" i="23"/>
  <c r="F474" i="23"/>
  <c r="F459" i="23"/>
  <c r="F475" i="23"/>
  <c r="F460" i="23"/>
  <c r="F476" i="23"/>
  <c r="F461" i="23"/>
  <c r="F477" i="23"/>
  <c r="F456" i="23"/>
  <c r="F464" i="23"/>
  <c r="F480" i="23"/>
  <c r="G481" i="23"/>
  <c r="B478" i="23"/>
  <c r="C478" i="23" s="1"/>
  <c r="B474" i="23"/>
  <c r="C474" i="23" s="1"/>
  <c r="G470" i="23"/>
  <c r="G466" i="23"/>
  <c r="B463" i="23"/>
  <c r="C463" i="23" s="1"/>
  <c r="B459" i="23"/>
  <c r="C459" i="23" s="1"/>
  <c r="A456" i="23"/>
  <c r="D481" i="23"/>
  <c r="A478" i="23"/>
  <c r="A474" i="23"/>
  <c r="D470" i="23"/>
  <c r="D466" i="23"/>
  <c r="A463" i="23"/>
  <c r="A459" i="23"/>
  <c r="B481" i="23"/>
  <c r="C481" i="23" s="1"/>
  <c r="G477" i="23"/>
  <c r="G473" i="23"/>
  <c r="B470" i="23"/>
  <c r="C470" i="23" s="1"/>
  <c r="B466" i="23"/>
  <c r="C466" i="23" s="1"/>
  <c r="G462" i="23"/>
  <c r="A481" i="23"/>
  <c r="D477" i="23"/>
  <c r="D473" i="23"/>
  <c r="A470" i="23"/>
  <c r="A466" i="23"/>
  <c r="D462" i="23"/>
  <c r="G458" i="23"/>
  <c r="G480" i="23"/>
  <c r="B477" i="23"/>
  <c r="C477" i="23" s="1"/>
  <c r="B473" i="23"/>
  <c r="C473" i="23" s="1"/>
  <c r="G469" i="23"/>
  <c r="G465" i="23"/>
  <c r="B462" i="23"/>
  <c r="C462" i="23" s="1"/>
  <c r="A477" i="23"/>
  <c r="A473" i="23"/>
  <c r="D469" i="23"/>
  <c r="D465" i="23"/>
  <c r="A462" i="23"/>
  <c r="D458" i="23"/>
  <c r="D480" i="23"/>
  <c r="G476" i="23"/>
  <c r="G472" i="23"/>
  <c r="B469" i="23"/>
  <c r="C469" i="23" s="1"/>
  <c r="B465" i="23"/>
  <c r="C465" i="23" s="1"/>
  <c r="G461" i="23"/>
  <c r="B458" i="23"/>
  <c r="C458" i="23" s="1"/>
  <c r="B480" i="23"/>
  <c r="C480" i="23" s="1"/>
  <c r="D476" i="23"/>
  <c r="A469" i="23"/>
  <c r="A465" i="23"/>
  <c r="D461" i="23"/>
  <c r="A458" i="23"/>
  <c r="F462" i="23"/>
  <c r="G483" i="23"/>
  <c r="A480" i="23"/>
  <c r="B476" i="23"/>
  <c r="C476" i="23" s="1"/>
  <c r="D472" i="23"/>
  <c r="G468" i="23"/>
  <c r="G464" i="23"/>
  <c r="B461" i="23"/>
  <c r="C461" i="23" s="1"/>
  <c r="G457" i="23"/>
  <c r="F463" i="23"/>
  <c r="D483" i="23"/>
  <c r="G479" i="23"/>
  <c r="A476" i="23"/>
  <c r="B472" i="23"/>
  <c r="C472" i="23" s="1"/>
  <c r="D468" i="23"/>
  <c r="A461" i="23"/>
  <c r="D457" i="23"/>
  <c r="F478" i="23"/>
  <c r="B483" i="23"/>
  <c r="C483" i="23" s="1"/>
  <c r="G475" i="23"/>
  <c r="A472" i="23"/>
  <c r="B468" i="23"/>
  <c r="C468" i="23" s="1"/>
  <c r="D464" i="23"/>
  <c r="G460" i="23"/>
  <c r="B457" i="23"/>
  <c r="C457" i="23" s="1"/>
  <c r="F479" i="23"/>
  <c r="A483" i="23"/>
  <c r="D479" i="23"/>
  <c r="D475" i="23"/>
  <c r="G471" i="23"/>
  <c r="A468" i="23"/>
  <c r="B464" i="23"/>
  <c r="C464" i="23" s="1"/>
  <c r="D460" i="23"/>
  <c r="A457" i="23"/>
  <c r="G482" i="23"/>
  <c r="B479" i="23"/>
  <c r="C479" i="23" s="1"/>
  <c r="B475" i="23"/>
  <c r="C475" i="23" s="1"/>
  <c r="G467" i="23"/>
  <c r="A464" i="23"/>
  <c r="B460" i="23"/>
  <c r="C460" i="23" s="1"/>
  <c r="G456" i="23"/>
  <c r="D478" i="23"/>
  <c r="A475" i="23"/>
  <c r="D456" i="23"/>
  <c r="G474" i="23"/>
  <c r="B456" i="23"/>
  <c r="C456" i="23" s="1"/>
  <c r="D474" i="23"/>
  <c r="D471" i="23"/>
  <c r="B471" i="23"/>
  <c r="C471" i="23" s="1"/>
  <c r="A460" i="23"/>
  <c r="A471" i="23"/>
  <c r="D467" i="23"/>
  <c r="B467" i="23"/>
  <c r="C467" i="23" s="1"/>
  <c r="A467" i="23"/>
  <c r="G463" i="23"/>
  <c r="D482" i="23"/>
  <c r="B482" i="23"/>
  <c r="C482" i="23" s="1"/>
  <c r="D463" i="23"/>
  <c r="A482" i="23"/>
  <c r="A479" i="23"/>
  <c r="G478" i="23"/>
  <c r="G459" i="23"/>
  <c r="D459" i="23"/>
  <c r="L534" i="23"/>
  <c r="F541" i="23"/>
  <c r="F557" i="23"/>
  <c r="F542" i="23"/>
  <c r="F558" i="23"/>
  <c r="F543" i="23"/>
  <c r="F559" i="23"/>
  <c r="F538" i="23"/>
  <c r="F544" i="23"/>
  <c r="F560" i="23"/>
  <c r="F545" i="23"/>
  <c r="F561" i="23"/>
  <c r="F546" i="23"/>
  <c r="F562" i="23"/>
  <c r="F547" i="23"/>
  <c r="F563" i="23"/>
  <c r="F548" i="23"/>
  <c r="F564" i="23"/>
  <c r="F549" i="23"/>
  <c r="F565" i="23"/>
  <c r="F550" i="23"/>
  <c r="F551" i="23"/>
  <c r="F552" i="23"/>
  <c r="F553" i="23"/>
  <c r="F540" i="23"/>
  <c r="F556" i="23"/>
  <c r="F539" i="23"/>
  <c r="B563" i="23"/>
  <c r="C563" i="23" s="1"/>
  <c r="D559" i="23"/>
  <c r="G555" i="23"/>
  <c r="D552" i="23"/>
  <c r="D548" i="23"/>
  <c r="G544" i="23"/>
  <c r="B541" i="23"/>
  <c r="C541" i="23" s="1"/>
  <c r="F554" i="23"/>
  <c r="A563" i="23"/>
  <c r="B559" i="23"/>
  <c r="C559" i="23" s="1"/>
  <c r="D555" i="23"/>
  <c r="B552" i="23"/>
  <c r="C552" i="23" s="1"/>
  <c r="B548" i="23"/>
  <c r="C548" i="23" s="1"/>
  <c r="A541" i="23"/>
  <c r="F555" i="23"/>
  <c r="G562" i="23"/>
  <c r="A559" i="23"/>
  <c r="B555" i="23"/>
  <c r="C555" i="23" s="1"/>
  <c r="A552" i="23"/>
  <c r="A548" i="23"/>
  <c r="D544" i="23"/>
  <c r="G540" i="23"/>
  <c r="D562" i="23"/>
  <c r="G558" i="23"/>
  <c r="A555" i="23"/>
  <c r="G551" i="23"/>
  <c r="G547" i="23"/>
  <c r="B544" i="23"/>
  <c r="C544" i="23" s="1"/>
  <c r="D540" i="23"/>
  <c r="B562" i="23"/>
  <c r="C562" i="23" s="1"/>
  <c r="G554" i="23"/>
  <c r="D551" i="23"/>
  <c r="D547" i="23"/>
  <c r="A544" i="23"/>
  <c r="B540" i="23"/>
  <c r="C540" i="23" s="1"/>
  <c r="A562" i="23"/>
  <c r="D558" i="23"/>
  <c r="B551" i="23"/>
  <c r="C551" i="23" s="1"/>
  <c r="B547" i="23"/>
  <c r="C547" i="23" s="1"/>
  <c r="G543" i="23"/>
  <c r="A540" i="23"/>
  <c r="G565" i="23"/>
  <c r="G561" i="23"/>
  <c r="B558" i="23"/>
  <c r="C558" i="23" s="1"/>
  <c r="D554" i="23"/>
  <c r="A551" i="23"/>
  <c r="A547" i="23"/>
  <c r="D543" i="23"/>
  <c r="G539" i="23"/>
  <c r="D565" i="23"/>
  <c r="A558" i="23"/>
  <c r="B554" i="23"/>
  <c r="C554" i="23" s="1"/>
  <c r="G550" i="23"/>
  <c r="G546" i="23"/>
  <c r="B543" i="23"/>
  <c r="C543" i="23" s="1"/>
  <c r="D539" i="23"/>
  <c r="B565" i="23"/>
  <c r="C565" i="23" s="1"/>
  <c r="D561" i="23"/>
  <c r="G557" i="23"/>
  <c r="A554" i="23"/>
  <c r="D550" i="23"/>
  <c r="D546" i="23"/>
  <c r="A543" i="23"/>
  <c r="B539" i="23"/>
  <c r="C539" i="23" s="1"/>
  <c r="A565" i="23"/>
  <c r="B561" i="23"/>
  <c r="C561" i="23" s="1"/>
  <c r="D557" i="23"/>
  <c r="B550" i="23"/>
  <c r="C550" i="23" s="1"/>
  <c r="B546" i="23"/>
  <c r="C546" i="23" s="1"/>
  <c r="G542" i="23"/>
  <c r="A539" i="23"/>
  <c r="G564" i="23"/>
  <c r="A561" i="23"/>
  <c r="B557" i="23"/>
  <c r="C557" i="23" s="1"/>
  <c r="G553" i="23"/>
  <c r="A550" i="23"/>
  <c r="A546" i="23"/>
  <c r="G538" i="23"/>
  <c r="D564" i="23"/>
  <c r="G560" i="23"/>
  <c r="A557" i="23"/>
  <c r="G549" i="23"/>
  <c r="G545" i="23"/>
  <c r="D542" i="23"/>
  <c r="B564" i="23"/>
  <c r="C564" i="23" s="1"/>
  <c r="D560" i="23"/>
  <c r="G556" i="23"/>
  <c r="D553" i="23"/>
  <c r="D549" i="23"/>
  <c r="B542" i="23"/>
  <c r="C542" i="23" s="1"/>
  <c r="D538" i="23"/>
  <c r="B560" i="23"/>
  <c r="C560" i="23" s="1"/>
  <c r="G541" i="23"/>
  <c r="A560" i="23"/>
  <c r="D541" i="23"/>
  <c r="G559" i="23"/>
  <c r="B538" i="23"/>
  <c r="C538" i="23" s="1"/>
  <c r="D556" i="23"/>
  <c r="A538" i="23"/>
  <c r="B556" i="23"/>
  <c r="C556" i="23" s="1"/>
  <c r="A556" i="23"/>
  <c r="B545" i="23"/>
  <c r="C545" i="23" s="1"/>
  <c r="B553" i="23"/>
  <c r="C553" i="23" s="1"/>
  <c r="A553" i="23"/>
  <c r="G552" i="23"/>
  <c r="B549" i="23"/>
  <c r="C549" i="23" s="1"/>
  <c r="A549" i="23"/>
  <c r="G548" i="23"/>
  <c r="D545" i="23"/>
  <c r="A564" i="23"/>
  <c r="A545" i="23"/>
  <c r="D563" i="23"/>
  <c r="A542" i="23"/>
  <c r="G563" i="23"/>
  <c r="L780" i="23"/>
  <c r="F796" i="23"/>
  <c r="B810" i="23"/>
  <c r="C810" i="23" s="1"/>
  <c r="G806" i="23"/>
  <c r="A803" i="23"/>
  <c r="B796" i="23"/>
  <c r="C796" i="23" s="1"/>
  <c r="D792" i="23"/>
  <c r="G788" i="23"/>
  <c r="A785" i="23"/>
  <c r="F797" i="23"/>
  <c r="A810" i="23"/>
  <c r="D806" i="23"/>
  <c r="G802" i="23"/>
  <c r="D799" i="23"/>
  <c r="A796" i="23"/>
  <c r="B792" i="23"/>
  <c r="C792" i="23" s="1"/>
  <c r="G784" i="23"/>
  <c r="F798" i="23"/>
  <c r="G809" i="23"/>
  <c r="B806" i="23"/>
  <c r="C806" i="23" s="1"/>
  <c r="D802" i="23"/>
  <c r="B799" i="23"/>
  <c r="C799" i="23" s="1"/>
  <c r="G795" i="23"/>
  <c r="A792" i="23"/>
  <c r="D788" i="23"/>
  <c r="F800" i="23"/>
  <c r="A806" i="23"/>
  <c r="B802" i="23"/>
  <c r="C802" i="23" s="1"/>
  <c r="A799" i="23"/>
  <c r="D795" i="23"/>
  <c r="G791" i="23"/>
  <c r="B788" i="23"/>
  <c r="C788" i="23" s="1"/>
  <c r="D784" i="23"/>
  <c r="F801" i="23"/>
  <c r="D809" i="23"/>
  <c r="G805" i="23"/>
  <c r="A802" i="23"/>
  <c r="G798" i="23"/>
  <c r="B795" i="23"/>
  <c r="C795" i="23" s="1"/>
  <c r="A788" i="23"/>
  <c r="B784" i="23"/>
  <c r="C784" i="23" s="1"/>
  <c r="F785" i="23"/>
  <c r="F802" i="23"/>
  <c r="B809" i="23"/>
  <c r="C809" i="23" s="1"/>
  <c r="D805" i="23"/>
  <c r="G801" i="23"/>
  <c r="D798" i="23"/>
  <c r="A795" i="23"/>
  <c r="D791" i="23"/>
  <c r="G787" i="23"/>
  <c r="A784" i="23"/>
  <c r="F786" i="23"/>
  <c r="F803" i="23"/>
  <c r="A809" i="23"/>
  <c r="B805" i="23"/>
  <c r="C805" i="23" s="1"/>
  <c r="D801" i="23"/>
  <c r="B798" i="23"/>
  <c r="C798" i="23" s="1"/>
  <c r="G794" i="23"/>
  <c r="B791" i="23"/>
  <c r="C791" i="23" s="1"/>
  <c r="D787" i="23"/>
  <c r="F787" i="23"/>
  <c r="F804" i="23"/>
  <c r="G808" i="23"/>
  <c r="A805" i="23"/>
  <c r="B801" i="23"/>
  <c r="C801" i="23" s="1"/>
  <c r="A798" i="23"/>
  <c r="D794" i="23"/>
  <c r="A791" i="23"/>
  <c r="B787" i="23"/>
  <c r="C787" i="23" s="1"/>
  <c r="F788" i="23"/>
  <c r="F805" i="23"/>
  <c r="F784" i="23"/>
  <c r="D808" i="23"/>
  <c r="G804" i="23"/>
  <c r="A801" i="23"/>
  <c r="G797" i="23"/>
  <c r="B794" i="23"/>
  <c r="C794" i="23" s="1"/>
  <c r="G790" i="23"/>
  <c r="A787" i="23"/>
  <c r="F789" i="23"/>
  <c r="F806" i="23"/>
  <c r="B808" i="23"/>
  <c r="C808" i="23" s="1"/>
  <c r="G800" i="23"/>
  <c r="A794" i="23"/>
  <c r="D790" i="23"/>
  <c r="G786" i="23"/>
  <c r="F790" i="23"/>
  <c r="F807" i="23"/>
  <c r="G811" i="23"/>
  <c r="A808" i="23"/>
  <c r="D804" i="23"/>
  <c r="D797" i="23"/>
  <c r="G793" i="23"/>
  <c r="B790" i="23"/>
  <c r="C790" i="23" s="1"/>
  <c r="D786" i="23"/>
  <c r="F791" i="23"/>
  <c r="F808" i="23"/>
  <c r="D811" i="23"/>
  <c r="G807" i="23"/>
  <c r="B804" i="23"/>
  <c r="C804" i="23" s="1"/>
  <c r="D800" i="23"/>
  <c r="B797" i="23"/>
  <c r="C797" i="23" s="1"/>
  <c r="A790" i="23"/>
  <c r="B786" i="23"/>
  <c r="C786" i="23" s="1"/>
  <c r="F792" i="23"/>
  <c r="F809" i="23"/>
  <c r="B811" i="23"/>
  <c r="C811" i="23" s="1"/>
  <c r="A804" i="23"/>
  <c r="B800" i="23"/>
  <c r="C800" i="23" s="1"/>
  <c r="A797" i="23"/>
  <c r="D793" i="23"/>
  <c r="G789" i="23"/>
  <c r="A786" i="23"/>
  <c r="F795" i="23"/>
  <c r="D810" i="23"/>
  <c r="A807" i="23"/>
  <c r="B803" i="23"/>
  <c r="C803" i="23" s="1"/>
  <c r="G799" i="23"/>
  <c r="D796" i="23"/>
  <c r="G792" i="23"/>
  <c r="A789" i="23"/>
  <c r="B785" i="23"/>
  <c r="C785" i="23" s="1"/>
  <c r="D803" i="23"/>
  <c r="A800" i="23"/>
  <c r="G796" i="23"/>
  <c r="F793" i="23"/>
  <c r="F794" i="23"/>
  <c r="B793" i="23"/>
  <c r="C793" i="23" s="1"/>
  <c r="F810" i="23"/>
  <c r="A793" i="23"/>
  <c r="F811" i="23"/>
  <c r="D789" i="23"/>
  <c r="B789" i="23"/>
  <c r="C789" i="23" s="1"/>
  <c r="G785" i="23"/>
  <c r="D785" i="23"/>
  <c r="A811" i="23"/>
  <c r="G810" i="23"/>
  <c r="D807" i="23"/>
  <c r="B807" i="23"/>
  <c r="C807" i="23" s="1"/>
  <c r="G803" i="23"/>
  <c r="F799" i="23"/>
  <c r="G14" i="23"/>
  <c r="G30" i="23"/>
  <c r="F9" i="23"/>
  <c r="F25" i="23"/>
  <c r="D20" i="23"/>
  <c r="B15" i="23"/>
  <c r="C15" i="23" s="1"/>
  <c r="B31" i="23"/>
  <c r="C31" i="23" s="1"/>
  <c r="A10" i="23"/>
  <c r="A26" i="23"/>
  <c r="A5" i="23"/>
  <c r="G18" i="23"/>
  <c r="G15" i="23"/>
  <c r="G31" i="23"/>
  <c r="F10" i="23"/>
  <c r="F26" i="23"/>
  <c r="F5" i="23"/>
  <c r="D21" i="23"/>
  <c r="B16" i="23"/>
  <c r="C16" i="23" s="1"/>
  <c r="B32" i="23"/>
  <c r="C32" i="23" s="1"/>
  <c r="A11" i="23"/>
  <c r="A27" i="23"/>
  <c r="F13" i="23"/>
  <c r="A30" i="23"/>
  <c r="G16" i="23"/>
  <c r="G32" i="23"/>
  <c r="F11" i="23"/>
  <c r="F27" i="23"/>
  <c r="D6" i="23"/>
  <c r="D22" i="23"/>
  <c r="B17" i="23"/>
  <c r="C17" i="23" s="1"/>
  <c r="A12" i="23"/>
  <c r="A28" i="23"/>
  <c r="D8" i="23"/>
  <c r="B19" i="23"/>
  <c r="C19" i="23" s="1"/>
  <c r="G17" i="23"/>
  <c r="F12" i="23"/>
  <c r="F28" i="23"/>
  <c r="D7" i="23"/>
  <c r="D23" i="23"/>
  <c r="B18" i="23"/>
  <c r="C18" i="23" s="1"/>
  <c r="A13" i="23"/>
  <c r="A29" i="23"/>
  <c r="D24" i="23"/>
  <c r="F29" i="23"/>
  <c r="A14" i="23"/>
  <c r="G19" i="23"/>
  <c r="F14" i="23"/>
  <c r="F30" i="23"/>
  <c r="D9" i="23"/>
  <c r="D25" i="23"/>
  <c r="B20" i="23"/>
  <c r="C20" i="23" s="1"/>
  <c r="A15" i="23"/>
  <c r="A31" i="23"/>
  <c r="A16" i="23"/>
  <c r="G20" i="23"/>
  <c r="F15" i="23"/>
  <c r="F31" i="23"/>
  <c r="D10" i="23"/>
  <c r="D26" i="23"/>
  <c r="D5" i="23"/>
  <c r="B21" i="23"/>
  <c r="C21" i="23" s="1"/>
  <c r="A32" i="23"/>
  <c r="G21" i="23"/>
  <c r="F16" i="23"/>
  <c r="F32" i="23"/>
  <c r="D11" i="23"/>
  <c r="D27" i="23"/>
  <c r="B6" i="23"/>
  <c r="C6" i="23" s="1"/>
  <c r="B22" i="23"/>
  <c r="C22" i="23" s="1"/>
  <c r="A17" i="23"/>
  <c r="F19" i="23"/>
  <c r="B9" i="23"/>
  <c r="C9" i="23" s="1"/>
  <c r="A20" i="23"/>
  <c r="G6" i="23"/>
  <c r="G22" i="23"/>
  <c r="F17" i="23"/>
  <c r="D12" i="23"/>
  <c r="D28" i="23"/>
  <c r="B7" i="23"/>
  <c r="C7" i="23" s="1"/>
  <c r="B23" i="23"/>
  <c r="C23" i="23" s="1"/>
  <c r="A18" i="23"/>
  <c r="G24" i="23"/>
  <c r="D30" i="23"/>
  <c r="G7" i="23"/>
  <c r="G23" i="23"/>
  <c r="F18" i="23"/>
  <c r="D13" i="23"/>
  <c r="D29" i="23"/>
  <c r="B8" i="23"/>
  <c r="C8" i="23" s="1"/>
  <c r="B24" i="23"/>
  <c r="A19" i="23"/>
  <c r="D14" i="23"/>
  <c r="G8" i="23"/>
  <c r="B25" i="23"/>
  <c r="G9" i="23"/>
  <c r="G25" i="23"/>
  <c r="F20" i="23"/>
  <c r="D15" i="23"/>
  <c r="D31" i="23"/>
  <c r="B10" i="23"/>
  <c r="C10" i="23" s="1"/>
  <c r="B26" i="23"/>
  <c r="C26" i="23" s="1"/>
  <c r="B5" i="23"/>
  <c r="C5" i="23" s="1"/>
  <c r="A21" i="23"/>
  <c r="G10" i="23"/>
  <c r="G26" i="23"/>
  <c r="G5" i="23"/>
  <c r="F21" i="23"/>
  <c r="D16" i="23"/>
  <c r="D32" i="23"/>
  <c r="B11" i="23"/>
  <c r="C11" i="23" s="1"/>
  <c r="B27" i="23"/>
  <c r="C27" i="23" s="1"/>
  <c r="A6" i="23"/>
  <c r="A22" i="23"/>
  <c r="D17" i="23"/>
  <c r="B29" i="23"/>
  <c r="C29" i="23" s="1"/>
  <c r="A25" i="23"/>
  <c r="B28" i="23"/>
  <c r="C28" i="23" s="1"/>
  <c r="F6" i="23"/>
  <c r="D18" i="23"/>
  <c r="B30" i="23"/>
  <c r="C30" i="23" s="1"/>
  <c r="G11" i="23"/>
  <c r="F7" i="23"/>
  <c r="D19" i="23"/>
  <c r="F8" i="23"/>
  <c r="G13" i="23"/>
  <c r="F22" i="23"/>
  <c r="B14" i="23"/>
  <c r="C14" i="23" s="1"/>
  <c r="G12" i="23"/>
  <c r="A24" i="23"/>
  <c r="G27" i="23"/>
  <c r="F23" i="23"/>
  <c r="G28" i="23"/>
  <c r="F24" i="23"/>
  <c r="G29" i="23"/>
  <c r="A9" i="23"/>
  <c r="B13" i="23"/>
  <c r="C13" i="23" s="1"/>
  <c r="A23" i="23"/>
  <c r="A7" i="23"/>
  <c r="B12" i="23"/>
  <c r="A8" i="23"/>
  <c r="L206" i="23"/>
  <c r="F220" i="23"/>
  <c r="F236" i="23"/>
  <c r="F221" i="23"/>
  <c r="F237" i="23"/>
  <c r="F222" i="23"/>
  <c r="F223" i="23"/>
  <c r="F224" i="23"/>
  <c r="F225" i="23"/>
  <c r="F226" i="23"/>
  <c r="F211" i="23"/>
  <c r="F227" i="23"/>
  <c r="F212" i="23"/>
  <c r="F228" i="23"/>
  <c r="F213" i="23"/>
  <c r="F229" i="23"/>
  <c r="F214" i="23"/>
  <c r="F230" i="23"/>
  <c r="F215" i="23"/>
  <c r="F231" i="23"/>
  <c r="F210" i="23"/>
  <c r="F216" i="23"/>
  <c r="F232" i="23"/>
  <c r="F219" i="23"/>
  <c r="F235" i="23"/>
  <c r="B234" i="23"/>
  <c r="C234" i="23" s="1"/>
  <c r="F217" i="23"/>
  <c r="F218" i="23"/>
  <c r="D237" i="23"/>
  <c r="A230" i="23"/>
  <c r="B226" i="23"/>
  <c r="C226" i="23" s="1"/>
  <c r="F233" i="23"/>
  <c r="F234" i="23"/>
  <c r="A237" i="23"/>
  <c r="B233" i="23"/>
  <c r="C233" i="23" s="1"/>
  <c r="D229" i="23"/>
  <c r="B222" i="23"/>
  <c r="C222" i="23" s="1"/>
  <c r="G236" i="23"/>
  <c r="D236" i="23"/>
  <c r="G232" i="23"/>
  <c r="D235" i="23"/>
  <c r="G231" i="23"/>
  <c r="A228" i="23"/>
  <c r="G224" i="23"/>
  <c r="A235" i="23"/>
  <c r="B230" i="23"/>
  <c r="C230" i="23" s="1"/>
  <c r="B221" i="23"/>
  <c r="C221" i="23" s="1"/>
  <c r="D217" i="23"/>
  <c r="A214" i="23"/>
  <c r="B210" i="23"/>
  <c r="C210" i="23" s="1"/>
  <c r="G234" i="23"/>
  <c r="G229" i="23"/>
  <c r="D225" i="23"/>
  <c r="A221" i="23"/>
  <c r="B217" i="23"/>
  <c r="C217" i="23" s="1"/>
  <c r="G213" i="23"/>
  <c r="A210" i="23"/>
  <c r="D234" i="23"/>
  <c r="B229" i="23"/>
  <c r="C229" i="23" s="1"/>
  <c r="B225" i="23"/>
  <c r="C225" i="23" s="1"/>
  <c r="G220" i="23"/>
  <c r="A217" i="23"/>
  <c r="D213" i="23"/>
  <c r="A234" i="23"/>
  <c r="A229" i="23"/>
  <c r="A225" i="23"/>
  <c r="D220" i="23"/>
  <c r="G216" i="23"/>
  <c r="B213" i="23"/>
  <c r="C213" i="23" s="1"/>
  <c r="G233" i="23"/>
  <c r="G228" i="23"/>
  <c r="D224" i="23"/>
  <c r="B220" i="23"/>
  <c r="C220" i="23" s="1"/>
  <c r="A213" i="23"/>
  <c r="D233" i="23"/>
  <c r="D228" i="23"/>
  <c r="B224" i="23"/>
  <c r="C224" i="23" s="1"/>
  <c r="A220" i="23"/>
  <c r="D216" i="23"/>
  <c r="G212" i="23"/>
  <c r="D226" i="23"/>
  <c r="A233" i="23"/>
  <c r="B228" i="23"/>
  <c r="C228" i="23" s="1"/>
  <c r="A224" i="23"/>
  <c r="G219" i="23"/>
  <c r="B216" i="23"/>
  <c r="C216" i="23" s="1"/>
  <c r="D212" i="23"/>
  <c r="D232" i="23"/>
  <c r="G227" i="23"/>
  <c r="G223" i="23"/>
  <c r="D219" i="23"/>
  <c r="A216" i="23"/>
  <c r="B212" i="23"/>
  <c r="C212" i="23" s="1"/>
  <c r="B232" i="23"/>
  <c r="C232" i="23" s="1"/>
  <c r="D227" i="23"/>
  <c r="D223" i="23"/>
  <c r="B219" i="23"/>
  <c r="C219" i="23" s="1"/>
  <c r="G215" i="23"/>
  <c r="A212" i="23"/>
  <c r="A232" i="23"/>
  <c r="B227" i="23"/>
  <c r="C227" i="23" s="1"/>
  <c r="B223" i="23"/>
  <c r="C223" i="23" s="1"/>
  <c r="A219" i="23"/>
  <c r="D215" i="23"/>
  <c r="G211" i="23"/>
  <c r="G237" i="23"/>
  <c r="D231" i="23"/>
  <c r="A227" i="23"/>
  <c r="A223" i="23"/>
  <c r="G218" i="23"/>
  <c r="B215" i="23"/>
  <c r="C215" i="23" s="1"/>
  <c r="D211" i="23"/>
  <c r="B237" i="23"/>
  <c r="C237" i="23" s="1"/>
  <c r="B231" i="23"/>
  <c r="C231" i="23" s="1"/>
  <c r="G226" i="23"/>
  <c r="G222" i="23"/>
  <c r="D218" i="23"/>
  <c r="A215" i="23"/>
  <c r="B211" i="23"/>
  <c r="C211" i="23" s="1"/>
  <c r="B236" i="23"/>
  <c r="C236" i="23" s="1"/>
  <c r="A231" i="23"/>
  <c r="D222" i="23"/>
  <c r="B218" i="23"/>
  <c r="C218" i="23" s="1"/>
  <c r="G214" i="23"/>
  <c r="A211" i="23"/>
  <c r="A236" i="23"/>
  <c r="G230" i="23"/>
  <c r="A218" i="23"/>
  <c r="G217" i="23"/>
  <c r="A222" i="23"/>
  <c r="D214" i="23"/>
  <c r="B214" i="23"/>
  <c r="C214" i="23" s="1"/>
  <c r="G210" i="23"/>
  <c r="G235" i="23"/>
  <c r="D210" i="23"/>
  <c r="B235" i="23"/>
  <c r="C235" i="23" s="1"/>
  <c r="D221" i="23"/>
  <c r="D230" i="23"/>
  <c r="G221" i="23"/>
  <c r="A226" i="23"/>
  <c r="G225" i="23"/>
  <c r="L83" i="23"/>
  <c r="G113" i="23"/>
  <c r="A110" i="23"/>
  <c r="D106" i="23"/>
  <c r="D103" i="23"/>
  <c r="B100" i="23"/>
  <c r="C100" i="23" s="1"/>
  <c r="A97" i="23"/>
  <c r="D113" i="23"/>
  <c r="B106" i="23"/>
  <c r="C106" i="23" s="1"/>
  <c r="B103" i="23"/>
  <c r="C103" i="23" s="1"/>
  <c r="A100" i="23"/>
  <c r="G96" i="23"/>
  <c r="D93" i="23"/>
  <c r="G89" i="23"/>
  <c r="B113" i="23"/>
  <c r="C113" i="23" s="1"/>
  <c r="G109" i="23"/>
  <c r="A106" i="23"/>
  <c r="A103" i="23"/>
  <c r="G99" i="23"/>
  <c r="D96" i="23"/>
  <c r="B93" i="23"/>
  <c r="C93" i="23" s="1"/>
  <c r="A113" i="23"/>
  <c r="G102" i="23"/>
  <c r="D99" i="23"/>
  <c r="B96" i="23"/>
  <c r="C96" i="23" s="1"/>
  <c r="A93" i="23"/>
  <c r="D89" i="23"/>
  <c r="G112" i="23"/>
  <c r="D109" i="23"/>
  <c r="G105" i="23"/>
  <c r="D102" i="23"/>
  <c r="B99" i="23"/>
  <c r="C99" i="23" s="1"/>
  <c r="A96" i="23"/>
  <c r="G92" i="23"/>
  <c r="B89" i="23"/>
  <c r="C89" i="23" s="1"/>
  <c r="D112" i="23"/>
  <c r="B109" i="23"/>
  <c r="C109" i="23" s="1"/>
  <c r="B102" i="23"/>
  <c r="C102" i="23" s="1"/>
  <c r="A99" i="23"/>
  <c r="G95" i="23"/>
  <c r="D92" i="23"/>
  <c r="A89" i="23"/>
  <c r="B112" i="23"/>
  <c r="C112" i="23" s="1"/>
  <c r="A109" i="23"/>
  <c r="D105" i="23"/>
  <c r="A102" i="23"/>
  <c r="D95" i="23"/>
  <c r="B92" i="23"/>
  <c r="C92" i="23" s="1"/>
  <c r="G88" i="23"/>
  <c r="A112" i="23"/>
  <c r="G108" i="23"/>
  <c r="B105" i="23"/>
  <c r="C105" i="23" s="1"/>
  <c r="G101" i="23"/>
  <c r="G98" i="23"/>
  <c r="B95" i="23"/>
  <c r="C95" i="23" s="1"/>
  <c r="A92" i="23"/>
  <c r="D88" i="23"/>
  <c r="G111" i="23"/>
  <c r="D108" i="23"/>
  <c r="A105" i="23"/>
  <c r="A95" i="23"/>
  <c r="G91" i="23"/>
  <c r="B88" i="23"/>
  <c r="C88" i="23" s="1"/>
  <c r="D111" i="23"/>
  <c r="B108" i="23"/>
  <c r="C108" i="23" s="1"/>
  <c r="G104" i="23"/>
  <c r="D101" i="23"/>
  <c r="D98" i="23"/>
  <c r="G94" i="23"/>
  <c r="D91" i="23"/>
  <c r="A88" i="23"/>
  <c r="B111" i="23"/>
  <c r="C111" i="23" s="1"/>
  <c r="A108" i="23"/>
  <c r="D104" i="23"/>
  <c r="B101" i="23"/>
  <c r="C101" i="23" s="1"/>
  <c r="B98" i="23"/>
  <c r="C98" i="23" s="1"/>
  <c r="B91" i="23"/>
  <c r="C91" i="23" s="1"/>
  <c r="G114" i="23"/>
  <c r="A111" i="23"/>
  <c r="G107" i="23"/>
  <c r="B104" i="23"/>
  <c r="C104" i="23" s="1"/>
  <c r="A101" i="23"/>
  <c r="A98" i="23"/>
  <c r="D94" i="23"/>
  <c r="A91" i="23"/>
  <c r="G87" i="23"/>
  <c r="G110" i="23"/>
  <c r="D107" i="23"/>
  <c r="A104" i="23"/>
  <c r="G97" i="23"/>
  <c r="B94" i="23"/>
  <c r="C94" i="23" s="1"/>
  <c r="G90" i="23"/>
  <c r="B114" i="23"/>
  <c r="C114" i="23" s="1"/>
  <c r="B97" i="23"/>
  <c r="C97" i="23" s="1"/>
  <c r="B110" i="23"/>
  <c r="C110" i="23" s="1"/>
  <c r="A114" i="23"/>
  <c r="A94" i="23"/>
  <c r="D110" i="23"/>
  <c r="G93" i="23"/>
  <c r="D90" i="23"/>
  <c r="D97" i="23"/>
  <c r="B107" i="23"/>
  <c r="C107" i="23" s="1"/>
  <c r="B90" i="23"/>
  <c r="C90" i="23" s="1"/>
  <c r="A107" i="23"/>
  <c r="A90" i="23"/>
  <c r="G106" i="23"/>
  <c r="D87" i="23"/>
  <c r="D100" i="23"/>
  <c r="B87" i="23"/>
  <c r="C87" i="23" s="1"/>
  <c r="D114" i="23"/>
  <c r="G103" i="23"/>
  <c r="A87" i="23"/>
  <c r="G100" i="23"/>
  <c r="L616" i="23"/>
  <c r="F643" i="23"/>
  <c r="F625" i="23"/>
  <c r="B647" i="23"/>
  <c r="C647" i="23" s="1"/>
  <c r="G639" i="23"/>
  <c r="A636" i="23"/>
  <c r="D632" i="23"/>
  <c r="G628" i="23"/>
  <c r="B625" i="23"/>
  <c r="C625" i="23" s="1"/>
  <c r="B621" i="23"/>
  <c r="C621" i="23" s="1"/>
  <c r="F644" i="23"/>
  <c r="F626" i="23"/>
  <c r="A647" i="23"/>
  <c r="D643" i="23"/>
  <c r="D639" i="23"/>
  <c r="G635" i="23"/>
  <c r="B632" i="23"/>
  <c r="C632" i="23" s="1"/>
  <c r="D628" i="23"/>
  <c r="A625" i="23"/>
  <c r="A621" i="23"/>
  <c r="F645" i="23"/>
  <c r="F627" i="23"/>
  <c r="F646" i="23"/>
  <c r="F628" i="23"/>
  <c r="D646" i="23"/>
  <c r="A643" i="23"/>
  <c r="A639" i="23"/>
  <c r="D635" i="23"/>
  <c r="G631" i="23"/>
  <c r="A628" i="23"/>
  <c r="D624" i="23"/>
  <c r="F629" i="23"/>
  <c r="B646" i="23"/>
  <c r="C646" i="23" s="1"/>
  <c r="G642" i="23"/>
  <c r="G638" i="23"/>
  <c r="F630" i="23"/>
  <c r="A646" i="23"/>
  <c r="D642" i="23"/>
  <c r="D638" i="23"/>
  <c r="A635" i="23"/>
  <c r="B631" i="23"/>
  <c r="C631" i="23" s="1"/>
  <c r="A624" i="23"/>
  <c r="B620" i="23"/>
  <c r="C620" i="23" s="1"/>
  <c r="F633" i="23"/>
  <c r="F631" i="23"/>
  <c r="G645" i="23"/>
  <c r="B642" i="23"/>
  <c r="C642" i="23" s="1"/>
  <c r="B638" i="23"/>
  <c r="C638" i="23" s="1"/>
  <c r="G634" i="23"/>
  <c r="A631" i="23"/>
  <c r="D627" i="23"/>
  <c r="G623" i="23"/>
  <c r="A620" i="23"/>
  <c r="F634" i="23"/>
  <c r="F632" i="23"/>
  <c r="A642" i="23"/>
  <c r="A638" i="23"/>
  <c r="D634" i="23"/>
  <c r="G630" i="23"/>
  <c r="B627" i="23"/>
  <c r="C627" i="23" s="1"/>
  <c r="D623" i="23"/>
  <c r="F635" i="23"/>
  <c r="F620" i="23"/>
  <c r="F636" i="23"/>
  <c r="B645" i="23"/>
  <c r="C645" i="23" s="1"/>
  <c r="D641" i="23"/>
  <c r="D637" i="23"/>
  <c r="A634" i="23"/>
  <c r="B630" i="23"/>
  <c r="C630" i="23" s="1"/>
  <c r="G626" i="23"/>
  <c r="A623" i="23"/>
  <c r="F637" i="23"/>
  <c r="F638" i="23"/>
  <c r="F639" i="23"/>
  <c r="F621" i="23"/>
  <c r="D644" i="23"/>
  <c r="G640" i="23"/>
  <c r="G636" i="23"/>
  <c r="D633" i="23"/>
  <c r="B626" i="23"/>
  <c r="C626" i="23" s="1"/>
  <c r="B622" i="23"/>
  <c r="C622" i="23" s="1"/>
  <c r="F642" i="23"/>
  <c r="F624" i="23"/>
  <c r="F622" i="23"/>
  <c r="B644" i="23"/>
  <c r="C644" i="23" s="1"/>
  <c r="B636" i="23"/>
  <c r="C636" i="23" s="1"/>
  <c r="A629" i="23"/>
  <c r="D621" i="23"/>
  <c r="F623" i="23"/>
  <c r="A644" i="23"/>
  <c r="B628" i="23"/>
  <c r="C628" i="23" s="1"/>
  <c r="G620" i="23"/>
  <c r="G643" i="23"/>
  <c r="B635" i="23"/>
  <c r="C635" i="23" s="1"/>
  <c r="G627" i="23"/>
  <c r="D620" i="23"/>
  <c r="B643" i="23"/>
  <c r="C643" i="23" s="1"/>
  <c r="B634" i="23"/>
  <c r="C634" i="23" s="1"/>
  <c r="A627" i="23"/>
  <c r="G641" i="23"/>
  <c r="G633" i="23"/>
  <c r="B641" i="23"/>
  <c r="C641" i="23" s="1"/>
  <c r="D626" i="23"/>
  <c r="F640" i="23"/>
  <c r="A641" i="23"/>
  <c r="B633" i="23"/>
  <c r="C633" i="23" s="1"/>
  <c r="A626" i="23"/>
  <c r="F641" i="23"/>
  <c r="D640" i="23"/>
  <c r="A633" i="23"/>
  <c r="G625" i="23"/>
  <c r="B640" i="23"/>
  <c r="C640" i="23" s="1"/>
  <c r="G632" i="23"/>
  <c r="D625" i="23"/>
  <c r="A640" i="23"/>
  <c r="A632" i="23"/>
  <c r="G624" i="23"/>
  <c r="G647" i="23"/>
  <c r="B639" i="23"/>
  <c r="C639" i="23" s="1"/>
  <c r="D631" i="23"/>
  <c r="B624" i="23"/>
  <c r="C624" i="23" s="1"/>
  <c r="D647" i="23"/>
  <c r="G637" i="23"/>
  <c r="D630" i="23"/>
  <c r="B623" i="23"/>
  <c r="C623" i="23" s="1"/>
  <c r="G646" i="23"/>
  <c r="B637" i="23"/>
  <c r="C637" i="23" s="1"/>
  <c r="A630" i="23"/>
  <c r="G622" i="23"/>
  <c r="A637" i="23"/>
  <c r="D636" i="23"/>
  <c r="G629" i="23"/>
  <c r="D629" i="23"/>
  <c r="B629" i="23"/>
  <c r="C629" i="23" s="1"/>
  <c r="D622" i="23"/>
  <c r="A622" i="23"/>
  <c r="G621" i="23"/>
  <c r="D645" i="23"/>
  <c r="A645" i="23"/>
  <c r="G644" i="23"/>
  <c r="F647" i="23"/>
  <c r="L124" i="23"/>
  <c r="F144" i="23"/>
  <c r="F129" i="23"/>
  <c r="F145" i="23"/>
  <c r="F130" i="23"/>
  <c r="F146" i="23"/>
  <c r="F131" i="23"/>
  <c r="F147" i="23"/>
  <c r="F132" i="23"/>
  <c r="F148" i="23"/>
  <c r="F133" i="23"/>
  <c r="F149" i="23"/>
  <c r="F128" i="23"/>
  <c r="F134" i="23"/>
  <c r="F150" i="23"/>
  <c r="F135" i="23"/>
  <c r="F151" i="23"/>
  <c r="F136" i="23"/>
  <c r="F152" i="23"/>
  <c r="F137" i="23"/>
  <c r="F153" i="23"/>
  <c r="F138" i="23"/>
  <c r="F154" i="23"/>
  <c r="F139" i="23"/>
  <c r="F155" i="23"/>
  <c r="F140" i="23"/>
  <c r="F143" i="23"/>
  <c r="B154" i="23"/>
  <c r="C154" i="23" s="1"/>
  <c r="D150" i="23"/>
  <c r="G146" i="23"/>
  <c r="A143" i="23"/>
  <c r="B139" i="23"/>
  <c r="C139" i="23" s="1"/>
  <c r="A132" i="23"/>
  <c r="B128" i="23"/>
  <c r="C128" i="23" s="1"/>
  <c r="A154" i="23"/>
  <c r="B150" i="23"/>
  <c r="C150" i="23" s="1"/>
  <c r="D146" i="23"/>
  <c r="G142" i="23"/>
  <c r="A139" i="23"/>
  <c r="D135" i="23"/>
  <c r="G131" i="23"/>
  <c r="A128" i="23"/>
  <c r="G153" i="23"/>
  <c r="A150" i="23"/>
  <c r="B146" i="23"/>
  <c r="C146" i="23" s="1"/>
  <c r="G138" i="23"/>
  <c r="B135" i="23"/>
  <c r="C135" i="23" s="1"/>
  <c r="D131" i="23"/>
  <c r="D153" i="23"/>
  <c r="G149" i="23"/>
  <c r="A146" i="23"/>
  <c r="D142" i="23"/>
  <c r="D138" i="23"/>
  <c r="A135" i="23"/>
  <c r="B131" i="23"/>
  <c r="C131" i="23" s="1"/>
  <c r="B153" i="23"/>
  <c r="C153" i="23" s="1"/>
  <c r="D149" i="23"/>
  <c r="G145" i="23"/>
  <c r="B142" i="23"/>
  <c r="C142" i="23" s="1"/>
  <c r="B138" i="23"/>
  <c r="C138" i="23" s="1"/>
  <c r="G134" i="23"/>
  <c r="A131" i="23"/>
  <c r="A153" i="23"/>
  <c r="B149" i="23"/>
  <c r="C149" i="23" s="1"/>
  <c r="D145" i="23"/>
  <c r="A142" i="23"/>
  <c r="A138" i="23"/>
  <c r="D134" i="23"/>
  <c r="G130" i="23"/>
  <c r="G152" i="23"/>
  <c r="A149" i="23"/>
  <c r="B145" i="23"/>
  <c r="C145" i="23" s="1"/>
  <c r="G141" i="23"/>
  <c r="G137" i="23"/>
  <c r="B134" i="23"/>
  <c r="C134" i="23" s="1"/>
  <c r="D130" i="23"/>
  <c r="D152" i="23"/>
  <c r="G148" i="23"/>
  <c r="A145" i="23"/>
  <c r="D141" i="23"/>
  <c r="D137" i="23"/>
  <c r="A134" i="23"/>
  <c r="B130" i="23"/>
  <c r="C130" i="23" s="1"/>
  <c r="B152" i="23"/>
  <c r="C152" i="23" s="1"/>
  <c r="G144" i="23"/>
  <c r="B141" i="23"/>
  <c r="C141" i="23" s="1"/>
  <c r="B137" i="23"/>
  <c r="C137" i="23" s="1"/>
  <c r="G133" i="23"/>
  <c r="A130" i="23"/>
  <c r="A152" i="23"/>
  <c r="D148" i="23"/>
  <c r="A141" i="23"/>
  <c r="A137" i="23"/>
  <c r="D133" i="23"/>
  <c r="G129" i="23"/>
  <c r="G155" i="23"/>
  <c r="G151" i="23"/>
  <c r="B148" i="23"/>
  <c r="C148" i="23" s="1"/>
  <c r="D144" i="23"/>
  <c r="G140" i="23"/>
  <c r="G136" i="23"/>
  <c r="B133" i="23"/>
  <c r="C133" i="23" s="1"/>
  <c r="D129" i="23"/>
  <c r="D155" i="23"/>
  <c r="A148" i="23"/>
  <c r="B144" i="23"/>
  <c r="C144" i="23" s="1"/>
  <c r="D140" i="23"/>
  <c r="A133" i="23"/>
  <c r="B129" i="23"/>
  <c r="C129" i="23" s="1"/>
  <c r="B155" i="23"/>
  <c r="C155" i="23" s="1"/>
  <c r="D151" i="23"/>
  <c r="G147" i="23"/>
  <c r="A144" i="23"/>
  <c r="B140" i="23"/>
  <c r="C140" i="23" s="1"/>
  <c r="D136" i="23"/>
  <c r="G132" i="23"/>
  <c r="A129" i="23"/>
  <c r="F141" i="23"/>
  <c r="A155" i="23"/>
  <c r="A136" i="23"/>
  <c r="G154" i="23"/>
  <c r="G135" i="23"/>
  <c r="D154" i="23"/>
  <c r="A151" i="23"/>
  <c r="B132" i="23"/>
  <c r="C132" i="23" s="1"/>
  <c r="B151" i="23"/>
  <c r="C151" i="23" s="1"/>
  <c r="D132" i="23"/>
  <c r="F142" i="23"/>
  <c r="G150" i="23"/>
  <c r="G128" i="23"/>
  <c r="D147" i="23"/>
  <c r="B136" i="23"/>
  <c r="C136" i="23" s="1"/>
  <c r="B147" i="23"/>
  <c r="C147" i="23" s="1"/>
  <c r="D128" i="23"/>
  <c r="G139" i="23"/>
  <c r="A147" i="23"/>
  <c r="G143" i="23"/>
  <c r="D143" i="23"/>
  <c r="B143" i="23"/>
  <c r="C143" i="23" s="1"/>
  <c r="A140" i="23"/>
  <c r="D139" i="23"/>
  <c r="L165" i="23"/>
  <c r="F175" i="23"/>
  <c r="F191" i="23"/>
  <c r="F170" i="23"/>
  <c r="F176" i="23"/>
  <c r="F192" i="23"/>
  <c r="F177" i="23"/>
  <c r="F193" i="23"/>
  <c r="F178" i="23"/>
  <c r="F194" i="23"/>
  <c r="F179" i="23"/>
  <c r="F195" i="23"/>
  <c r="F180" i="23"/>
  <c r="F196" i="23"/>
  <c r="F181" i="23"/>
  <c r="F182" i="23"/>
  <c r="F183" i="23"/>
  <c r="F184" i="23"/>
  <c r="F185" i="23"/>
  <c r="F186" i="23"/>
  <c r="F171" i="23"/>
  <c r="F187" i="23"/>
  <c r="F174" i="23"/>
  <c r="F190" i="23"/>
  <c r="F169" i="23"/>
  <c r="F172" i="23"/>
  <c r="F173" i="23"/>
  <c r="F188" i="23"/>
  <c r="F189" i="23"/>
  <c r="B195" i="23"/>
  <c r="C195" i="23" s="1"/>
  <c r="G187" i="23"/>
  <c r="A184" i="23"/>
  <c r="A180" i="23"/>
  <c r="B176" i="23"/>
  <c r="C176" i="23" s="1"/>
  <c r="D172" i="23"/>
  <c r="A195" i="23"/>
  <c r="D191" i="23"/>
  <c r="D187" i="23"/>
  <c r="G183" i="23"/>
  <c r="G179" i="23"/>
  <c r="A176" i="23"/>
  <c r="B172" i="23"/>
  <c r="C172" i="23" s="1"/>
  <c r="G194" i="23"/>
  <c r="B191" i="23"/>
  <c r="C191" i="23" s="1"/>
  <c r="B187" i="23"/>
  <c r="C187" i="23" s="1"/>
  <c r="D183" i="23"/>
  <c r="D179" i="23"/>
  <c r="G175" i="23"/>
  <c r="A172" i="23"/>
  <c r="D194" i="23"/>
  <c r="A191" i="23"/>
  <c r="A187" i="23"/>
  <c r="B183" i="23"/>
  <c r="C183" i="23" s="1"/>
  <c r="B179" i="23"/>
  <c r="C179" i="23" s="1"/>
  <c r="G171" i="23"/>
  <c r="B194" i="23"/>
  <c r="C194" i="23" s="1"/>
  <c r="G190" i="23"/>
  <c r="G186" i="23"/>
  <c r="A183" i="23"/>
  <c r="A179" i="23"/>
  <c r="D175" i="23"/>
  <c r="D171" i="23"/>
  <c r="A194" i="23"/>
  <c r="D190" i="23"/>
  <c r="D186" i="23"/>
  <c r="G182" i="23"/>
  <c r="G178" i="23"/>
  <c r="B175" i="23"/>
  <c r="C175" i="23" s="1"/>
  <c r="B171" i="23"/>
  <c r="C171" i="23" s="1"/>
  <c r="D188" i="23"/>
  <c r="G193" i="23"/>
  <c r="B190" i="23"/>
  <c r="C190" i="23" s="1"/>
  <c r="B186" i="23"/>
  <c r="C186" i="23" s="1"/>
  <c r="D182" i="23"/>
  <c r="D178" i="23"/>
  <c r="A175" i="23"/>
  <c r="A171" i="23"/>
  <c r="D193" i="23"/>
  <c r="A190" i="23"/>
  <c r="A186" i="23"/>
  <c r="B182" i="23"/>
  <c r="C182" i="23" s="1"/>
  <c r="B178" i="23"/>
  <c r="C178" i="23" s="1"/>
  <c r="G174" i="23"/>
  <c r="G170" i="23"/>
  <c r="B193" i="23"/>
  <c r="C193" i="23" s="1"/>
  <c r="G189" i="23"/>
  <c r="G185" i="23"/>
  <c r="A182" i="23"/>
  <c r="A178" i="23"/>
  <c r="D174" i="23"/>
  <c r="D170" i="23"/>
  <c r="A193" i="23"/>
  <c r="D189" i="23"/>
  <c r="G181" i="23"/>
  <c r="G177" i="23"/>
  <c r="B174" i="23"/>
  <c r="C174" i="23" s="1"/>
  <c r="B170" i="23"/>
  <c r="C170" i="23" s="1"/>
  <c r="G196" i="23"/>
  <c r="G192" i="23"/>
  <c r="B189" i="23"/>
  <c r="C189" i="23" s="1"/>
  <c r="D185" i="23"/>
  <c r="D181" i="23"/>
  <c r="D177" i="23"/>
  <c r="A174" i="23"/>
  <c r="A170" i="23"/>
  <c r="D196" i="23"/>
  <c r="A189" i="23"/>
  <c r="B185" i="23"/>
  <c r="C185" i="23" s="1"/>
  <c r="B181" i="23"/>
  <c r="C181" i="23" s="1"/>
  <c r="B177" i="23"/>
  <c r="C177" i="23" s="1"/>
  <c r="G173" i="23"/>
  <c r="G169" i="23"/>
  <c r="B196" i="23"/>
  <c r="C196" i="23" s="1"/>
  <c r="D192" i="23"/>
  <c r="G188" i="23"/>
  <c r="A185" i="23"/>
  <c r="A181" i="23"/>
  <c r="A177" i="23"/>
  <c r="D173" i="23"/>
  <c r="A196" i="23"/>
  <c r="G195" i="23"/>
  <c r="B173" i="23"/>
  <c r="C173" i="23" s="1"/>
  <c r="D176" i="23"/>
  <c r="D195" i="23"/>
  <c r="A173" i="23"/>
  <c r="B192" i="23"/>
  <c r="C192" i="23" s="1"/>
  <c r="G172" i="23"/>
  <c r="G176" i="23"/>
  <c r="A192" i="23"/>
  <c r="D169" i="23"/>
  <c r="G191" i="23"/>
  <c r="B169" i="23"/>
  <c r="C169" i="23" s="1"/>
  <c r="B188" i="23"/>
  <c r="C188" i="23" s="1"/>
  <c r="A169" i="23"/>
  <c r="A188" i="23"/>
  <c r="G184" i="23"/>
  <c r="D184" i="23"/>
  <c r="B184" i="23"/>
  <c r="C184" i="23" s="1"/>
  <c r="G180" i="23"/>
  <c r="D180" i="23"/>
  <c r="B180" i="23"/>
  <c r="C180" i="23" s="1"/>
  <c r="L493" i="23"/>
  <c r="F511" i="23"/>
  <c r="F512" i="23"/>
  <c r="F513" i="23"/>
  <c r="F498" i="23"/>
  <c r="F514" i="23"/>
  <c r="F499" i="23"/>
  <c r="F515" i="23"/>
  <c r="F500" i="23"/>
  <c r="F516" i="23"/>
  <c r="F501" i="23"/>
  <c r="F517" i="23"/>
  <c r="F502" i="23"/>
  <c r="F518" i="23"/>
  <c r="F497" i="23"/>
  <c r="F503" i="23"/>
  <c r="F519" i="23"/>
  <c r="F504" i="23"/>
  <c r="F520" i="23"/>
  <c r="F505" i="23"/>
  <c r="F521" i="23"/>
  <c r="F506" i="23"/>
  <c r="F522" i="23"/>
  <c r="F507" i="23"/>
  <c r="F523" i="23"/>
  <c r="F510" i="23"/>
  <c r="A523" i="23"/>
  <c r="B519" i="23"/>
  <c r="C519" i="23" s="1"/>
  <c r="D515" i="23"/>
  <c r="G511" i="23"/>
  <c r="B508" i="23"/>
  <c r="C508" i="23" s="1"/>
  <c r="D504" i="23"/>
  <c r="G500" i="23"/>
  <c r="A497" i="23"/>
  <c r="G522" i="23"/>
  <c r="A519" i="23"/>
  <c r="B515" i="23"/>
  <c r="C515" i="23" s="1"/>
  <c r="D511" i="23"/>
  <c r="A508" i="23"/>
  <c r="B504" i="23"/>
  <c r="C504" i="23" s="1"/>
  <c r="D500" i="23"/>
  <c r="D522" i="23"/>
  <c r="G518" i="23"/>
  <c r="A515" i="23"/>
  <c r="B511" i="23"/>
  <c r="C511" i="23" s="1"/>
  <c r="G507" i="23"/>
  <c r="A504" i="23"/>
  <c r="B500" i="23"/>
  <c r="C500" i="23" s="1"/>
  <c r="B522" i="23"/>
  <c r="C522" i="23" s="1"/>
  <c r="D518" i="23"/>
  <c r="G514" i="23"/>
  <c r="A511" i="23"/>
  <c r="D507" i="23"/>
  <c r="G503" i="23"/>
  <c r="A500" i="23"/>
  <c r="A522" i="23"/>
  <c r="B518" i="23"/>
  <c r="C518" i="23" s="1"/>
  <c r="D514" i="23"/>
  <c r="G510" i="23"/>
  <c r="B507" i="23"/>
  <c r="C507" i="23" s="1"/>
  <c r="D503" i="23"/>
  <c r="G499" i="23"/>
  <c r="G521" i="23"/>
  <c r="A518" i="23"/>
  <c r="B514" i="23"/>
  <c r="C514" i="23" s="1"/>
  <c r="D510" i="23"/>
  <c r="A507" i="23"/>
  <c r="B503" i="23"/>
  <c r="C503" i="23" s="1"/>
  <c r="D499" i="23"/>
  <c r="D521" i="23"/>
  <c r="G517" i="23"/>
  <c r="A514" i="23"/>
  <c r="B510" i="23"/>
  <c r="C510" i="23" s="1"/>
  <c r="G506" i="23"/>
  <c r="A503" i="23"/>
  <c r="B499" i="23"/>
  <c r="C499" i="23" s="1"/>
  <c r="B521" i="23"/>
  <c r="C521" i="23" s="1"/>
  <c r="G513" i="23"/>
  <c r="A510" i="23"/>
  <c r="D506" i="23"/>
  <c r="G502" i="23"/>
  <c r="A499" i="23"/>
  <c r="G524" i="23"/>
  <c r="A521" i="23"/>
  <c r="D517" i="23"/>
  <c r="G509" i="23"/>
  <c r="B506" i="23"/>
  <c r="C506" i="23" s="1"/>
  <c r="D502" i="23"/>
  <c r="G498" i="23"/>
  <c r="G520" i="23"/>
  <c r="B517" i="23"/>
  <c r="C517" i="23" s="1"/>
  <c r="D513" i="23"/>
  <c r="D509" i="23"/>
  <c r="A506" i="23"/>
  <c r="B502" i="23"/>
  <c r="C502" i="23" s="1"/>
  <c r="D498" i="23"/>
  <c r="D524" i="23"/>
  <c r="A517" i="23"/>
  <c r="B513" i="23"/>
  <c r="C513" i="23" s="1"/>
  <c r="B509" i="23"/>
  <c r="C509" i="23" s="1"/>
  <c r="G505" i="23"/>
  <c r="A502" i="23"/>
  <c r="B498" i="23"/>
  <c r="C498" i="23" s="1"/>
  <c r="B524" i="23"/>
  <c r="C524" i="23" s="1"/>
  <c r="D520" i="23"/>
  <c r="G516" i="23"/>
  <c r="A513" i="23"/>
  <c r="A509" i="23"/>
  <c r="D505" i="23"/>
  <c r="G501" i="23"/>
  <c r="A498" i="23"/>
  <c r="F508" i="23"/>
  <c r="A524" i="23"/>
  <c r="B520" i="23"/>
  <c r="C520" i="23" s="1"/>
  <c r="D516" i="23"/>
  <c r="G512" i="23"/>
  <c r="B505" i="23"/>
  <c r="C505" i="23" s="1"/>
  <c r="G497" i="23"/>
  <c r="G519" i="23"/>
  <c r="A501" i="23"/>
  <c r="D519" i="23"/>
  <c r="B516" i="23"/>
  <c r="C516" i="23" s="1"/>
  <c r="D497" i="23"/>
  <c r="A516" i="23"/>
  <c r="B497" i="23"/>
  <c r="C497" i="23" s="1"/>
  <c r="G515" i="23"/>
  <c r="F509" i="23"/>
  <c r="D512" i="23"/>
  <c r="F524" i="23"/>
  <c r="B512" i="23"/>
  <c r="C512" i="23" s="1"/>
  <c r="A512" i="23"/>
  <c r="G508" i="23"/>
  <c r="D508" i="23"/>
  <c r="A505" i="23"/>
  <c r="G523" i="23"/>
  <c r="G504" i="23"/>
  <c r="D523" i="23"/>
  <c r="B523" i="23"/>
  <c r="C523" i="23" s="1"/>
  <c r="A520" i="23"/>
  <c r="D501" i="23"/>
  <c r="B501" i="23"/>
  <c r="C501" i="23" s="1"/>
  <c r="L739" i="23"/>
  <c r="F751" i="23"/>
  <c r="F768" i="23"/>
  <c r="G766" i="23"/>
  <c r="B763" i="23"/>
  <c r="C763" i="23" s="1"/>
  <c r="D759" i="23"/>
  <c r="D755" i="23"/>
  <c r="A752" i="23"/>
  <c r="B748" i="23"/>
  <c r="C748" i="23" s="1"/>
  <c r="D744" i="23"/>
  <c r="F752" i="23"/>
  <c r="F769" i="23"/>
  <c r="D770" i="23"/>
  <c r="A763" i="23"/>
  <c r="B759" i="23"/>
  <c r="C759" i="23" s="1"/>
  <c r="B755" i="23"/>
  <c r="C755" i="23" s="1"/>
  <c r="G751" i="23"/>
  <c r="A748" i="23"/>
  <c r="B744" i="23"/>
  <c r="C744" i="23" s="1"/>
  <c r="F753" i="23"/>
  <c r="F770" i="23"/>
  <c r="B770" i="23"/>
  <c r="C770" i="23" s="1"/>
  <c r="D766" i="23"/>
  <c r="G762" i="23"/>
  <c r="A759" i="23"/>
  <c r="A755" i="23"/>
  <c r="D751" i="23"/>
  <c r="G747" i="23"/>
  <c r="A744" i="23"/>
  <c r="F755" i="23"/>
  <c r="A770" i="23"/>
  <c r="B766" i="23"/>
  <c r="C766" i="23" s="1"/>
  <c r="D762" i="23"/>
  <c r="G758" i="23"/>
  <c r="B751" i="23"/>
  <c r="C751" i="23" s="1"/>
  <c r="G743" i="23"/>
  <c r="F756" i="23"/>
  <c r="G769" i="23"/>
  <c r="A766" i="23"/>
  <c r="B762" i="23"/>
  <c r="C762" i="23" s="1"/>
  <c r="D758" i="23"/>
  <c r="G754" i="23"/>
  <c r="A751" i="23"/>
  <c r="D747" i="23"/>
  <c r="F757" i="23"/>
  <c r="D769" i="23"/>
  <c r="G765" i="23"/>
  <c r="A762" i="23"/>
  <c r="B758" i="23"/>
  <c r="C758" i="23" s="1"/>
  <c r="G750" i="23"/>
  <c r="B747" i="23"/>
  <c r="C747" i="23" s="1"/>
  <c r="D743" i="23"/>
  <c r="F758" i="23"/>
  <c r="B769" i="23"/>
  <c r="C769" i="23" s="1"/>
  <c r="D765" i="23"/>
  <c r="G761" i="23"/>
  <c r="A758" i="23"/>
  <c r="D754" i="23"/>
  <c r="A747" i="23"/>
  <c r="B743" i="23"/>
  <c r="C743" i="23" s="1"/>
  <c r="F759" i="23"/>
  <c r="A769" i="23"/>
  <c r="B765" i="23"/>
  <c r="C765" i="23" s="1"/>
  <c r="D761" i="23"/>
  <c r="G757" i="23"/>
  <c r="B754" i="23"/>
  <c r="C754" i="23" s="1"/>
  <c r="D750" i="23"/>
  <c r="G746" i="23"/>
  <c r="A743" i="23"/>
  <c r="F760" i="23"/>
  <c r="G768" i="23"/>
  <c r="A765" i="23"/>
  <c r="B761" i="23"/>
  <c r="C761" i="23" s="1"/>
  <c r="D757" i="23"/>
  <c r="A754" i="23"/>
  <c r="B750" i="23"/>
  <c r="C750" i="23" s="1"/>
  <c r="D746" i="23"/>
  <c r="F744" i="23"/>
  <c r="F761" i="23"/>
  <c r="D768" i="23"/>
  <c r="G764" i="23"/>
  <c r="A761" i="23"/>
  <c r="B757" i="23"/>
  <c r="C757" i="23" s="1"/>
  <c r="G753" i="23"/>
  <c r="A750" i="23"/>
  <c r="B746" i="23"/>
  <c r="C746" i="23" s="1"/>
  <c r="F745" i="23"/>
  <c r="F762" i="23"/>
  <c r="B768" i="23"/>
  <c r="C768" i="23" s="1"/>
  <c r="D764" i="23"/>
  <c r="G760" i="23"/>
  <c r="A757" i="23"/>
  <c r="D753" i="23"/>
  <c r="G749" i="23"/>
  <c r="A746" i="23"/>
  <c r="F746" i="23"/>
  <c r="F763" i="23"/>
  <c r="A768" i="23"/>
  <c r="B764" i="23"/>
  <c r="C764" i="23" s="1"/>
  <c r="D760" i="23"/>
  <c r="G756" i="23"/>
  <c r="B753" i="23"/>
  <c r="C753" i="23" s="1"/>
  <c r="D749" i="23"/>
  <c r="G745" i="23"/>
  <c r="F747" i="23"/>
  <c r="F764" i="23"/>
  <c r="F743" i="23"/>
  <c r="G767" i="23"/>
  <c r="A764" i="23"/>
  <c r="B760" i="23"/>
  <c r="C760" i="23" s="1"/>
  <c r="D756" i="23"/>
  <c r="A753" i="23"/>
  <c r="B749" i="23"/>
  <c r="C749" i="23" s="1"/>
  <c r="D745" i="23"/>
  <c r="F750" i="23"/>
  <c r="F767" i="23"/>
  <c r="G770" i="23"/>
  <c r="A767" i="23"/>
  <c r="D763" i="23"/>
  <c r="G755" i="23"/>
  <c r="B752" i="23"/>
  <c r="C752" i="23" s="1"/>
  <c r="D748" i="23"/>
  <c r="G744" i="23"/>
  <c r="B745" i="23"/>
  <c r="C745" i="23" s="1"/>
  <c r="F748" i="23"/>
  <c r="A745" i="23"/>
  <c r="F749" i="23"/>
  <c r="F765" i="23"/>
  <c r="F766" i="23"/>
  <c r="D767" i="23"/>
  <c r="B767" i="23"/>
  <c r="C767" i="23" s="1"/>
  <c r="G763" i="23"/>
  <c r="A760" i="23"/>
  <c r="G759" i="23"/>
  <c r="B756" i="23"/>
  <c r="C756" i="23" s="1"/>
  <c r="A756" i="23"/>
  <c r="G752" i="23"/>
  <c r="A749" i="23"/>
  <c r="G748" i="23"/>
  <c r="D752" i="23"/>
  <c r="F754" i="23"/>
  <c r="L370" i="23"/>
  <c r="F389" i="23"/>
  <c r="F390" i="23"/>
  <c r="F375" i="23"/>
  <c r="F391" i="23"/>
  <c r="F376" i="23"/>
  <c r="F392" i="23"/>
  <c r="F377" i="23"/>
  <c r="F393" i="23"/>
  <c r="F378" i="23"/>
  <c r="F394" i="23"/>
  <c r="F379" i="23"/>
  <c r="F395" i="23"/>
  <c r="F374" i="23"/>
  <c r="F380" i="23"/>
  <c r="F396" i="23"/>
  <c r="F381" i="23"/>
  <c r="F397" i="23"/>
  <c r="F382" i="23"/>
  <c r="F398" i="23"/>
  <c r="F383" i="23"/>
  <c r="F399" i="23"/>
  <c r="F384" i="23"/>
  <c r="F400" i="23"/>
  <c r="F385" i="23"/>
  <c r="F401" i="23"/>
  <c r="F388" i="23"/>
  <c r="G400" i="23"/>
  <c r="A397" i="23"/>
  <c r="A393" i="23"/>
  <c r="G389" i="23"/>
  <c r="B386" i="23"/>
  <c r="C386" i="23" s="1"/>
  <c r="A379" i="23"/>
  <c r="D375" i="23"/>
  <c r="D400" i="23"/>
  <c r="G396" i="23"/>
  <c r="A386" i="23"/>
  <c r="D382" i="23"/>
  <c r="G378" i="23"/>
  <c r="B375" i="23"/>
  <c r="C375" i="23" s="1"/>
  <c r="F386" i="23"/>
  <c r="B400" i="23"/>
  <c r="C400" i="23" s="1"/>
  <c r="D396" i="23"/>
  <c r="G392" i="23"/>
  <c r="D389" i="23"/>
  <c r="G385" i="23"/>
  <c r="B382" i="23"/>
  <c r="C382" i="23" s="1"/>
  <c r="D378" i="23"/>
  <c r="A375" i="23"/>
  <c r="F387" i="23"/>
  <c r="A400" i="23"/>
  <c r="B396" i="23"/>
  <c r="C396" i="23" s="1"/>
  <c r="B389" i="23"/>
  <c r="C389" i="23" s="1"/>
  <c r="D385" i="23"/>
  <c r="A382" i="23"/>
  <c r="B378" i="23"/>
  <c r="C378" i="23" s="1"/>
  <c r="G374" i="23"/>
  <c r="G399" i="23"/>
  <c r="A396" i="23"/>
  <c r="D392" i="23"/>
  <c r="A389" i="23"/>
  <c r="B385" i="23"/>
  <c r="C385" i="23" s="1"/>
  <c r="G381" i="23"/>
  <c r="A378" i="23"/>
  <c r="D399" i="23"/>
  <c r="G395" i="23"/>
  <c r="B392" i="23"/>
  <c r="C392" i="23" s="1"/>
  <c r="G388" i="23"/>
  <c r="A385" i="23"/>
  <c r="G377" i="23"/>
  <c r="D374" i="23"/>
  <c r="B399" i="23"/>
  <c r="C399" i="23" s="1"/>
  <c r="D395" i="23"/>
  <c r="A392" i="23"/>
  <c r="D388" i="23"/>
  <c r="G384" i="23"/>
  <c r="D381" i="23"/>
  <c r="D377" i="23"/>
  <c r="B374" i="23"/>
  <c r="C374" i="23" s="1"/>
  <c r="A399" i="23"/>
  <c r="B395" i="23"/>
  <c r="C395" i="23" s="1"/>
  <c r="G391" i="23"/>
  <c r="B388" i="23"/>
  <c r="C388" i="23" s="1"/>
  <c r="D384" i="23"/>
  <c r="B381" i="23"/>
  <c r="C381" i="23" s="1"/>
  <c r="B377" i="23"/>
  <c r="C377" i="23" s="1"/>
  <c r="A374" i="23"/>
  <c r="G398" i="23"/>
  <c r="A395" i="23"/>
  <c r="D391" i="23"/>
  <c r="A388" i="23"/>
  <c r="B384" i="23"/>
  <c r="C384" i="23" s="1"/>
  <c r="A381" i="23"/>
  <c r="A377" i="23"/>
  <c r="D398" i="23"/>
  <c r="G394" i="23"/>
  <c r="B391" i="23"/>
  <c r="C391" i="23" s="1"/>
  <c r="G387" i="23"/>
  <c r="A384" i="23"/>
  <c r="G380" i="23"/>
  <c r="B398" i="23"/>
  <c r="C398" i="23" s="1"/>
  <c r="D394" i="23"/>
  <c r="A391" i="23"/>
  <c r="G383" i="23"/>
  <c r="D380" i="23"/>
  <c r="G376" i="23"/>
  <c r="A398" i="23"/>
  <c r="B394" i="23"/>
  <c r="C394" i="23" s="1"/>
  <c r="G390" i="23"/>
  <c r="D387" i="23"/>
  <c r="D383" i="23"/>
  <c r="B380" i="23"/>
  <c r="C380" i="23" s="1"/>
  <c r="G401" i="23"/>
  <c r="G397" i="23"/>
  <c r="A394" i="23"/>
  <c r="B387" i="23"/>
  <c r="C387" i="23" s="1"/>
  <c r="B383" i="23"/>
  <c r="C383" i="23" s="1"/>
  <c r="A380" i="23"/>
  <c r="D376" i="23"/>
  <c r="A401" i="23"/>
  <c r="G379" i="23"/>
  <c r="D379" i="23"/>
  <c r="D397" i="23"/>
  <c r="B379" i="23"/>
  <c r="C379" i="23" s="1"/>
  <c r="B397" i="23"/>
  <c r="C397" i="23" s="1"/>
  <c r="B376" i="23"/>
  <c r="C376" i="23" s="1"/>
  <c r="G393" i="23"/>
  <c r="A376" i="23"/>
  <c r="D393" i="23"/>
  <c r="G375" i="23"/>
  <c r="A383" i="23"/>
  <c r="B393" i="23"/>
  <c r="C393" i="23" s="1"/>
  <c r="D390" i="23"/>
  <c r="B390" i="23"/>
  <c r="C390" i="23" s="1"/>
  <c r="A390" i="23"/>
  <c r="A387" i="23"/>
  <c r="G386" i="23"/>
  <c r="D386" i="23"/>
  <c r="G382" i="23"/>
  <c r="D401" i="23"/>
  <c r="B401" i="23"/>
  <c r="C401" i="23" s="1"/>
  <c r="L288" i="23"/>
  <c r="F297" i="23"/>
  <c r="F313" i="23"/>
  <c r="F298" i="23"/>
  <c r="F314" i="23"/>
  <c r="F292" i="23"/>
  <c r="F299" i="23"/>
  <c r="F315" i="23"/>
  <c r="F300" i="23"/>
  <c r="F316" i="23"/>
  <c r="F301" i="23"/>
  <c r="F317" i="23"/>
  <c r="F302" i="23"/>
  <c r="F318" i="23"/>
  <c r="F303" i="23"/>
  <c r="F319" i="23"/>
  <c r="F304" i="23"/>
  <c r="F305" i="23"/>
  <c r="F306" i="23"/>
  <c r="F307" i="23"/>
  <c r="F308" i="23"/>
  <c r="F293" i="23"/>
  <c r="F309" i="23"/>
  <c r="F296" i="23"/>
  <c r="F312" i="23"/>
  <c r="D319" i="23"/>
  <c r="G315" i="23"/>
  <c r="B312" i="23"/>
  <c r="C312" i="23" s="1"/>
  <c r="D308" i="23"/>
  <c r="G304" i="23"/>
  <c r="A301" i="23"/>
  <c r="B297" i="23"/>
  <c r="C297" i="23" s="1"/>
  <c r="D293" i="23"/>
  <c r="B319" i="23"/>
  <c r="C319" i="23" s="1"/>
  <c r="A312" i="23"/>
  <c r="B308" i="23"/>
  <c r="C308" i="23" s="1"/>
  <c r="D304" i="23"/>
  <c r="G300" i="23"/>
  <c r="A297" i="23"/>
  <c r="B293" i="23"/>
  <c r="C293" i="23" s="1"/>
  <c r="A319" i="23"/>
  <c r="D315" i="23"/>
  <c r="G311" i="23"/>
  <c r="A308" i="23"/>
  <c r="B304" i="23"/>
  <c r="C304" i="23" s="1"/>
  <c r="D300" i="23"/>
  <c r="G296" i="23"/>
  <c r="A293" i="23"/>
  <c r="G318" i="23"/>
  <c r="B315" i="23"/>
  <c r="C315" i="23" s="1"/>
  <c r="D311" i="23"/>
  <c r="G307" i="23"/>
  <c r="A304" i="23"/>
  <c r="B300" i="23"/>
  <c r="C300" i="23" s="1"/>
  <c r="G292" i="23"/>
  <c r="D318" i="23"/>
  <c r="A315" i="23"/>
  <c r="B311" i="23"/>
  <c r="C311" i="23" s="1"/>
  <c r="D307" i="23"/>
  <c r="G303" i="23"/>
  <c r="A300" i="23"/>
  <c r="D296" i="23"/>
  <c r="B318" i="23"/>
  <c r="C318" i="23" s="1"/>
  <c r="G314" i="23"/>
  <c r="A311" i="23"/>
  <c r="B307" i="23"/>
  <c r="C307" i="23" s="1"/>
  <c r="D303" i="23"/>
  <c r="A318" i="23"/>
  <c r="D314" i="23"/>
  <c r="G310" i="23"/>
  <c r="A307" i="23"/>
  <c r="B303" i="23"/>
  <c r="C303" i="23" s="1"/>
  <c r="A296" i="23"/>
  <c r="B292" i="23"/>
  <c r="C292" i="23" s="1"/>
  <c r="G317" i="23"/>
  <c r="B314" i="23"/>
  <c r="C314" i="23" s="1"/>
  <c r="D310" i="23"/>
  <c r="G306" i="23"/>
  <c r="A303" i="23"/>
  <c r="D299" i="23"/>
  <c r="G295" i="23"/>
  <c r="A292" i="23"/>
  <c r="A314" i="23"/>
  <c r="B310" i="23"/>
  <c r="C310" i="23" s="1"/>
  <c r="D306" i="23"/>
  <c r="G302" i="23"/>
  <c r="B299" i="23"/>
  <c r="D295" i="23"/>
  <c r="F294" i="23"/>
  <c r="F295" i="23"/>
  <c r="A317" i="23"/>
  <c r="B313" i="23"/>
  <c r="C313" i="23" s="1"/>
  <c r="D309" i="23"/>
  <c r="G305" i="23"/>
  <c r="A302" i="23"/>
  <c r="D298" i="23"/>
  <c r="G294" i="23"/>
  <c r="F310" i="23"/>
  <c r="G316" i="23"/>
  <c r="A313" i="23"/>
  <c r="B309" i="23"/>
  <c r="C309" i="23" s="1"/>
  <c r="G301" i="23"/>
  <c r="B298" i="23"/>
  <c r="C298" i="23" s="1"/>
  <c r="D294" i="23"/>
  <c r="B316" i="23"/>
  <c r="C316" i="23" s="1"/>
  <c r="A305" i="23"/>
  <c r="A294" i="23"/>
  <c r="A316" i="23"/>
  <c r="D302" i="23"/>
  <c r="G293" i="23"/>
  <c r="G313" i="23"/>
  <c r="B302" i="23"/>
  <c r="C302" i="23" s="1"/>
  <c r="D292" i="23"/>
  <c r="D313" i="23"/>
  <c r="G312" i="23"/>
  <c r="D301" i="23"/>
  <c r="B301" i="23"/>
  <c r="C301" i="23" s="1"/>
  <c r="B295" i="23"/>
  <c r="C295" i="23" s="1"/>
  <c r="D312" i="23"/>
  <c r="G299" i="23"/>
  <c r="F311" i="23"/>
  <c r="A310" i="23"/>
  <c r="A299" i="23"/>
  <c r="G309" i="23"/>
  <c r="G298" i="23"/>
  <c r="A309" i="23"/>
  <c r="A298" i="23"/>
  <c r="G308" i="23"/>
  <c r="G297" i="23"/>
  <c r="D297" i="23"/>
  <c r="G319" i="23"/>
  <c r="B306" i="23"/>
  <c r="C306" i="23" s="1"/>
  <c r="B296" i="23"/>
  <c r="C296" i="23" s="1"/>
  <c r="D317" i="23"/>
  <c r="B317" i="23"/>
  <c r="C317" i="23" s="1"/>
  <c r="D316" i="23"/>
  <c r="A306" i="23"/>
  <c r="D305" i="23"/>
  <c r="B305" i="23"/>
  <c r="C305" i="23" s="1"/>
  <c r="A295" i="23"/>
  <c r="B294" i="23"/>
  <c r="C294" i="23" s="1"/>
  <c r="L329" i="23"/>
  <c r="F343" i="23"/>
  <c r="F359" i="23"/>
  <c r="F344" i="23"/>
  <c r="F360" i="23"/>
  <c r="F345" i="23"/>
  <c r="F346" i="23"/>
  <c r="F347" i="23"/>
  <c r="F348" i="23"/>
  <c r="F349" i="23"/>
  <c r="F334" i="23"/>
  <c r="F350" i="23"/>
  <c r="F335" i="23"/>
  <c r="F351" i="23"/>
  <c r="F336" i="23"/>
  <c r="F352" i="23"/>
  <c r="F337" i="23"/>
  <c r="F353" i="23"/>
  <c r="F338" i="23"/>
  <c r="F354" i="23"/>
  <c r="F333" i="23"/>
  <c r="F339" i="23"/>
  <c r="F355" i="23"/>
  <c r="F342" i="23"/>
  <c r="F358" i="23"/>
  <c r="F357" i="23"/>
  <c r="B357" i="23"/>
  <c r="C357" i="23" s="1"/>
  <c r="D353" i="23"/>
  <c r="A346" i="23"/>
  <c r="A342" i="23"/>
  <c r="D338" i="23"/>
  <c r="D334" i="23"/>
  <c r="A357" i="23"/>
  <c r="B353" i="23"/>
  <c r="C353" i="23" s="1"/>
  <c r="D349" i="23"/>
  <c r="G345" i="23"/>
  <c r="G341" i="23"/>
  <c r="B338" i="23"/>
  <c r="C338" i="23" s="1"/>
  <c r="B334" i="23"/>
  <c r="C334" i="23" s="1"/>
  <c r="G360" i="23"/>
  <c r="G356" i="23"/>
  <c r="A353" i="23"/>
  <c r="B349" i="23"/>
  <c r="C349" i="23" s="1"/>
  <c r="D345" i="23"/>
  <c r="A338" i="23"/>
  <c r="A334" i="23"/>
  <c r="D360" i="23"/>
  <c r="G352" i="23"/>
  <c r="A349" i="23"/>
  <c r="B345" i="23"/>
  <c r="C345" i="23" s="1"/>
  <c r="D341" i="23"/>
  <c r="G337" i="23"/>
  <c r="G333" i="23"/>
  <c r="B360" i="23"/>
  <c r="C360" i="23" s="1"/>
  <c r="D356" i="23"/>
  <c r="D352" i="23"/>
  <c r="G348" i="23"/>
  <c r="A345" i="23"/>
  <c r="B341" i="23"/>
  <c r="C341" i="23" s="1"/>
  <c r="D337" i="23"/>
  <c r="A360" i="23"/>
  <c r="B356" i="23"/>
  <c r="C356" i="23" s="1"/>
  <c r="B352" i="23"/>
  <c r="C352" i="23" s="1"/>
  <c r="G344" i="23"/>
  <c r="A341" i="23"/>
  <c r="B337" i="23"/>
  <c r="C337" i="23" s="1"/>
  <c r="D333" i="23"/>
  <c r="G359" i="23"/>
  <c r="A356" i="23"/>
  <c r="A352" i="23"/>
  <c r="D348" i="23"/>
  <c r="D344" i="23"/>
  <c r="G340" i="23"/>
  <c r="A337" i="23"/>
  <c r="B333" i="23"/>
  <c r="C333" i="23" s="1"/>
  <c r="D359" i="23"/>
  <c r="G355" i="23"/>
  <c r="G351" i="23"/>
  <c r="B348" i="23"/>
  <c r="C348" i="23" s="1"/>
  <c r="B344" i="23"/>
  <c r="C344" i="23" s="1"/>
  <c r="G336" i="23"/>
  <c r="A333" i="23"/>
  <c r="B359" i="23"/>
  <c r="C359" i="23" s="1"/>
  <c r="D355" i="23"/>
  <c r="D351" i="23"/>
  <c r="A348" i="23"/>
  <c r="A344" i="23"/>
  <c r="D340" i="23"/>
  <c r="D336" i="23"/>
  <c r="A359" i="23"/>
  <c r="B355" i="23"/>
  <c r="C355" i="23" s="1"/>
  <c r="B351" i="23"/>
  <c r="C351" i="23" s="1"/>
  <c r="G347" i="23"/>
  <c r="G343" i="23"/>
  <c r="B340" i="23"/>
  <c r="C340" i="23" s="1"/>
  <c r="B336" i="23"/>
  <c r="C336" i="23" s="1"/>
  <c r="G358" i="23"/>
  <c r="A355" i="23"/>
  <c r="A351" i="23"/>
  <c r="D347" i="23"/>
  <c r="D343" i="23"/>
  <c r="A340" i="23"/>
  <c r="A336" i="23"/>
  <c r="D358" i="23"/>
  <c r="G354" i="23"/>
  <c r="G350" i="23"/>
  <c r="B347" i="23"/>
  <c r="C347" i="23" s="1"/>
  <c r="B343" i="23"/>
  <c r="C343" i="23" s="1"/>
  <c r="G339" i="23"/>
  <c r="G335" i="23"/>
  <c r="B358" i="23"/>
  <c r="C358" i="23" s="1"/>
  <c r="D354" i="23"/>
  <c r="D350" i="23"/>
  <c r="A347" i="23"/>
  <c r="A343" i="23"/>
  <c r="D339" i="23"/>
  <c r="D335" i="23"/>
  <c r="A358" i="23"/>
  <c r="A339" i="23"/>
  <c r="G357" i="23"/>
  <c r="G338" i="23"/>
  <c r="D342" i="23"/>
  <c r="D357" i="23"/>
  <c r="B335" i="23"/>
  <c r="C335" i="23" s="1"/>
  <c r="B354" i="23"/>
  <c r="C354" i="23" s="1"/>
  <c r="A335" i="23"/>
  <c r="A354" i="23"/>
  <c r="G334" i="23"/>
  <c r="G353" i="23"/>
  <c r="B350" i="23"/>
  <c r="C350" i="23" s="1"/>
  <c r="A350" i="23"/>
  <c r="G349" i="23"/>
  <c r="G346" i="23"/>
  <c r="D346" i="23"/>
  <c r="F340" i="23"/>
  <c r="B346" i="23"/>
  <c r="C346" i="23" s="1"/>
  <c r="F341" i="23"/>
  <c r="G342" i="23"/>
  <c r="F356" i="23"/>
  <c r="B339" i="23"/>
  <c r="C339" i="23" s="1"/>
  <c r="B342" i="23"/>
  <c r="C342" i="23" s="1"/>
  <c r="L575" i="23"/>
  <c r="F587" i="23"/>
  <c r="F603" i="23"/>
  <c r="F588" i="23"/>
  <c r="F604" i="23"/>
  <c r="D606" i="23"/>
  <c r="G602" i="23"/>
  <c r="A599" i="23"/>
  <c r="B595" i="23"/>
  <c r="C595" i="23" s="1"/>
  <c r="D591" i="23"/>
  <c r="G587" i="23"/>
  <c r="A584" i="23"/>
  <c r="D580" i="23"/>
  <c r="F589" i="23"/>
  <c r="F605" i="23"/>
  <c r="F590" i="23"/>
  <c r="F606" i="23"/>
  <c r="A606" i="23"/>
  <c r="D602" i="23"/>
  <c r="D598" i="23"/>
  <c r="G594" i="23"/>
  <c r="F591" i="23"/>
  <c r="F592" i="23"/>
  <c r="D605" i="23"/>
  <c r="A602" i="23"/>
  <c r="A598" i="23"/>
  <c r="D594" i="23"/>
  <c r="F593" i="23"/>
  <c r="F594" i="23"/>
  <c r="A605" i="23"/>
  <c r="F595" i="23"/>
  <c r="F580" i="23"/>
  <c r="F596" i="23"/>
  <c r="A601" i="23"/>
  <c r="A597" i="23"/>
  <c r="D593" i="23"/>
  <c r="D589" i="23"/>
  <c r="A586" i="23"/>
  <c r="A582" i="23"/>
  <c r="F581" i="23"/>
  <c r="F597" i="23"/>
  <c r="F582" i="23"/>
  <c r="F598" i="23"/>
  <c r="F583" i="23"/>
  <c r="F599" i="23"/>
  <c r="F586" i="23"/>
  <c r="F602" i="23"/>
  <c r="G604" i="23"/>
  <c r="A600" i="23"/>
  <c r="A595" i="23"/>
  <c r="B590" i="23"/>
  <c r="C590" i="23" s="1"/>
  <c r="B586" i="23"/>
  <c r="C586" i="23" s="1"/>
  <c r="G581" i="23"/>
  <c r="D604" i="23"/>
  <c r="G599" i="23"/>
  <c r="A590" i="23"/>
  <c r="G585" i="23"/>
  <c r="F584" i="23"/>
  <c r="B604" i="23"/>
  <c r="C604" i="23" s="1"/>
  <c r="D599" i="23"/>
  <c r="B594" i="23"/>
  <c r="C594" i="23" s="1"/>
  <c r="G589" i="23"/>
  <c r="D585" i="23"/>
  <c r="D581" i="23"/>
  <c r="F585" i="23"/>
  <c r="A604" i="23"/>
  <c r="B599" i="23"/>
  <c r="C599" i="23" s="1"/>
  <c r="A594" i="23"/>
  <c r="B589" i="23"/>
  <c r="C589" i="23" s="1"/>
  <c r="B585" i="23"/>
  <c r="C585" i="23" s="1"/>
  <c r="B581" i="23"/>
  <c r="C581" i="23" s="1"/>
  <c r="F600" i="23"/>
  <c r="G603" i="23"/>
  <c r="G598" i="23"/>
  <c r="G593" i="23"/>
  <c r="A589" i="23"/>
  <c r="A585" i="23"/>
  <c r="A581" i="23"/>
  <c r="F601" i="23"/>
  <c r="D603" i="23"/>
  <c r="B598" i="23"/>
  <c r="C598" i="23" s="1"/>
  <c r="B593" i="23"/>
  <c r="C593" i="23" s="1"/>
  <c r="G588" i="23"/>
  <c r="G584" i="23"/>
  <c r="G580" i="23"/>
  <c r="B603" i="23"/>
  <c r="C603" i="23" s="1"/>
  <c r="G597" i="23"/>
  <c r="A593" i="23"/>
  <c r="D584" i="23"/>
  <c r="B580" i="23"/>
  <c r="C580" i="23" s="1"/>
  <c r="A603" i="23"/>
  <c r="D597" i="23"/>
  <c r="G592" i="23"/>
  <c r="D588" i="23"/>
  <c r="B584" i="23"/>
  <c r="C584" i="23" s="1"/>
  <c r="A580" i="23"/>
  <c r="B597" i="23"/>
  <c r="C597" i="23" s="1"/>
  <c r="D592" i="23"/>
  <c r="B588" i="23"/>
  <c r="C588" i="23" s="1"/>
  <c r="G583" i="23"/>
  <c r="G579" i="23"/>
  <c r="B602" i="23"/>
  <c r="C602" i="23" s="1"/>
  <c r="G596" i="23"/>
  <c r="B592" i="23"/>
  <c r="C592" i="23" s="1"/>
  <c r="A588" i="23"/>
  <c r="D583" i="23"/>
  <c r="G601" i="23"/>
  <c r="D596" i="23"/>
  <c r="A592" i="23"/>
  <c r="D587" i="23"/>
  <c r="B583" i="23"/>
  <c r="C583" i="23" s="1"/>
  <c r="D579" i="23"/>
  <c r="D601" i="23"/>
  <c r="B596" i="23"/>
  <c r="C596" i="23" s="1"/>
  <c r="G591" i="23"/>
  <c r="B587" i="23"/>
  <c r="C587" i="23" s="1"/>
  <c r="A583" i="23"/>
  <c r="B579" i="23"/>
  <c r="C579" i="23" s="1"/>
  <c r="G606" i="23"/>
  <c r="B601" i="23"/>
  <c r="C601" i="23" s="1"/>
  <c r="A596" i="23"/>
  <c r="B591" i="23"/>
  <c r="C591" i="23" s="1"/>
  <c r="A587" i="23"/>
  <c r="G582" i="23"/>
  <c r="A579" i="23"/>
  <c r="D586" i="23"/>
  <c r="D582" i="23"/>
  <c r="B606" i="23"/>
  <c r="C606" i="23" s="1"/>
  <c r="B582" i="23"/>
  <c r="C582" i="23" s="1"/>
  <c r="G605" i="23"/>
  <c r="B605" i="23"/>
  <c r="C605" i="23" s="1"/>
  <c r="G600" i="23"/>
  <c r="D600" i="23"/>
  <c r="B600" i="23"/>
  <c r="C600" i="23" s="1"/>
  <c r="G595" i="23"/>
  <c r="D595" i="23"/>
  <c r="F579" i="23"/>
  <c r="A591" i="23"/>
  <c r="G590" i="23"/>
  <c r="D590" i="23"/>
  <c r="G586" i="23"/>
  <c r="L1" i="23"/>
  <c r="R18" i="6"/>
  <c r="K361" i="23" l="1"/>
  <c r="K566" i="23"/>
  <c r="K402" i="23"/>
  <c r="K238" i="23"/>
  <c r="AE48" i="22"/>
  <c r="AE47" i="22"/>
  <c r="AE88" i="22"/>
  <c r="AE87" i="22"/>
  <c r="AE192" i="22"/>
  <c r="AE191" i="22"/>
  <c r="AE68" i="22"/>
  <c r="AE67" i="22"/>
  <c r="AE131" i="22"/>
  <c r="AE130" i="22"/>
  <c r="M88" i="22"/>
  <c r="M87" i="22"/>
  <c r="AE151" i="22"/>
  <c r="AE150" i="22"/>
  <c r="M111" i="22"/>
  <c r="M110" i="22"/>
  <c r="M171" i="22"/>
  <c r="M170" i="22"/>
  <c r="AE111" i="22"/>
  <c r="AE110" i="22"/>
  <c r="M192" i="22"/>
  <c r="M191" i="22"/>
  <c r="M131" i="22"/>
  <c r="M130" i="22"/>
  <c r="M48" i="22"/>
  <c r="M47" i="22"/>
  <c r="AE212" i="22"/>
  <c r="AE211" i="22"/>
  <c r="M212" i="22"/>
  <c r="M211" i="22"/>
  <c r="AE28" i="22"/>
  <c r="M151" i="22"/>
  <c r="M150" i="22"/>
  <c r="AE171" i="22"/>
  <c r="AE170" i="22"/>
  <c r="M68" i="22"/>
  <c r="M67" i="22"/>
  <c r="AE27" i="22"/>
  <c r="M28" i="22"/>
  <c r="M27" i="22"/>
  <c r="K197" i="23"/>
  <c r="K689" i="23"/>
  <c r="K607" i="23"/>
  <c r="C812" i="23"/>
  <c r="E812" i="23"/>
  <c r="H812" i="23" s="1"/>
  <c r="E402" i="23"/>
  <c r="H402" i="23" s="1"/>
  <c r="C402" i="23"/>
  <c r="E484" i="23"/>
  <c r="H484" i="23" s="1"/>
  <c r="C484" i="23"/>
  <c r="E443" i="23"/>
  <c r="H443" i="23" s="1"/>
  <c r="C443" i="23"/>
  <c r="K809" i="23"/>
  <c r="C197" i="23"/>
  <c r="E197" i="23"/>
  <c r="H197" i="23" s="1"/>
  <c r="E525" i="23"/>
  <c r="H525" i="23" s="1"/>
  <c r="C525" i="23"/>
  <c r="C74" i="23"/>
  <c r="E74" i="23"/>
  <c r="H74" i="23" s="1"/>
  <c r="K74" i="23"/>
  <c r="C566" i="23"/>
  <c r="E566" i="23"/>
  <c r="H566" i="23" s="1"/>
  <c r="K730" i="23"/>
  <c r="C115" i="23"/>
  <c r="E115" i="23"/>
  <c r="H115" i="23" s="1"/>
  <c r="C730" i="23"/>
  <c r="E730" i="23"/>
  <c r="H730" i="23" s="1"/>
  <c r="E648" i="23"/>
  <c r="H648" i="23" s="1"/>
  <c r="C648" i="23"/>
  <c r="E279" i="23"/>
  <c r="H279" i="23" s="1"/>
  <c r="C279" i="23"/>
  <c r="E320" i="23"/>
  <c r="H320" i="23" s="1"/>
  <c r="C320" i="23"/>
  <c r="K320" i="23"/>
  <c r="E771" i="23"/>
  <c r="H771" i="23" s="1"/>
  <c r="C771" i="23"/>
  <c r="E689" i="23"/>
  <c r="H689" i="23" s="1"/>
  <c r="C689" i="23"/>
  <c r="E607" i="23"/>
  <c r="H607" i="23" s="1"/>
  <c r="C607" i="23"/>
  <c r="E361" i="23"/>
  <c r="H361" i="23" s="1"/>
  <c r="C361" i="23"/>
  <c r="K648" i="23"/>
  <c r="C238" i="23"/>
  <c r="E238" i="23"/>
  <c r="H238" i="23" s="1"/>
  <c r="K279" i="23"/>
  <c r="K115" i="23"/>
  <c r="K156" i="23"/>
  <c r="E156" i="23"/>
  <c r="H156" i="23" s="1"/>
  <c r="C156" i="23"/>
  <c r="K33" i="23"/>
  <c r="C33" i="23"/>
  <c r="E33" i="23"/>
  <c r="H33" i="23" s="1"/>
  <c r="K73" i="23"/>
  <c r="C73" i="23"/>
  <c r="K299" i="23"/>
  <c r="C299" i="23"/>
  <c r="K256" i="23"/>
  <c r="C256" i="23"/>
  <c r="E24" i="23"/>
  <c r="H24" i="23" s="1"/>
  <c r="C24" i="23"/>
  <c r="E12" i="23"/>
  <c r="H12" i="23" s="1"/>
  <c r="C12" i="23"/>
  <c r="E25" i="23"/>
  <c r="H25" i="23" s="1"/>
  <c r="C25" i="23"/>
  <c r="K234" i="23"/>
  <c r="K180" i="23"/>
  <c r="K252" i="23"/>
  <c r="K684" i="23"/>
  <c r="K356" i="23"/>
  <c r="K811" i="23"/>
  <c r="K766" i="23"/>
  <c r="K647" i="23"/>
  <c r="K440" i="23"/>
  <c r="K481" i="23"/>
  <c r="K726" i="23"/>
  <c r="K728" i="23"/>
  <c r="K360" i="23"/>
  <c r="K769" i="23"/>
  <c r="K522" i="23"/>
  <c r="K564" i="23"/>
  <c r="K400" i="23"/>
  <c r="K770" i="23"/>
  <c r="K605" i="23"/>
  <c r="K399" i="23"/>
  <c r="K523" i="23"/>
  <c r="K193" i="23"/>
  <c r="K153" i="23"/>
  <c r="K152" i="23"/>
  <c r="K643" i="23"/>
  <c r="K233" i="23"/>
  <c r="K192" i="23"/>
  <c r="K151" i="23"/>
  <c r="K479" i="23"/>
  <c r="R39" i="6"/>
  <c r="S24" i="6" s="1"/>
  <c r="K788" i="23"/>
  <c r="K387" i="23"/>
  <c r="K389" i="23"/>
  <c r="K171" i="23"/>
  <c r="K92" i="23"/>
  <c r="K478" i="23"/>
  <c r="K462" i="23"/>
  <c r="K682" i="23"/>
  <c r="K792" i="23"/>
  <c r="K460" i="23"/>
  <c r="K269" i="23"/>
  <c r="K67" i="23"/>
  <c r="K251" i="23"/>
  <c r="K790" i="23"/>
  <c r="K212" i="23"/>
  <c r="K761" i="23"/>
  <c r="K466" i="23"/>
  <c r="K718" i="23"/>
  <c r="K353" i="23"/>
  <c r="K762" i="23"/>
  <c r="K805" i="23"/>
  <c r="K423" i="23"/>
  <c r="K758" i="23"/>
  <c r="K509" i="23"/>
  <c r="K551" i="23"/>
  <c r="K459" i="23"/>
  <c r="K96" i="23"/>
  <c r="K717" i="23"/>
  <c r="K746" i="23"/>
  <c r="K381" i="23"/>
  <c r="K501" i="23"/>
  <c r="K500" i="23"/>
  <c r="K802" i="23"/>
  <c r="K559" i="23"/>
  <c r="K476" i="23"/>
  <c r="K380" i="23"/>
  <c r="K458" i="23"/>
  <c r="K422" i="23"/>
  <c r="K514" i="23"/>
  <c r="K386" i="23"/>
  <c r="K542" i="23"/>
  <c r="K555" i="23"/>
  <c r="K662" i="23"/>
  <c r="K622" i="23"/>
  <c r="K64" i="23"/>
  <c r="K72" i="23"/>
  <c r="K57" i="23"/>
  <c r="K255" i="23"/>
  <c r="K439" i="23"/>
  <c r="K675" i="23"/>
  <c r="K687" i="23"/>
  <c r="K543" i="23"/>
  <c r="K685" i="23"/>
  <c r="K432" i="23"/>
  <c r="K424" i="23"/>
  <c r="K507" i="23"/>
  <c r="K515" i="23"/>
  <c r="K554" i="23"/>
  <c r="K549" i="23"/>
  <c r="K557" i="23"/>
  <c r="K474" i="23"/>
  <c r="K810" i="23"/>
  <c r="K808" i="23"/>
  <c r="K806" i="23"/>
  <c r="K791" i="23"/>
  <c r="K711" i="23"/>
  <c r="K768" i="23"/>
  <c r="K503" i="23"/>
  <c r="K646" i="23"/>
  <c r="K793" i="23"/>
  <c r="K804" i="23"/>
  <c r="K545" i="23"/>
  <c r="K359" i="23"/>
  <c r="K499" i="23"/>
  <c r="K343" i="23"/>
  <c r="K497" i="23"/>
  <c r="K195" i="23"/>
  <c r="K155" i="23"/>
  <c r="K627" i="23"/>
  <c r="K231" i="23"/>
  <c r="K556" i="23"/>
  <c r="K456" i="23"/>
  <c r="K702" i="23"/>
  <c r="K65" i="23"/>
  <c r="K803" i="23"/>
  <c r="K714" i="23"/>
  <c r="K154" i="23"/>
  <c r="K722" i="23"/>
  <c r="K397" i="23"/>
  <c r="K517" i="23"/>
  <c r="K785" i="23"/>
  <c r="K800" i="23"/>
  <c r="K797" i="23"/>
  <c r="K552" i="23"/>
  <c r="K705" i="23"/>
  <c r="K416" i="23"/>
  <c r="K190" i="23"/>
  <c r="K396" i="23"/>
  <c r="K748" i="23"/>
  <c r="K510" i="23"/>
  <c r="K516" i="23"/>
  <c r="K807" i="23"/>
  <c r="K784" i="23"/>
  <c r="K550" i="23"/>
  <c r="K558" i="23"/>
  <c r="K475" i="23"/>
  <c r="K465" i="23"/>
  <c r="K604" i="23"/>
  <c r="K379" i="23"/>
  <c r="K506" i="23"/>
  <c r="K191" i="23"/>
  <c r="K786" i="23"/>
  <c r="K548" i="23"/>
  <c r="K473" i="23"/>
  <c r="K729" i="23"/>
  <c r="K418" i="23"/>
  <c r="K437" i="23"/>
  <c r="K395" i="23"/>
  <c r="K318" i="23"/>
  <c r="K388" i="23"/>
  <c r="K394" i="23"/>
  <c r="K521" i="23"/>
  <c r="K498" i="23"/>
  <c r="K150" i="23"/>
  <c r="K563" i="23"/>
  <c r="K457" i="23"/>
  <c r="K725" i="23"/>
  <c r="K431" i="23"/>
  <c r="K421" i="23"/>
  <c r="K603" i="23"/>
  <c r="K401" i="23"/>
  <c r="K378" i="23"/>
  <c r="K505" i="23"/>
  <c r="K513" i="23"/>
  <c r="K644" i="23"/>
  <c r="K235" i="23"/>
  <c r="K795" i="23"/>
  <c r="K801" i="23"/>
  <c r="K798" i="23"/>
  <c r="K796" i="23"/>
  <c r="K547" i="23"/>
  <c r="K472" i="23"/>
  <c r="K417" i="23"/>
  <c r="K430" i="23"/>
  <c r="K415" i="23"/>
  <c r="K374" i="23"/>
  <c r="K541" i="23"/>
  <c r="K434" i="23"/>
  <c r="K317" i="23"/>
  <c r="K385" i="23"/>
  <c r="K393" i="23"/>
  <c r="K520" i="23"/>
  <c r="K512" i="23"/>
  <c r="K562" i="23"/>
  <c r="K471" i="23"/>
  <c r="K727" i="23"/>
  <c r="K433" i="23"/>
  <c r="K429" i="23"/>
  <c r="K436" i="23"/>
  <c r="K565" i="23"/>
  <c r="K319" i="23"/>
  <c r="K585" i="23"/>
  <c r="K596" i="23"/>
  <c r="K606" i="23"/>
  <c r="K377" i="23"/>
  <c r="K756" i="23"/>
  <c r="K504" i="23"/>
  <c r="K511" i="23"/>
  <c r="K149" i="23"/>
  <c r="K623" i="23"/>
  <c r="K638" i="23"/>
  <c r="K103" i="23"/>
  <c r="K232" i="23"/>
  <c r="K789" i="23"/>
  <c r="K546" i="23"/>
  <c r="K470" i="23"/>
  <c r="K428" i="23"/>
  <c r="K420" i="23"/>
  <c r="K438" i="23"/>
  <c r="K590" i="23"/>
  <c r="K316" i="23"/>
  <c r="K384" i="23"/>
  <c r="K392" i="23"/>
  <c r="K767" i="23"/>
  <c r="K753" i="23"/>
  <c r="K524" i="23"/>
  <c r="K519" i="23"/>
  <c r="K196" i="23"/>
  <c r="K637" i="23"/>
  <c r="K628" i="23"/>
  <c r="K794" i="23"/>
  <c r="K561" i="23"/>
  <c r="K480" i="23"/>
  <c r="K469" i="23"/>
  <c r="K427" i="23"/>
  <c r="K435" i="23"/>
  <c r="K686" i="23"/>
  <c r="K602" i="23"/>
  <c r="K376" i="23"/>
  <c r="K750" i="23"/>
  <c r="K508" i="23"/>
  <c r="K237" i="23"/>
  <c r="K539" i="23"/>
  <c r="K463" i="23"/>
  <c r="K464" i="23"/>
  <c r="K468" i="23"/>
  <c r="K442" i="23"/>
  <c r="K419" i="23"/>
  <c r="K799" i="23"/>
  <c r="K787" i="23"/>
  <c r="K560" i="23"/>
  <c r="K483" i="23"/>
  <c r="K426" i="23"/>
  <c r="K315" i="23"/>
  <c r="K391" i="23"/>
  <c r="K357" i="23"/>
  <c r="K398" i="23"/>
  <c r="K375" i="23"/>
  <c r="K518" i="23"/>
  <c r="K645" i="23"/>
  <c r="K236" i="23"/>
  <c r="K540" i="23"/>
  <c r="K544" i="23"/>
  <c r="K477" i="23"/>
  <c r="K467" i="23"/>
  <c r="K441" i="23"/>
  <c r="K688" i="23"/>
  <c r="K383" i="23"/>
  <c r="K358" i="23"/>
  <c r="K382" i="23"/>
  <c r="K390" i="23"/>
  <c r="K765" i="23"/>
  <c r="K502" i="23"/>
  <c r="K194" i="23"/>
  <c r="K553" i="23"/>
  <c r="K538" i="23"/>
  <c r="K461" i="23"/>
  <c r="K482" i="23"/>
  <c r="K425" i="23"/>
  <c r="K661" i="23"/>
  <c r="K114" i="23"/>
  <c r="K52" i="23"/>
  <c r="K109" i="23"/>
  <c r="K66" i="23"/>
  <c r="K665" i="23"/>
  <c r="K183" i="23"/>
  <c r="K620" i="23"/>
  <c r="K586" i="23"/>
  <c r="K599" i="23"/>
  <c r="K593" i="23"/>
  <c r="K706" i="23"/>
  <c r="K724" i="23"/>
  <c r="K752" i="23"/>
  <c r="K759" i="23"/>
  <c r="K755" i="23"/>
  <c r="K757" i="23"/>
  <c r="K743" i="23"/>
  <c r="K749" i="23"/>
  <c r="K764" i="23"/>
  <c r="K747" i="23"/>
  <c r="K763" i="23"/>
  <c r="K744" i="23"/>
  <c r="K745" i="23"/>
  <c r="K751" i="23"/>
  <c r="K754" i="23"/>
  <c r="K760" i="23"/>
  <c r="K216" i="23"/>
  <c r="K703" i="23"/>
  <c r="K580" i="23"/>
  <c r="K640" i="23"/>
  <c r="K601" i="23"/>
  <c r="K595" i="23"/>
  <c r="K632" i="23"/>
  <c r="K670" i="23"/>
  <c r="K678" i="23"/>
  <c r="K634" i="23"/>
  <c r="K668" i="23"/>
  <c r="K680" i="23"/>
  <c r="K723" i="23"/>
  <c r="K716" i="23"/>
  <c r="K712" i="23"/>
  <c r="K666" i="23"/>
  <c r="K721" i="23"/>
  <c r="K720" i="23"/>
  <c r="K719" i="23"/>
  <c r="K713" i="23"/>
  <c r="K715" i="23"/>
  <c r="K710" i="23"/>
  <c r="K707" i="23"/>
  <c r="K709" i="23"/>
  <c r="K669" i="23"/>
  <c r="K704" i="23"/>
  <c r="K708" i="23"/>
  <c r="K642" i="23"/>
  <c r="K89" i="23"/>
  <c r="K633" i="23"/>
  <c r="K671" i="23"/>
  <c r="K664" i="23"/>
  <c r="K679" i="23"/>
  <c r="K674" i="23"/>
  <c r="K683" i="23"/>
  <c r="K663" i="23"/>
  <c r="K667" i="23"/>
  <c r="K677" i="23"/>
  <c r="K673" i="23"/>
  <c r="K672" i="23"/>
  <c r="K676" i="23"/>
  <c r="K681" i="23"/>
  <c r="K641" i="23"/>
  <c r="K636" i="23"/>
  <c r="K635" i="23"/>
  <c r="K631" i="23"/>
  <c r="K639" i="23"/>
  <c r="K94" i="23"/>
  <c r="K587" i="23"/>
  <c r="K624" i="23"/>
  <c r="K629" i="23"/>
  <c r="K131" i="23"/>
  <c r="K630" i="23"/>
  <c r="K625" i="23"/>
  <c r="K592" i="23"/>
  <c r="K626" i="23"/>
  <c r="K621" i="23"/>
  <c r="K51" i="23"/>
  <c r="K143" i="23"/>
  <c r="K597" i="23"/>
  <c r="K600" i="23"/>
  <c r="K50" i="23"/>
  <c r="K591" i="23"/>
  <c r="K302" i="23"/>
  <c r="K113" i="23"/>
  <c r="K594" i="23"/>
  <c r="K598" i="23"/>
  <c r="K352" i="23"/>
  <c r="K49" i="23"/>
  <c r="K213" i="23"/>
  <c r="K589" i="23"/>
  <c r="K579" i="23"/>
  <c r="K581" i="23"/>
  <c r="K214" i="23"/>
  <c r="K588" i="23"/>
  <c r="K583" i="23"/>
  <c r="K582" i="23"/>
  <c r="K584" i="23"/>
  <c r="K104" i="23"/>
  <c r="K229" i="23"/>
  <c r="K98" i="23"/>
  <c r="K58" i="23"/>
  <c r="K108" i="23"/>
  <c r="K261" i="23"/>
  <c r="K62" i="23"/>
  <c r="K277" i="23"/>
  <c r="K303" i="23"/>
  <c r="K254" i="23"/>
  <c r="K311" i="23"/>
  <c r="K170" i="23"/>
  <c r="K262" i="23"/>
  <c r="K270" i="23"/>
  <c r="K347" i="23"/>
  <c r="K278" i="23"/>
  <c r="K93" i="23"/>
  <c r="K257" i="23"/>
  <c r="K300" i="23"/>
  <c r="K210" i="23"/>
  <c r="K140" i="23"/>
  <c r="K148" i="23"/>
  <c r="K135" i="23"/>
  <c r="K228" i="23"/>
  <c r="K223" i="23"/>
  <c r="K56" i="23"/>
  <c r="K111" i="23"/>
  <c r="K107" i="23"/>
  <c r="K189" i="23"/>
  <c r="K350" i="23"/>
  <c r="K294" i="23"/>
  <c r="K296" i="23"/>
  <c r="K138" i="23"/>
  <c r="K272" i="23"/>
  <c r="K342" i="23"/>
  <c r="K292" i="23"/>
  <c r="K265" i="23"/>
  <c r="K172" i="23"/>
  <c r="K348" i="23"/>
  <c r="K60" i="23"/>
  <c r="K61" i="23"/>
  <c r="K334" i="23"/>
  <c r="K308" i="23"/>
  <c r="K271" i="23"/>
  <c r="K215" i="23"/>
  <c r="K188" i="23"/>
  <c r="K99" i="23"/>
  <c r="K169" i="23"/>
  <c r="K110" i="23"/>
  <c r="K59" i="23"/>
  <c r="K47" i="23"/>
  <c r="K178" i="23"/>
  <c r="K112" i="23"/>
  <c r="K314" i="23"/>
  <c r="K132" i="23"/>
  <c r="K146" i="23"/>
  <c r="K97" i="23"/>
  <c r="K222" i="23"/>
  <c r="K273" i="23"/>
  <c r="K184" i="23"/>
  <c r="K101" i="23"/>
  <c r="K134" i="23"/>
  <c r="K136" i="23"/>
  <c r="K336" i="23"/>
  <c r="K68" i="23"/>
  <c r="K102" i="23"/>
  <c r="K221" i="23"/>
  <c r="K351" i="23"/>
  <c r="K48" i="23"/>
  <c r="K301" i="23"/>
  <c r="K310" i="23"/>
  <c r="K225" i="23"/>
  <c r="K297" i="23"/>
  <c r="K337" i="23"/>
  <c r="K176" i="23"/>
  <c r="K87" i="23"/>
  <c r="K344" i="23"/>
  <c r="K54" i="23"/>
  <c r="K63" i="23"/>
  <c r="K275" i="23"/>
  <c r="K70" i="23"/>
  <c r="K354" i="23"/>
  <c r="K335" i="23"/>
  <c r="K181" i="23"/>
  <c r="K144" i="23"/>
  <c r="K333" i="23"/>
  <c r="K341" i="23"/>
  <c r="K90" i="23"/>
  <c r="K259" i="23"/>
  <c r="K267" i="23"/>
  <c r="K100" i="23"/>
  <c r="K226" i="23"/>
  <c r="K230" i="23"/>
  <c r="K24" i="23"/>
  <c r="K263" i="23"/>
  <c r="K105" i="23"/>
  <c r="K306" i="23"/>
  <c r="K147" i="23"/>
  <c r="K175" i="23"/>
  <c r="K88" i="23"/>
  <c r="K258" i="23"/>
  <c r="K345" i="23"/>
  <c r="K211" i="23"/>
  <c r="K217" i="23"/>
  <c r="K182" i="23"/>
  <c r="K55" i="23"/>
  <c r="K313" i="23"/>
  <c r="K174" i="23"/>
  <c r="K177" i="23"/>
  <c r="K142" i="23"/>
  <c r="K106" i="23"/>
  <c r="K339" i="23"/>
  <c r="K293" i="23"/>
  <c r="K185" i="23"/>
  <c r="K95" i="23"/>
  <c r="K268" i="23"/>
  <c r="K145" i="23"/>
  <c r="K137" i="23"/>
  <c r="E18" i="23"/>
  <c r="H18" i="23" s="1"/>
  <c r="K18" i="23"/>
  <c r="K338" i="23"/>
  <c r="K218" i="23"/>
  <c r="E31" i="23"/>
  <c r="H31" i="23" s="1"/>
  <c r="K31" i="23"/>
  <c r="K69" i="23"/>
  <c r="K307" i="23"/>
  <c r="K179" i="23"/>
  <c r="K130" i="23"/>
  <c r="E5" i="23"/>
  <c r="H5" i="23" s="1"/>
  <c r="K5" i="23"/>
  <c r="E15" i="23"/>
  <c r="H15" i="23" s="1"/>
  <c r="K15" i="23"/>
  <c r="K276" i="23"/>
  <c r="E13" i="23"/>
  <c r="H13" i="23" s="1"/>
  <c r="K13" i="23"/>
  <c r="K128" i="23"/>
  <c r="K220" i="23"/>
  <c r="E28" i="23"/>
  <c r="H28" i="23" s="1"/>
  <c r="K28" i="23"/>
  <c r="E26" i="23"/>
  <c r="H26" i="23" s="1"/>
  <c r="K26" i="23"/>
  <c r="E22" i="23"/>
  <c r="H22" i="23" s="1"/>
  <c r="K22" i="23"/>
  <c r="E30" i="23"/>
  <c r="H30" i="23" s="1"/>
  <c r="K30" i="23"/>
  <c r="E10" i="23"/>
  <c r="H10" i="23" s="1"/>
  <c r="K10" i="23"/>
  <c r="E6" i="23"/>
  <c r="H6" i="23" s="1"/>
  <c r="K6" i="23"/>
  <c r="K139" i="23"/>
  <c r="E29" i="23"/>
  <c r="H29" i="23" s="1"/>
  <c r="K29" i="23"/>
  <c r="E20" i="23"/>
  <c r="H20" i="23" s="1"/>
  <c r="K20" i="23"/>
  <c r="E32" i="23"/>
  <c r="H32" i="23" s="1"/>
  <c r="K32" i="23"/>
  <c r="E9" i="23"/>
  <c r="H9" i="23" s="1"/>
  <c r="K9" i="23"/>
  <c r="K91" i="23"/>
  <c r="E19" i="23"/>
  <c r="H19" i="23" s="1"/>
  <c r="K19" i="23"/>
  <c r="E16" i="23"/>
  <c r="H16" i="23" s="1"/>
  <c r="K16" i="23"/>
  <c r="K253" i="23"/>
  <c r="K304" i="23"/>
  <c r="K227" i="23"/>
  <c r="K266" i="23"/>
  <c r="K312" i="23"/>
  <c r="K129" i="23"/>
  <c r="E23" i="23"/>
  <c r="H23" i="23" s="1"/>
  <c r="K23" i="23"/>
  <c r="K264" i="23"/>
  <c r="K340" i="23"/>
  <c r="K305" i="23"/>
  <c r="E14" i="23"/>
  <c r="H14" i="23" s="1"/>
  <c r="K14" i="23"/>
  <c r="E27" i="23"/>
  <c r="H27" i="23" s="1"/>
  <c r="K27" i="23"/>
  <c r="E7" i="23"/>
  <c r="H7" i="23" s="1"/>
  <c r="K7" i="23"/>
  <c r="K260" i="23"/>
  <c r="E11" i="23"/>
  <c r="H11" i="23" s="1"/>
  <c r="K11" i="23"/>
  <c r="K25" i="23"/>
  <c r="E17" i="23"/>
  <c r="H17" i="23" s="1"/>
  <c r="K17" i="23"/>
  <c r="K71" i="23"/>
  <c r="K187" i="23"/>
  <c r="K219" i="23"/>
  <c r="E21" i="23"/>
  <c r="H21" i="23" s="1"/>
  <c r="K21" i="23"/>
  <c r="K349" i="23"/>
  <c r="K46" i="23"/>
  <c r="K298" i="23"/>
  <c r="K12" i="23"/>
  <c r="K53" i="23"/>
  <c r="K355" i="23"/>
  <c r="K295" i="23"/>
  <c r="K173" i="23"/>
  <c r="K274" i="23"/>
  <c r="K346" i="23"/>
  <c r="K309" i="23"/>
  <c r="K186" i="23"/>
  <c r="K133" i="23"/>
  <c r="K141" i="23"/>
  <c r="K224" i="23"/>
  <c r="E8" i="23"/>
  <c r="H8" i="23" s="1"/>
  <c r="K8" i="23"/>
  <c r="E395" i="23"/>
  <c r="H395" i="23" s="1"/>
  <c r="E360" i="23"/>
  <c r="H360" i="23" s="1"/>
  <c r="E152" i="23"/>
  <c r="H152" i="23" s="1"/>
  <c r="E150" i="23"/>
  <c r="H150" i="23" s="1"/>
  <c r="E643" i="23"/>
  <c r="H643" i="23" s="1"/>
  <c r="E645" i="23"/>
  <c r="H645" i="23" s="1"/>
  <c r="E646" i="23"/>
  <c r="H646" i="23" s="1"/>
  <c r="E685" i="23"/>
  <c r="H685" i="23" s="1"/>
  <c r="E69" i="23"/>
  <c r="H69" i="23" s="1"/>
  <c r="E315" i="23"/>
  <c r="H315" i="23" s="1"/>
  <c r="E319" i="23"/>
  <c r="H319" i="23" s="1"/>
  <c r="E234" i="23"/>
  <c r="H234" i="23" s="1"/>
  <c r="E564" i="23"/>
  <c r="H564" i="23" s="1"/>
  <c r="E725" i="23"/>
  <c r="H725" i="23" s="1"/>
  <c r="E440" i="23"/>
  <c r="H440" i="23" s="1"/>
  <c r="E193" i="23"/>
  <c r="H193" i="23" s="1"/>
  <c r="E642" i="23"/>
  <c r="H642" i="23" s="1"/>
  <c r="E439" i="23"/>
  <c r="H439" i="23" s="1"/>
  <c r="E687" i="23"/>
  <c r="H687" i="23" s="1"/>
  <c r="E602" i="23"/>
  <c r="H602" i="23" s="1"/>
  <c r="E603" i="23"/>
  <c r="H603" i="23" s="1"/>
  <c r="E359" i="23"/>
  <c r="H359" i="23" s="1"/>
  <c r="E401" i="23"/>
  <c r="H401" i="23" s="1"/>
  <c r="E397" i="23"/>
  <c r="H397" i="23" s="1"/>
  <c r="E110" i="23"/>
  <c r="H110" i="23" s="1"/>
  <c r="E113" i="23"/>
  <c r="H113" i="23" s="1"/>
  <c r="E235" i="23"/>
  <c r="H235" i="23" s="1"/>
  <c r="E236" i="23"/>
  <c r="H236" i="23" s="1"/>
  <c r="E478" i="23"/>
  <c r="H478" i="23" s="1"/>
  <c r="E724" i="23"/>
  <c r="H724" i="23" s="1"/>
  <c r="E682" i="23"/>
  <c r="H682" i="23" s="1"/>
  <c r="E194" i="23"/>
  <c r="H194" i="23" s="1"/>
  <c r="E318" i="23"/>
  <c r="H318" i="23" s="1"/>
  <c r="E149" i="23"/>
  <c r="H149" i="23" s="1"/>
  <c r="E561" i="23"/>
  <c r="H561" i="23" s="1"/>
  <c r="E684" i="23"/>
  <c r="H684" i="23" s="1"/>
  <c r="E114" i="23"/>
  <c r="H114" i="23" s="1"/>
  <c r="E563" i="23"/>
  <c r="H563" i="23" s="1"/>
  <c r="E480" i="23"/>
  <c r="H480" i="23" s="1"/>
  <c r="E481" i="23"/>
  <c r="H481" i="23" s="1"/>
  <c r="E437" i="23"/>
  <c r="H437" i="23" s="1"/>
  <c r="E72" i="23"/>
  <c r="H72" i="23" s="1"/>
  <c r="E605" i="23"/>
  <c r="H605" i="23" s="1"/>
  <c r="E400" i="23"/>
  <c r="H400" i="23" s="1"/>
  <c r="E196" i="23"/>
  <c r="H196" i="23" s="1"/>
  <c r="E151" i="23"/>
  <c r="H151" i="23" s="1"/>
  <c r="E155" i="23"/>
  <c r="H155" i="23" s="1"/>
  <c r="E723" i="23"/>
  <c r="H723" i="23" s="1"/>
  <c r="E358" i="23"/>
  <c r="H358" i="23" s="1"/>
  <c r="E112" i="23"/>
  <c r="H112" i="23" s="1"/>
  <c r="E482" i="23"/>
  <c r="H482" i="23" s="1"/>
  <c r="E477" i="23"/>
  <c r="H477" i="23" s="1"/>
  <c r="E442" i="23"/>
  <c r="H442" i="23" s="1"/>
  <c r="E683" i="23"/>
  <c r="H683" i="23" s="1"/>
  <c r="E356" i="23"/>
  <c r="H356" i="23" s="1"/>
  <c r="E399" i="23"/>
  <c r="H399" i="23" s="1"/>
  <c r="E154" i="23"/>
  <c r="H154" i="23" s="1"/>
  <c r="E233" i="23"/>
  <c r="H233" i="23" s="1"/>
  <c r="E562" i="23"/>
  <c r="H562" i="23" s="1"/>
  <c r="E726" i="23"/>
  <c r="H726" i="23" s="1"/>
  <c r="E436" i="23"/>
  <c r="H436" i="23" s="1"/>
  <c r="E606" i="23"/>
  <c r="H606" i="23" s="1"/>
  <c r="E192" i="23"/>
  <c r="H192" i="23" s="1"/>
  <c r="E195" i="23"/>
  <c r="H195" i="23" s="1"/>
  <c r="E231" i="23"/>
  <c r="H231" i="23" s="1"/>
  <c r="E70" i="23"/>
  <c r="H70" i="23" s="1"/>
  <c r="E71" i="23"/>
  <c r="H71" i="23" s="1"/>
  <c r="E190" i="23"/>
  <c r="H190" i="23" s="1"/>
  <c r="E316" i="23"/>
  <c r="H316" i="23" s="1"/>
  <c r="E111" i="23"/>
  <c r="H111" i="23" s="1"/>
  <c r="E237" i="23"/>
  <c r="H237" i="23" s="1"/>
  <c r="E727" i="23"/>
  <c r="H727" i="23" s="1"/>
  <c r="E728" i="23"/>
  <c r="H728" i="23" s="1"/>
  <c r="E73" i="23"/>
  <c r="H73" i="23" s="1"/>
  <c r="E357" i="23"/>
  <c r="H357" i="23" s="1"/>
  <c r="E398" i="23"/>
  <c r="H398" i="23" s="1"/>
  <c r="E191" i="23"/>
  <c r="H191" i="23" s="1"/>
  <c r="E641" i="23"/>
  <c r="H641" i="23" s="1"/>
  <c r="E729" i="23"/>
  <c r="H729" i="23" s="1"/>
  <c r="E317" i="23"/>
  <c r="H317" i="23" s="1"/>
  <c r="E396" i="23"/>
  <c r="H396" i="23" s="1"/>
  <c r="E153" i="23"/>
  <c r="H153" i="23" s="1"/>
  <c r="E644" i="23"/>
  <c r="H644" i="23" s="1"/>
  <c r="E479" i="23"/>
  <c r="H479" i="23" s="1"/>
  <c r="E686" i="23"/>
  <c r="H686" i="23" s="1"/>
  <c r="E647" i="23"/>
  <c r="H647" i="23" s="1"/>
  <c r="E232" i="23"/>
  <c r="H232" i="23" s="1"/>
  <c r="E565" i="23"/>
  <c r="H565" i="23" s="1"/>
  <c r="E483" i="23"/>
  <c r="H483" i="23" s="1"/>
  <c r="E438" i="23"/>
  <c r="H438" i="23" s="1"/>
  <c r="E688" i="23"/>
  <c r="H688" i="23" s="1"/>
  <c r="E604" i="23"/>
  <c r="H604" i="23" s="1"/>
  <c r="E441" i="23"/>
  <c r="H441" i="23" s="1"/>
  <c r="E760" i="23"/>
  <c r="H760" i="23" s="1"/>
  <c r="E803" i="23"/>
  <c r="H803" i="23" s="1"/>
  <c r="E547" i="23"/>
  <c r="H547" i="23" s="1"/>
  <c r="E463" i="23"/>
  <c r="H463" i="23" s="1"/>
  <c r="E64" i="23"/>
  <c r="H64" i="23" s="1"/>
  <c r="E338" i="23"/>
  <c r="H338" i="23" s="1"/>
  <c r="E386" i="23"/>
  <c r="H386" i="23" s="1"/>
  <c r="E622" i="23"/>
  <c r="H622" i="23" s="1"/>
  <c r="E545" i="23"/>
  <c r="H545" i="23" s="1"/>
  <c r="E626" i="23"/>
  <c r="H626" i="23" s="1"/>
  <c r="E524" i="23"/>
  <c r="H524" i="23" s="1"/>
  <c r="E504" i="23"/>
  <c r="H504" i="23" s="1"/>
  <c r="E556" i="23"/>
  <c r="H556" i="23" s="1"/>
  <c r="E714" i="23"/>
  <c r="H714" i="23" s="1"/>
  <c r="E297" i="23"/>
  <c r="H297" i="23" s="1"/>
  <c r="E169" i="23"/>
  <c r="H169" i="23" s="1"/>
  <c r="E462" i="23"/>
  <c r="H462" i="23" s="1"/>
  <c r="E768" i="23"/>
  <c r="H768" i="23" s="1"/>
  <c r="E435" i="23"/>
  <c r="H435" i="23" s="1"/>
  <c r="E223" i="23"/>
  <c r="H223" i="23" s="1"/>
  <c r="E720" i="23"/>
  <c r="H720" i="23" s="1"/>
  <c r="E713" i="23"/>
  <c r="H713" i="23" s="1"/>
  <c r="E253" i="23"/>
  <c r="H253" i="23" s="1"/>
  <c r="E590" i="23"/>
  <c r="H590" i="23" s="1"/>
  <c r="E336" i="23"/>
  <c r="H336" i="23" s="1"/>
  <c r="E294" i="23"/>
  <c r="H294" i="23" s="1"/>
  <c r="E304" i="23"/>
  <c r="H304" i="23" s="1"/>
  <c r="E503" i="23"/>
  <c r="H503" i="23" s="1"/>
  <c r="E628" i="23"/>
  <c r="H628" i="23" s="1"/>
  <c r="E620" i="23"/>
  <c r="H620" i="23" s="1"/>
  <c r="E98" i="23"/>
  <c r="H98" i="23" s="1"/>
  <c r="E213" i="23"/>
  <c r="H213" i="23" s="1"/>
  <c r="E790" i="23"/>
  <c r="H790" i="23" s="1"/>
  <c r="E539" i="23"/>
  <c r="H539" i="23" s="1"/>
  <c r="E458" i="23"/>
  <c r="H458" i="23" s="1"/>
  <c r="E473" i="23"/>
  <c r="H473" i="23" s="1"/>
  <c r="E715" i="23"/>
  <c r="H715" i="23" s="1"/>
  <c r="E716" i="23"/>
  <c r="H716" i="23" s="1"/>
  <c r="E430" i="23"/>
  <c r="H430" i="23" s="1"/>
  <c r="E266" i="23"/>
  <c r="H266" i="23" s="1"/>
  <c r="E663" i="23"/>
  <c r="H663" i="23" s="1"/>
  <c r="E673" i="23"/>
  <c r="H673" i="23" s="1"/>
  <c r="E665" i="23"/>
  <c r="H665" i="23" s="1"/>
  <c r="E54" i="23"/>
  <c r="H54" i="23" s="1"/>
  <c r="E55" i="23"/>
  <c r="H55" i="23" s="1"/>
  <c r="E63" i="23"/>
  <c r="H63" i="23" s="1"/>
  <c r="E60" i="23"/>
  <c r="H60" i="23" s="1"/>
  <c r="E596" i="23"/>
  <c r="H596" i="23" s="1"/>
  <c r="E593" i="23"/>
  <c r="H593" i="23" s="1"/>
  <c r="E340" i="23"/>
  <c r="H340" i="23" s="1"/>
  <c r="E348" i="23"/>
  <c r="H348" i="23" s="1"/>
  <c r="E352" i="23"/>
  <c r="H352" i="23" s="1"/>
  <c r="E313" i="23"/>
  <c r="H313" i="23" s="1"/>
  <c r="E314" i="23"/>
  <c r="H314" i="23" s="1"/>
  <c r="E312" i="23"/>
  <c r="H312" i="23" s="1"/>
  <c r="E753" i="23"/>
  <c r="H753" i="23" s="1"/>
  <c r="E746" i="23"/>
  <c r="H746" i="23" s="1"/>
  <c r="E769" i="23"/>
  <c r="H769" i="23" s="1"/>
  <c r="E770" i="23"/>
  <c r="H770" i="23" s="1"/>
  <c r="E513" i="23"/>
  <c r="H513" i="23" s="1"/>
  <c r="E174" i="23"/>
  <c r="H174" i="23" s="1"/>
  <c r="E132" i="23"/>
  <c r="H132" i="23" s="1"/>
  <c r="E129" i="23"/>
  <c r="H129" i="23" s="1"/>
  <c r="E146" i="23"/>
  <c r="H146" i="23" s="1"/>
  <c r="E633" i="23"/>
  <c r="H633" i="23" s="1"/>
  <c r="E621" i="23"/>
  <c r="H621" i="23" s="1"/>
  <c r="E94" i="23"/>
  <c r="H94" i="23" s="1"/>
  <c r="E101" i="23"/>
  <c r="H101" i="23" s="1"/>
  <c r="E214" i="23"/>
  <c r="H214" i="23" s="1"/>
  <c r="E800" i="23"/>
  <c r="H800" i="23" s="1"/>
  <c r="E794" i="23"/>
  <c r="H794" i="23" s="1"/>
  <c r="E457" i="23"/>
  <c r="H457" i="23" s="1"/>
  <c r="E251" i="23"/>
  <c r="H251" i="23" s="1"/>
  <c r="E264" i="23"/>
  <c r="H264" i="23" s="1"/>
  <c r="E677" i="23"/>
  <c r="H677" i="23" s="1"/>
  <c r="E65" i="23"/>
  <c r="H65" i="23" s="1"/>
  <c r="E57" i="23"/>
  <c r="H57" i="23" s="1"/>
  <c r="E51" i="23"/>
  <c r="H51" i="23" s="1"/>
  <c r="E334" i="23"/>
  <c r="H334" i="23" s="1"/>
  <c r="E523" i="23"/>
  <c r="H523" i="23" s="1"/>
  <c r="E374" i="23"/>
  <c r="H374" i="23" s="1"/>
  <c r="E743" i="23"/>
  <c r="H743" i="23" s="1"/>
  <c r="E510" i="23"/>
  <c r="H510" i="23" s="1"/>
  <c r="E276" i="23"/>
  <c r="H276" i="23" s="1"/>
  <c r="E669" i="23"/>
  <c r="H669" i="23" s="1"/>
  <c r="E472" i="23"/>
  <c r="H472" i="23" s="1"/>
  <c r="E579" i="23"/>
  <c r="H579" i="23" s="1"/>
  <c r="E302" i="23"/>
  <c r="H302" i="23" s="1"/>
  <c r="E175" i="23"/>
  <c r="H175" i="23" s="1"/>
  <c r="E261" i="23"/>
  <c r="H261" i="23" s="1"/>
  <c r="E345" i="23"/>
  <c r="H345" i="23" s="1"/>
  <c r="E379" i="23"/>
  <c r="H379" i="23" s="1"/>
  <c r="E421" i="23"/>
  <c r="H421" i="23" s="1"/>
  <c r="E170" i="23"/>
  <c r="H170" i="23" s="1"/>
  <c r="E222" i="23"/>
  <c r="H222" i="23" s="1"/>
  <c r="E763" i="23"/>
  <c r="H763" i="23" s="1"/>
  <c r="E138" i="23"/>
  <c r="H138" i="23" s="1"/>
  <c r="E809" i="23"/>
  <c r="H809" i="23" s="1"/>
  <c r="E802" i="23"/>
  <c r="H802" i="23" s="1"/>
  <c r="E460" i="23"/>
  <c r="H460" i="23" s="1"/>
  <c r="E461" i="23"/>
  <c r="H461" i="23" s="1"/>
  <c r="E465" i="23"/>
  <c r="H465" i="23" s="1"/>
  <c r="E721" i="23"/>
  <c r="H721" i="23" s="1"/>
  <c r="E420" i="23"/>
  <c r="H420" i="23" s="1"/>
  <c r="E260" i="23"/>
  <c r="H260" i="23" s="1"/>
  <c r="E257" i="23"/>
  <c r="H257" i="23" s="1"/>
  <c r="E676" i="23"/>
  <c r="H676" i="23" s="1"/>
  <c r="E61" i="23"/>
  <c r="H61" i="23" s="1"/>
  <c r="E591" i="23"/>
  <c r="H591" i="23" s="1"/>
  <c r="E517" i="23"/>
  <c r="H517" i="23" s="1"/>
  <c r="E634" i="23"/>
  <c r="H634" i="23" s="1"/>
  <c r="E471" i="23"/>
  <c r="H471" i="23" s="1"/>
  <c r="E705" i="23"/>
  <c r="H705" i="23" s="1"/>
  <c r="E432" i="23"/>
  <c r="H432" i="23" s="1"/>
  <c r="E745" i="23"/>
  <c r="H745" i="23" s="1"/>
  <c r="E130" i="23"/>
  <c r="H130" i="23" s="1"/>
  <c r="E640" i="23"/>
  <c r="H640" i="23" s="1"/>
  <c r="E108" i="23"/>
  <c r="H108" i="23" s="1"/>
  <c r="E635" i="23"/>
  <c r="H635" i="23" s="1"/>
  <c r="E427" i="23"/>
  <c r="H427" i="23" s="1"/>
  <c r="E353" i="23"/>
  <c r="H353" i="23" s="1"/>
  <c r="E761" i="23"/>
  <c r="H761" i="23" s="1"/>
  <c r="E748" i="23"/>
  <c r="H748" i="23" s="1"/>
  <c r="E139" i="23"/>
  <c r="H139" i="23" s="1"/>
  <c r="E97" i="23"/>
  <c r="H97" i="23" s="1"/>
  <c r="E211" i="23"/>
  <c r="H211" i="23" s="1"/>
  <c r="E788" i="23"/>
  <c r="H788" i="23" s="1"/>
  <c r="E52" i="23"/>
  <c r="H52" i="23" s="1"/>
  <c r="E756" i="23"/>
  <c r="H756" i="23" s="1"/>
  <c r="E597" i="23"/>
  <c r="H597" i="23" s="1"/>
  <c r="E598" i="23"/>
  <c r="H598" i="23" s="1"/>
  <c r="E305" i="23"/>
  <c r="H305" i="23" s="1"/>
  <c r="E378" i="23"/>
  <c r="H378" i="23" s="1"/>
  <c r="E512" i="23"/>
  <c r="H512" i="23" s="1"/>
  <c r="E631" i="23"/>
  <c r="H631" i="23" s="1"/>
  <c r="E625" i="23"/>
  <c r="H625" i="23" s="1"/>
  <c r="E103" i="23"/>
  <c r="H103" i="23" s="1"/>
  <c r="E228" i="23"/>
  <c r="H228" i="23" s="1"/>
  <c r="E342" i="23"/>
  <c r="H342" i="23" s="1"/>
  <c r="E354" i="23"/>
  <c r="H354" i="23" s="1"/>
  <c r="E292" i="23"/>
  <c r="H292" i="23" s="1"/>
  <c r="E311" i="23"/>
  <c r="H311" i="23" s="1"/>
  <c r="E514" i="23"/>
  <c r="H514" i="23" s="1"/>
  <c r="E522" i="23"/>
  <c r="H522" i="23" s="1"/>
  <c r="E177" i="23"/>
  <c r="H177" i="23" s="1"/>
  <c r="E143" i="23"/>
  <c r="H143" i="23" s="1"/>
  <c r="E134" i="23"/>
  <c r="H134" i="23" s="1"/>
  <c r="E142" i="23"/>
  <c r="H142" i="23" s="1"/>
  <c r="E96" i="23"/>
  <c r="H96" i="23" s="1"/>
  <c r="E106" i="23"/>
  <c r="H106" i="23" s="1"/>
  <c r="E210" i="23"/>
  <c r="H210" i="23" s="1"/>
  <c r="E807" i="23"/>
  <c r="H807" i="23" s="1"/>
  <c r="E811" i="23"/>
  <c r="H811" i="23" s="1"/>
  <c r="E791" i="23"/>
  <c r="H791" i="23" s="1"/>
  <c r="E548" i="23"/>
  <c r="H548" i="23" s="1"/>
  <c r="E469" i="23"/>
  <c r="H469" i="23" s="1"/>
  <c r="E704" i="23"/>
  <c r="H704" i="23" s="1"/>
  <c r="E418" i="23"/>
  <c r="H418" i="23" s="1"/>
  <c r="E277" i="23"/>
  <c r="H277" i="23" s="1"/>
  <c r="E256" i="23"/>
  <c r="H256" i="23" s="1"/>
  <c r="E275" i="23"/>
  <c r="H275" i="23" s="1"/>
  <c r="E668" i="23"/>
  <c r="H668" i="23" s="1"/>
  <c r="E68" i="23"/>
  <c r="H68" i="23" s="1"/>
  <c r="E89" i="23"/>
  <c r="H89" i="23" s="1"/>
  <c r="E225" i="23"/>
  <c r="H225" i="23" s="1"/>
  <c r="E787" i="23"/>
  <c r="H787" i="23" s="1"/>
  <c r="E541" i="23"/>
  <c r="H541" i="23" s="1"/>
  <c r="E218" i="23"/>
  <c r="H218" i="23" s="1"/>
  <c r="E551" i="23"/>
  <c r="H551" i="23" s="1"/>
  <c r="E601" i="23"/>
  <c r="H601" i="23" s="1"/>
  <c r="E382" i="23"/>
  <c r="H382" i="23" s="1"/>
  <c r="E718" i="23"/>
  <c r="H718" i="23" s="1"/>
  <c r="E681" i="23"/>
  <c r="H681" i="23" s="1"/>
  <c r="E581" i="23"/>
  <c r="H581" i="23" s="1"/>
  <c r="E171" i="23"/>
  <c r="H171" i="23" s="1"/>
  <c r="E140" i="23"/>
  <c r="H140" i="23" s="1"/>
  <c r="E128" i="23"/>
  <c r="H128" i="23" s="1"/>
  <c r="E99" i="23"/>
  <c r="H99" i="23" s="1"/>
  <c r="E220" i="23"/>
  <c r="H220" i="23" s="1"/>
  <c r="E456" i="23"/>
  <c r="H456" i="23" s="1"/>
  <c r="E585" i="23"/>
  <c r="H585" i="23" s="1"/>
  <c r="E506" i="23"/>
  <c r="H506" i="23" s="1"/>
  <c r="E702" i="23"/>
  <c r="H702" i="23" s="1"/>
  <c r="E49" i="23"/>
  <c r="H49" i="23" s="1"/>
  <c r="E350" i="23"/>
  <c r="H350" i="23" s="1"/>
  <c r="E752" i="23"/>
  <c r="H752" i="23" s="1"/>
  <c r="E793" i="23"/>
  <c r="H793" i="23" s="1"/>
  <c r="E710" i="23"/>
  <c r="H710" i="23" s="1"/>
  <c r="E272" i="23"/>
  <c r="H272" i="23" s="1"/>
  <c r="E586" i="23"/>
  <c r="H586" i="23" s="1"/>
  <c r="E87" i="23"/>
  <c r="H87" i="23" s="1"/>
  <c r="E216" i="23"/>
  <c r="H216" i="23" s="1"/>
  <c r="E599" i="23"/>
  <c r="H599" i="23" s="1"/>
  <c r="E509" i="23"/>
  <c r="H509" i="23" s="1"/>
  <c r="E182" i="23"/>
  <c r="H182" i="23" s="1"/>
  <c r="E227" i="23"/>
  <c r="H227" i="23" s="1"/>
  <c r="E582" i="23"/>
  <c r="H582" i="23" s="1"/>
  <c r="E375" i="23"/>
  <c r="H375" i="23" s="1"/>
  <c r="E520" i="23"/>
  <c r="H520" i="23" s="1"/>
  <c r="E624" i="23"/>
  <c r="H624" i="23" s="1"/>
  <c r="E583" i="23"/>
  <c r="H583" i="23" s="1"/>
  <c r="E584" i="23"/>
  <c r="H584" i="23" s="1"/>
  <c r="E339" i="23"/>
  <c r="H339" i="23" s="1"/>
  <c r="E335" i="23"/>
  <c r="H335" i="23" s="1"/>
  <c r="E343" i="23"/>
  <c r="H343" i="23" s="1"/>
  <c r="E351" i="23"/>
  <c r="H351" i="23" s="1"/>
  <c r="E390" i="23"/>
  <c r="H390" i="23" s="1"/>
  <c r="E377" i="23"/>
  <c r="H377" i="23" s="1"/>
  <c r="E767" i="23"/>
  <c r="H767" i="23" s="1"/>
  <c r="E764" i="23"/>
  <c r="H764" i="23" s="1"/>
  <c r="E757" i="23"/>
  <c r="H757" i="23" s="1"/>
  <c r="E747" i="23"/>
  <c r="H747" i="23" s="1"/>
  <c r="E751" i="23"/>
  <c r="H751" i="23" s="1"/>
  <c r="E744" i="23"/>
  <c r="H744" i="23" s="1"/>
  <c r="E500" i="23"/>
  <c r="H500" i="23" s="1"/>
  <c r="E180" i="23"/>
  <c r="H180" i="23" s="1"/>
  <c r="E181" i="23"/>
  <c r="H181" i="23" s="1"/>
  <c r="E187" i="23"/>
  <c r="H187" i="23" s="1"/>
  <c r="E144" i="23"/>
  <c r="H144" i="23" s="1"/>
  <c r="E639" i="23"/>
  <c r="H639" i="23" s="1"/>
  <c r="E219" i="23"/>
  <c r="H219" i="23" s="1"/>
  <c r="E785" i="23"/>
  <c r="H785" i="23" s="1"/>
  <c r="E560" i="23"/>
  <c r="H560" i="23" s="1"/>
  <c r="E558" i="23"/>
  <c r="H558" i="23" s="1"/>
  <c r="E544" i="23"/>
  <c r="H544" i="23" s="1"/>
  <c r="E552" i="23"/>
  <c r="H552" i="23" s="1"/>
  <c r="E468" i="23"/>
  <c r="H468" i="23" s="1"/>
  <c r="E707" i="23"/>
  <c r="H707" i="23" s="1"/>
  <c r="E415" i="23"/>
  <c r="H415" i="23" s="1"/>
  <c r="E426" i="23"/>
  <c r="H426" i="23" s="1"/>
  <c r="E262" i="23"/>
  <c r="H262" i="23" s="1"/>
  <c r="E273" i="23"/>
  <c r="H273" i="23" s="1"/>
  <c r="E670" i="23"/>
  <c r="H670" i="23" s="1"/>
  <c r="E580" i="23"/>
  <c r="H580" i="23" s="1"/>
  <c r="E310" i="23"/>
  <c r="H310" i="23" s="1"/>
  <c r="E719" i="23"/>
  <c r="H719" i="23" s="1"/>
  <c r="E59" i="23"/>
  <c r="H59" i="23" s="1"/>
  <c r="E380" i="23"/>
  <c r="H380" i="23" s="1"/>
  <c r="E136" i="23"/>
  <c r="H136" i="23" s="1"/>
  <c r="E671" i="23"/>
  <c r="H671" i="23" s="1"/>
  <c r="E47" i="23"/>
  <c r="H47" i="23" s="1"/>
  <c r="E592" i="23"/>
  <c r="H592" i="23" s="1"/>
  <c r="E810" i="23"/>
  <c r="H810" i="23" s="1"/>
  <c r="E148" i="23"/>
  <c r="H148" i="23" s="1"/>
  <c r="E637" i="23"/>
  <c r="H637" i="23" s="1"/>
  <c r="E92" i="23"/>
  <c r="H92" i="23" s="1"/>
  <c r="E474" i="23"/>
  <c r="H474" i="23" s="1"/>
  <c r="E498" i="23"/>
  <c r="H498" i="23" s="1"/>
  <c r="E706" i="23"/>
  <c r="H706" i="23" s="1"/>
  <c r="E672" i="23"/>
  <c r="H672" i="23" s="1"/>
  <c r="E344" i="23"/>
  <c r="H344" i="23" s="1"/>
  <c r="E355" i="23"/>
  <c r="H355" i="23" s="1"/>
  <c r="E333" i="23"/>
  <c r="H333" i="23" s="1"/>
  <c r="E341" i="23"/>
  <c r="H341" i="23" s="1"/>
  <c r="E349" i="23"/>
  <c r="H349" i="23" s="1"/>
  <c r="E303" i="23"/>
  <c r="H303" i="23" s="1"/>
  <c r="E293" i="23"/>
  <c r="H293" i="23" s="1"/>
  <c r="E383" i="23"/>
  <c r="H383" i="23" s="1"/>
  <c r="E381" i="23"/>
  <c r="H381" i="23" s="1"/>
  <c r="E389" i="23"/>
  <c r="H389" i="23" s="1"/>
  <c r="E754" i="23"/>
  <c r="H754" i="23" s="1"/>
  <c r="E502" i="23"/>
  <c r="H502" i="23" s="1"/>
  <c r="E508" i="23"/>
  <c r="H508" i="23" s="1"/>
  <c r="E185" i="23"/>
  <c r="H185" i="23" s="1"/>
  <c r="E629" i="23"/>
  <c r="H629" i="23" s="1"/>
  <c r="E636" i="23"/>
  <c r="H636" i="23" s="1"/>
  <c r="E90" i="23"/>
  <c r="H90" i="23" s="1"/>
  <c r="E95" i="23"/>
  <c r="H95" i="23" s="1"/>
  <c r="E798" i="23"/>
  <c r="H798" i="23" s="1"/>
  <c r="E784" i="23"/>
  <c r="H784" i="23" s="1"/>
  <c r="E467" i="23"/>
  <c r="H467" i="23" s="1"/>
  <c r="E475" i="23"/>
  <c r="H475" i="23" s="1"/>
  <c r="E419" i="23"/>
  <c r="H419" i="23" s="1"/>
  <c r="E434" i="23"/>
  <c r="H434" i="23" s="1"/>
  <c r="E268" i="23"/>
  <c r="H268" i="23" s="1"/>
  <c r="E271" i="23"/>
  <c r="H271" i="23" s="1"/>
  <c r="E254" i="23"/>
  <c r="H254" i="23" s="1"/>
  <c r="E255" i="23"/>
  <c r="H255" i="23" s="1"/>
  <c r="E259" i="23"/>
  <c r="H259" i="23" s="1"/>
  <c r="E267" i="23"/>
  <c r="H267" i="23" s="1"/>
  <c r="E678" i="23"/>
  <c r="H678" i="23" s="1"/>
  <c r="E66" i="23"/>
  <c r="H66" i="23" s="1"/>
  <c r="E46" i="23"/>
  <c r="H46" i="23" s="1"/>
  <c r="E306" i="23"/>
  <c r="H306" i="23" s="1"/>
  <c r="E789" i="23"/>
  <c r="H789" i="23" s="1"/>
  <c r="E229" i="23"/>
  <c r="H229" i="23" s="1"/>
  <c r="E464" i="23"/>
  <c r="H464" i="23" s="1"/>
  <c r="E722" i="23"/>
  <c r="H722" i="23" s="1"/>
  <c r="E666" i="23"/>
  <c r="H666" i="23" s="1"/>
  <c r="E307" i="23"/>
  <c r="H307" i="23" s="1"/>
  <c r="E385" i="23"/>
  <c r="H385" i="23" s="1"/>
  <c r="E183" i="23"/>
  <c r="H183" i="23" s="1"/>
  <c r="E808" i="23"/>
  <c r="H808" i="23" s="1"/>
  <c r="E554" i="23"/>
  <c r="H554" i="23" s="1"/>
  <c r="E470" i="23"/>
  <c r="H470" i="23" s="1"/>
  <c r="E703" i="23"/>
  <c r="H703" i="23" s="1"/>
  <c r="E423" i="23"/>
  <c r="H423" i="23" s="1"/>
  <c r="E662" i="23"/>
  <c r="H662" i="23" s="1"/>
  <c r="E589" i="23"/>
  <c r="H589" i="23" s="1"/>
  <c r="E384" i="23"/>
  <c r="H384" i="23" s="1"/>
  <c r="E623" i="23"/>
  <c r="H623" i="23" s="1"/>
  <c r="E217" i="23"/>
  <c r="H217" i="23" s="1"/>
  <c r="E667" i="23"/>
  <c r="H667" i="23" s="1"/>
  <c r="E674" i="23"/>
  <c r="H674" i="23" s="1"/>
  <c r="E587" i="23"/>
  <c r="H587" i="23" s="1"/>
  <c r="E627" i="23"/>
  <c r="H627" i="23" s="1"/>
  <c r="E299" i="23"/>
  <c r="H299" i="23" s="1"/>
  <c r="E387" i="23"/>
  <c r="H387" i="23" s="1"/>
  <c r="E749" i="23"/>
  <c r="H749" i="23" s="1"/>
  <c r="E758" i="23"/>
  <c r="H758" i="23" s="1"/>
  <c r="E145" i="23"/>
  <c r="H145" i="23" s="1"/>
  <c r="E630" i="23"/>
  <c r="H630" i="23" s="1"/>
  <c r="E107" i="23"/>
  <c r="H107" i="23" s="1"/>
  <c r="E102" i="23"/>
  <c r="H102" i="23" s="1"/>
  <c r="E100" i="23"/>
  <c r="H100" i="23" s="1"/>
  <c r="E215" i="23"/>
  <c r="H215" i="23" s="1"/>
  <c r="E221" i="23"/>
  <c r="H221" i="23" s="1"/>
  <c r="E226" i="23"/>
  <c r="H226" i="23" s="1"/>
  <c r="E786" i="23"/>
  <c r="H786" i="23" s="1"/>
  <c r="E549" i="23"/>
  <c r="H549" i="23" s="1"/>
  <c r="E542" i="23"/>
  <c r="H542" i="23" s="1"/>
  <c r="E557" i="23"/>
  <c r="H557" i="23" s="1"/>
  <c r="E559" i="23"/>
  <c r="H559" i="23" s="1"/>
  <c r="E476" i="23"/>
  <c r="H476" i="23" s="1"/>
  <c r="E431" i="23"/>
  <c r="H431" i="23" s="1"/>
  <c r="E417" i="23"/>
  <c r="H417" i="23" s="1"/>
  <c r="E679" i="23"/>
  <c r="H679" i="23" s="1"/>
  <c r="E661" i="23"/>
  <c r="H661" i="23" s="1"/>
  <c r="E48" i="23"/>
  <c r="H48" i="23" s="1"/>
  <c r="E53" i="23"/>
  <c r="H53" i="23" s="1"/>
  <c r="E308" i="23"/>
  <c r="H308" i="23" s="1"/>
  <c r="E391" i="23"/>
  <c r="H391" i="23" s="1"/>
  <c r="E147" i="23"/>
  <c r="H147" i="23" s="1"/>
  <c r="E416" i="23"/>
  <c r="H416" i="23" s="1"/>
  <c r="E595" i="23"/>
  <c r="H595" i="23" s="1"/>
  <c r="E516" i="23"/>
  <c r="H516" i="23" s="1"/>
  <c r="E632" i="23"/>
  <c r="H632" i="23" s="1"/>
  <c r="E804" i="23"/>
  <c r="H804" i="23" s="1"/>
  <c r="E518" i="23"/>
  <c r="H518" i="23" s="1"/>
  <c r="E466" i="23"/>
  <c r="H466" i="23" s="1"/>
  <c r="E252" i="23"/>
  <c r="H252" i="23" s="1"/>
  <c r="E550" i="23"/>
  <c r="H550" i="23" s="1"/>
  <c r="E675" i="23"/>
  <c r="H675" i="23" s="1"/>
  <c r="E58" i="23"/>
  <c r="H58" i="23" s="1"/>
  <c r="E600" i="23"/>
  <c r="H600" i="23" s="1"/>
  <c r="E88" i="23"/>
  <c r="H88" i="23" s="1"/>
  <c r="E801" i="23"/>
  <c r="H801" i="23" s="1"/>
  <c r="E540" i="23"/>
  <c r="H540" i="23" s="1"/>
  <c r="E258" i="23"/>
  <c r="H258" i="23" s="1"/>
  <c r="E62" i="23"/>
  <c r="H62" i="23" s="1"/>
  <c r="E792" i="23"/>
  <c r="H792" i="23" s="1"/>
  <c r="E555" i="23"/>
  <c r="H555" i="23" s="1"/>
  <c r="E762" i="23"/>
  <c r="H762" i="23" s="1"/>
  <c r="E515" i="23"/>
  <c r="H515" i="23" s="1"/>
  <c r="E538" i="23"/>
  <c r="H538" i="23" s="1"/>
  <c r="E265" i="23"/>
  <c r="H265" i="23" s="1"/>
  <c r="E588" i="23"/>
  <c r="H588" i="23" s="1"/>
  <c r="E347" i="23"/>
  <c r="H347" i="23" s="1"/>
  <c r="E594" i="23"/>
  <c r="H594" i="23" s="1"/>
  <c r="E298" i="23"/>
  <c r="H298" i="23" s="1"/>
  <c r="E393" i="23"/>
  <c r="H393" i="23" s="1"/>
  <c r="E109" i="23"/>
  <c r="H109" i="23" s="1"/>
  <c r="E93" i="23"/>
  <c r="H93" i="23" s="1"/>
  <c r="E230" i="23"/>
  <c r="H230" i="23" s="1"/>
  <c r="E805" i="23"/>
  <c r="H805" i="23" s="1"/>
  <c r="E795" i="23"/>
  <c r="H795" i="23" s="1"/>
  <c r="E425" i="23"/>
  <c r="H425" i="23" s="1"/>
  <c r="E433" i="23"/>
  <c r="H433" i="23" s="1"/>
  <c r="E263" i="23"/>
  <c r="H263" i="23" s="1"/>
  <c r="E274" i="23"/>
  <c r="H274" i="23" s="1"/>
  <c r="E278" i="23"/>
  <c r="H278" i="23" s="1"/>
  <c r="E50" i="23"/>
  <c r="H50" i="23" s="1"/>
  <c r="E67" i="23"/>
  <c r="H67" i="23" s="1"/>
  <c r="E553" i="23"/>
  <c r="H553" i="23" s="1"/>
  <c r="E543" i="23"/>
  <c r="H543" i="23" s="1"/>
  <c r="E712" i="23"/>
  <c r="H712" i="23" s="1"/>
  <c r="E424" i="23"/>
  <c r="H424" i="23" s="1"/>
  <c r="E664" i="23"/>
  <c r="H664" i="23" s="1"/>
  <c r="E806" i="23"/>
  <c r="H806" i="23" s="1"/>
  <c r="E428" i="23"/>
  <c r="H428" i="23" s="1"/>
  <c r="E750" i="23"/>
  <c r="H750" i="23" s="1"/>
  <c r="E179" i="23"/>
  <c r="H179" i="23" s="1"/>
  <c r="E638" i="23"/>
  <c r="H638" i="23" s="1"/>
  <c r="E104" i="23"/>
  <c r="H104" i="23" s="1"/>
  <c r="E546" i="23"/>
  <c r="H546" i="23" s="1"/>
  <c r="E711" i="23"/>
  <c r="H711" i="23" s="1"/>
  <c r="E422" i="23"/>
  <c r="H422" i="23" s="1"/>
  <c r="E376" i="23"/>
  <c r="H376" i="23" s="1"/>
  <c r="E188" i="23"/>
  <c r="H188" i="23" s="1"/>
  <c r="E189" i="23"/>
  <c r="H189" i="23" s="1"/>
  <c r="E717" i="23"/>
  <c r="H717" i="23" s="1"/>
  <c r="E337" i="23"/>
  <c r="H337" i="23" s="1"/>
  <c r="E394" i="23"/>
  <c r="H394" i="23" s="1"/>
  <c r="E709" i="23"/>
  <c r="H709" i="23" s="1"/>
  <c r="E505" i="23"/>
  <c r="H505" i="23" s="1"/>
  <c r="E178" i="23"/>
  <c r="H178" i="23" s="1"/>
  <c r="E176" i="23"/>
  <c r="H176" i="23" s="1"/>
  <c r="E135" i="23"/>
  <c r="H135" i="23" s="1"/>
  <c r="E91" i="23"/>
  <c r="H91" i="23" s="1"/>
  <c r="E708" i="23"/>
  <c r="H708" i="23" s="1"/>
  <c r="E429" i="23"/>
  <c r="H429" i="23" s="1"/>
  <c r="E56" i="23"/>
  <c r="H56" i="23" s="1"/>
  <c r="E295" i="23"/>
  <c r="H295" i="23" s="1"/>
  <c r="E300" i="23"/>
  <c r="H300" i="23" s="1"/>
  <c r="E388" i="23"/>
  <c r="H388" i="23" s="1"/>
  <c r="E392" i="23"/>
  <c r="H392" i="23" s="1"/>
  <c r="E766" i="23"/>
  <c r="H766" i="23" s="1"/>
  <c r="E755" i="23"/>
  <c r="H755" i="23" s="1"/>
  <c r="E501" i="23"/>
  <c r="H501" i="23" s="1"/>
  <c r="E497" i="23"/>
  <c r="H497" i="23" s="1"/>
  <c r="E521" i="23"/>
  <c r="H521" i="23" s="1"/>
  <c r="E511" i="23"/>
  <c r="H511" i="23" s="1"/>
  <c r="E184" i="23"/>
  <c r="H184" i="23" s="1"/>
  <c r="E173" i="23"/>
  <c r="H173" i="23" s="1"/>
  <c r="E172" i="23"/>
  <c r="H172" i="23" s="1"/>
  <c r="E137" i="23"/>
  <c r="H137" i="23" s="1"/>
  <c r="E131" i="23"/>
  <c r="H131" i="23" s="1"/>
  <c r="E346" i="23"/>
  <c r="H346" i="23" s="1"/>
  <c r="E296" i="23"/>
  <c r="H296" i="23" s="1"/>
  <c r="E301" i="23"/>
  <c r="H301" i="23" s="1"/>
  <c r="E309" i="23"/>
  <c r="H309" i="23" s="1"/>
  <c r="E765" i="23"/>
  <c r="H765" i="23" s="1"/>
  <c r="E759" i="23"/>
  <c r="H759" i="23" s="1"/>
  <c r="E499" i="23"/>
  <c r="H499" i="23" s="1"/>
  <c r="E507" i="23"/>
  <c r="H507" i="23" s="1"/>
  <c r="E519" i="23"/>
  <c r="H519" i="23" s="1"/>
  <c r="E186" i="23"/>
  <c r="H186" i="23" s="1"/>
  <c r="E133" i="23"/>
  <c r="H133" i="23" s="1"/>
  <c r="E141" i="23"/>
  <c r="H141" i="23" s="1"/>
  <c r="E105" i="23"/>
  <c r="H105" i="23" s="1"/>
  <c r="E212" i="23"/>
  <c r="H212" i="23" s="1"/>
  <c r="E224" i="23"/>
  <c r="H224" i="23" s="1"/>
  <c r="E797" i="23"/>
  <c r="H797" i="23" s="1"/>
  <c r="E799" i="23"/>
  <c r="H799" i="23" s="1"/>
  <c r="E796" i="23"/>
  <c r="H796" i="23" s="1"/>
  <c r="E459" i="23"/>
  <c r="H459" i="23" s="1"/>
  <c r="E269" i="23"/>
  <c r="H269" i="23" s="1"/>
  <c r="E270" i="23"/>
  <c r="H270" i="23" s="1"/>
  <c r="E680" i="23"/>
  <c r="H680" i="23" s="1"/>
  <c r="K576" i="23" l="1"/>
  <c r="K371" i="23"/>
  <c r="K740" i="23"/>
  <c r="K412" i="23"/>
  <c r="K125" i="23"/>
  <c r="K658" i="23"/>
  <c r="K453" i="23"/>
  <c r="K330" i="23"/>
  <c r="K248" i="23"/>
  <c r="K289" i="23"/>
  <c r="K207" i="23"/>
  <c r="K535" i="23"/>
  <c r="K494" i="23"/>
  <c r="K43" i="23"/>
  <c r="K166" i="23"/>
  <c r="K617" i="23"/>
  <c r="K781" i="23"/>
  <c r="K84" i="23"/>
  <c r="K699" i="23"/>
  <c r="K2" i="23"/>
  <c r="S35" i="6"/>
  <c r="S21" i="6"/>
  <c r="S22" i="6"/>
  <c r="S25" i="6"/>
  <c r="S23" i="6"/>
  <c r="S31" i="6"/>
  <c r="S28" i="6"/>
  <c r="S29" i="6"/>
  <c r="S20" i="6"/>
  <c r="S30" i="6"/>
  <c r="S37" i="6"/>
  <c r="S32" i="6"/>
  <c r="S26" i="6"/>
  <c r="S18" i="6"/>
  <c r="S27" i="6"/>
  <c r="S33" i="6"/>
  <c r="S19" i="6"/>
  <c r="S34" i="6"/>
  <c r="S36" i="6"/>
  <c r="AN126" i="23" a="1"/>
  <c r="AN126" i="23" s="1"/>
  <c r="AN167" i="23" a="1"/>
  <c r="AN167" i="23" s="1"/>
  <c r="AN85" i="23" a="1"/>
  <c r="AN85" i="23" s="1"/>
  <c r="AN3" i="23" a="1"/>
  <c r="AN3" i="23" s="1"/>
  <c r="AN44" i="23" a="1"/>
  <c r="AN44" i="23" s="1"/>
  <c r="I1" i="23"/>
  <c r="I206" i="23"/>
  <c r="I739" i="23"/>
  <c r="I575" i="23"/>
  <c r="I657" i="23"/>
  <c r="I288" i="23"/>
  <c r="I370" i="23"/>
  <c r="I83" i="23"/>
  <c r="I780" i="23"/>
  <c r="I42" i="23"/>
  <c r="I698" i="23"/>
  <c r="I329" i="23"/>
  <c r="I534" i="23"/>
  <c r="I616" i="23"/>
  <c r="I411" i="23"/>
  <c r="I452" i="23"/>
  <c r="I247" i="23"/>
  <c r="I165" i="23"/>
  <c r="I493" i="23"/>
  <c r="I124" i="23"/>
  <c r="K824" i="23" l="1"/>
  <c r="AI6" i="22" s="1"/>
  <c r="S39" i="6"/>
  <c r="I824" i="23"/>
  <c r="I825" i="23" s="1"/>
  <c r="J3" i="2" s="1"/>
  <c r="AX3" i="23" a="1"/>
  <c r="M26" i="25" l="1"/>
  <c r="M27" i="25"/>
  <c r="M28" i="25"/>
  <c r="M29" i="25"/>
  <c r="M30" i="25"/>
  <c r="M31" i="25"/>
  <c r="M32" i="25"/>
  <c r="M33" i="25"/>
  <c r="M34" i="25"/>
  <c r="M36" i="25"/>
  <c r="M35" i="25"/>
  <c r="M37" i="25"/>
  <c r="M19" i="25"/>
  <c r="M20" i="25"/>
  <c r="M21" i="25"/>
  <c r="M22" i="25"/>
  <c r="M18" i="25"/>
  <c r="M23" i="25"/>
  <c r="M24" i="25"/>
  <c r="M25" i="25"/>
  <c r="AW23" i="23"/>
  <c r="AW30" i="23"/>
  <c r="AW31" i="23"/>
  <c r="AW32" i="23"/>
  <c r="AW33" i="23"/>
  <c r="AW34" i="23"/>
  <c r="AW24" i="23"/>
  <c r="AW25" i="23"/>
  <c r="AW26" i="23"/>
  <c r="AW27" i="23"/>
  <c r="AW28" i="23"/>
  <c r="AW29" i="23"/>
  <c r="L37" i="25"/>
  <c r="I37" i="25"/>
  <c r="F37" i="25"/>
  <c r="K37" i="25"/>
  <c r="AW22" i="23"/>
  <c r="C37" i="25" s="1"/>
  <c r="K36" i="25"/>
  <c r="I36" i="25"/>
  <c r="F36" i="25"/>
  <c r="L36" i="25"/>
  <c r="AW21" i="23"/>
  <c r="C36" i="25" s="1"/>
  <c r="I35" i="25"/>
  <c r="K35" i="25"/>
  <c r="L35" i="25"/>
  <c r="F35" i="25"/>
  <c r="AW20" i="23"/>
  <c r="C35" i="25" s="1"/>
  <c r="L34" i="25"/>
  <c r="K34" i="25"/>
  <c r="I34" i="25"/>
  <c r="F34" i="25"/>
  <c r="AW19" i="23"/>
  <c r="C34" i="25" s="1"/>
  <c r="I33" i="25"/>
  <c r="K33" i="25"/>
  <c r="L33" i="25"/>
  <c r="F33" i="25"/>
  <c r="AW18" i="23"/>
  <c r="C33" i="25" s="1"/>
  <c r="I32" i="25"/>
  <c r="F32" i="25"/>
  <c r="K32" i="25"/>
  <c r="L32" i="25"/>
  <c r="AW17" i="23"/>
  <c r="C32" i="25" s="1"/>
  <c r="L31" i="25"/>
  <c r="K31" i="25"/>
  <c r="I31" i="25"/>
  <c r="F31" i="25"/>
  <c r="AW16" i="23"/>
  <c r="C31" i="25" s="1"/>
  <c r="K30" i="25"/>
  <c r="I30" i="25"/>
  <c r="L30" i="25"/>
  <c r="F30" i="25"/>
  <c r="AW15" i="23"/>
  <c r="C30" i="25" s="1"/>
  <c r="L29" i="25"/>
  <c r="I29" i="25"/>
  <c r="F29" i="25"/>
  <c r="K29" i="25"/>
  <c r="AW14" i="23"/>
  <c r="C29" i="25" s="1"/>
  <c r="K28" i="25"/>
  <c r="K27" i="25"/>
  <c r="K26" i="25"/>
  <c r="K25" i="25"/>
  <c r="K24" i="25"/>
  <c r="K23" i="25"/>
  <c r="K22" i="25"/>
  <c r="K20" i="25"/>
  <c r="K18" i="25"/>
  <c r="K21" i="25"/>
  <c r="K19" i="25"/>
  <c r="AW13" i="23"/>
  <c r="C28" i="25" s="1"/>
  <c r="F24" i="25"/>
  <c r="L19" i="25"/>
  <c r="L24" i="25"/>
  <c r="L28" i="25"/>
  <c r="I26" i="25"/>
  <c r="I21" i="25"/>
  <c r="I27" i="25"/>
  <c r="L26" i="25"/>
  <c r="F26" i="25"/>
  <c r="L21" i="25"/>
  <c r="I19" i="25"/>
  <c r="L23" i="25"/>
  <c r="I28" i="25"/>
  <c r="F19" i="25"/>
  <c r="F27" i="25"/>
  <c r="F28" i="25"/>
  <c r="F21" i="25"/>
  <c r="F23" i="25"/>
  <c r="L20" i="25"/>
  <c r="L25" i="25"/>
  <c r="I23" i="25"/>
  <c r="L18" i="25"/>
  <c r="F25" i="25"/>
  <c r="L22" i="25"/>
  <c r="I22" i="25"/>
  <c r="L27" i="25"/>
  <c r="I25" i="25"/>
  <c r="I18" i="25"/>
  <c r="I24" i="25"/>
  <c r="F20" i="25"/>
  <c r="F22" i="25"/>
  <c r="AW10" i="23"/>
  <c r="C25" i="25" s="1"/>
  <c r="AW7" i="23"/>
  <c r="C22" i="25" s="1"/>
  <c r="AW11" i="23"/>
  <c r="C26" i="25" s="1"/>
  <c r="AW8" i="23"/>
  <c r="C23" i="25" s="1"/>
  <c r="AW5" i="23"/>
  <c r="C20" i="25" s="1"/>
  <c r="AW12" i="23"/>
  <c r="C27" i="25" s="1"/>
  <c r="AW9" i="23"/>
  <c r="C24" i="25" s="1"/>
  <c r="AW6" i="23"/>
  <c r="C21" i="25" s="1"/>
  <c r="AX3" i="23"/>
  <c r="F18" i="25" s="1"/>
  <c r="AW3" i="23"/>
  <c r="C18" i="25" s="1"/>
  <c r="AW4" i="23"/>
  <c r="C19" i="25" s="1"/>
  <c r="N43" i="25" l="1"/>
  <c r="N44" i="25" s="1"/>
  <c r="M50" i="25" s="1"/>
  <c r="L50" i="25" l="1"/>
  <c r="N45" i="25"/>
  <c r="N50" i="25" s="1"/>
  <c r="T34" i="6"/>
  <c r="T19" i="6"/>
  <c r="T32" i="6"/>
  <c r="T33" i="6"/>
  <c r="T29" i="6"/>
  <c r="T27" i="6"/>
  <c r="T22" i="6"/>
  <c r="T20" i="6"/>
  <c r="T37" i="6"/>
  <c r="T30" i="6"/>
  <c r="T26" i="6"/>
  <c r="T24" i="6"/>
  <c r="B50" i="25" l="1"/>
  <c r="G50" i="25" s="1"/>
  <c r="J50" i="25" s="1"/>
  <c r="K50" i="25" s="1"/>
  <c r="U32" i="6"/>
  <c r="M32" i="6" s="1"/>
  <c r="U26" i="6"/>
  <c r="M26" i="6" s="1"/>
  <c r="U37" i="6"/>
  <c r="M37" i="6" s="1"/>
  <c r="U22" i="6"/>
  <c r="M22" i="6" s="1"/>
  <c r="U29" i="6"/>
  <c r="M29" i="6" s="1"/>
  <c r="U34" i="6"/>
  <c r="M34" i="6" s="1"/>
  <c r="U24" i="6"/>
  <c r="M24" i="6" s="1"/>
  <c r="U30" i="6"/>
  <c r="M30" i="6" s="1"/>
  <c r="U20" i="6"/>
  <c r="M20" i="6" s="1"/>
  <c r="U27" i="6"/>
  <c r="M27" i="6" s="1"/>
  <c r="U33" i="6"/>
  <c r="M33" i="6" s="1"/>
  <c r="U19" i="6"/>
  <c r="M19" i="6" s="1"/>
  <c r="T31" i="6"/>
  <c r="T36" i="6"/>
  <c r="T35" i="6"/>
  <c r="T28" i="6"/>
  <c r="T21" i="6"/>
  <c r="T25" i="6"/>
  <c r="T18" i="6"/>
  <c r="T23" i="6"/>
  <c r="D50" i="25" l="1"/>
  <c r="E50" i="25" s="1"/>
  <c r="N33" i="6"/>
  <c r="N27" i="6"/>
  <c r="N30" i="6"/>
  <c r="N24" i="6"/>
  <c r="N34" i="6"/>
  <c r="N29" i="6"/>
  <c r="N22" i="6"/>
  <c r="N37" i="6"/>
  <c r="N26" i="6"/>
  <c r="N32" i="6"/>
  <c r="N20" i="6"/>
  <c r="N19" i="6"/>
  <c r="U23" i="6"/>
  <c r="M23" i="6" s="1"/>
  <c r="U35" i="6"/>
  <c r="M35" i="6" s="1"/>
  <c r="U18" i="6"/>
  <c r="M18" i="6" s="1"/>
  <c r="U28" i="6"/>
  <c r="M28" i="6" s="1"/>
  <c r="U31" i="6"/>
  <c r="M31" i="6" s="1"/>
  <c r="U36" i="6"/>
  <c r="M36" i="6" s="1"/>
  <c r="U25" i="6"/>
  <c r="M25" i="6" s="1"/>
  <c r="U21" i="6"/>
  <c r="M21" i="6" s="1"/>
  <c r="T39" i="6"/>
  <c r="N25" i="6" l="1"/>
  <c r="N36" i="6"/>
  <c r="N31" i="6"/>
  <c r="N28" i="6"/>
  <c r="N35" i="6"/>
  <c r="N23" i="6"/>
  <c r="N21" i="6"/>
  <c r="N18" i="6"/>
  <c r="N44" i="6" l="1"/>
  <c r="N45" i="6" s="1"/>
  <c r="M51" i="6" s="1"/>
  <c r="N46" i="6" l="1"/>
  <c r="N51" i="6" s="1"/>
  <c r="L51" i="6"/>
  <c r="B51" i="6" s="1"/>
  <c r="D51" i="6" s="1"/>
  <c r="E51" i="6" s="1"/>
  <c r="G51" i="6" l="1"/>
  <c r="J51" i="6" s="1"/>
  <c r="K51" i="6" s="1"/>
  <c r="D439" i="28" a="1"/>
  <c r="D775" i="28" a="1"/>
  <c r="E1016" i="28" a="1"/>
  <c r="E624" i="26" a="1"/>
  <c r="D500" i="26" a="1"/>
  <c r="D1412" i="26" a="1"/>
  <c r="D1348" i="26" a="1"/>
  <c r="E1288" i="28" a="1"/>
  <c r="G1568" i="26" a="1"/>
  <c r="G304" i="28" a="1"/>
  <c r="G1048" i="28" a="1"/>
  <c r="D956" i="28" a="1"/>
  <c r="E1336" i="28" a="1"/>
  <c r="E664" i="28" a="1"/>
  <c r="E1272" i="26" a="1"/>
  <c r="D1404" i="26" a="1"/>
  <c r="D212" i="26" a="1"/>
  <c r="D831" i="28" a="1"/>
  <c r="D36" i="26" a="1"/>
  <c r="G280" i="28" a="1"/>
  <c r="D108" i="26" a="1"/>
  <c r="E80" i="26" a="1"/>
  <c r="D796" i="28" a="1"/>
  <c r="D1015" i="28" a="1"/>
  <c r="G1056" i="26" a="1"/>
  <c r="G1208" i="26" a="1"/>
  <c r="G568" i="28" a="1"/>
  <c r="G1280" i="28" a="1"/>
  <c r="E568" i="28" a="1"/>
  <c r="D1063" i="28" a="1"/>
  <c r="E256" i="28" a="1"/>
  <c r="D1476" i="26" a="1"/>
  <c r="E1376" i="26" a="1"/>
  <c r="G304" i="26" a="1"/>
  <c r="D100" i="26" a="1"/>
  <c r="E1256" i="28" a="1"/>
  <c r="E688" i="26" a="1"/>
  <c r="G1416" i="26" a="1"/>
  <c r="E864" i="26" a="1"/>
  <c r="E336" i="26" a="1"/>
  <c r="E544" i="26" a="1"/>
  <c r="D804" i="26" a="1"/>
  <c r="G1256" i="26" a="1"/>
  <c r="D812" i="26" a="1"/>
  <c r="D31" i="28" a="1"/>
  <c r="D740" i="26" a="1"/>
  <c r="D876" i="26" a="1"/>
  <c r="E616" i="28" a="1"/>
  <c r="D324" i="28" a="1"/>
  <c r="G648" i="28" a="1"/>
  <c r="D836" i="28" a="1"/>
  <c r="E32" i="28" a="1"/>
  <c r="E680" i="28" a="1"/>
  <c r="E392" i="26" a="1"/>
  <c r="G120" i="26" a="1"/>
  <c r="D724" i="28" a="1"/>
  <c r="D151" i="28" a="1"/>
  <c r="E760" i="28" a="1"/>
  <c r="G144" i="28" a="1"/>
  <c r="D652" i="26" a="1"/>
  <c r="D972" i="28" a="1"/>
  <c r="E880" i="26" a="1"/>
  <c r="G1584" i="26" a="1"/>
  <c r="E472" i="28" a="1"/>
  <c r="D796" i="26" a="1"/>
  <c r="E1528" i="26" a="1"/>
  <c r="E384" i="28" a="1"/>
  <c r="D1180" i="26" a="1"/>
  <c r="D404" i="26" a="1"/>
  <c r="D668" i="28" a="1"/>
  <c r="D815" i="28" a="1"/>
  <c r="E960" i="26" a="1"/>
  <c r="E24" i="26" a="1"/>
  <c r="D164" i="26" a="1"/>
  <c r="D1044" i="28" a="1"/>
  <c r="D1239" i="28" a="1"/>
  <c r="D487" i="28" a="1"/>
  <c r="D359" i="28" a="1"/>
  <c r="G656" i="26" a="1"/>
  <c r="E416" i="26" a="1"/>
  <c r="E1056" i="28" a="1"/>
  <c r="D1436" i="26" a="1"/>
  <c r="G504" i="26" a="1"/>
  <c r="G1312" i="28" a="1"/>
  <c r="G384" i="28" a="1"/>
  <c r="D303" i="28" a="1"/>
  <c r="D247" i="28" a="1"/>
  <c r="D927" i="28" a="1"/>
  <c r="E664" i="26" a="1"/>
  <c r="E728" i="26" a="1"/>
  <c r="G168" i="28" a="1"/>
  <c r="D1071" i="28" a="1"/>
  <c r="D828" i="28" a="1"/>
  <c r="G1320" i="28" a="1"/>
  <c r="E896" i="28" a="1"/>
  <c r="E544" i="28" a="1"/>
  <c r="D1276" i="28" a="1"/>
  <c r="D495" i="28" a="1"/>
  <c r="E1088" i="26" a="1"/>
  <c r="E200" i="26" a="1"/>
  <c r="G280" i="26" a="1"/>
  <c r="E192" i="26" a="1"/>
  <c r="D159" i="28" a="1"/>
  <c r="E144" i="26" a="1"/>
  <c r="E264" i="28" a="1"/>
  <c r="D36" i="28" a="1"/>
  <c r="G824" i="26" a="1"/>
  <c r="G216" i="28" a="1"/>
  <c r="G888" i="28" a="1"/>
  <c r="E1160" i="26" a="1"/>
  <c r="E1120" i="26" a="1"/>
  <c r="D1324" i="26" a="1"/>
  <c r="D911" i="28" a="1"/>
  <c r="D452" i="26" a="1"/>
  <c r="G1392" i="26" a="1"/>
  <c r="G1176" i="28" a="1"/>
  <c r="D484" i="28" a="1"/>
  <c r="D100" i="28" a="1"/>
  <c r="G928" i="28" a="1"/>
  <c r="D380" i="26" a="1"/>
  <c r="E1368" i="26" a="1"/>
  <c r="E992" i="26" a="1"/>
  <c r="D783" i="28" a="1"/>
  <c r="G560" i="26" a="1"/>
  <c r="E1328" i="26" a="1"/>
  <c r="D60" i="28" a="1"/>
  <c r="D1228" i="26" a="1"/>
  <c r="E1296" i="26" a="1"/>
  <c r="D95" i="28" a="1"/>
  <c r="D884" i="26" a="1"/>
  <c r="E1136" i="28" a="1"/>
  <c r="G856" i="28" a="1"/>
  <c r="G864" i="26" a="1"/>
  <c r="G1264" i="28" a="1"/>
  <c r="D343" i="28" a="1"/>
  <c r="D660" i="26" a="1"/>
  <c r="D1148" i="28" a="1"/>
  <c r="G584" i="28" a="1"/>
  <c r="D596" i="28" a="1"/>
  <c r="G984" i="28" a="1"/>
  <c r="E1360" i="26" a="1"/>
  <c r="D7" i="26" a="1"/>
  <c r="D1207" i="28" a="1"/>
  <c r="G312" i="26" a="1"/>
  <c r="E936" i="28" a="1"/>
  <c r="G488" i="26" a="1"/>
  <c r="G248" i="26" a="1"/>
  <c r="D1164" i="26" a="1"/>
  <c r="D519" i="28" a="1"/>
  <c r="E1112" i="28" a="1"/>
  <c r="D252" i="28" a="1"/>
  <c r="G1120" i="26" a="1"/>
  <c r="D983" i="28" a="1"/>
  <c r="D1247" i="28" a="1"/>
  <c r="G688" i="26" a="1"/>
  <c r="E928" i="26" a="1"/>
  <c r="D868" i="28" a="1"/>
  <c r="G848" i="26" a="1"/>
  <c r="E560" i="26" a="1"/>
  <c r="D1292" i="28" a="1"/>
  <c r="E568" i="26" a="1"/>
  <c r="E944" i="26" a="1"/>
  <c r="E1240" i="26" a="1"/>
  <c r="D1148" i="26" a="1"/>
  <c r="D167" i="28" a="1"/>
  <c r="D231" i="28" a="1"/>
  <c r="E344" i="28" a="1"/>
  <c r="D532" i="26" a="1"/>
  <c r="D1292" i="26" a="1"/>
  <c r="D956" i="26" a="1"/>
  <c r="E1096" i="26" a="1"/>
  <c r="D620" i="28" a="1"/>
  <c r="G584" i="26" a="1"/>
  <c r="D719" i="28" a="1"/>
  <c r="D820" i="28" a="1"/>
  <c r="D455" i="28" a="1"/>
  <c r="E736" i="28" a="1"/>
  <c r="D1156" i="26" a="1"/>
  <c r="D692" i="26" a="1"/>
  <c r="G640" i="26" a="1"/>
  <c r="E768" i="26" a="1"/>
  <c r="D644" i="26" a="1"/>
  <c r="D1084" i="28" a="1"/>
  <c r="D1159" i="28" a="1"/>
  <c r="G520" i="28" a="1"/>
  <c r="E128" i="26" a="1"/>
  <c r="E480" i="28" a="1"/>
  <c r="G1304" i="28" a="1"/>
  <c r="E176" i="26" a="1"/>
  <c r="G240" i="28" a="1"/>
  <c r="G336" i="26" a="1"/>
  <c r="D396" i="26" a="1"/>
  <c r="D308" i="26" a="1"/>
  <c r="D575" i="28" a="1"/>
  <c r="D916" i="26" a="1"/>
  <c r="G640" i="28" a="1"/>
  <c r="E216" i="28" a="1"/>
  <c r="D636" i="26" a="1"/>
  <c r="G600" i="26" a="1"/>
  <c r="D855" i="28" a="1"/>
  <c r="D580" i="28" a="1"/>
  <c r="E592" i="26" a="1"/>
  <c r="G528" i="26" a="1"/>
  <c r="E424" i="28" a="1"/>
  <c r="G432" i="28" a="1"/>
  <c r="D572" i="28" a="1"/>
  <c r="E832" i="26" a="1"/>
  <c r="D127" i="28" a="1"/>
  <c r="E696" i="26" a="1"/>
  <c r="E1040" i="28" a="1"/>
  <c r="D15" i="28" a="1"/>
  <c r="D1191" i="28" a="1"/>
  <c r="D644" i="28" a="1"/>
  <c r="D436" i="26" a="1"/>
  <c r="D492" i="28" a="1"/>
  <c r="G224" i="28" a="1"/>
  <c r="E1304" i="26" a="1"/>
  <c r="D1564" i="26" a="1"/>
  <c r="E1104" i="28" a="1"/>
  <c r="D847" i="28" a="1"/>
  <c r="G1192" i="28" a="1"/>
  <c r="G80" i="28" a="1"/>
  <c r="G616" i="28" a="1"/>
  <c r="G1344" i="28" a="1"/>
  <c r="E1128" i="26" a="1"/>
  <c r="D332" i="26" a="1"/>
  <c r="D55" i="28" a="1"/>
  <c r="E336" i="28" a="1"/>
  <c r="D1052" i="26" a="1"/>
  <c r="D335" i="28" a="1"/>
  <c r="D604" i="28" a="1"/>
  <c r="G40" i="28" a="1"/>
  <c r="G1528" i="26" a="1"/>
  <c r="D1484" i="26" a="1"/>
  <c r="G192" i="26" a="1"/>
  <c r="G1304" i="26" a="1"/>
  <c r="G1456" i="26" a="1"/>
  <c r="G360" i="26" a="1"/>
  <c r="G1320" i="26" a="1"/>
  <c r="E8" i="26" a="1"/>
  <c r="G1080" i="28" a="1"/>
  <c r="G904" i="28" a="1"/>
  <c r="D1108" i="28" a="1"/>
  <c r="E592" i="28" a="1"/>
  <c r="G1104" i="28" a="1"/>
  <c r="G408" i="28" a="1"/>
  <c r="D980" i="28" a="1"/>
  <c r="E56" i="26" a="1"/>
  <c r="G96" i="26" a="1"/>
  <c r="E56" i="28" a="1"/>
  <c r="D535" i="28" a="1"/>
  <c r="E1152" i="26" a="1"/>
  <c r="E272" i="28" a="1"/>
  <c r="E792" i="28" a="1"/>
  <c r="E328" i="26" a="1"/>
  <c r="E680" i="26" a="1"/>
  <c r="G832" i="26" a="1"/>
  <c r="E464" i="26" a="1"/>
  <c r="D823" i="28" a="1"/>
  <c r="E1168" i="28" a="1"/>
  <c r="E160" i="26" a="1"/>
  <c r="E496" i="28" a="1"/>
  <c r="G936" i="26" a="1"/>
  <c r="E1056" i="26" a="1"/>
  <c r="D412" i="26" a="1"/>
  <c r="E168" i="28" a="1"/>
  <c r="D175" i="28" a="1"/>
  <c r="G824" i="28" a="1"/>
  <c r="D271" i="28" a="1"/>
  <c r="E104" i="26" a="1"/>
  <c r="D468" i="28" a="1"/>
  <c r="E1488" i="26" a="1"/>
  <c r="D284" i="28" a="1"/>
  <c r="D84" i="28" a="1"/>
  <c r="E352" i="28" a="1"/>
  <c r="D76" i="28" a="1"/>
  <c r="D1180" i="28" a="1"/>
  <c r="G328" i="28" a="1"/>
  <c r="D476" i="28" a="1"/>
  <c r="D108" i="28" a="1"/>
  <c r="E1416" i="26" a="1"/>
  <c r="E704" i="26" a="1"/>
  <c r="D1268" i="26" a="1"/>
  <c r="G1328" i="28" a="1"/>
  <c r="D655" i="28" a="1"/>
  <c r="D1220" i="28" a="1"/>
  <c r="E88" i="26" a="1"/>
  <c r="E1352" i="26" a="1"/>
  <c r="D148" i="28" a="1"/>
  <c r="G608" i="28" a="1"/>
  <c r="E400" i="28" a="1"/>
  <c r="G512" i="26" a="1"/>
  <c r="G672" i="26" a="1"/>
  <c r="G552" i="26" a="1"/>
  <c r="E744" i="26" a="1"/>
  <c r="D1068" i="26" a="1"/>
  <c r="E584" i="26" a="1"/>
  <c r="E16" i="28" a="1"/>
  <c r="D196" i="26" a="1"/>
  <c r="E816" i="28" a="1"/>
  <c r="G936" i="28" a="1"/>
  <c r="E88" i="28" a="1"/>
  <c r="G240" i="26" a="1"/>
  <c r="D623" i="28" a="1"/>
  <c r="E520" i="26" a="1"/>
  <c r="G184" i="26" a="1"/>
  <c r="G1288" i="26" a="1"/>
  <c r="E1472" i="26" a="1"/>
  <c r="E608" i="26" a="1"/>
  <c r="D76" i="26" a="1"/>
  <c r="E840" i="28" a="1"/>
  <c r="D1095" i="28" a="1"/>
  <c r="E1224" i="26" a="1"/>
  <c r="G704" i="28" a="1"/>
  <c r="G120" i="28" a="1"/>
  <c r="G1472" i="26" a="1"/>
  <c r="E40" i="28" a="1"/>
  <c r="G344" i="26" a="1"/>
  <c r="G1112" i="28" a="1"/>
  <c r="E1208" i="26" a="1"/>
  <c r="D503" i="28" a="1"/>
  <c r="G256" i="28" a="1"/>
  <c r="D839" i="28" a="1"/>
  <c r="G112" i="26" a="1"/>
  <c r="G176" i="28" a="1"/>
  <c r="G448" i="26" a="1"/>
  <c r="E1072" i="26" a="1"/>
  <c r="E536" i="28" a="1"/>
  <c r="E1024" i="28" a="1"/>
  <c r="G456" i="28" a="1"/>
  <c r="G744" i="26" a="1"/>
  <c r="E248" i="28" a="1"/>
  <c r="G696" i="26" a="1"/>
  <c r="D748" i="26" a="1"/>
  <c r="D383" i="28" a="1"/>
  <c r="D236" i="26" a="1"/>
  <c r="D340" i="26" a="1"/>
  <c r="D1060" i="28" a="1"/>
  <c r="D1348" i="28" a="1"/>
  <c r="E456" i="26" a="1"/>
  <c r="G880" i="28" a="1"/>
  <c r="D63" i="28" a="1"/>
  <c r="D1124" i="28" a="1"/>
  <c r="D436" i="28" a="1"/>
  <c r="D1012" i="28" a="1"/>
  <c r="G40" i="26" a="1"/>
  <c r="D1175" i="28" a="1"/>
  <c r="D516" i="26" a="1"/>
  <c r="D772" i="28" a="1"/>
  <c r="G48" i="26" a="1"/>
  <c r="D500" i="28" a="1"/>
  <c r="G456" i="26" a="1"/>
  <c r="G856" i="26" a="1"/>
  <c r="D388" i="26" a="1"/>
  <c r="G784" i="28" a="1"/>
  <c r="E1560" i="26" a="1"/>
  <c r="E888" i="28" a="1"/>
  <c r="D1060" i="26" a="1"/>
  <c r="D223" i="28" a="1"/>
  <c r="D404" i="28" a="1"/>
  <c r="E224" i="28" a="1"/>
  <c r="G808" i="26" a="1"/>
  <c r="G416" i="26" a="1"/>
  <c r="G792" i="28" a="1"/>
  <c r="G1168" i="28" a="1"/>
  <c r="G1240" i="28" a="1"/>
  <c r="G736" i="26" a="1"/>
  <c r="D431" i="28" a="1"/>
  <c r="G1224" i="26" a="1"/>
  <c r="G1408" i="26" a="1"/>
  <c r="E368" i="26" a="1"/>
  <c r="E832" i="28" a="1"/>
  <c r="D12" i="26" a="1"/>
  <c r="G840" i="28" a="1"/>
  <c r="D1020" i="28" a="1"/>
  <c r="E1160" i="28" a="1"/>
  <c r="D804" i="28" a="1"/>
  <c r="D1023" i="28" a="1"/>
  <c r="G272" i="28" a="1"/>
  <c r="G1368" i="26" a="1"/>
  <c r="G552" i="28" a="1"/>
  <c r="G264" i="28" a="1"/>
  <c r="D1140" i="28" a="1"/>
  <c r="E1496" i="26" a="1"/>
  <c r="E384" i="26" a="1"/>
  <c r="D1204" i="26" a="1"/>
  <c r="G1240" i="26" a="1"/>
  <c r="E1280" i="26" a="1"/>
  <c r="E1048" i="28" a="1"/>
  <c r="G376" i="26" a="1"/>
  <c r="G1248" i="26" a="1"/>
  <c r="E904" i="26" a="1"/>
  <c r="D1244" i="26" a="1"/>
  <c r="G480" i="28" a="1"/>
  <c r="G1032" i="26" a="1"/>
  <c r="E464" i="28" a="1"/>
  <c r="E848" i="26" a="1"/>
  <c r="E1248" i="26" a="1"/>
  <c r="E320" i="26" a="1"/>
  <c r="E432" i="26" a="1"/>
  <c r="E920" i="28" a="1"/>
  <c r="G288" i="28" a="1"/>
  <c r="D148" i="26" a="1"/>
  <c r="E1440" i="26" a="1"/>
  <c r="E640" i="28" a="1"/>
  <c r="E920" i="26" a="1"/>
  <c r="G728" i="26" a="1"/>
  <c r="D967" i="28" a="1"/>
  <c r="D1231" i="28" a="1"/>
  <c r="E528" i="26" a="1"/>
  <c r="G248" i="28" a="1"/>
  <c r="G472" i="26" a="1"/>
  <c r="E32" i="26" a="1"/>
  <c r="E216" i="26" a="1"/>
  <c r="G976" i="28" a="1"/>
  <c r="E208" i="28" a="1"/>
  <c r="E272" i="26" a="1"/>
  <c r="D44" i="26" a="1"/>
  <c r="D892" i="28" a="1"/>
  <c r="E1320" i="28" a="1"/>
  <c r="E736" i="26" a="1"/>
  <c r="D1388" i="26" a="1"/>
  <c r="E648" i="28" a="1"/>
  <c r="E1104" i="26" a="1"/>
  <c r="E192" i="28" a="1"/>
  <c r="G408" i="26" a="1"/>
  <c r="D1460" i="26" a="1"/>
  <c r="G168" i="26" a="1"/>
  <c r="D420" i="26" a="1"/>
  <c r="G232" i="26" a="1"/>
  <c r="E1264" i="26" a="1"/>
  <c r="D588" i="26" a="1"/>
  <c r="E1344" i="26" a="1"/>
  <c r="D484" i="26" a="1"/>
  <c r="G288" i="26" a="1"/>
  <c r="G1112" i="26" a="1"/>
  <c r="G472" i="28" a="1"/>
  <c r="E1080" i="26" a="1"/>
  <c r="D1260" i="28" a="1"/>
  <c r="G520" i="26" a="1"/>
  <c r="D524" i="26" a="1"/>
  <c r="E24" i="28" a="1"/>
  <c r="E1192" i="28" a="1"/>
  <c r="D732" i="28" a="1"/>
  <c r="G992" i="26" a="1"/>
  <c r="D860" i="26" a="1"/>
  <c r="D1308" i="26" a="1"/>
  <c r="D799" i="28" a="1"/>
  <c r="E392" i="28" a="1"/>
  <c r="E280" i="26" a="1"/>
  <c r="E1344" i="28" a="1"/>
  <c r="D1420" i="26" a="1"/>
  <c r="E1192" i="26" a="1"/>
  <c r="D1007" i="28" a="1"/>
  <c r="G256" i="26" a="1"/>
  <c r="E768" i="28" a="1"/>
  <c r="G296" i="28" a="1"/>
  <c r="D508" i="28" a="1"/>
  <c r="E776" i="28" a="1"/>
  <c r="E248" i="26" a="1"/>
  <c r="D676" i="28" a="1"/>
  <c r="D391" i="28" a="1"/>
  <c r="G1280" i="26" a="1"/>
  <c r="E240" i="26" a="1"/>
  <c r="D660" i="28" a="1"/>
  <c r="E312" i="26" a="1"/>
  <c r="D119" i="28" a="1"/>
  <c r="G392" i="26" a="1"/>
  <c r="D892" i="26" a="1"/>
  <c r="G464" i="26" a="1"/>
  <c r="D1500" i="26" a="1"/>
  <c r="G720" i="28" a="1"/>
  <c r="G1248" i="28" a="1"/>
  <c r="G1144" i="28" a="1"/>
  <c r="D135" i="28" a="1"/>
  <c r="G752" i="26" a="1"/>
  <c r="D84" i="26" a="1"/>
  <c r="D92" i="28" a="1"/>
  <c r="E1008" i="28" a="1"/>
  <c r="G1264" i="26" a="1"/>
  <c r="E400" i="26" a="1"/>
  <c r="D756" i="26" a="1"/>
  <c r="E1120" i="28" a="1"/>
  <c r="D943" i="28" a="1"/>
  <c r="G904" i="26" a="1"/>
  <c r="E552" i="26" a="1"/>
  <c r="G1256" i="28" a="1"/>
  <c r="D1300" i="28" a="1"/>
  <c r="E816" i="26" a="1"/>
  <c r="D772" i="26" a="1"/>
  <c r="D140" i="26" a="1"/>
  <c r="D68" i="28" a="1"/>
  <c r="G1136" i="26" a="1"/>
  <c r="D903" i="28" a="1"/>
  <c r="E1424" i="26" a="1"/>
  <c r="D364" i="28" a="1"/>
  <c r="D316" i="28" a="1"/>
  <c r="D228" i="26" a="1"/>
  <c r="E1176" i="28" a="1"/>
  <c r="G480" i="26" a="1"/>
  <c r="D604" i="26" a="1"/>
  <c r="E1336" i="26" a="1"/>
  <c r="D1236" i="28" a="1"/>
  <c r="D924" i="26" a="1"/>
  <c r="D647" i="28" a="1"/>
  <c r="E752" i="28" a="1"/>
  <c r="G1560" i="26" a="1"/>
  <c r="E80" i="28" a="1"/>
  <c r="E632" i="26" a="1"/>
  <c r="E1072" i="28" a="1"/>
  <c r="G752" i="28" a="1"/>
  <c r="G968" i="28" a="1"/>
  <c r="E672" i="26" a="1"/>
  <c r="E408" i="26" a="1"/>
  <c r="D492" i="26" a="1"/>
  <c r="E1456" i="26" a="1"/>
  <c r="D879" i="28" a="1"/>
  <c r="D1004" i="26" a="1"/>
  <c r="D1119" i="28" a="1"/>
  <c r="G1424" i="26" a="1"/>
  <c r="D964" i="28" a="1"/>
  <c r="D191" i="28" a="1"/>
  <c r="G1184" i="28" a="1"/>
  <c r="D583" i="28" a="1"/>
  <c r="D700" i="28" a="1"/>
  <c r="D548" i="26" a="1"/>
  <c r="G648" i="26" a="1"/>
  <c r="E224" i="26" a="1"/>
  <c r="E1032" i="28" a="1"/>
  <c r="G224" i="26" a="1"/>
  <c r="E720" i="26" a="1"/>
  <c r="G1048" i="26" a="1"/>
  <c r="G736" i="28" a="1"/>
  <c r="D4" i="28" a="1"/>
  <c r="G1080" i="26" a="1"/>
  <c r="D103" i="28" a="1"/>
  <c r="G144" i="26" a="1"/>
  <c r="D780" i="28" a="1"/>
  <c r="D1508" i="26" a="1"/>
  <c r="E552" i="28" a="1"/>
  <c r="E448" i="26" a="1"/>
  <c r="D1028" i="28" a="1"/>
  <c r="D1316" i="28" a="1"/>
  <c r="D340" i="28" a="1"/>
  <c r="E944" i="28" a="1"/>
  <c r="D948" i="26" a="1"/>
  <c r="D188" i="26" a="1"/>
  <c r="G448" i="28" a="1"/>
  <c r="G1200" i="28" a="1"/>
  <c r="D44" i="28" a="1"/>
  <c r="E1224" i="28" a="1"/>
  <c r="D1284" i="26" a="1"/>
  <c r="G1576" i="26" a="1"/>
  <c r="E600" i="26" a="1"/>
  <c r="D60" i="26" a="1"/>
  <c r="D1028" i="26" a="1"/>
  <c r="G776" i="26" a="1"/>
  <c r="G960" i="28" a="1"/>
  <c r="G1488" i="26" a="1"/>
  <c r="D1124" i="26" a="1"/>
  <c r="D556" i="26" a="1"/>
  <c r="G840" i="26" a="1"/>
  <c r="D1372" i="26" a="1"/>
  <c r="D620" i="26" a="1"/>
  <c r="D1079" i="28" a="1"/>
  <c r="D1116" i="28" a="1"/>
  <c r="E1176" i="26" a="1"/>
  <c r="E152" i="28" a="1"/>
  <c r="D788" i="26" a="1"/>
  <c r="E1232" i="26" a="1"/>
  <c r="E968" i="28" a="1"/>
  <c r="G680" i="26" a="1"/>
  <c r="G992" i="28" a="1"/>
  <c r="G16" i="26" a="1"/>
  <c r="G1184" i="26" a="1"/>
  <c r="G400" i="26" a="1"/>
  <c r="G1512" i="26" a="1"/>
  <c r="G160" i="26" a="1"/>
  <c r="D639" i="28" a="1"/>
  <c r="E208" i="26" a="1"/>
  <c r="D447" i="28" a="1"/>
  <c r="E616" i="26" a="1"/>
  <c r="E168" i="26" a="1"/>
  <c r="G200" i="28" a="1"/>
  <c r="G1440" i="26" a="1"/>
  <c r="G1128" i="26" a="1"/>
  <c r="D980" i="26" a="1"/>
  <c r="E48" i="26" a="1"/>
  <c r="D516" i="28" a="1"/>
  <c r="G1016" i="26" a="1"/>
  <c r="E1024" i="26" a="1"/>
  <c r="D1252" i="28" a="1"/>
  <c r="E776" i="26" a="1"/>
  <c r="D351" i="28" a="1"/>
  <c r="D1143" i="28" a="1"/>
  <c r="D1340" i="26" a="1"/>
  <c r="G632" i="26" a="1"/>
  <c r="E1480" i="26" a="1"/>
  <c r="D671" i="28" a="1"/>
  <c r="G1208" i="28" a="1"/>
  <c r="D215" i="28" a="1"/>
  <c r="G160" i="28" a="1"/>
  <c r="E1144" i="28" a="1"/>
  <c r="G1360" i="26" a="1"/>
  <c r="D1271" i="28" a="1"/>
  <c r="G392" i="28" a="1"/>
  <c r="D444" i="28" a="1"/>
  <c r="E64" i="28" a="1"/>
  <c r="E496" i="26" a="1"/>
  <c r="D1252" i="26" a="1"/>
  <c r="G616" i="26" a="1"/>
  <c r="D540" i="28" a="1"/>
  <c r="E712" i="28" a="1"/>
  <c r="E72" i="28" a="1"/>
  <c r="E1144" i="26" a="1"/>
  <c r="G1400" i="26" a="1"/>
  <c r="D415" i="28" a="1"/>
  <c r="E904" i="28" a="1"/>
  <c r="E1504" i="26" a="1"/>
  <c r="E1216" i="28" a="1"/>
  <c r="D1396" i="26" a="1"/>
  <c r="D1319" i="28" a="1"/>
  <c r="E232" i="28" a="1"/>
  <c r="G440" i="26" a="1"/>
  <c r="G416" i="28" a="1"/>
  <c r="D612" i="26" a="1"/>
  <c r="E856" i="26" a="1"/>
  <c r="E480" i="26" a="1"/>
  <c r="G1144" i="26" a="1"/>
  <c r="D1356" i="26" a="1"/>
  <c r="G1008" i="26" a="1"/>
  <c r="D140" i="28" a="1"/>
  <c r="G1480" i="26" a="1"/>
  <c r="E488" i="28" a="1"/>
  <c r="G592" i="28" a="1"/>
  <c r="D420" i="28" a="1"/>
  <c r="D199" i="28" a="1"/>
  <c r="G1600" i="26" a="1"/>
  <c r="G184" i="28" a="1"/>
  <c r="E784" i="26" a="1"/>
  <c r="G336" i="28" a="1"/>
  <c r="G1216" i="26" a="1"/>
  <c r="D407" i="28" a="1"/>
  <c r="G64" i="28" a="1"/>
  <c r="D1100" i="28" a="1"/>
  <c r="E1568" i="26" a="1"/>
  <c r="D1151" i="28" a="1"/>
  <c r="G968" i="26" a="1"/>
  <c r="E784" i="28" a="1"/>
  <c r="D788" i="28" a="1"/>
  <c r="D244" i="26" a="1"/>
  <c r="E864" i="28" a="1"/>
  <c r="D1316" i="26" a="1"/>
  <c r="E304" i="28" a="1"/>
  <c r="D1444" i="26" a="1"/>
  <c r="G1152" i="28" a="1"/>
  <c r="G48" i="28" a="1"/>
  <c r="D700" i="26" a="1"/>
  <c r="D87" i="28" a="1"/>
  <c r="D940" i="26" a="1"/>
  <c r="D1087" i="28" a="1"/>
  <c r="E1448" i="26" a="1"/>
  <c r="D820" i="26" a="1"/>
  <c r="D300" i="28" a="1"/>
  <c r="D1039" i="28" a="1"/>
  <c r="G800" i="28" a="1"/>
  <c r="D287" i="28" a="1"/>
  <c r="G608" i="26" a="1"/>
  <c r="G776" i="28" a="1"/>
  <c r="G768" i="26" a="1"/>
  <c r="D79" i="28" a="1"/>
  <c r="D1132" i="26" a="1"/>
  <c r="E824" i="26" a="1"/>
  <c r="G1024" i="26" a="1"/>
  <c r="D636" i="28" a="1"/>
  <c r="E800" i="28" a="1"/>
  <c r="D476" i="26" a="1"/>
  <c r="G696" i="28" a="1"/>
  <c r="G832" i="28" a="1"/>
  <c r="G792" i="26" a="1"/>
  <c r="D596" i="26" a="1"/>
  <c r="G24" i="28" a="1"/>
  <c r="G688" i="28" a="1"/>
  <c r="D388" i="28" a="1"/>
  <c r="D1380" i="26" a="1"/>
  <c r="G352" i="26" a="1"/>
  <c r="G112" i="28" a="1"/>
  <c r="D1052" i="28" a="1"/>
  <c r="G720" i="26" a="1"/>
  <c r="D1223" i="28" a="1"/>
  <c r="D900" i="26" a="1"/>
  <c r="G1104" i="26" a="1"/>
  <c r="D1140" i="26" a="1"/>
  <c r="E288" i="28" a="1"/>
  <c r="D1036" i="26" a="1"/>
  <c r="D1279" i="28" a="1"/>
  <c r="E304" i="26" a="1"/>
  <c r="G272" i="26" a="1"/>
  <c r="D780" i="26" a="1"/>
  <c r="G1128" i="28" a="1"/>
  <c r="G1024" i="28" a="1"/>
  <c r="D220" i="28" a="1"/>
  <c r="D1012" i="26" a="1"/>
  <c r="E328" i="28" a="1"/>
  <c r="D460" i="26" a="1"/>
  <c r="G56" i="28" a="1"/>
  <c r="G872" i="26" a="1"/>
  <c r="D1167" i="28" a="1"/>
  <c r="G88" i="26" a="1"/>
  <c r="G1088" i="26" a="1"/>
  <c r="G384" i="26" a="1"/>
  <c r="D508" i="26" a="1"/>
  <c r="D551" i="28" a="1"/>
  <c r="D348" i="28" a="1"/>
  <c r="G1152" i="26" a="1"/>
  <c r="E1584" i="26" a="1"/>
  <c r="D1516" i="26" a="1"/>
  <c r="D932" i="26" a="1"/>
  <c r="D311" i="28" a="1"/>
  <c r="D1156" i="28" a="1"/>
  <c r="E1352" i="28" a="1"/>
  <c r="E440" i="26" a="1"/>
  <c r="D28" i="28" a="1"/>
  <c r="E1048" i="26" a="1"/>
  <c r="G1000" i="28" a="1"/>
  <c r="D1303" i="28" a="1"/>
  <c r="G544" i="28" a="1"/>
  <c r="D1068" i="28" a="1"/>
  <c r="D844" i="26" a="1"/>
  <c r="E808" i="28" a="1"/>
  <c r="G1232" i="26" a="1"/>
  <c r="E912" i="26" a="1"/>
  <c r="E232" i="26" a="1"/>
  <c r="D708" i="26" a="1"/>
  <c r="D1308" i="28" a="1"/>
  <c r="G1296" i="26" a="1"/>
  <c r="G200" i="26" a="1"/>
  <c r="D1084" i="26" a="1"/>
  <c r="D319" i="28" a="1"/>
  <c r="G464" i="28" a="1"/>
  <c r="E128" i="28" a="1"/>
  <c r="E1320" i="26" a="1"/>
  <c r="D663" i="28" a="1"/>
  <c r="E1240" i="28" a="1"/>
  <c r="D188" i="28" a="1"/>
  <c r="G632" i="28" a="1"/>
  <c r="E984" i="28" a="1"/>
  <c r="D812" i="28" a="1"/>
  <c r="E1272" i="28" a="1"/>
  <c r="E1008" i="26" a="1"/>
  <c r="D599" i="28" a="1"/>
  <c r="D207" i="28" a="1"/>
  <c r="D1092" i="28" a="1"/>
  <c r="D1335" i="28" a="1"/>
  <c r="D999" i="28" a="1"/>
  <c r="G744" i="28" a="1"/>
  <c r="G128" i="26" a="1"/>
  <c r="D423" i="28" a="1"/>
  <c r="E120" i="26" a="1"/>
  <c r="E1432" i="26" a="1"/>
  <c r="D463" i="28" a="1"/>
  <c r="D28" i="26" a="1"/>
  <c r="G1136" i="28" a="1"/>
  <c r="E672" i="28" a="1"/>
  <c r="D367" i="28" a="1"/>
  <c r="G864" i="28" a="1"/>
  <c r="D628" i="26" a="1"/>
  <c r="G624" i="26" a="1"/>
  <c r="D1172" i="26" a="1"/>
  <c r="E576" i="26" a="1"/>
  <c r="D372" i="28" a="1"/>
  <c r="G576" i="28" a="1"/>
  <c r="D900" i="28" a="1"/>
  <c r="D1311" i="28" a="1"/>
  <c r="E1392" i="26" a="1"/>
  <c r="D1135" i="28" a="1"/>
  <c r="D263" i="28" a="1"/>
  <c r="D236" i="28" a="1"/>
  <c r="G1192" i="26" a="1"/>
  <c r="E600" i="28" a="1"/>
  <c r="E96" i="28" a="1"/>
  <c r="D52" i="28" a="1"/>
  <c r="E368" i="28" a="1"/>
  <c r="E1256" i="26" a="1"/>
  <c r="G944" i="26" a="1"/>
  <c r="E440" i="28" a="1"/>
  <c r="D1588" i="26" a="1"/>
  <c r="E872" i="26" a="1"/>
  <c r="E528" i="28" a="1"/>
  <c r="G1176" i="26" a="1"/>
  <c r="D511" i="28" a="1"/>
  <c r="D852" i="26" a="1"/>
  <c r="G960" i="26" a="1"/>
  <c r="D239" i="28" a="1"/>
  <c r="D676" i="26" a="1"/>
  <c r="G1200" i="26" a="1"/>
  <c r="E1200" i="28" a="1"/>
  <c r="G368" i="26" a="1"/>
  <c r="D295" i="28" a="1"/>
  <c r="E1000" i="28" a="1"/>
  <c r="D204" i="28" a="1"/>
  <c r="E1088" i="28" a="1"/>
  <c r="D460" i="28" a="1"/>
  <c r="D212" i="28" a="1"/>
  <c r="D732" i="26" a="1"/>
  <c r="E1296" i="28" a="1"/>
  <c r="D908" i="26" a="1"/>
  <c r="E184" i="26" a="1"/>
  <c r="G568" i="26" a="1"/>
  <c r="E1184" i="28" a="1"/>
  <c r="G264" i="26" a="1"/>
  <c r="E1552" i="26" a="1"/>
  <c r="G768" i="28" a="1"/>
  <c r="G216" i="26" a="1"/>
  <c r="D543" i="28" a="1"/>
  <c r="D988" i="26" a="1"/>
  <c r="G848" i="28" a="1"/>
  <c r="D868" i="26" a="1"/>
  <c r="G496" i="28" a="1"/>
  <c r="G536" i="28" a="1"/>
  <c r="E448" i="28" a="1"/>
  <c r="G1328" i="26" a="1"/>
  <c r="D196" i="28" a="1"/>
  <c r="D764" i="26" a="1"/>
  <c r="D1228" i="28" a="1"/>
  <c r="D860" i="28" a="1"/>
  <c r="E1064" i="26" a="1"/>
  <c r="G496" i="26" a="1"/>
  <c r="E424" i="26" a="1"/>
  <c r="G760" i="28" a="1"/>
  <c r="G152" i="28" a="1"/>
  <c r="D1172" i="28" a="1"/>
  <c r="E1136" i="26" a="1"/>
  <c r="D716" i="26" a="1"/>
  <c r="D452" i="28" a="1"/>
  <c r="D1268" i="28" a="1"/>
  <c r="G208" i="26" a="1"/>
  <c r="E64" i="26" a="1"/>
  <c r="E992" i="28" a="1"/>
  <c r="E912" i="28" a="1"/>
  <c r="D852" i="28" a="1"/>
  <c r="E320" i="28" a="1"/>
  <c r="D767" i="28" a="1"/>
  <c r="E488" i="26" a="1"/>
  <c r="E1520" i="26" a="1"/>
  <c r="D244" i="28" a="1"/>
  <c r="E152" i="26" a="1"/>
  <c r="G808" i="28" a="1"/>
  <c r="D988" i="28" a="1"/>
  <c r="G136" i="28" a="1"/>
  <c r="D356" i="28" a="1"/>
  <c r="D92" i="26" a="1"/>
  <c r="D871" i="28" a="1"/>
  <c r="D228" i="28" a="1"/>
  <c r="E1080" i="28" a="1"/>
  <c r="G1432" i="26" a="1"/>
  <c r="D468" i="26" a="1"/>
  <c r="G664" i="26" a="1"/>
  <c r="D255" i="28" a="1"/>
  <c r="D1215" i="28" a="1"/>
  <c r="E144" i="28" a="1"/>
  <c r="D711" i="28" a="1"/>
  <c r="D396" i="28" a="1"/>
  <c r="D1524" i="26" a="1"/>
  <c r="G656" i="28" a="1"/>
  <c r="D1255" i="28" a="1"/>
  <c r="D356" i="26" a="1"/>
  <c r="D1047" i="28" a="1"/>
  <c r="D1092" i="26" a="1"/>
  <c r="D1031" i="28" a="1"/>
  <c r="E752" i="26" a="1"/>
  <c r="D919" i="28" a="1"/>
  <c r="E792" i="26" a="1"/>
  <c r="E1016" i="26" a="1"/>
  <c r="E1400" i="26" a="1"/>
  <c r="D975" i="28" a="1"/>
  <c r="D740" i="28" a="1"/>
  <c r="G1552" i="26" a="1"/>
  <c r="E1232" i="28" a="1"/>
  <c r="G72" i="26" a="1"/>
  <c r="E1384" i="26" a="1"/>
  <c r="D996" i="26" a="1"/>
  <c r="G1496" i="26" a="1"/>
  <c r="D172" i="28" a="1"/>
  <c r="G1032" i="28" a="1"/>
  <c r="G1296" i="28" a="1"/>
  <c r="D548" i="28" a="1"/>
  <c r="E888" i="26" a="1"/>
  <c r="G1072" i="28" a="1"/>
  <c r="D727" i="28" a="1"/>
  <c r="D428" i="28" a="1"/>
  <c r="D71" i="28" a="1"/>
  <c r="E1464" i="26" a="1"/>
  <c r="D1103" i="28" a="1"/>
  <c r="E1000" i="26" a="1"/>
  <c r="D564" i="26" a="1"/>
  <c r="G424" i="28" a="1"/>
  <c r="E800" i="26" a="1"/>
  <c r="D132" i="26" a="1"/>
  <c r="E456" i="28" a="1"/>
  <c r="G712" i="26" a="1"/>
  <c r="D156" i="28" a="1"/>
  <c r="G920" i="26" a="1"/>
  <c r="G1064" i="26" a="1"/>
  <c r="G488" i="28" a="1"/>
  <c r="D1044" i="26" a="1"/>
  <c r="D916" i="28" a="1"/>
  <c r="G24" i="26" a="1"/>
  <c r="D180" i="26" a="1"/>
  <c r="D1276" i="26" a="1"/>
  <c r="D1492" i="26" a="1"/>
  <c r="E1280" i="28" a="1"/>
  <c r="E880" i="28" a="1"/>
  <c r="E808" i="26" a="1"/>
  <c r="D1020" i="26" a="1"/>
  <c r="D1199" i="28" a="1"/>
  <c r="G1056" i="28" a="1"/>
  <c r="E312" i="28" a="1"/>
  <c r="D124" i="28" a="1"/>
  <c r="D204" i="26" a="1"/>
  <c r="G1272" i="26" a="1"/>
  <c r="D428" i="26" a="1"/>
  <c r="E704" i="28" a="1"/>
  <c r="D924" i="28" a="1"/>
  <c r="D172" i="26" a="1"/>
  <c r="E136" i="28" a="1"/>
  <c r="D876" i="28" a="1"/>
  <c r="G1000" i="26" a="1"/>
  <c r="D1132" i="28" a="1"/>
  <c r="D1428" i="26" a="1"/>
  <c r="E1536" i="26" a="1"/>
  <c r="G1016" i="28" a="1"/>
  <c r="G1536" i="26" a="1"/>
  <c r="D991" i="28" a="1"/>
  <c r="G32" i="26" a="1"/>
  <c r="E1112" i="26" a="1"/>
  <c r="G576" i="26" a="1"/>
  <c r="E1408" i="26" a="1"/>
  <c r="E264" i="26" a="1"/>
  <c r="G760" i="26" a="1"/>
  <c r="E848" i="28" a="1"/>
  <c r="G1504" i="26" a="1"/>
  <c r="D612" i="28" a="1"/>
  <c r="D751" i="28" a="1"/>
  <c r="D292" i="28" a="1"/>
  <c r="G928" i="26" a="1"/>
  <c r="D748" i="28" a="1"/>
  <c r="D972" i="26" a="1"/>
  <c r="D1212" i="26" a="1"/>
  <c r="G592" i="26" a="1"/>
  <c r="D607" i="28" a="1"/>
  <c r="D47" i="28" a="1"/>
  <c r="E968" i="26" a="1"/>
  <c r="D180" i="28" a="1"/>
  <c r="D1183" i="28" a="1"/>
  <c r="D1572" i="26" a="1"/>
  <c r="G976" i="26" a="1"/>
  <c r="E1304" i="28" a="1"/>
  <c r="G400" i="28" a="1"/>
  <c r="G880" i="26" a="1"/>
  <c r="G368" i="28" a="1"/>
  <c r="D863" i="28" a="1"/>
  <c r="D276" i="28" a="1"/>
  <c r="E72" i="26" a="1"/>
  <c r="G312" i="28" a="1"/>
  <c r="D308" i="28" a="1"/>
  <c r="G320" i="28" a="1"/>
  <c r="G424" i="26" a="1"/>
  <c r="D791" i="28" a="1"/>
  <c r="D68" i="26" a="1"/>
  <c r="E896" i="26" a="1"/>
  <c r="E1328" i="28" a="1"/>
  <c r="D559" i="28" a="1"/>
  <c r="D1556" i="26" a="1"/>
  <c r="D412" i="28" a="1"/>
  <c r="E280" i="28" a="1"/>
  <c r="D615" i="28" a="1"/>
  <c r="D695" i="28" a="1"/>
  <c r="G1040" i="26" a="1"/>
  <c r="E1312" i="26" a="1"/>
  <c r="E1216" i="26" a="1"/>
  <c r="E504" i="26" a="1"/>
  <c r="G1008" i="28" a="1"/>
  <c r="D132" i="28" a="1"/>
  <c r="E360" i="28" a="1"/>
  <c r="D1452" i="26" a="1"/>
  <c r="D684" i="26" a="1"/>
  <c r="E728" i="28" a="1"/>
  <c r="E472" i="26" a="1"/>
  <c r="E376" i="26" a="1"/>
  <c r="E96" i="26" a="1"/>
  <c r="D1332" i="28" a="1"/>
  <c r="G624" i="28" a="1"/>
  <c r="G528" i="28" a="1"/>
  <c r="E512" i="28" a="1"/>
  <c r="D527" i="28" a="1"/>
  <c r="D444" i="26" a="1"/>
  <c r="D332" i="28" a="1"/>
  <c r="E344" i="26" a="1"/>
  <c r="G440" i="28" a="1"/>
  <c r="E1592" i="26" a="1"/>
  <c r="E1248" i="28" a="1"/>
  <c r="E1600" i="26" a="1"/>
  <c r="E296" i="28" a="1"/>
  <c r="E136" i="26" a="1"/>
  <c r="E160" i="28" a="1"/>
  <c r="D164" i="28" a="1"/>
  <c r="D1127" i="28" a="1"/>
  <c r="G1040" i="28" a="1"/>
  <c r="D1108" i="26" a="1"/>
  <c r="D260" i="26" a="1"/>
  <c r="G208" i="28" a="1"/>
  <c r="G32" i="28" a="1"/>
  <c r="G952" i="26" a="1"/>
  <c r="G1376" i="26" a="1"/>
  <c r="E656" i="28" a="1"/>
  <c r="D716" i="28" a="1"/>
  <c r="E432" i="28" a="1"/>
  <c r="E1512" i="26" a="1"/>
  <c r="D124" i="26" a="1"/>
  <c r="D844" i="28" a="1"/>
  <c r="D1196" i="26" a="1"/>
  <c r="G1448" i="26" a="1"/>
  <c r="G728" i="28" a="1"/>
  <c r="G600" i="28" a="1"/>
  <c r="D1188" i="26" a="1"/>
  <c r="D951" i="28" a="1"/>
  <c r="D631" i="28" a="1"/>
  <c r="E584" i="28" a="1"/>
  <c r="G680" i="28" a="1"/>
  <c r="D591" i="28" a="1"/>
  <c r="D668" i="26" a="1"/>
  <c r="D1540" i="26" a="1"/>
  <c r="G704" i="26" a="1"/>
  <c r="G192" i="28" a="1"/>
  <c r="D759" i="28" a="1"/>
  <c r="G800" i="26" a="1"/>
  <c r="D300" i="26" a="1"/>
  <c r="E1064" i="28" a="1"/>
  <c r="E1288" i="26" a="1"/>
  <c r="D1116" i="26" a="1"/>
  <c r="G784" i="26" a="1"/>
  <c r="D111" i="28" a="1"/>
  <c r="D292" i="26" a="1"/>
  <c r="G1272" i="28" a="1"/>
  <c r="G1352" i="26" a="1"/>
  <c r="G1072" i="26" a="1"/>
  <c r="G360" i="28" a="1"/>
  <c r="E1200" i="26" a="1"/>
  <c r="D260" i="28" a="1"/>
  <c r="G1592" i="26" a="1"/>
  <c r="E8" i="28" a="1"/>
  <c r="D743" i="28" a="1"/>
  <c r="D1263" i="28" a="1"/>
  <c r="D348" i="26" a="1"/>
  <c r="G984" i="26" a="1"/>
  <c r="E840" i="26" a="1"/>
  <c r="G376" i="28" a="1"/>
  <c r="D1532" i="26" a="1"/>
  <c r="E824" i="28" a="1"/>
  <c r="E1184" i="26" a="1"/>
  <c r="E640" i="26" a="1"/>
  <c r="D252" i="26" a="1"/>
  <c r="D572" i="26" a="1"/>
  <c r="D316" i="26" a="1"/>
  <c r="G344" i="28" a="1"/>
  <c r="E936" i="26" a="1"/>
  <c r="E608" i="28" a="1"/>
  <c r="E296" i="26" a="1"/>
  <c r="D1196" i="28" a="1"/>
  <c r="D116" i="26" a="1"/>
  <c r="E200" i="28" a="1"/>
  <c r="D735" i="28" a="1"/>
  <c r="D1284" i="28" a="1"/>
  <c r="G1224" i="28" a="1"/>
  <c r="D1295" i="28" a="1"/>
  <c r="G1096" i="26" a="1"/>
  <c r="E1208" i="28" a="1"/>
  <c r="D588" i="28" a="1"/>
  <c r="D564" i="28" a="1"/>
  <c r="E104" i="28" a="1"/>
  <c r="D284" i="26" a="1"/>
  <c r="G1544" i="26" a="1"/>
  <c r="D1580" i="26" a="1"/>
  <c r="G816" i="28" a="1"/>
  <c r="D996" i="28" a="1"/>
  <c r="E856" i="28" a="1"/>
  <c r="E120" i="28" a="1"/>
  <c r="G432" i="26" a="1"/>
  <c r="D884" i="28" a="1"/>
  <c r="G88" i="28" a="1"/>
  <c r="E720" i="28" a="1"/>
  <c r="G872" i="28" a="1"/>
  <c r="D567" i="28" a="1"/>
  <c r="E760" i="26" a="1"/>
  <c r="G328" i="26" a="1"/>
  <c r="G1464" i="26" a="1"/>
  <c r="G296" i="26" a="1"/>
  <c r="D828" i="26" a="1"/>
  <c r="D156" i="26" a="1"/>
  <c r="D1111" i="28" a="1"/>
  <c r="D276" i="26" a="1"/>
  <c r="G104" i="26" a="1"/>
  <c r="E560" i="28" a="1"/>
  <c r="E512" i="26" a="1"/>
  <c r="E872" i="28" a="1"/>
  <c r="D116" i="28" a="1"/>
  <c r="D1596" i="26" a="1"/>
  <c r="D375" i="28" a="1"/>
  <c r="D268" i="28" a="1"/>
  <c r="D556" i="28" a="1"/>
  <c r="D935" i="28" a="1"/>
  <c r="D4" i="26" a="1"/>
  <c r="E1128" i="28" a="1"/>
  <c r="G152" i="26" a="1"/>
  <c r="E360" i="26" a="1"/>
  <c r="G1312" i="26" a="1"/>
  <c r="E1544" i="26" a="1"/>
  <c r="D932" i="28" a="1"/>
  <c r="E928" i="28" a="1"/>
  <c r="D1332" i="26" a="1"/>
  <c r="D964" i="26" a="1"/>
  <c r="D268" i="26" a="1"/>
  <c r="D1327" i="28" a="1"/>
  <c r="E632" i="28" a="1"/>
  <c r="E184" i="28" a="1"/>
  <c r="G72" i="28" a="1"/>
  <c r="G1216" i="28" a="1"/>
  <c r="G1336" i="28" a="1"/>
  <c r="D279" i="28" a="1"/>
  <c r="D1244" i="28" a="1"/>
  <c r="G176" i="26" a="1"/>
  <c r="E16" i="26" a="1"/>
  <c r="D540" i="26" a="1"/>
  <c r="D1076" i="28" a="1"/>
  <c r="G944" i="28" a="1"/>
  <c r="G352" i="28" a="1"/>
  <c r="G512" i="28" a="1"/>
  <c r="D684" i="28" a="1"/>
  <c r="E576" i="28" a="1"/>
  <c r="D692" i="28" a="1"/>
  <c r="G8" i="26" a="1"/>
  <c r="E984" i="26" a="1"/>
  <c r="G104" i="28" a="1"/>
  <c r="D52" i="26" a="1"/>
  <c r="D703" i="28" a="1"/>
  <c r="G128" i="28" a="1"/>
  <c r="E376" i="28" a="1"/>
  <c r="E48" i="28" a="1"/>
  <c r="E952" i="26" a="1"/>
  <c r="E352" i="26" a="1"/>
  <c r="D1076" i="26" a="1"/>
  <c r="D220" i="26" a="1"/>
  <c r="D12" i="28" a="1"/>
  <c r="D7" i="28" a="1"/>
  <c r="D679" i="28" a="1"/>
  <c r="G664" i="28" a="1"/>
  <c r="D372" i="26" a="1"/>
  <c r="D1164" i="28" a="1"/>
  <c r="D20" i="26" a="1"/>
  <c r="D399" i="28" a="1"/>
  <c r="D20" i="28" a="1"/>
  <c r="G320" i="26" a="1"/>
  <c r="E960" i="28" a="1"/>
  <c r="D1036" i="28" a="1"/>
  <c r="D807" i="28" a="1"/>
  <c r="E1032" i="26" a="1"/>
  <c r="G1232" i="28" a="1"/>
  <c r="E240" i="28" a="1"/>
  <c r="D708" i="28" a="1"/>
  <c r="E1040" i="26" a="1"/>
  <c r="D1324" i="28" a="1"/>
  <c r="G1352" i="28" a="1"/>
  <c r="G1288" i="28" a="1"/>
  <c r="E744" i="28" a="1"/>
  <c r="E696" i="28" a="1"/>
  <c r="E648" i="26" a="1"/>
  <c r="E288" i="26" a="1"/>
  <c r="E624" i="28" a="1"/>
  <c r="D1300" i="26" a="1"/>
  <c r="G1064" i="28" a="1"/>
  <c r="D1364" i="26" a="1"/>
  <c r="D940" i="28" a="1"/>
  <c r="D1100" i="26" a="1"/>
  <c r="D183" i="28" a="1"/>
  <c r="E656" i="26" a="1"/>
  <c r="D327" i="28" a="1"/>
  <c r="E176" i="28" a="1"/>
  <c r="D23" i="28" a="1"/>
  <c r="G1088" i="28" a="1"/>
  <c r="D836" i="26" a="1"/>
  <c r="G56" i="26" a="1"/>
  <c r="G16" i="28" a="1"/>
  <c r="E976" i="28" a="1"/>
  <c r="G912" i="28" a="1"/>
  <c r="D959" i="28" a="1"/>
  <c r="E40" i="26" a="1"/>
  <c r="D1055" i="28" a="1"/>
  <c r="E112" i="26" a="1"/>
  <c r="D1004" i="28" a="1"/>
  <c r="D580" i="26" a="1"/>
  <c r="D380" i="28" a="1"/>
  <c r="G672" i="28" a="1"/>
  <c r="E1096" i="28" a="1"/>
  <c r="G1120" i="28" a="1"/>
  <c r="G712" i="28" a="1"/>
  <c r="D948" i="28" a="1"/>
  <c r="G1160" i="28" a="1"/>
  <c r="G816" i="26" a="1"/>
  <c r="E1152" i="28" a="1"/>
  <c r="G896" i="28" a="1"/>
  <c r="E536" i="26" a="1"/>
  <c r="E712" i="26" a="1"/>
  <c r="G1384" i="26" a="1"/>
  <c r="E416" i="28" a="1"/>
  <c r="D143" i="28" a="1"/>
  <c r="G1344" i="26" a="1"/>
  <c r="D887" i="28" a="1"/>
  <c r="E688" i="28" a="1"/>
  <c r="G888" i="26" a="1"/>
  <c r="D1260" i="26" a="1"/>
  <c r="G896" i="26" a="1"/>
  <c r="D1220" i="26" a="1"/>
  <c r="D1468" i="26" a="1"/>
  <c r="E520" i="28" a="1"/>
  <c r="D1236" i="26" a="1"/>
  <c r="G1160" i="26" a="1"/>
  <c r="E1264" i="28" a="1"/>
  <c r="G96" i="28" a="1"/>
  <c r="E952" i="28" a="1"/>
  <c r="D1351" i="28" a="1"/>
  <c r="D1343" i="28" a="1"/>
  <c r="D1548" i="26" a="1"/>
  <c r="G232" i="28" a="1"/>
  <c r="G8" i="28" a="1"/>
  <c r="G560" i="28" a="1"/>
  <c r="E1312" i="28" a="1"/>
  <c r="D479" i="28" a="1"/>
  <c r="D524" i="28" a="1"/>
  <c r="G912" i="26" a="1"/>
  <c r="D1212" i="28" a="1"/>
  <c r="D628" i="28" a="1"/>
  <c r="D39" i="28" a="1"/>
  <c r="D724" i="26" a="1"/>
  <c r="G544" i="26" a="1"/>
  <c r="D895" i="28" a="1"/>
  <c r="D364" i="26" a="1"/>
  <c r="D1340" i="28" a="1"/>
  <c r="G136" i="26" a="1"/>
  <c r="D1204" i="28" a="1"/>
  <c r="D908" i="28" a="1"/>
  <c r="D652" i="28" a="1"/>
  <c r="E1576" i="26" a="1"/>
  <c r="D764" i="28" a="1"/>
  <c r="G80" i="26" a="1"/>
  <c r="G536" i="26" a="1"/>
  <c r="E112" i="28" a="1"/>
  <c r="E256" i="26" a="1"/>
  <c r="D324" i="26" a="1"/>
  <c r="D756" i="28" a="1"/>
  <c r="D1188" i="28" a="1"/>
  <c r="E1168" i="26" a="1"/>
  <c r="G1096" i="28" a="1"/>
  <c r="G64" i="26" a="1"/>
  <c r="E408" i="28" a="1"/>
  <c r="G504" i="28" a="1"/>
  <c r="G1520" i="26" a="1"/>
  <c r="G1336" i="26" a="1"/>
  <c r="D1287" i="28" a="1"/>
  <c r="D532" i="28" a="1"/>
  <c r="G1168" i="26" a="1"/>
  <c r="E976" i="26" a="1"/>
  <c r="G920" i="28" a="1"/>
  <c r="G952" i="28" a="1"/>
  <c r="E504" i="28" a="1"/>
  <c r="D687" i="28" a="1"/>
  <c r="D471" i="28" a="1"/>
  <c r="D471" i="28" l="1"/>
  <c r="D687" i="28"/>
  <c r="E504" i="28"/>
  <c r="G952" i="28"/>
  <c r="G920" i="28"/>
  <c r="E976" i="26"/>
  <c r="G1168" i="26"/>
  <c r="D532" i="28"/>
  <c r="D1287" i="28"/>
  <c r="G1336" i="26"/>
  <c r="G1520" i="26"/>
  <c r="G504" i="28"/>
  <c r="E408" i="28"/>
  <c r="G64" i="26"/>
  <c r="G1096" i="28"/>
  <c r="E1168" i="26"/>
  <c r="D1188" i="28"/>
  <c r="D756" i="28"/>
  <c r="D324" i="26"/>
  <c r="E256" i="26"/>
  <c r="E112" i="28"/>
  <c r="G536" i="26"/>
  <c r="G80" i="26"/>
  <c r="D764" i="28"/>
  <c r="E1576" i="26"/>
  <c r="D652" i="28"/>
  <c r="D908" i="28"/>
  <c r="D1204" i="28"/>
  <c r="G136" i="26"/>
  <c r="D1340" i="28"/>
  <c r="D364" i="26"/>
  <c r="D895" i="28"/>
  <c r="G544" i="26"/>
  <c r="D724" i="26"/>
  <c r="D39" i="28"/>
  <c r="D628" i="28"/>
  <c r="D1212" i="28"/>
  <c r="G912" i="26"/>
  <c r="D524" i="28"/>
  <c r="D479" i="28"/>
  <c r="E1312" i="28"/>
  <c r="G560" i="28"/>
  <c r="G8" i="28"/>
  <c r="G232" i="28"/>
  <c r="D1548" i="26"/>
  <c r="D1343" i="28"/>
  <c r="D1351" i="28"/>
  <c r="E952" i="28"/>
  <c r="G96" i="28"/>
  <c r="E1264" i="28"/>
  <c r="G1160" i="26"/>
  <c r="D1236" i="26"/>
  <c r="E520" i="28"/>
  <c r="D1468" i="26"/>
  <c r="D1220" i="26"/>
  <c r="G896" i="26"/>
  <c r="D1260" i="26"/>
  <c r="G888" i="26"/>
  <c r="E688" i="28"/>
  <c r="D887" i="28"/>
  <c r="G1344" i="26"/>
  <c r="D143" i="28"/>
  <c r="E416" i="28"/>
  <c r="G1384" i="26"/>
  <c r="E712" i="26"/>
  <c r="E536" i="26"/>
  <c r="G896" i="28"/>
  <c r="E1152" i="28"/>
  <c r="G816" i="26"/>
  <c r="G1160" i="28"/>
  <c r="D948" i="28"/>
  <c r="G712" i="28"/>
  <c r="G1120" i="28"/>
  <c r="E1096" i="28"/>
  <c r="G672" i="28"/>
  <c r="D380" i="28"/>
  <c r="D580" i="26"/>
  <c r="D1004" i="28"/>
  <c r="E112" i="26"/>
  <c r="D1055" i="28"/>
  <c r="E40" i="26"/>
  <c r="D959" i="28"/>
  <c r="G912" i="28"/>
  <c r="E976" i="28"/>
  <c r="G16" i="28"/>
  <c r="G56" i="26"/>
  <c r="D836" i="26"/>
  <c r="G1088" i="28"/>
  <c r="D23" i="28"/>
  <c r="E176" i="28"/>
  <c r="D327" i="28"/>
  <c r="E656" i="26"/>
  <c r="D183" i="28"/>
  <c r="D1100" i="26"/>
  <c r="D940" i="28"/>
  <c r="D1364" i="26"/>
  <c r="G1064" i="28"/>
  <c r="D1300" i="26"/>
  <c r="E624" i="28"/>
  <c r="E288" i="26"/>
  <c r="E648" i="26"/>
  <c r="E696" i="28"/>
  <c r="E744" i="28"/>
  <c r="G1288" i="28"/>
  <c r="G1352" i="28"/>
  <c r="D1324" i="28"/>
  <c r="E1040" i="26"/>
  <c r="D708" i="28"/>
  <c r="E240" i="28"/>
  <c r="G1232" i="28"/>
  <c r="E1032" i="26"/>
  <c r="D807" i="28"/>
  <c r="D1036" i="28"/>
  <c r="E960" i="28"/>
  <c r="G320" i="26"/>
  <c r="D20" i="28"/>
  <c r="D399" i="28"/>
  <c r="D20" i="26"/>
  <c r="D1164" i="28"/>
  <c r="D372" i="26"/>
  <c r="G664" i="28"/>
  <c r="D679" i="28"/>
  <c r="D7" i="28"/>
  <c r="D12" i="28"/>
  <c r="D220" i="26"/>
  <c r="D1076" i="26"/>
  <c r="E352" i="26"/>
  <c r="E952" i="26"/>
  <c r="E48" i="28"/>
  <c r="E376" i="28"/>
  <c r="G128" i="28"/>
  <c r="D703" i="28"/>
  <c r="D52" i="26"/>
  <c r="G104" i="28"/>
  <c r="E984" i="26"/>
  <c r="G8" i="26"/>
  <c r="D692" i="28"/>
  <c r="E576" i="28"/>
  <c r="D684" i="28"/>
  <c r="G512" i="28"/>
  <c r="G352" i="28"/>
  <c r="G944" i="28"/>
  <c r="D1076" i="28"/>
  <c r="D540" i="26"/>
  <c r="E16" i="26"/>
  <c r="G176" i="26"/>
  <c r="D1244" i="28"/>
  <c r="D279" i="28"/>
  <c r="G1336" i="28"/>
  <c r="G1216" i="28"/>
  <c r="G72" i="28"/>
  <c r="E184" i="28"/>
  <c r="E632" i="28"/>
  <c r="D1327" i="28"/>
  <c r="D268" i="26"/>
  <c r="D964" i="26"/>
  <c r="D1332" i="26"/>
  <c r="E928" i="28"/>
  <c r="D932" i="28"/>
  <c r="E1544" i="26"/>
  <c r="G1312" i="26"/>
  <c r="E360" i="26"/>
  <c r="G152" i="26"/>
  <c r="E1128" i="28"/>
  <c r="D4" i="26"/>
  <c r="D935" i="28"/>
  <c r="D556" i="28"/>
  <c r="D268" i="28"/>
  <c r="D375" i="28"/>
  <c r="D1596" i="26"/>
  <c r="D116" i="28"/>
  <c r="E872" i="28"/>
  <c r="E512" i="26"/>
  <c r="E560" i="28"/>
  <c r="G104" i="26"/>
  <c r="D276" i="26"/>
  <c r="D1111" i="28"/>
  <c r="D156" i="26"/>
  <c r="D828" i="26"/>
  <c r="G296" i="26"/>
  <c r="G1464" i="26"/>
  <c r="G328" i="26"/>
  <c r="E760" i="26"/>
  <c r="D567" i="28"/>
  <c r="G872" i="28"/>
  <c r="E720" i="28"/>
  <c r="G88" i="28"/>
  <c r="D884" i="28"/>
  <c r="G432" i="26"/>
  <c r="E120" i="28"/>
  <c r="E856" i="28"/>
  <c r="D996" i="28"/>
  <c r="G816" i="28"/>
  <c r="D1580" i="26"/>
  <c r="G1544" i="26"/>
  <c r="D284" i="26"/>
  <c r="E104" i="28"/>
  <c r="D564" i="28"/>
  <c r="D588" i="28"/>
  <c r="E1208" i="28"/>
  <c r="G1096" i="26"/>
  <c r="D1295" i="28"/>
  <c r="G1224" i="28"/>
  <c r="D1284" i="28"/>
  <c r="D735" i="28"/>
  <c r="E200" i="28"/>
  <c r="D116" i="26"/>
  <c r="D1196" i="28"/>
  <c r="E296" i="26"/>
  <c r="E608" i="28"/>
  <c r="E936" i="26"/>
  <c r="G344" i="28"/>
  <c r="D316" i="26"/>
  <c r="D572" i="26"/>
  <c r="D252" i="26"/>
  <c r="E640" i="26"/>
  <c r="E1184" i="26"/>
  <c r="E824" i="28"/>
  <c r="D1532" i="26"/>
  <c r="G376" i="28"/>
  <c r="E840" i="26"/>
  <c r="G984" i="26"/>
  <c r="D348" i="26"/>
  <c r="D1263" i="28"/>
  <c r="D743" i="28"/>
  <c r="E8" i="28"/>
  <c r="G1592" i="26"/>
  <c r="D260" i="28"/>
  <c r="E1200" i="26"/>
  <c r="G360" i="28"/>
  <c r="G1072" i="26"/>
  <c r="G1352" i="26"/>
  <c r="G1272" i="28"/>
  <c r="D292" i="26"/>
  <c r="D111" i="28"/>
  <c r="G784" i="26"/>
  <c r="D1116" i="26"/>
  <c r="E1288" i="26"/>
  <c r="E1064" i="28"/>
  <c r="D300" i="26"/>
  <c r="G800" i="26"/>
  <c r="D759" i="28"/>
  <c r="G192" i="28"/>
  <c r="G704" i="26"/>
  <c r="D1540" i="26"/>
  <c r="D668" i="26"/>
  <c r="D591" i="28"/>
  <c r="G680" i="28"/>
  <c r="E584" i="28"/>
  <c r="D631" i="28"/>
  <c r="D951" i="28"/>
  <c r="D1188" i="26"/>
  <c r="G600" i="28"/>
  <c r="G728" i="28"/>
  <c r="G1448" i="26"/>
  <c r="D1196" i="26"/>
  <c r="D844" i="28"/>
  <c r="D124" i="26"/>
  <c r="E1512" i="26"/>
  <c r="E432" i="28"/>
  <c r="D716" i="28"/>
  <c r="E656" i="28"/>
  <c r="G1376" i="26"/>
  <c r="G952" i="26"/>
  <c r="G32" i="28"/>
  <c r="G208" i="28"/>
  <c r="D260" i="26"/>
  <c r="D1108" i="26"/>
  <c r="G1040" i="28"/>
  <c r="D1127" i="28"/>
  <c r="D164" i="28"/>
  <c r="E160" i="28"/>
  <c r="E136" i="26"/>
  <c r="E296" i="28"/>
  <c r="E1600" i="26"/>
  <c r="E1248" i="28"/>
  <c r="E1592" i="26"/>
  <c r="G440" i="28"/>
  <c r="E344" i="26"/>
  <c r="D332" i="28"/>
  <c r="D444" i="26"/>
  <c r="D527" i="28"/>
  <c r="E512" i="28"/>
  <c r="G528" i="28"/>
  <c r="G624" i="28"/>
  <c r="D1332" i="28"/>
  <c r="E96" i="26"/>
  <c r="E376" i="26"/>
  <c r="E472" i="26"/>
  <c r="E728" i="28"/>
  <c r="D684" i="26"/>
  <c r="D1452" i="26"/>
  <c r="E360" i="28"/>
  <c r="D132" i="28"/>
  <c r="G1008" i="28"/>
  <c r="E504" i="26"/>
  <c r="E1216" i="26"/>
  <c r="E1312" i="26"/>
  <c r="G1040" i="26"/>
  <c r="D695" i="28"/>
  <c r="D615" i="28"/>
  <c r="E280" i="28"/>
  <c r="D412" i="28"/>
  <c r="D1556" i="26"/>
  <c r="D559" i="28"/>
  <c r="E1328" i="28"/>
  <c r="E896" i="26"/>
  <c r="D68" i="26"/>
  <c r="D791" i="28"/>
  <c r="G424" i="26"/>
  <c r="G320" i="28"/>
  <c r="D308" i="28"/>
  <c r="G312" i="28"/>
  <c r="E72" i="26"/>
  <c r="D276" i="28"/>
  <c r="D863" i="28"/>
  <c r="G368" i="28"/>
  <c r="G880" i="26"/>
  <c r="G400" i="28"/>
  <c r="E1304" i="28"/>
  <c r="G976" i="26"/>
  <c r="D1572" i="26"/>
  <c r="D1183" i="28"/>
  <c r="D180" i="28"/>
  <c r="E968" i="26"/>
  <c r="D47" i="28"/>
  <c r="D607" i="28"/>
  <c r="G592" i="26"/>
  <c r="D1212" i="26"/>
  <c r="D972" i="26"/>
  <c r="D748" i="28"/>
  <c r="G928" i="26"/>
  <c r="D292" i="28"/>
  <c r="D751" i="28"/>
  <c r="D612" i="28"/>
  <c r="G1504" i="26"/>
  <c r="E848" i="28"/>
  <c r="G760" i="26"/>
  <c r="E264" i="26"/>
  <c r="E1408" i="26"/>
  <c r="G576" i="26"/>
  <c r="E1112" i="26"/>
  <c r="G32" i="26"/>
  <c r="D991" i="28"/>
  <c r="G1536" i="26"/>
  <c r="G1016" i="28"/>
  <c r="E1536" i="26"/>
  <c r="D1428" i="26"/>
  <c r="D1132" i="28"/>
  <c r="G1000" i="26"/>
  <c r="D876" i="28"/>
  <c r="E136" i="28"/>
  <c r="D172" i="26"/>
  <c r="D924" i="28"/>
  <c r="E704" i="28"/>
  <c r="D428" i="26"/>
  <c r="G1272" i="26"/>
  <c r="D204" i="26"/>
  <c r="D124" i="28"/>
  <c r="E312" i="28"/>
  <c r="G1056" i="28"/>
  <c r="D1199" i="28"/>
  <c r="D1020" i="26"/>
  <c r="E808" i="26"/>
  <c r="E880" i="28"/>
  <c r="E1280" i="28"/>
  <c r="D1492" i="26"/>
  <c r="D1276" i="26"/>
  <c r="D180" i="26"/>
  <c r="G24" i="26"/>
  <c r="D916" i="28"/>
  <c r="D1044" i="26"/>
  <c r="G488" i="28"/>
  <c r="G1064" i="26"/>
  <c r="G920" i="26"/>
  <c r="D156" i="28"/>
  <c r="G712" i="26"/>
  <c r="E456" i="28"/>
  <c r="D132" i="26"/>
  <c r="E800" i="26"/>
  <c r="G424" i="28"/>
  <c r="D564" i="26"/>
  <c r="E1000" i="26"/>
  <c r="D1103" i="28"/>
  <c r="E1464" i="26"/>
  <c r="D71" i="28"/>
  <c r="D428" i="28"/>
  <c r="D727" i="28"/>
  <c r="G1072" i="28"/>
  <c r="E888" i="26"/>
  <c r="D548" i="28"/>
  <c r="G1296" i="28"/>
  <c r="G1032" i="28"/>
  <c r="D172" i="28"/>
  <c r="G1496" i="26"/>
  <c r="D996" i="26"/>
  <c r="E1384" i="26"/>
  <c r="G72" i="26"/>
  <c r="E1232" i="28"/>
  <c r="G1552" i="26"/>
  <c r="D740" i="28"/>
  <c r="D975" i="28"/>
  <c r="E1400" i="26"/>
  <c r="E1016" i="26"/>
  <c r="E792" i="26"/>
  <c r="D919" i="28"/>
  <c r="E752" i="26"/>
  <c r="D1031" i="28"/>
  <c r="D1092" i="26"/>
  <c r="D1047" i="28"/>
  <c r="D356" i="26"/>
  <c r="D1255" i="28"/>
  <c r="G656" i="28"/>
  <c r="D1524" i="26"/>
  <c r="D396" i="28"/>
  <c r="D711" i="28"/>
  <c r="E144" i="28"/>
  <c r="D1215" i="28"/>
  <c r="D255" i="28"/>
  <c r="G664" i="26"/>
  <c r="D468" i="26"/>
  <c r="G1432" i="26"/>
  <c r="E1080" i="28"/>
  <c r="D228" i="28"/>
  <c r="D871" i="28"/>
  <c r="D92" i="26"/>
  <c r="D356" i="28"/>
  <c r="G136" i="28"/>
  <c r="D988" i="28"/>
  <c r="G808" i="28"/>
  <c r="E152" i="26"/>
  <c r="D244" i="28"/>
  <c r="E1520" i="26"/>
  <c r="E488" i="26"/>
  <c r="D767" i="28"/>
  <c r="E320" i="28"/>
  <c r="D852" i="28"/>
  <c r="E912" i="28"/>
  <c r="E992" i="28"/>
  <c r="E64" i="26"/>
  <c r="G208" i="26"/>
  <c r="D1268" i="28"/>
  <c r="D452" i="28"/>
  <c r="D716" i="26"/>
  <c r="E1136" i="26"/>
  <c r="D1172" i="28"/>
  <c r="G152" i="28"/>
  <c r="G760" i="28"/>
  <c r="E424" i="26"/>
  <c r="G496" i="26"/>
  <c r="E1064" i="26"/>
  <c r="D860" i="28"/>
  <c r="D1228" i="28"/>
  <c r="D764" i="26"/>
  <c r="D196" i="28"/>
  <c r="G1328" i="26"/>
  <c r="E448" i="28"/>
  <c r="G536" i="28"/>
  <c r="G496" i="28"/>
  <c r="D868" i="26"/>
  <c r="G848" i="28"/>
  <c r="D988" i="26"/>
  <c r="D543" i="28"/>
  <c r="G216" i="26"/>
  <c r="G768" i="28"/>
  <c r="E1552" i="26"/>
  <c r="G264" i="26"/>
  <c r="E1184" i="28"/>
  <c r="G568" i="26"/>
  <c r="E184" i="26"/>
  <c r="D908" i="26"/>
  <c r="E1296" i="28"/>
  <c r="D732" i="26"/>
  <c r="D212" i="28"/>
  <c r="D460" i="28"/>
  <c r="E1088" i="28"/>
  <c r="D204" i="28"/>
  <c r="E1000" i="28"/>
  <c r="D295" i="28"/>
  <c r="G368" i="26"/>
  <c r="E1200" i="28"/>
  <c r="G1200" i="26"/>
  <c r="D676" i="26"/>
  <c r="D239" i="28"/>
  <c r="G960" i="26"/>
  <c r="D852" i="26"/>
  <c r="D511" i="28"/>
  <c r="G1176" i="26"/>
  <c r="E528" i="28"/>
  <c r="E872" i="26"/>
  <c r="D1588" i="26"/>
  <c r="E440" i="28"/>
  <c r="G944" i="26"/>
  <c r="E1256" i="26"/>
  <c r="E368" i="28"/>
  <c r="D52" i="28"/>
  <c r="E96" i="28"/>
  <c r="E600" i="28"/>
  <c r="G1192" i="26"/>
  <c r="D236" i="28"/>
  <c r="D263" i="28"/>
  <c r="D1135" i="28"/>
  <c r="E1392" i="26"/>
  <c r="D1311" i="28"/>
  <c r="D900" i="28"/>
  <c r="G576" i="28"/>
  <c r="D372" i="28"/>
  <c r="E576" i="26"/>
  <c r="D1172" i="26"/>
  <c r="G624" i="26"/>
  <c r="D628" i="26"/>
  <c r="G864" i="28"/>
  <c r="D367" i="28"/>
  <c r="E672" i="28"/>
  <c r="G1136" i="28"/>
  <c r="D28" i="26"/>
  <c r="D463" i="28"/>
  <c r="E1432" i="26"/>
  <c r="E120" i="26"/>
  <c r="D423" i="28"/>
  <c r="G128" i="26"/>
  <c r="G744" i="28"/>
  <c r="D999" i="28"/>
  <c r="D1335" i="28"/>
  <c r="D1092" i="28"/>
  <c r="D207" i="28"/>
  <c r="D599" i="28"/>
  <c r="E1008" i="26"/>
  <c r="E1272" i="28"/>
  <c r="D812" i="28"/>
  <c r="E984" i="28"/>
  <c r="G632" i="28"/>
  <c r="D188" i="28"/>
  <c r="E1240" i="28"/>
  <c r="D663" i="28"/>
  <c r="E1320" i="26"/>
  <c r="E128" i="28"/>
  <c r="G464" i="28"/>
  <c r="D319" i="28"/>
  <c r="D1084" i="26"/>
  <c r="G200" i="26"/>
  <c r="G1296" i="26"/>
  <c r="D1308" i="28"/>
  <c r="D708" i="26"/>
  <c r="E232" i="26"/>
  <c r="E912" i="26"/>
  <c r="G1232" i="26"/>
  <c r="E808" i="28"/>
  <c r="D844" i="26"/>
  <c r="D1068" i="28"/>
  <c r="G544" i="28"/>
  <c r="D1303" i="28"/>
  <c r="G1000" i="28"/>
  <c r="E1048" i="26"/>
  <c r="D28" i="28"/>
  <c r="E440" i="26"/>
  <c r="E1352" i="28"/>
  <c r="D1156" i="28"/>
  <c r="D311" i="28"/>
  <c r="D932" i="26"/>
  <c r="D1516" i="26"/>
  <c r="E1584" i="26"/>
  <c r="G1152" i="26"/>
  <c r="D348" i="28"/>
  <c r="D551" i="28"/>
  <c r="D508" i="26"/>
  <c r="G384" i="26"/>
  <c r="G1088" i="26"/>
  <c r="G88" i="26"/>
  <c r="D1167" i="28"/>
  <c r="G872" i="26"/>
  <c r="G56" i="28"/>
  <c r="D460" i="26"/>
  <c r="E328" i="28"/>
  <c r="D1012" i="26"/>
  <c r="D220" i="28"/>
  <c r="G1024" i="28"/>
  <c r="G1128" i="28"/>
  <c r="D780" i="26"/>
  <c r="G272" i="26"/>
  <c r="E304" i="26"/>
  <c r="D1279" i="28"/>
  <c r="D1036" i="26"/>
  <c r="E288" i="28"/>
  <c r="D1140" i="26"/>
  <c r="G1104" i="26"/>
  <c r="D900" i="26"/>
  <c r="D1223" i="28"/>
  <c r="G720" i="26"/>
  <c r="D1052" i="28"/>
  <c r="G112" i="28"/>
  <c r="G352" i="26"/>
  <c r="D1380" i="26"/>
  <c r="D388" i="28"/>
  <c r="G688" i="28"/>
  <c r="G24" i="28"/>
  <c r="D596" i="26"/>
  <c r="G792" i="26"/>
  <c r="G832" i="28"/>
  <c r="G696" i="28"/>
  <c r="D476" i="26"/>
  <c r="E800" i="28"/>
  <c r="D636" i="28"/>
  <c r="G1024" i="26"/>
  <c r="E824" i="26"/>
  <c r="D1132" i="26"/>
  <c r="D79" i="28"/>
  <c r="G768" i="26"/>
  <c r="G776" i="28"/>
  <c r="G608" i="26"/>
  <c r="D287" i="28"/>
  <c r="G800" i="28"/>
  <c r="D1039" i="28"/>
  <c r="D300" i="28"/>
  <c r="D820" i="26"/>
  <c r="E1448" i="26"/>
  <c r="D1087" i="28"/>
  <c r="D940" i="26"/>
  <c r="D87" i="28"/>
  <c r="D700" i="26"/>
  <c r="G48" i="28"/>
  <c r="G1152" i="28"/>
  <c r="D1444" i="26"/>
  <c r="E304" i="28"/>
  <c r="D1316" i="26"/>
  <c r="E864" i="28"/>
  <c r="D244" i="26"/>
  <c r="D788" i="28"/>
  <c r="E784" i="28"/>
  <c r="G968" i="26"/>
  <c r="D1151" i="28"/>
  <c r="E1568" i="26"/>
  <c r="D1100" i="28"/>
  <c r="G64" i="28"/>
  <c r="D407" i="28"/>
  <c r="G1216" i="26"/>
  <c r="G336" i="28"/>
  <c r="E784" i="26"/>
  <c r="G184" i="28"/>
  <c r="G1600" i="26"/>
  <c r="D199" i="28"/>
  <c r="D420" i="28"/>
  <c r="G592" i="28"/>
  <c r="E488" i="28"/>
  <c r="G1480" i="26"/>
  <c r="D140" i="28"/>
  <c r="G1008" i="26"/>
  <c r="D1356" i="26"/>
  <c r="G1144" i="26"/>
  <c r="E480" i="26"/>
  <c r="E856" i="26"/>
  <c r="D612" i="26"/>
  <c r="G416" i="28"/>
  <c r="G440" i="26"/>
  <c r="E232" i="28"/>
  <c r="D1319" i="28"/>
  <c r="D1396" i="26"/>
  <c r="E1216" i="28"/>
  <c r="E1504" i="26"/>
  <c r="E904" i="28"/>
  <c r="D415" i="28"/>
  <c r="G1400" i="26"/>
  <c r="E1144" i="26"/>
  <c r="E72" i="28"/>
  <c r="E712" i="28"/>
  <c r="D540" i="28"/>
  <c r="G616" i="26"/>
  <c r="D1252" i="26"/>
  <c r="E496" i="26"/>
  <c r="E64" i="28"/>
  <c r="D444" i="28"/>
  <c r="G392" i="28"/>
  <c r="D1271" i="28"/>
  <c r="G1360" i="26"/>
  <c r="E1144" i="28"/>
  <c r="G160" i="28"/>
  <c r="D215" i="28"/>
  <c r="G1208" i="28"/>
  <c r="D671" i="28"/>
  <c r="E1480" i="26"/>
  <c r="G632" i="26"/>
  <c r="D1340" i="26"/>
  <c r="D1143" i="28"/>
  <c r="D351" i="28"/>
  <c r="E776" i="26"/>
  <c r="D1252" i="28"/>
  <c r="E1024" i="26"/>
  <c r="G1016" i="26"/>
  <c r="D516" i="28"/>
  <c r="E48" i="26"/>
  <c r="D980" i="26"/>
  <c r="G1128" i="26"/>
  <c r="G1440" i="26"/>
  <c r="G200" i="28"/>
  <c r="E168" i="26"/>
  <c r="E616" i="26"/>
  <c r="D447" i="28"/>
  <c r="E208" i="26"/>
  <c r="D639" i="28"/>
  <c r="G160" i="26"/>
  <c r="G1512" i="26"/>
  <c r="G400" i="26"/>
  <c r="G1184" i="26"/>
  <c r="G16" i="26"/>
  <c r="G992" i="28"/>
  <c r="G680" i="26"/>
  <c r="E968" i="28"/>
  <c r="E1232" i="26"/>
  <c r="D788" i="26"/>
  <c r="E152" i="28"/>
  <c r="E1176" i="26"/>
  <c r="D1116" i="28"/>
  <c r="D1079" i="28"/>
  <c r="D620" i="26"/>
  <c r="D1372" i="26"/>
  <c r="G840" i="26"/>
  <c r="D556" i="26"/>
  <c r="D1124" i="26"/>
  <c r="G1488" i="26"/>
  <c r="G960" i="28"/>
  <c r="G776" i="26"/>
  <c r="D1028" i="26"/>
  <c r="D60" i="26"/>
  <c r="E600" i="26"/>
  <c r="G1576" i="26"/>
  <c r="D1284" i="26"/>
  <c r="E1224" i="28"/>
  <c r="D44" i="28"/>
  <c r="G1200" i="28"/>
  <c r="G448" i="28"/>
  <c r="D188" i="26"/>
  <c r="D948" i="26"/>
  <c r="E944" i="28"/>
  <c r="D340" i="28"/>
  <c r="D1316" i="28"/>
  <c r="D1028" i="28"/>
  <c r="E448" i="26"/>
  <c r="E552" i="28"/>
  <c r="D1508" i="26"/>
  <c r="D780" i="28"/>
  <c r="G144" i="26"/>
  <c r="D103" i="28"/>
  <c r="G1080" i="26"/>
  <c r="D4" i="28"/>
  <c r="G736" i="28"/>
  <c r="G1048" i="26"/>
  <c r="E720" i="26"/>
  <c r="G224" i="26"/>
  <c r="E1032" i="28"/>
  <c r="E224" i="26"/>
  <c r="G648" i="26"/>
  <c r="D548" i="26"/>
  <c r="D700" i="28"/>
  <c r="D583" i="28"/>
  <c r="G1184" i="28"/>
  <c r="D191" i="28"/>
  <c r="D964" i="28"/>
  <c r="G1424" i="26"/>
  <c r="D1119" i="28"/>
  <c r="D1004" i="26"/>
  <c r="D879" i="28"/>
  <c r="E1456" i="26"/>
  <c r="D492" i="26"/>
  <c r="E408" i="26"/>
  <c r="E672" i="26"/>
  <c r="G968" i="28"/>
  <c r="G752" i="28"/>
  <c r="E1072" i="28"/>
  <c r="E632" i="26"/>
  <c r="E80" i="28"/>
  <c r="G1560" i="26"/>
  <c r="E752" i="28"/>
  <c r="D647" i="28"/>
  <c r="D924" i="26"/>
  <c r="D1236" i="28"/>
  <c r="E1336" i="26"/>
  <c r="D604" i="26"/>
  <c r="G480" i="26"/>
  <c r="E1176" i="28"/>
  <c r="D228" i="26"/>
  <c r="D316" i="28"/>
  <c r="D364" i="28"/>
  <c r="E1424" i="26"/>
  <c r="D903" i="28"/>
  <c r="G1136" i="26"/>
  <c r="D68" i="28"/>
  <c r="D140" i="26"/>
  <c r="D772" i="26"/>
  <c r="E816" i="26"/>
  <c r="D1300" i="28"/>
  <c r="G1256" i="28"/>
  <c r="E552" i="26"/>
  <c r="G904" i="26"/>
  <c r="D943" i="28"/>
  <c r="E1120" i="28"/>
  <c r="D756" i="26"/>
  <c r="E400" i="26"/>
  <c r="G1264" i="26"/>
  <c r="E1008" i="28"/>
  <c r="D92" i="28"/>
  <c r="D84" i="26"/>
  <c r="G752" i="26"/>
  <c r="D135" i="28"/>
  <c r="G1144" i="28"/>
  <c r="G1248" i="28"/>
  <c r="G720" i="28"/>
  <c r="D1500" i="26"/>
  <c r="G464" i="26"/>
  <c r="D892" i="26"/>
  <c r="G392" i="26"/>
  <c r="D119" i="28"/>
  <c r="E312" i="26"/>
  <c r="D660" i="28"/>
  <c r="E240" i="26"/>
  <c r="G1280" i="26"/>
  <c r="D391" i="28"/>
  <c r="D676" i="28"/>
  <c r="E248" i="26"/>
  <c r="E776" i="28"/>
  <c r="D508" i="28"/>
  <c r="G296" i="28"/>
  <c r="E768" i="28"/>
  <c r="G256" i="26"/>
  <c r="D1007" i="28"/>
  <c r="E1192" i="26"/>
  <c r="D1420" i="26"/>
  <c r="E1344" i="28"/>
  <c r="E280" i="26"/>
  <c r="E392" i="28"/>
  <c r="D799" i="28"/>
  <c r="D1308" i="26"/>
  <c r="D860" i="26"/>
  <c r="G992" i="26"/>
  <c r="D732" i="28"/>
  <c r="E1192" i="28"/>
  <c r="E24" i="28"/>
  <c r="D524" i="26"/>
  <c r="G520" i="26"/>
  <c r="D1260" i="28"/>
  <c r="E1080" i="26"/>
  <c r="G472" i="28"/>
  <c r="G1112" i="26"/>
  <c r="G288" i="26"/>
  <c r="D484" i="26"/>
  <c r="E1344" i="26"/>
  <c r="D588" i="26"/>
  <c r="E1264" i="26"/>
  <c r="G232" i="26"/>
  <c r="D420" i="26"/>
  <c r="G168" i="26"/>
  <c r="D1460" i="26"/>
  <c r="G408" i="26"/>
  <c r="E192" i="28"/>
  <c r="E1104" i="26"/>
  <c r="E648" i="28"/>
  <c r="D1388" i="26"/>
  <c r="E736" i="26"/>
  <c r="E1320" i="28"/>
  <c r="D892" i="28"/>
  <c r="D44" i="26"/>
  <c r="E272" i="26"/>
  <c r="E208" i="28"/>
  <c r="G976" i="28"/>
  <c r="E216" i="26"/>
  <c r="E32" i="26"/>
  <c r="G472" i="26"/>
  <c r="G248" i="28"/>
  <c r="E528" i="26"/>
  <c r="D1231" i="28"/>
  <c r="D967" i="28"/>
  <c r="G728" i="26"/>
  <c r="E920" i="26"/>
  <c r="E640" i="28"/>
  <c r="E1440" i="26"/>
  <c r="D148" i="26"/>
  <c r="G288" i="28"/>
  <c r="E920" i="28"/>
  <c r="E432" i="26"/>
  <c r="E320" i="26"/>
  <c r="E1248" i="26"/>
  <c r="E848" i="26"/>
  <c r="E464" i="28"/>
  <c r="G1032" i="26"/>
  <c r="G480" i="28"/>
  <c r="D1244" i="26"/>
  <c r="E904" i="26"/>
  <c r="G1248" i="26"/>
  <c r="G376" i="26"/>
  <c r="E1048" i="28"/>
  <c r="E1280" i="26"/>
  <c r="G1240" i="26"/>
  <c r="D1204" i="26"/>
  <c r="E384" i="26"/>
  <c r="E1496" i="26"/>
  <c r="D1140" i="28"/>
  <c r="G264" i="28"/>
  <c r="G552" i="28"/>
  <c r="G1368" i="26"/>
  <c r="G272" i="28"/>
  <c r="D1023" i="28"/>
  <c r="D804" i="28"/>
  <c r="E1160" i="28"/>
  <c r="D1020" i="28"/>
  <c r="G840" i="28"/>
  <c r="D12" i="26"/>
  <c r="E832" i="28"/>
  <c r="E368" i="26"/>
  <c r="G1408" i="26"/>
  <c r="G1224" i="26"/>
  <c r="D431" i="28"/>
  <c r="G736" i="26"/>
  <c r="G1240" i="28"/>
  <c r="G1168" i="28"/>
  <c r="G792" i="28"/>
  <c r="G416" i="26"/>
  <c r="G808" i="26"/>
  <c r="E224" i="28"/>
  <c r="D404" i="28"/>
  <c r="D223" i="28"/>
  <c r="D1060" i="26"/>
  <c r="E888" i="28"/>
  <c r="E1560" i="26"/>
  <c r="G784" i="28"/>
  <c r="D388" i="26"/>
  <c r="G856" i="26"/>
  <c r="G456" i="26"/>
  <c r="D500" i="28"/>
  <c r="G48" i="26"/>
  <c r="D772" i="28"/>
  <c r="D516" i="26"/>
  <c r="D1175" i="28"/>
  <c r="G40" i="26"/>
  <c r="D1012" i="28"/>
  <c r="D436" i="28"/>
  <c r="D1124" i="28"/>
  <c r="D63" i="28"/>
  <c r="G880" i="28"/>
  <c r="E456" i="26"/>
  <c r="D1348" i="28"/>
  <c r="D1060" i="28"/>
  <c r="D340" i="26"/>
  <c r="D236" i="26"/>
  <c r="D383" i="28"/>
  <c r="D748" i="26"/>
  <c r="G696" i="26"/>
  <c r="E248" i="28"/>
  <c r="G744" i="26"/>
  <c r="G456" i="28"/>
  <c r="E1024" i="28"/>
  <c r="E536" i="28"/>
  <c r="E1072" i="26"/>
  <c r="G448" i="26"/>
  <c r="G176" i="28"/>
  <c r="G112" i="26"/>
  <c r="D839" i="28"/>
  <c r="G256" i="28"/>
  <c r="D503" i="28"/>
  <c r="E1208" i="26"/>
  <c r="G1112" i="28"/>
  <c r="G344" i="26"/>
  <c r="E40" i="28"/>
  <c r="G1472" i="26"/>
  <c r="G120" i="28"/>
  <c r="G704" i="28"/>
  <c r="E1224" i="26"/>
  <c r="D1095" i="28"/>
  <c r="E840" i="28"/>
  <c r="D76" i="26"/>
  <c r="E608" i="26"/>
  <c r="E1472" i="26"/>
  <c r="G1288" i="26"/>
  <c r="G184" i="26"/>
  <c r="E520" i="26"/>
  <c r="D623" i="28"/>
  <c r="G240" i="26"/>
  <c r="E88" i="28"/>
  <c r="G936" i="28"/>
  <c r="E816" i="28"/>
  <c r="D196" i="26"/>
  <c r="E16" i="28"/>
  <c r="E584" i="26"/>
  <c r="D1068" i="26"/>
  <c r="E744" i="26"/>
  <c r="G552" i="26"/>
  <c r="G672" i="26"/>
  <c r="G512" i="26"/>
  <c r="E400" i="28"/>
  <c r="G608" i="28"/>
  <c r="D148" i="28"/>
  <c r="E1352" i="26"/>
  <c r="E88" i="26"/>
  <c r="D1220" i="28"/>
  <c r="D655" i="28"/>
  <c r="G1328" i="28"/>
  <c r="D1268" i="26"/>
  <c r="E704" i="26"/>
  <c r="E1416" i="26"/>
  <c r="D108" i="28"/>
  <c r="D476" i="28"/>
  <c r="G328" i="28"/>
  <c r="D1180" i="28"/>
  <c r="D76" i="28"/>
  <c r="E352" i="28"/>
  <c r="D84" i="28"/>
  <c r="D284" i="28"/>
  <c r="E1488" i="26"/>
  <c r="D468" i="28"/>
  <c r="E104" i="26"/>
  <c r="D271" i="28"/>
  <c r="G824" i="28"/>
  <c r="D175" i="28"/>
  <c r="E168" i="28"/>
  <c r="D412" i="26"/>
  <c r="E1056" i="26"/>
  <c r="G936" i="26"/>
  <c r="E496" i="28"/>
  <c r="E160" i="26"/>
  <c r="E1168" i="28"/>
  <c r="D823" i="28"/>
  <c r="E464" i="26"/>
  <c r="G832" i="26"/>
  <c r="E680" i="26"/>
  <c r="E328" i="26"/>
  <c r="E792" i="28"/>
  <c r="E272" i="28"/>
  <c r="E1152" i="26"/>
  <c r="D535" i="28"/>
  <c r="E56" i="28"/>
  <c r="G96" i="26"/>
  <c r="E56" i="26"/>
  <c r="D980" i="28"/>
  <c r="G408" i="28"/>
  <c r="G1104" i="28"/>
  <c r="E592" i="28"/>
  <c r="D1108" i="28"/>
  <c r="G904" i="28"/>
  <c r="G1080" i="28"/>
  <c r="E8" i="26"/>
  <c r="G1320" i="26"/>
  <c r="G360" i="26"/>
  <c r="G1456" i="26"/>
  <c r="G1304" i="26"/>
  <c r="G192" i="26"/>
  <c r="D1484" i="26"/>
  <c r="G1528" i="26"/>
  <c r="G40" i="28"/>
  <c r="D604" i="28"/>
  <c r="D335" i="28"/>
  <c r="D1052" i="26"/>
  <c r="E336" i="28"/>
  <c r="D55" i="28"/>
  <c r="D332" i="26"/>
  <c r="E1128" i="26"/>
  <c r="G1344" i="28"/>
  <c r="G616" i="28"/>
  <c r="G80" i="28"/>
  <c r="G1192" i="28"/>
  <c r="D847" i="28"/>
  <c r="E1104" i="28"/>
  <c r="D1564" i="26"/>
  <c r="E1304" i="26"/>
  <c r="G224" i="28"/>
  <c r="D492" i="28"/>
  <c r="D436" i="26"/>
  <c r="D644" i="28"/>
  <c r="D1191" i="28"/>
  <c r="D15" i="28"/>
  <c r="E1040" i="28"/>
  <c r="E696" i="26"/>
  <c r="D127" i="28"/>
  <c r="E832" i="26"/>
  <c r="D572" i="28"/>
  <c r="G432" i="28"/>
  <c r="E424" i="28"/>
  <c r="G528" i="26"/>
  <c r="E592" i="26"/>
  <c r="D580" i="28"/>
  <c r="D855" i="28"/>
  <c r="G600" i="26"/>
  <c r="D636" i="26"/>
  <c r="E216" i="28"/>
  <c r="G640" i="28"/>
  <c r="D916" i="26"/>
  <c r="D575" i="28"/>
  <c r="D308" i="26"/>
  <c r="D396" i="26"/>
  <c r="G336" i="26"/>
  <c r="G240" i="28"/>
  <c r="E176" i="26"/>
  <c r="G1304" i="28"/>
  <c r="E480" i="28"/>
  <c r="E128" i="26"/>
  <c r="G520" i="28"/>
  <c r="D1159" i="28"/>
  <c r="D1084" i="28"/>
  <c r="D644" i="26"/>
  <c r="E768" i="26"/>
  <c r="G640" i="26"/>
  <c r="D692" i="26"/>
  <c r="D1156" i="26"/>
  <c r="E736" i="28"/>
  <c r="D455" i="28"/>
  <c r="D820" i="28"/>
  <c r="D719" i="28"/>
  <c r="G584" i="26"/>
  <c r="D620" i="28"/>
  <c r="E1096" i="26"/>
  <c r="D956" i="26"/>
  <c r="D1292" i="26"/>
  <c r="D532" i="26"/>
  <c r="E344" i="28"/>
  <c r="D231" i="28"/>
  <c r="D167" i="28"/>
  <c r="D1148" i="26"/>
  <c r="E1240" i="26"/>
  <c r="E944" i="26"/>
  <c r="E568" i="26"/>
  <c r="D1292" i="28"/>
  <c r="E560" i="26"/>
  <c r="G848" i="26"/>
  <c r="D868" i="28"/>
  <c r="E928" i="26"/>
  <c r="G688" i="26"/>
  <c r="D1247" i="28"/>
  <c r="D983" i="28"/>
  <c r="G1120" i="26"/>
  <c r="D252" i="28"/>
  <c r="E1112" i="28"/>
  <c r="D519" i="28"/>
  <c r="D1164" i="26"/>
  <c r="G248" i="26"/>
  <c r="G488" i="26"/>
  <c r="E936" i="28"/>
  <c r="G312" i="26"/>
  <c r="D1207" i="28"/>
  <c r="D7" i="26"/>
  <c r="F7" i="26" s="1"/>
  <c r="E1360" i="26"/>
  <c r="G984" i="28"/>
  <c r="D596" i="28"/>
  <c r="G584" i="28"/>
  <c r="D1148" i="28"/>
  <c r="D660" i="26"/>
  <c r="D343" i="28"/>
  <c r="G1264" i="28"/>
  <c r="G864" i="26"/>
  <c r="G856" i="28"/>
  <c r="E1136" i="28"/>
  <c r="D884" i="26"/>
  <c r="D95" i="28"/>
  <c r="E1296" i="26"/>
  <c r="D1228" i="26"/>
  <c r="D60" i="28"/>
  <c r="E1328" i="26"/>
  <c r="G560" i="26"/>
  <c r="D783" i="28"/>
  <c r="E992" i="26"/>
  <c r="E1368" i="26"/>
  <c r="D380" i="26"/>
  <c r="G928" i="28"/>
  <c r="D100" i="28"/>
  <c r="D484" i="28"/>
  <c r="G1176" i="28"/>
  <c r="G1392" i="26"/>
  <c r="D452" i="26"/>
  <c r="D911" i="28"/>
  <c r="D1324" i="26"/>
  <c r="E1120" i="26"/>
  <c r="E1160" i="26"/>
  <c r="G888" i="28"/>
  <c r="G216" i="28"/>
  <c r="G824" i="26"/>
  <c r="D36" i="28"/>
  <c r="E264" i="28"/>
  <c r="E144" i="26"/>
  <c r="D159" i="28"/>
  <c r="E192" i="26"/>
  <c r="G280" i="26"/>
  <c r="E200" i="26"/>
  <c r="E1088" i="26"/>
  <c r="D495" i="28"/>
  <c r="D1276" i="28"/>
  <c r="E544" i="28"/>
  <c r="E896" i="28"/>
  <c r="G1320" i="28"/>
  <c r="D828" i="28"/>
  <c r="D1071" i="28"/>
  <c r="G168" i="28"/>
  <c r="E728" i="26"/>
  <c r="E664" i="26"/>
  <c r="D927" i="28"/>
  <c r="D247" i="28"/>
  <c r="D303" i="28"/>
  <c r="G384" i="28"/>
  <c r="G1312" i="28"/>
  <c r="G504" i="26"/>
  <c r="D1436" i="26"/>
  <c r="E1056" i="28"/>
  <c r="E416" i="26"/>
  <c r="G656" i="26"/>
  <c r="D359" i="28"/>
  <c r="D487" i="28"/>
  <c r="D1239" i="28"/>
  <c r="D1044" i="28"/>
  <c r="D164" i="26"/>
  <c r="E24" i="26"/>
  <c r="E960" i="26"/>
  <c r="D815" i="28"/>
  <c r="D668" i="28"/>
  <c r="D404" i="26"/>
  <c r="D1180" i="26"/>
  <c r="E384" i="28"/>
  <c r="E1528" i="26"/>
  <c r="D796" i="26"/>
  <c r="E472" i="28"/>
  <c r="G1584" i="26"/>
  <c r="E880" i="26"/>
  <c r="D972" i="28"/>
  <c r="D652" i="26"/>
  <c r="G144" i="28"/>
  <c r="E760" i="28"/>
  <c r="D151" i="28"/>
  <c r="D724" i="28"/>
  <c r="G120" i="26"/>
  <c r="E392" i="26"/>
  <c r="E680" i="28"/>
  <c r="E32" i="28"/>
  <c r="D836" i="28"/>
  <c r="G648" i="28"/>
  <c r="D324" i="28"/>
  <c r="E616" i="28"/>
  <c r="D876" i="26"/>
  <c r="D740" i="26"/>
  <c r="D31" i="28"/>
  <c r="D812" i="26"/>
  <c r="G1256" i="26"/>
  <c r="D804" i="26"/>
  <c r="E544" i="26"/>
  <c r="E336" i="26"/>
  <c r="E864" i="26"/>
  <c r="G1416" i="26"/>
  <c r="E688" i="26"/>
  <c r="E1256" i="28"/>
  <c r="D100" i="26"/>
  <c r="G304" i="26"/>
  <c r="E1376" i="26"/>
  <c r="D1476" i="26"/>
  <c r="E256" i="28"/>
  <c r="D1063" i="28"/>
  <c r="E568" i="28"/>
  <c r="G1280" i="28"/>
  <c r="G568" i="28"/>
  <c r="G1208" i="26"/>
  <c r="G1056" i="26"/>
  <c r="D1015" i="28"/>
  <c r="D796" i="28"/>
  <c r="E80" i="26"/>
  <c r="D108" i="26"/>
  <c r="G280" i="28"/>
  <c r="D36" i="26"/>
  <c r="D831" i="28"/>
  <c r="D212" i="26"/>
  <c r="D1404" i="26"/>
  <c r="E1272" i="26"/>
  <c r="E664" i="28"/>
  <c r="E1336" i="28"/>
  <c r="D956" i="28"/>
  <c r="G1048" i="28"/>
  <c r="G304" i="28"/>
  <c r="G1568" i="26"/>
  <c r="E1288" i="28"/>
  <c r="D1348" i="26"/>
  <c r="D1412" i="26"/>
  <c r="D500" i="26"/>
  <c r="E624" i="26"/>
  <c r="E1016" i="28"/>
  <c r="D775" i="28"/>
  <c r="D439"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AF2" authorId="0" shapeId="0" xr:uid="{A94EC8D5-836F-4FB3-ABEC-1BCCC36A5535}">
      <text>
        <r>
          <rPr>
            <b/>
            <sz val="9"/>
            <color indexed="81"/>
            <rFont val="Tahoma"/>
            <family val="2"/>
          </rPr>
          <t>Kadir:</t>
        </r>
        <r>
          <rPr>
            <sz val="9"/>
            <color indexed="81"/>
            <rFont val="Tahoma"/>
            <family val="2"/>
          </rPr>
          <t xml:space="preserve">
BURADAKİ SİSTEMLERDEKİ VAR YOK KISMI AYARLANACAK
</t>
        </r>
      </text>
    </comment>
    <comment ref="AX3" authorId="0" shapeId="0" xr:uid="{A726A22D-FB8B-4318-BCB4-7571FA33ED9D}">
      <text>
        <r>
          <rPr>
            <b/>
            <sz val="9"/>
            <color indexed="81"/>
            <rFont val="Tahoma"/>
            <family val="2"/>
          </rPr>
          <t>Kadir:</t>
        </r>
        <r>
          <rPr>
            <sz val="9"/>
            <color indexed="81"/>
            <rFont val="Tahoma"/>
            <family val="2"/>
          </rPr>
          <t xml:space="preserve">
ÇİFTLİ MONTAJ AYAĞI ÜSTÜ</t>
        </r>
      </text>
    </comment>
    <comment ref="AY3" authorId="0" shapeId="0" xr:uid="{0C4CBD01-16BD-473D-BC0F-6D3F0C605701}">
      <text>
        <r>
          <rPr>
            <b/>
            <sz val="9"/>
            <color indexed="81"/>
            <rFont val="Tahoma"/>
            <family val="2"/>
          </rPr>
          <t>Kadir:</t>
        </r>
        <r>
          <rPr>
            <sz val="9"/>
            <color indexed="81"/>
            <rFont val="Tahoma"/>
            <family val="2"/>
          </rPr>
          <t xml:space="preserve">
MONTAJ AYAĞI BAĞLANTI LAMASI + ALT PARÇA</t>
        </r>
      </text>
    </comment>
    <comment ref="AZ3" authorId="0" shapeId="0" xr:uid="{831602B7-19DE-44C5-A644-BCAB3511724A}">
      <text>
        <r>
          <rPr>
            <b/>
            <sz val="9"/>
            <color indexed="81"/>
            <rFont val="Tahoma"/>
            <family val="2"/>
          </rPr>
          <t>Kadir:</t>
        </r>
        <r>
          <rPr>
            <sz val="9"/>
            <color indexed="81"/>
            <rFont val="Tahoma"/>
            <family val="2"/>
          </rPr>
          <t xml:space="preserve">
ARA PROFİL</t>
        </r>
      </text>
    </comment>
    <comment ref="R10" authorId="0" shapeId="0" xr:uid="{9EAF199B-9CE6-4573-9280-EE92B0557C06}">
      <text>
        <r>
          <rPr>
            <b/>
            <sz val="9"/>
            <color indexed="81"/>
            <rFont val="Tahoma"/>
            <family val="2"/>
          </rPr>
          <t>Kadir:</t>
        </r>
        <r>
          <rPr>
            <sz val="9"/>
            <color indexed="81"/>
            <rFont val="Tahoma"/>
            <family val="2"/>
          </rPr>
          <t xml:space="preserve">
+1 EURO BOYA BEDELİ VAR
</t>
        </r>
      </text>
    </comment>
    <comment ref="R11" authorId="0" shapeId="0" xr:uid="{597E0623-780D-4871-98B7-C2E19585B313}">
      <text>
        <r>
          <rPr>
            <b/>
            <sz val="9"/>
            <color indexed="81"/>
            <rFont val="Tahoma"/>
            <family val="2"/>
          </rPr>
          <t>Kadir:</t>
        </r>
        <r>
          <rPr>
            <sz val="9"/>
            <color indexed="81"/>
            <rFont val="Tahoma"/>
            <family val="2"/>
          </rPr>
          <t xml:space="preserve">
+1 EURO BOYA BEDELİ VAR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D1" authorId="0" shapeId="0" xr:uid="{D4969446-BD69-47C7-AF7F-6B453EE91A44}">
      <text>
        <r>
          <rPr>
            <b/>
            <sz val="9"/>
            <color indexed="81"/>
            <rFont val="Tahoma"/>
            <family val="2"/>
          </rPr>
          <t>Kadir:</t>
        </r>
        <r>
          <rPr>
            <sz val="9"/>
            <color indexed="81"/>
            <rFont val="Tahoma"/>
            <family val="2"/>
          </rPr>
          <t xml:space="preserve">
DÜZENLECEK
</t>
        </r>
      </text>
    </comment>
    <comment ref="J2" authorId="0" shapeId="0" xr:uid="{69437D38-D48D-47B9-89D3-60FB0C2152FE}">
      <text>
        <r>
          <rPr>
            <b/>
            <sz val="9"/>
            <color indexed="81"/>
            <rFont val="Tahoma"/>
            <family val="2"/>
          </rPr>
          <t>Kadir:</t>
        </r>
        <r>
          <rPr>
            <sz val="9"/>
            <color indexed="81"/>
            <rFont val="Tahoma"/>
            <family val="2"/>
          </rPr>
          <t xml:space="preserve">
YATAY ARALAR YAN TARAFA AYARLANACAK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6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futureMetadata>
  <futureMetadata name="XLDAPR" count="1">
    <bk>
      <extLst>
        <ext uri="{bdbb8cdc-fa1e-496e-a857-3c3f30c029c3}">
          <xda:dynamicArrayProperties fDynamic="1" fCollapsed="0"/>
        </ext>
      </extLst>
    </bk>
  </futureMetadata>
  <cellMetadata count="1">
    <bk>
      <rc t="2" v="0"/>
    </bk>
  </cellMetadata>
  <valueMetadata count="6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valueMetadata>
</metadata>
</file>

<file path=xl/sharedStrings.xml><?xml version="1.0" encoding="utf-8"?>
<sst xmlns="http://schemas.openxmlformats.org/spreadsheetml/2006/main" count="7733" uniqueCount="1072">
  <si>
    <t>ZİPSKY ETEK PROFİLİ</t>
  </si>
  <si>
    <t>ZİPSKY ETEK KAPAK PROFİLİ</t>
  </si>
  <si>
    <t>ZİPSKY DİKME PROFİLİ</t>
  </si>
  <si>
    <t>78 MM GALVANİZ ÇELİK BORU</t>
  </si>
  <si>
    <t>ÇELİK BORU</t>
  </si>
  <si>
    <t>ÖZEL PLASTİK</t>
  </si>
  <si>
    <t>PLASTİK</t>
  </si>
  <si>
    <t>RULMAN</t>
  </si>
  <si>
    <t>METAL</t>
  </si>
  <si>
    <t>FERMUAR</t>
  </si>
  <si>
    <t>DEMİR</t>
  </si>
  <si>
    <t>VİDA SETİ</t>
  </si>
  <si>
    <t>YAY</t>
  </si>
  <si>
    <t>MALZEME TİPİ</t>
  </si>
  <si>
    <t>MALZEME İSMİ</t>
  </si>
  <si>
    <t>MALZEME KODU</t>
  </si>
  <si>
    <t>BİRİM AĞIRLIK</t>
  </si>
  <si>
    <t>BİRİM FİYAT</t>
  </si>
  <si>
    <t>ZİPSKY KASA PROFİLİ</t>
  </si>
  <si>
    <t>ZİPSKY KASA KAPAK PROFİLİ</t>
  </si>
  <si>
    <t>ZİPSKY ETEK KAPAĞI TAKIMI1 AD. SAĞ-SOL KAPAK, 4 AD. TEKERLEK, 4 AD. TEKERLEK CIVATASI, 2 AD MAKARA 2 AD. MAKARA PİMİ</t>
  </si>
  <si>
    <t>GENİŞLİK</t>
  </si>
  <si>
    <t>YÜKSEKLİK</t>
  </si>
  <si>
    <t>KULLANIM</t>
  </si>
  <si>
    <t>İMALAT FORMÜLÜ</t>
  </si>
  <si>
    <t>ALT GRUP</t>
  </si>
  <si>
    <t>KASA</t>
  </si>
  <si>
    <t>ALT ETEK</t>
  </si>
  <si>
    <t>DİKME</t>
  </si>
  <si>
    <t>BORU</t>
  </si>
  <si>
    <t>KUTU YAN KAPAK</t>
  </si>
  <si>
    <t>KUMAŞ</t>
  </si>
  <si>
    <t>BORU VE ALT ETEK</t>
  </si>
  <si>
    <t>MALZEME RESMİ</t>
  </si>
  <si>
    <t>KULLANILDIĞI SİSTEMLER</t>
  </si>
  <si>
    <t>PİMLİ BORU BAŞI</t>
  </si>
  <si>
    <t>PİMSİZ BORU BAŞI</t>
  </si>
  <si>
    <t>DİKME KAPAĞI TAKIMI ( 1 AD.SAĞ-SOL,2AD. MAKARA,2 AD. PİM)</t>
  </si>
  <si>
    <t>YAY TUTUCU</t>
  </si>
  <si>
    <t>MOTOR TUTUCU</t>
  </si>
  <si>
    <t>MOTOR BRAKETİ</t>
  </si>
  <si>
    <t>PVC YAY</t>
  </si>
  <si>
    <t>PVC FİTİL</t>
  </si>
  <si>
    <t>T AYAK</t>
  </si>
  <si>
    <t>İÇTEN C AYAK</t>
  </si>
  <si>
    <t>İÇTEN L AYAK</t>
  </si>
  <si>
    <t>MONTAJ AYAĞI TEKLİ</t>
  </si>
  <si>
    <t>MONTAJ AYAĞI ÇİFTLİ</t>
  </si>
  <si>
    <t xml:space="preserve">TEK MAKARA(1 SİSTEMDE 2 AD. KULLANILIR)
</t>
  </si>
  <si>
    <t xml:space="preserve">ÇİFT MAKARA
</t>
  </si>
  <si>
    <t>RULMAN YATAĞI</t>
  </si>
  <si>
    <t>KUMAŞ TUTUCU(1 SİSTEMDE 2 ADET KULLANILIR.)</t>
  </si>
  <si>
    <t>İP KİLİDİ (1 SİSTEMDE 2 ADET KULLANILIR.)</t>
  </si>
  <si>
    <t>BP.403</t>
  </si>
  <si>
    <t>KASA PROFİLİ</t>
  </si>
  <si>
    <t>BP.404</t>
  </si>
  <si>
    <t>BP.414</t>
  </si>
  <si>
    <t>BP.434</t>
  </si>
  <si>
    <t>YAN KAPAK PİMİ</t>
  </si>
  <si>
    <t>BP.413</t>
  </si>
  <si>
    <t>YAN KAPAK PİMLİ RULMAN</t>
  </si>
  <si>
    <t>BP.411</t>
  </si>
  <si>
    <t>YAN KAPAK PLASTİK KAPAK GEÇME</t>
  </si>
  <si>
    <t>BP.405</t>
  </si>
  <si>
    <t>ALT PARÇA PROFİLİ</t>
  </si>
  <si>
    <t>BP.431</t>
  </si>
  <si>
    <t>ALT PARÇA KIL FİTİL 48*10</t>
  </si>
  <si>
    <t>BP.415</t>
  </si>
  <si>
    <t>ALT PARÇA TAPASI</t>
  </si>
  <si>
    <t>BP.402</t>
  </si>
  <si>
    <t>YAN DİKME</t>
  </si>
  <si>
    <t>BP.401</t>
  </si>
  <si>
    <t>YAN DİKME KAPAĞI</t>
  </si>
  <si>
    <t>BP.417</t>
  </si>
  <si>
    <t>YAN DİKME TAPASI</t>
  </si>
  <si>
    <t>BP.423</t>
  </si>
  <si>
    <t>KLAVUZ TAPASI</t>
  </si>
  <si>
    <t>BP.412</t>
  </si>
  <si>
    <t>BORU SONU+BAŞI</t>
  </si>
  <si>
    <t>KASA ALIN PROFİLİ - wave</t>
  </si>
  <si>
    <t>KASA ALIN PROFİLİ - sharp</t>
  </si>
  <si>
    <t>KASA ALIN PROFİLİ - soft</t>
  </si>
  <si>
    <t>ALT PARÇA AĞIRLIK LAMASI Ø22</t>
  </si>
  <si>
    <t>PDKP01</t>
  </si>
  <si>
    <t>PDKP01D</t>
  </si>
  <si>
    <t>9108-P110</t>
  </si>
  <si>
    <t>MNS.P1.028</t>
  </si>
  <si>
    <t>KFL 001</t>
  </si>
  <si>
    <t>MNS.P1.009</t>
  </si>
  <si>
    <t>YAN KAPAK METAL GEÇME</t>
  </si>
  <si>
    <t>PDALT01</t>
  </si>
  <si>
    <t>MNS.P1.008-019</t>
  </si>
  <si>
    <t>PDDK03</t>
  </si>
  <si>
    <t>PDDK01</t>
  </si>
  <si>
    <t>PDDK02</t>
  </si>
  <si>
    <t>YAN DİKME KAPAK ÇITASI</t>
  </si>
  <si>
    <t>KASA ALIN PROFİLİ - round</t>
  </si>
  <si>
    <t>ALT PARÇA AĞIRLIK LAMASI 25x13</t>
  </si>
  <si>
    <t>POZ NO</t>
  </si>
  <si>
    <t>SİSTEM</t>
  </si>
  <si>
    <t>POZ ADETİ</t>
  </si>
  <si>
    <t>ÖLÇÜM ŞEKLİ</t>
  </si>
  <si>
    <t>ALÜMİNYUM RENK KODU</t>
  </si>
  <si>
    <t>PERDE ÇEŞİDİ</t>
  </si>
  <si>
    <t>PERDE RENK KODU</t>
  </si>
  <si>
    <t>MOTOR</t>
  </si>
  <si>
    <t>MOTOR YÖNÜ</t>
  </si>
  <si>
    <t>KUMANDA</t>
  </si>
  <si>
    <t>KUMANDA ADETİ</t>
  </si>
  <si>
    <t>TAVAN SİSTEMİ İÇİN AYAK TİPİ</t>
  </si>
  <si>
    <t>TARİH</t>
  </si>
  <si>
    <t>TEKLİFİ VEREN</t>
  </si>
  <si>
    <t>FİRMA İSMİ</t>
  </si>
  <si>
    <t>PROJE İSMİ</t>
  </si>
  <si>
    <t>PROJE NO</t>
  </si>
  <si>
    <t>PAZARLAMACI</t>
  </si>
  <si>
    <t>MONTAJ</t>
  </si>
  <si>
    <t>BASKI</t>
  </si>
  <si>
    <t>ziggle</t>
  </si>
  <si>
    <t>manuvela</t>
  </si>
  <si>
    <t>Zipline® 105 Soft (Dikey)</t>
  </si>
  <si>
    <t>Zipline® 105 Sharp(Dikey)</t>
  </si>
  <si>
    <t>Zipline® 105 Round (Dikey)</t>
  </si>
  <si>
    <t>Zipline® Neo 110 Wawe (Dikey)</t>
  </si>
  <si>
    <t>Zipline® Neo 110 Sharp (Dikey)</t>
  </si>
  <si>
    <t>Zipline® Neo 110 Soft (Dikey)</t>
  </si>
  <si>
    <t>Zipline® Sky (Tavan)</t>
  </si>
  <si>
    <t>+K +D</t>
  </si>
  <si>
    <t>Zipline® Neo 130 Sharp  (Dikey)</t>
  </si>
  <si>
    <t>100 MM GALVANİZ ÇELİK BORU</t>
  </si>
  <si>
    <t>plastimak PVC FERMUAR ÇITASI</t>
  </si>
  <si>
    <t>GERDİRME ÇELİK YAY</t>
  </si>
  <si>
    <t>105 için PVC FERMUAR ÇITASI</t>
  </si>
  <si>
    <t>7016 MAT</t>
  </si>
  <si>
    <t>7016 TEX</t>
  </si>
  <si>
    <t>9005 MAT</t>
  </si>
  <si>
    <t>9016 TEX</t>
  </si>
  <si>
    <t>9016 MAT</t>
  </si>
  <si>
    <t>7039 TEX</t>
  </si>
  <si>
    <t>7039 MAT</t>
  </si>
  <si>
    <t>8014 TEX</t>
  </si>
  <si>
    <t>ALTINMEŞE</t>
  </si>
  <si>
    <t>7016 İPEK TEX</t>
  </si>
  <si>
    <t>FINDIK</t>
  </si>
  <si>
    <t>7048 MAT</t>
  </si>
  <si>
    <t>9006 MAT</t>
  </si>
  <si>
    <t>MENEGGİO</t>
  </si>
  <si>
    <t>9005 TEX</t>
  </si>
  <si>
    <t>7001 MAT</t>
  </si>
  <si>
    <t>AGZO NOBEL 9010</t>
  </si>
  <si>
    <t>3004 MAT</t>
  </si>
  <si>
    <t>8019 MAT</t>
  </si>
  <si>
    <t>ALBERT GENAU</t>
  </si>
  <si>
    <t>7006 TEX</t>
  </si>
  <si>
    <t>7006 MAT</t>
  </si>
  <si>
    <t>GRİANTE</t>
  </si>
  <si>
    <t>9002 MAT</t>
  </si>
  <si>
    <t>PULVER MC 835</t>
  </si>
  <si>
    <t>7036 MAT</t>
  </si>
  <si>
    <t>AGZO NOBEL 7016 TEX</t>
  </si>
  <si>
    <t>7046 MAT</t>
  </si>
  <si>
    <t xml:space="preserve">9016 TEX </t>
  </si>
  <si>
    <t>PULVER 7016 MAT</t>
  </si>
  <si>
    <t>9002 TEX</t>
  </si>
  <si>
    <t>7022 MAT</t>
  </si>
  <si>
    <t>NESS BEJİ</t>
  </si>
  <si>
    <t>9006  MAT</t>
  </si>
  <si>
    <t>PULVER 7021 TEX</t>
  </si>
  <si>
    <t>9003 TEX</t>
  </si>
  <si>
    <t>7030 TEX</t>
  </si>
  <si>
    <t>9018 MAT</t>
  </si>
  <si>
    <t>AGZO NOBEL 2650 TEX</t>
  </si>
  <si>
    <t>İBA 7556</t>
  </si>
  <si>
    <t>8014 MAT</t>
  </si>
  <si>
    <t>CERNOBİO</t>
  </si>
  <si>
    <t>NAGO</t>
  </si>
  <si>
    <t>7044 MAT</t>
  </si>
  <si>
    <t>AGZO NOBEL7016  TEX</t>
  </si>
  <si>
    <t>1015 MAT</t>
  </si>
  <si>
    <t>8022 TEX</t>
  </si>
  <si>
    <t>9001 TEX</t>
  </si>
  <si>
    <t>PULVER 7022 TEX</t>
  </si>
  <si>
    <t>VENGE</t>
  </si>
  <si>
    <t>1013 MAT</t>
  </si>
  <si>
    <t>CEVİZ</t>
  </si>
  <si>
    <t>BOYA</t>
  </si>
  <si>
    <t>SOLTİS 86</t>
  </si>
  <si>
    <t>SOLTİS 88</t>
  </si>
  <si>
    <t>SOLTİS 92</t>
  </si>
  <si>
    <t>BLACOUT B92</t>
  </si>
  <si>
    <t>SOLTİS 96</t>
  </si>
  <si>
    <t>SOLTİS W96</t>
  </si>
  <si>
    <t>622 OPAK</t>
  </si>
  <si>
    <t>SCREEN</t>
  </si>
  <si>
    <t>COPACO</t>
  </si>
  <si>
    <t>FERRINI DÜZ KISA MOTOR</t>
  </si>
  <si>
    <t>SOMFY IO - 60-20</t>
  </si>
  <si>
    <t>SOMFY IO - 60-30</t>
  </si>
  <si>
    <t>SOMFY IO - 60-40</t>
  </si>
  <si>
    <t>ASA - 20NM</t>
  </si>
  <si>
    <t>ASA - 40NM</t>
  </si>
  <si>
    <t>FERRINI - 20NM</t>
  </si>
  <si>
    <t>FERRINI - 30NM</t>
  </si>
  <si>
    <t>FERRINI - 50NM</t>
  </si>
  <si>
    <t>SOMFY RTS ALICILI - BOOST35</t>
  </si>
  <si>
    <t>SOMFY RTS ALICILI - BOOST55</t>
  </si>
  <si>
    <t>BECKER - 20NM</t>
  </si>
  <si>
    <t>BECKER - 40NM</t>
  </si>
  <si>
    <t>BECKER - 20NM ÖZEL</t>
  </si>
  <si>
    <t>SOMFY DÜZ - BOOST 35</t>
  </si>
  <si>
    <t>SOMFY DÜZ - BOOST 55</t>
  </si>
  <si>
    <t>FERRINI DÜZ - 20NM</t>
  </si>
  <si>
    <t>FERRINI DÜZ - 30NM</t>
  </si>
  <si>
    <t>FERRINI DÜZ - 50NM</t>
  </si>
  <si>
    <t>FERRINI 1 KANALLI</t>
  </si>
  <si>
    <t>FERRINI 5 KANALLI</t>
  </si>
  <si>
    <t>FERRINI 8 KANALLI</t>
  </si>
  <si>
    <t>FERRINI 16 KANALLI</t>
  </si>
  <si>
    <t>ASA 1 KANALLI</t>
  </si>
  <si>
    <t>ASA 4 KANALLI</t>
  </si>
  <si>
    <t>ASA 16 KANALLI</t>
  </si>
  <si>
    <t>BECKER 1 KANALLI</t>
  </si>
  <si>
    <t>BECKER 5 KANALLI</t>
  </si>
  <si>
    <t>BECKER 10 KANALLI</t>
  </si>
  <si>
    <t>BECKER RÜZGAR SENSÖRÜ</t>
  </si>
  <si>
    <t>TAVAN AYAK  TİPİ</t>
  </si>
  <si>
    <t>DIŞTAN BAKIŞ SAĞ</t>
  </si>
  <si>
    <t>DIŞTAN BAKIŞ SOL</t>
  </si>
  <si>
    <t>İÇTEN BAKIŞ SAĞ</t>
  </si>
  <si>
    <t>İÇTEN BAKIŞ SOL</t>
  </si>
  <si>
    <t>RENK</t>
  </si>
  <si>
    <t>ŞEFFAF</t>
  </si>
  <si>
    <t>KENARLARDAKİPERDERENGİ</t>
  </si>
  <si>
    <t>2002_WHITE</t>
  </si>
  <si>
    <t>86_2044_WHITE</t>
  </si>
  <si>
    <t>88_2044_WHITE</t>
  </si>
  <si>
    <t>92_2044_WHITE</t>
  </si>
  <si>
    <t>B92_1046_ALU</t>
  </si>
  <si>
    <t>96_8102_WHITE</t>
  </si>
  <si>
    <t>W96_2047_ANTRASİT</t>
  </si>
  <si>
    <t>8002_LINENWHITE</t>
  </si>
  <si>
    <t>86_2171_BOULDER</t>
  </si>
  <si>
    <t>88_2071_CHAMPAGNE</t>
  </si>
  <si>
    <t>92_2171_BOULDER</t>
  </si>
  <si>
    <t>B92_1044_WHITE</t>
  </si>
  <si>
    <t>96_1103_OFFWHITE</t>
  </si>
  <si>
    <t>W96_8102_WHITE</t>
  </si>
  <si>
    <t>622_50539_QUARTZ</t>
  </si>
  <si>
    <t>8008_LINEN</t>
  </si>
  <si>
    <t>86_2175_CHAMPAGNE</t>
  </si>
  <si>
    <t>88_51176_DEEPBLACK</t>
  </si>
  <si>
    <t>92_2175_CHAMPAGNE</t>
  </si>
  <si>
    <t>96_2135_SANDYBEIGE</t>
  </si>
  <si>
    <t>W96_1103_OFFWHITE</t>
  </si>
  <si>
    <t>622_50542_GREY</t>
  </si>
  <si>
    <t>2007_WHITE/PEARLGREY</t>
  </si>
  <si>
    <t>86_2135_SANDYBEIGE</t>
  </si>
  <si>
    <t>92_2135_SANDYBEIGE</t>
  </si>
  <si>
    <t>96_2171_BOULDER</t>
  </si>
  <si>
    <t>W96_8861_VANILLA</t>
  </si>
  <si>
    <t>8007_LINEN/PEARLGREY</t>
  </si>
  <si>
    <t>86_2043_BRONZE</t>
  </si>
  <si>
    <t>92_2043_BRONZE</t>
  </si>
  <si>
    <t>96_2043_BRONZE</t>
  </si>
  <si>
    <t>W96_2171_CLOUD</t>
  </si>
  <si>
    <t>7007_PEARLGREY</t>
  </si>
  <si>
    <t>86_2048_ALU/ALU</t>
  </si>
  <si>
    <t>92_2048_ALU/ALU</t>
  </si>
  <si>
    <t>96_2047_ANTRASİT</t>
  </si>
  <si>
    <t>33033_SANDSTONE</t>
  </si>
  <si>
    <t>86_2045_BEATENMETAL</t>
  </si>
  <si>
    <t>92_2045_BEATENMETAL</t>
  </si>
  <si>
    <t>1001_GREY</t>
  </si>
  <si>
    <t>86_2167_CONCRETE</t>
  </si>
  <si>
    <t>92_2167_CONCRETE</t>
  </si>
  <si>
    <t>1042_SHADE</t>
  </si>
  <si>
    <t>86_2047_ANTRASİT</t>
  </si>
  <si>
    <t>92_2047_ANTRASİT</t>
  </si>
  <si>
    <t>86_51176_DEEPBLACK</t>
  </si>
  <si>
    <t>92_51176_DEEPBLACK</t>
  </si>
  <si>
    <t>11011_BRONZE</t>
  </si>
  <si>
    <t>86_51180_BRICK</t>
  </si>
  <si>
    <t>92_51180_BRICK</t>
  </si>
  <si>
    <t>1010_GREY/CRAHCOAL</t>
  </si>
  <si>
    <t>86_51181_DEEPRED</t>
  </si>
  <si>
    <t>92_51181_DEEPRED</t>
  </si>
  <si>
    <t>86_51182_DEEPBLUE</t>
  </si>
  <si>
    <t>92_51182_DEEPBLUE</t>
  </si>
  <si>
    <t>86_2157_ANİSEED</t>
  </si>
  <si>
    <t>92_2157_ANİSEED</t>
  </si>
  <si>
    <t>86_2158_MOSSGREEN</t>
  </si>
  <si>
    <t>92_2158_MOSSGREEN</t>
  </si>
  <si>
    <t>86_8204_ORANGE</t>
  </si>
  <si>
    <t>92_8204_ORANGE</t>
  </si>
  <si>
    <t>86_8255_RED</t>
  </si>
  <si>
    <t>92_8255_RED</t>
  </si>
  <si>
    <t>86_2046_ALU/OAT</t>
  </si>
  <si>
    <t>92_2068_ALU/ANTRASİT</t>
  </si>
  <si>
    <t>86_2068_ALU/ANTRASİT</t>
  </si>
  <si>
    <t>92_2166_BUTTERCUP</t>
  </si>
  <si>
    <t>86_2166_BUTTERCUP</t>
  </si>
  <si>
    <t>92_50690_SNOWWHITE</t>
  </si>
  <si>
    <t>92_2051_ALU/WHITE</t>
  </si>
  <si>
    <t>92_50273_GOLD</t>
  </si>
  <si>
    <t>92_50303_QUARTZ</t>
  </si>
  <si>
    <t>92_50266_HAVANABROWN</t>
  </si>
  <si>
    <t>92_50850_TAUPE</t>
  </si>
  <si>
    <t>92_51178_CELESTIALGREY</t>
  </si>
  <si>
    <t>92_2074_ALU/MEDIUMGREY</t>
  </si>
  <si>
    <t>92_50274_COPPER</t>
  </si>
  <si>
    <t>92_50843_SHEA</t>
  </si>
  <si>
    <t>92_50265_HEMP</t>
  </si>
  <si>
    <t>92_50272_CLOUD</t>
  </si>
  <si>
    <t>92_51177_DARKGREY</t>
  </si>
  <si>
    <t>92_51179_GREENGREY</t>
  </si>
  <si>
    <t>92_8056_TENISGREEN</t>
  </si>
  <si>
    <t>92_2160_LOGAAN</t>
  </si>
  <si>
    <t>SOLTİS_86</t>
  </si>
  <si>
    <t>SOLTİS_88</t>
  </si>
  <si>
    <t>SOLTİS_92</t>
  </si>
  <si>
    <t>BLACOUT_B92</t>
  </si>
  <si>
    <t>SOLTİS_96</t>
  </si>
  <si>
    <t>SOLTİS_W96</t>
  </si>
  <si>
    <t>PERDE_ÇEŞİDİ</t>
  </si>
  <si>
    <t>ŞEFFAF_</t>
  </si>
  <si>
    <t>622_50537_WHITE</t>
  </si>
  <si>
    <t>OPAK_622</t>
  </si>
  <si>
    <t xml:space="preserve"> </t>
  </si>
  <si>
    <t>KAŞE &amp; İMZA</t>
  </si>
  <si>
    <t>SİPARİŞİ ONAYLIYORUM</t>
  </si>
  <si>
    <t>Alıcı sözleşmeyi onayladığında bu bölümde yazılan hükümler taraflarca kabul edilmiş sayılır.</t>
  </si>
  <si>
    <t>SATIŞ SÖZLEŞME ŞARTLARI:</t>
  </si>
  <si>
    <t>TOPLAM ADET</t>
  </si>
  <si>
    <t>E-POSTA</t>
  </si>
  <si>
    <t>ADRES</t>
  </si>
  <si>
    <t>FAKS</t>
  </si>
  <si>
    <t>CEP TELEFONU</t>
  </si>
  <si>
    <t>MÜŞTERİ ADI</t>
  </si>
  <si>
    <t>TELEFON</t>
  </si>
  <si>
    <t>MÜŞTERİ NO</t>
  </si>
  <si>
    <t>ZİP PERDE</t>
  </si>
  <si>
    <t>SİPARİŞ TARİHİ</t>
  </si>
  <si>
    <t>ÜRÜN</t>
  </si>
  <si>
    <t xml:space="preserve">Kumaşa Baskı </t>
  </si>
  <si>
    <t xml:space="preserve">Montaj Durumu </t>
  </si>
  <si>
    <t>GENEL TOPLAM</t>
  </si>
  <si>
    <t>KDV</t>
  </si>
  <si>
    <t>TOPLAM</t>
  </si>
  <si>
    <t>Genel Toplam</t>
  </si>
  <si>
    <t>Toplam</t>
  </si>
  <si>
    <t>90 Gün Vadeli Çek/ Kredi Kartı  Taksit</t>
  </si>
  <si>
    <t>Kredi Kartı (Tek Çekim)</t>
  </si>
  <si>
    <t>Nakit</t>
  </si>
  <si>
    <t>Ödeme şekline bağlı olarak fiyatlar aşağıdaki gibi değişmektedir.</t>
  </si>
  <si>
    <t>NOTLAR</t>
  </si>
  <si>
    <t>TOPLAM FİYAT</t>
  </si>
  <si>
    <t>MODEL</t>
  </si>
  <si>
    <t>ADET</t>
  </si>
  <si>
    <t>BOY</t>
  </si>
  <si>
    <t>EN</t>
  </si>
  <si>
    <t>POZ</t>
  </si>
  <si>
    <t>ÖLÇÜ ve FİYAT BİLGİLERİ</t>
  </si>
  <si>
    <t xml:space="preserve">  </t>
  </si>
  <si>
    <t>TEKLİF VEREN</t>
  </si>
  <si>
    <t xml:space="preserve"> TEKLİF ve SÖZLEŞME  FORMU</t>
  </si>
  <si>
    <t>MOTOR YÖNÜ:</t>
  </si>
  <si>
    <t>MOTOR:</t>
  </si>
  <si>
    <t>KUMANDA:</t>
  </si>
  <si>
    <t>PROFİL RENGİ:</t>
  </si>
  <si>
    <t>ÇEKİ LİST</t>
  </si>
  <si>
    <t>DATE/TARİH</t>
  </si>
  <si>
    <t>Consignee / Alıcı</t>
  </si>
  <si>
    <t xml:space="preserve">Invıoce No / Fatura </t>
  </si>
  <si>
    <t>Paket no</t>
  </si>
  <si>
    <t>Paket Türü</t>
  </si>
  <si>
    <t>Ürün Açıklaması</t>
  </si>
  <si>
    <t>Malzeme</t>
  </si>
  <si>
    <t>Miktar</t>
  </si>
  <si>
    <t>Net Ağırlık</t>
  </si>
  <si>
    <t>Brüt Ağırlık</t>
  </si>
  <si>
    <t>Ölçü (cm)</t>
  </si>
  <si>
    <t>POSE</t>
  </si>
  <si>
    <t>Package No</t>
  </si>
  <si>
    <t>Pack. Type</t>
  </si>
  <si>
    <t>Product</t>
  </si>
  <si>
    <t>Materials</t>
  </si>
  <si>
    <t>qty</t>
  </si>
  <si>
    <t>Net Weight</t>
  </si>
  <si>
    <t>Gross Weight</t>
  </si>
  <si>
    <t>Dimensions (cm)</t>
  </si>
  <si>
    <t>POZ 1</t>
  </si>
  <si>
    <t>PAKET</t>
  </si>
  <si>
    <t>ZIPLINE SCREEN</t>
  </si>
  <si>
    <t>ALM-(KUTU)</t>
  </si>
  <si>
    <t>ALM-(DİKME)</t>
  </si>
  <si>
    <t>TOPLAM /TOTAL</t>
  </si>
  <si>
    <t>POZ 3</t>
  </si>
  <si>
    <t>POZ 5</t>
  </si>
  <si>
    <t>POZ 6</t>
  </si>
  <si>
    <t>POZ 7</t>
  </si>
  <si>
    <t>POZ 8</t>
  </si>
  <si>
    <t>POZ 9</t>
  </si>
  <si>
    <t>POZ 10</t>
  </si>
  <si>
    <t>POZ 11</t>
  </si>
  <si>
    <t>POZ 12</t>
  </si>
  <si>
    <t>POZ 13</t>
  </si>
  <si>
    <t>POZ 14</t>
  </si>
  <si>
    <t>POZ 15</t>
  </si>
  <si>
    <t>Kutu Ölçüsü</t>
  </si>
  <si>
    <t>EXCEL KODU</t>
  </si>
  <si>
    <t>TVN01</t>
  </si>
  <si>
    <t>TVN02</t>
  </si>
  <si>
    <t>TVN03</t>
  </si>
  <si>
    <t>TVN04</t>
  </si>
  <si>
    <t>TVN05</t>
  </si>
  <si>
    <t>GNL01</t>
  </si>
  <si>
    <t>GNL02</t>
  </si>
  <si>
    <t>GNL03</t>
  </si>
  <si>
    <t>TVN06</t>
  </si>
  <si>
    <t>TVN07</t>
  </si>
  <si>
    <t>TVN08</t>
  </si>
  <si>
    <t>TVN09</t>
  </si>
  <si>
    <t>TVN10</t>
  </si>
  <si>
    <t>GNL04</t>
  </si>
  <si>
    <t>GNL05</t>
  </si>
  <si>
    <t>TVN11</t>
  </si>
  <si>
    <t>TVN12</t>
  </si>
  <si>
    <t>GNL06</t>
  </si>
  <si>
    <t>GNL07</t>
  </si>
  <si>
    <t>TVN13</t>
  </si>
  <si>
    <t>GNL08</t>
  </si>
  <si>
    <t>TVN14</t>
  </si>
  <si>
    <t>TVN15</t>
  </si>
  <si>
    <t>TVN16</t>
  </si>
  <si>
    <t>TVN17</t>
  </si>
  <si>
    <t>TVN18</t>
  </si>
  <si>
    <t>TVN19</t>
  </si>
  <si>
    <t>TVN20</t>
  </si>
  <si>
    <t>TVN21</t>
  </si>
  <si>
    <t>TVN22</t>
  </si>
  <si>
    <t>TVN23</t>
  </si>
  <si>
    <t>TVN24</t>
  </si>
  <si>
    <t>DKYA01</t>
  </si>
  <si>
    <t>DKYA02</t>
  </si>
  <si>
    <t>DKYA03</t>
  </si>
  <si>
    <t>DKYA04</t>
  </si>
  <si>
    <t>DKYA05</t>
  </si>
  <si>
    <t>DKYA06</t>
  </si>
  <si>
    <t>DKYA07</t>
  </si>
  <si>
    <t>DKYA08</t>
  </si>
  <si>
    <t>DKYA09</t>
  </si>
  <si>
    <t>DKYA10</t>
  </si>
  <si>
    <t>DKYA11</t>
  </si>
  <si>
    <t>DKYA12</t>
  </si>
  <si>
    <t>DKYA13</t>
  </si>
  <si>
    <t>DKYA14</t>
  </si>
  <si>
    <t>DKYA15</t>
  </si>
  <si>
    <t>DKYA16</t>
  </si>
  <si>
    <t>GNL09</t>
  </si>
  <si>
    <t>GNL10</t>
  </si>
  <si>
    <t>DKYB01</t>
  </si>
  <si>
    <t>DKYB02</t>
  </si>
  <si>
    <t>DKYB03</t>
  </si>
  <si>
    <t>DKYB04</t>
  </si>
  <si>
    <t>DKYB05</t>
  </si>
  <si>
    <t>DKYB06</t>
  </si>
  <si>
    <t>DKYB07</t>
  </si>
  <si>
    <t>DKYB08</t>
  </si>
  <si>
    <t>DKYB09</t>
  </si>
  <si>
    <t>DKYB10</t>
  </si>
  <si>
    <t>DKYB11</t>
  </si>
  <si>
    <t>DKYB12</t>
  </si>
  <si>
    <t>DKYB13</t>
  </si>
  <si>
    <t>DKYB14</t>
  </si>
  <si>
    <t>DKYB15</t>
  </si>
  <si>
    <t>DKYB16</t>
  </si>
  <si>
    <t>GNL11</t>
  </si>
  <si>
    <t>Dikme Ölçüsü</t>
  </si>
  <si>
    <t>dikme</t>
  </si>
  <si>
    <t>kutu</t>
  </si>
  <si>
    <t>TAKIM</t>
  </si>
  <si>
    <t>*2)-155-183</t>
  </si>
  <si>
    <t>GNL01X</t>
  </si>
  <si>
    <t>GNL05X</t>
  </si>
  <si>
    <t>GNL08X</t>
  </si>
  <si>
    <t>GNL07X</t>
  </si>
  <si>
    <t>*2)-120-122</t>
  </si>
  <si>
    <t>*2)-112-108</t>
  </si>
  <si>
    <t>GNL07Y</t>
  </si>
  <si>
    <t>GNL06Y</t>
  </si>
  <si>
    <t>GNL01Y</t>
  </si>
  <si>
    <t>GNL10Y</t>
  </si>
  <si>
    <t>GNL11Y</t>
  </si>
  <si>
    <t>GNL05Y</t>
  </si>
  <si>
    <t>GNL03Y</t>
  </si>
  <si>
    <t>GNL08Y</t>
  </si>
  <si>
    <t>GNL09Y</t>
  </si>
  <si>
    <t>Sütun indis</t>
  </si>
  <si>
    <t>A</t>
  </si>
  <si>
    <t>B</t>
  </si>
  <si>
    <t>C</t>
  </si>
  <si>
    <t>D</t>
  </si>
  <si>
    <t>E</t>
  </si>
  <si>
    <t>Satır Etiketleri</t>
  </si>
  <si>
    <t>FİRE</t>
  </si>
  <si>
    <t>BİRİM</t>
  </si>
  <si>
    <t>POZ-2</t>
  </si>
  <si>
    <t>POZ-1</t>
  </si>
  <si>
    <t>POZ-3</t>
  </si>
  <si>
    <t>POZ-4</t>
  </si>
  <si>
    <t>POZ-5</t>
  </si>
  <si>
    <t>POZ-6</t>
  </si>
  <si>
    <t>POZ-7</t>
  </si>
  <si>
    <t>POZ-8</t>
  </si>
  <si>
    <t>POZ-9</t>
  </si>
  <si>
    <t>POZ-10</t>
  </si>
  <si>
    <t>POZ-11</t>
  </si>
  <si>
    <t>POZ-12</t>
  </si>
  <si>
    <t>POZ-13</t>
  </si>
  <si>
    <t>POZ-14</t>
  </si>
  <si>
    <t>POZ-15</t>
  </si>
  <si>
    <t>POZ-16</t>
  </si>
  <si>
    <t>POZ-17</t>
  </si>
  <si>
    <t>POZ-18</t>
  </si>
  <si>
    <t>POZ-19</t>
  </si>
  <si>
    <t>POZ-20</t>
  </si>
  <si>
    <t>POZ-21</t>
  </si>
  <si>
    <t>POZ-22</t>
  </si>
  <si>
    <t>POZ-23</t>
  </si>
  <si>
    <t>POZ-24</t>
  </si>
  <si>
    <t>POZ-25</t>
  </si>
  <si>
    <t>POZ-26</t>
  </si>
  <si>
    <t>POZ-27</t>
  </si>
  <si>
    <t>POZ-28</t>
  </si>
  <si>
    <t>POZ-29</t>
  </si>
  <si>
    <t>POZ-30</t>
  </si>
  <si>
    <t>POZ-31</t>
  </si>
  <si>
    <t>POZ-32</t>
  </si>
  <si>
    <t>POZ-33</t>
  </si>
  <si>
    <t>POZ-34</t>
  </si>
  <si>
    <t>POZ-35</t>
  </si>
  <si>
    <t>POZ-36</t>
  </si>
  <si>
    <t>POZ-37</t>
  </si>
  <si>
    <t>POZ-38</t>
  </si>
  <si>
    <t>POZ-39</t>
  </si>
  <si>
    <t>POZ-40</t>
  </si>
  <si>
    <t>POZ-41</t>
  </si>
  <si>
    <t>POZ-42</t>
  </si>
  <si>
    <t>POZ-43</t>
  </si>
  <si>
    <t>POZ-44</t>
  </si>
  <si>
    <t>POZ-45</t>
  </si>
  <si>
    <t>POZ-46</t>
  </si>
  <si>
    <t>POZ-47</t>
  </si>
  <si>
    <t>POZ-48</t>
  </si>
  <si>
    <t>POZ-49</t>
  </si>
  <si>
    <t>POZ-50</t>
  </si>
  <si>
    <t>POZ-51</t>
  </si>
  <si>
    <t>POZ-52</t>
  </si>
  <si>
    <t>POZ-53</t>
  </si>
  <si>
    <t>POZ-54</t>
  </si>
  <si>
    <t>POZ-55</t>
  </si>
  <si>
    <t>POZ-56</t>
  </si>
  <si>
    <t>POZ-57</t>
  </si>
  <si>
    <t>POZ-58</t>
  </si>
  <si>
    <t>POZ-59</t>
  </si>
  <si>
    <t>POZ-60</t>
  </si>
  <si>
    <t>POZ-61</t>
  </si>
  <si>
    <t>POZ-62</t>
  </si>
  <si>
    <t>POZ-63</t>
  </si>
  <si>
    <t>POZ-64</t>
  </si>
  <si>
    <t>POZ-65</t>
  </si>
  <si>
    <t>POZ-66</t>
  </si>
  <si>
    <t>POZ-67</t>
  </si>
  <si>
    <t>POZ-68</t>
  </si>
  <si>
    <t>POZ-69</t>
  </si>
  <si>
    <t>POZ-70</t>
  </si>
  <si>
    <t>POZ-71</t>
  </si>
  <si>
    <t>POZ-72</t>
  </si>
  <si>
    <t>POZ-73</t>
  </si>
  <si>
    <t>POZ-74</t>
  </si>
  <si>
    <t>POZ-75</t>
  </si>
  <si>
    <t>POZ-76</t>
  </si>
  <si>
    <t>POZ-77</t>
  </si>
  <si>
    <t>POZ-78</t>
  </si>
  <si>
    <t>POZ-79</t>
  </si>
  <si>
    <t>POZ-80</t>
  </si>
  <si>
    <t>POZ-81</t>
  </si>
  <si>
    <t>POZ-82</t>
  </si>
  <si>
    <t>POZ-83</t>
  </si>
  <si>
    <t>POZ-84</t>
  </si>
  <si>
    <t>POZ-85</t>
  </si>
  <si>
    <t>POZ-86</t>
  </si>
  <si>
    <t>POZ-87</t>
  </si>
  <si>
    <t>POZ-88</t>
  </si>
  <si>
    <t>POZ-89</t>
  </si>
  <si>
    <t>POZ-90</t>
  </si>
  <si>
    <t>POZ-91</t>
  </si>
  <si>
    <t>POZ-92</t>
  </si>
  <si>
    <t>POZ-93</t>
  </si>
  <si>
    <t>POZ-94</t>
  </si>
  <si>
    <t>POZ-95</t>
  </si>
  <si>
    <t>POZ-96</t>
  </si>
  <si>
    <t>POZ-97</t>
  </si>
  <si>
    <t>POZ-98</t>
  </si>
  <si>
    <t>POZ-99</t>
  </si>
  <si>
    <t>POZ-100</t>
  </si>
  <si>
    <t>TAVAN</t>
  </si>
  <si>
    <t>TAMBUR</t>
  </si>
  <si>
    <t>MT</t>
  </si>
  <si>
    <t>Kontrol (kumanda):</t>
  </si>
  <si>
    <t>(+K, +D)</t>
  </si>
  <si>
    <t>(Bitmiş)</t>
  </si>
  <si>
    <t>(+K)</t>
  </si>
  <si>
    <t>(-K, +D)</t>
  </si>
  <si>
    <t>%20 KDV</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</si>
  <si>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kabulü:''Fiyat teklifi kabul edilmiştir''.Kayıt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</si>
  <si>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YOK</t>
  </si>
  <si>
    <t>Kumaş Logolar</t>
  </si>
  <si>
    <t>Kumaş Markaları</t>
  </si>
  <si>
    <t>MOTOR MARKA RESİM</t>
  </si>
  <si>
    <t>arkaplan</t>
  </si>
  <si>
    <t>arkaplan2</t>
  </si>
  <si>
    <t>İMALAT ÇİZİMLERİ</t>
  </si>
  <si>
    <t>MÜŞTERİ İSMİ</t>
  </si>
  <si>
    <t>Zipline® Neo 110 Wawe (Dikey)_MNL</t>
  </si>
  <si>
    <t>Zipline® Neo 110 Sharp (Dikey)_MNL</t>
  </si>
  <si>
    <t>Zipline® Neo 110 Soft (Dikey)_MNL</t>
  </si>
  <si>
    <t>Zipline® Neo 110 Wawe (Dikey)_ZG</t>
  </si>
  <si>
    <t>Zipline® Neo 110 Sharp (Dikey)_ZG</t>
  </si>
  <si>
    <t>Zipline® Neo 110 Soft (Dikey)_ZG</t>
  </si>
  <si>
    <t>BİRİM AĞIRLIK (kg/mt)</t>
  </si>
  <si>
    <r>
      <t xml:space="preserve">Zipline® 105 </t>
    </r>
    <r>
      <rPr>
        <b/>
        <i/>
        <sz val="18"/>
        <color theme="1"/>
        <rFont val="Izmir-Heavy"/>
        <family val="3"/>
      </rPr>
      <t xml:space="preserve">Soft </t>
    </r>
    <r>
      <rPr>
        <b/>
        <sz val="18"/>
        <color theme="1"/>
        <rFont val="Izmir-Heavy"/>
        <family val="3"/>
      </rPr>
      <t>(Dikey)</t>
    </r>
  </si>
  <si>
    <r>
      <t xml:space="preserve">Zipline® 105 </t>
    </r>
    <r>
      <rPr>
        <b/>
        <i/>
        <sz val="18"/>
        <color theme="1"/>
        <rFont val="Izmir-Heavy"/>
        <family val="3"/>
      </rPr>
      <t>Sharp</t>
    </r>
    <r>
      <rPr>
        <b/>
        <sz val="18"/>
        <color theme="1"/>
        <rFont val="Izmir-Heavy"/>
        <family val="3"/>
      </rPr>
      <t>(Dikey)</t>
    </r>
  </si>
  <si>
    <r>
      <t xml:space="preserve">Zipline® 105 </t>
    </r>
    <r>
      <rPr>
        <b/>
        <i/>
        <sz val="18"/>
        <color theme="1"/>
        <rFont val="Izmir-Heavy"/>
        <family val="3"/>
      </rPr>
      <t xml:space="preserve">Round </t>
    </r>
    <r>
      <rPr>
        <b/>
        <sz val="18"/>
        <color theme="1"/>
        <rFont val="Izmir-Heavy"/>
        <family val="3"/>
      </rPr>
      <t>(Dikey)</t>
    </r>
  </si>
  <si>
    <r>
      <t xml:space="preserve">Zipline® Neo 110 </t>
    </r>
    <r>
      <rPr>
        <b/>
        <i/>
        <sz val="18"/>
        <color theme="1"/>
        <rFont val="Izmir-Heavy"/>
        <family val="3"/>
      </rPr>
      <t xml:space="preserve">Wawe </t>
    </r>
    <r>
      <rPr>
        <b/>
        <sz val="18"/>
        <color theme="1"/>
        <rFont val="Izmir-Heavy"/>
        <family val="3"/>
      </rPr>
      <t>(Dikey)</t>
    </r>
  </si>
  <si>
    <r>
      <t>Zipline® Neo 110 Sharp</t>
    </r>
    <r>
      <rPr>
        <b/>
        <i/>
        <sz val="18"/>
        <color theme="1"/>
        <rFont val="Izmir-Heavy"/>
        <family val="3"/>
      </rPr>
      <t xml:space="preserve"> </t>
    </r>
    <r>
      <rPr>
        <b/>
        <sz val="18"/>
        <color theme="1"/>
        <rFont val="Izmir-Heavy"/>
        <family val="3"/>
      </rPr>
      <t>(Dikey)</t>
    </r>
  </si>
  <si>
    <r>
      <t>Zipline® Neo 110 Soft</t>
    </r>
    <r>
      <rPr>
        <b/>
        <i/>
        <sz val="18"/>
        <color theme="1"/>
        <rFont val="Izmir-Heavy"/>
        <family val="3"/>
      </rPr>
      <t xml:space="preserve"> </t>
    </r>
    <r>
      <rPr>
        <b/>
        <sz val="18"/>
        <color theme="1"/>
        <rFont val="Izmir-Heavy"/>
        <family val="3"/>
      </rPr>
      <t>(Dikey)</t>
    </r>
  </si>
  <si>
    <r>
      <t>Zipline® Sky</t>
    </r>
    <r>
      <rPr>
        <b/>
        <i/>
        <sz val="18"/>
        <color theme="1"/>
        <rFont val="Izmir-Heavy"/>
        <family val="3"/>
      </rPr>
      <t xml:space="preserve"> </t>
    </r>
    <r>
      <rPr>
        <b/>
        <sz val="18"/>
        <color theme="1"/>
        <rFont val="Izmir-Heavy"/>
        <family val="3"/>
      </rPr>
      <t>(Tavan)</t>
    </r>
  </si>
  <si>
    <t>/550</t>
  </si>
  <si>
    <t>ALM. KG FİYATI</t>
  </si>
  <si>
    <t>EURO</t>
  </si>
  <si>
    <t>DOLAR</t>
  </si>
  <si>
    <t>LME</t>
  </si>
  <si>
    <t>VADE FARKI</t>
  </si>
  <si>
    <t>MOTOR BAŞI</t>
  </si>
  <si>
    <t>MNS.P1.014</t>
  </si>
  <si>
    <t>BP.422</t>
  </si>
  <si>
    <t>PARİTE</t>
  </si>
  <si>
    <t>BR FİYAT</t>
  </si>
  <si>
    <t>FORMÜL</t>
  </si>
  <si>
    <t>BR</t>
  </si>
  <si>
    <t>ETKEN</t>
  </si>
  <si>
    <t>TAVAN-GEN-ALM</t>
  </si>
  <si>
    <t>POZ 2</t>
  </si>
  <si>
    <t>POZ 4</t>
  </si>
  <si>
    <t>POZ 16</t>
  </si>
  <si>
    <t>POZ 17</t>
  </si>
  <si>
    <t>POZ 18</t>
  </si>
  <si>
    <t>POZ 19</t>
  </si>
  <si>
    <t>POZ 20</t>
  </si>
  <si>
    <t>STD. RAL</t>
  </si>
  <si>
    <t>AHŞAP KAPLAMA</t>
  </si>
  <si>
    <t>ÖZEL BOYA</t>
  </si>
  <si>
    <t>GARDA</t>
  </si>
  <si>
    <t>GRIANTE</t>
  </si>
  <si>
    <t>YW 361 F</t>
  </si>
  <si>
    <t>PINEAPPLE</t>
  </si>
  <si>
    <t>SIRMIONE</t>
  </si>
  <si>
    <t>sor</t>
  </si>
  <si>
    <t>PESCERA</t>
  </si>
  <si>
    <t>BOYA TİPİ</t>
  </si>
  <si>
    <t>İSKONTO ORANI</t>
  </si>
  <si>
    <t>PROFİL FİRE ORANI</t>
  </si>
  <si>
    <t>PERDE FİRE ORANI</t>
  </si>
  <si>
    <t>?</t>
  </si>
  <si>
    <t>PERDE FİYAT</t>
  </si>
  <si>
    <t>PERDE METRAJI</t>
  </si>
  <si>
    <t>PERDE TOPLAM FİYAT</t>
  </si>
  <si>
    <t>(+1 D)</t>
  </si>
  <si>
    <t>BASKI FİYATI</t>
  </si>
  <si>
    <t>AĞIRLIK</t>
  </si>
  <si>
    <t>HESAP ORANI</t>
  </si>
  <si>
    <t>GNL03X</t>
  </si>
  <si>
    <t>,</t>
  </si>
  <si>
    <t>KUTU</t>
  </si>
  <si>
    <t>ALT PARÇA</t>
  </si>
  <si>
    <t>PA14000101</t>
  </si>
  <si>
    <t>PA14000201</t>
  </si>
  <si>
    <t>PA14000301</t>
  </si>
  <si>
    <t>PA14000401</t>
  </si>
  <si>
    <t>PA14000501</t>
  </si>
  <si>
    <t>DPY00105801</t>
  </si>
  <si>
    <t>EMY14000101R - EMY14000101L</t>
  </si>
  <si>
    <t>EMY14000301R - EMY14000301L</t>
  </si>
  <si>
    <t>KASA KAPAĞI TAKIMI</t>
  </si>
  <si>
    <t>DİKME KAPAĞI TAKIMI</t>
  </si>
  <si>
    <t>EPH07803101</t>
  </si>
  <si>
    <t>EPH07803001</t>
  </si>
  <si>
    <t>EPH07802301</t>
  </si>
  <si>
    <t>EPH00107101</t>
  </si>
  <si>
    <t>PP00106001</t>
  </si>
  <si>
    <t>DMH14005001</t>
  </si>
  <si>
    <t>EMY14005901</t>
  </si>
  <si>
    <t>DPH00107801</t>
  </si>
  <si>
    <t>EPH00105101</t>
  </si>
  <si>
    <t>EPH00107601</t>
  </si>
  <si>
    <t>EMY14005201</t>
  </si>
  <si>
    <t>DPH00106501</t>
  </si>
  <si>
    <t xml:space="preserve">İP </t>
  </si>
  <si>
    <t>DPH00107901</t>
  </si>
  <si>
    <t>DMH00105001</t>
  </si>
  <si>
    <t>EMY14000501R - EMY14000501L</t>
  </si>
  <si>
    <t>DMH14006502</t>
  </si>
  <si>
    <t>EPH00105301</t>
  </si>
  <si>
    <t>DKYC01</t>
  </si>
  <si>
    <t>DKYC02</t>
  </si>
  <si>
    <t>DKYC03</t>
  </si>
  <si>
    <t>DKYC04</t>
  </si>
  <si>
    <t>DKYC05</t>
  </si>
  <si>
    <t>DKYC06</t>
  </si>
  <si>
    <t>DKYC07</t>
  </si>
  <si>
    <t>DKYC08</t>
  </si>
  <si>
    <t>DKYC09</t>
  </si>
  <si>
    <t>DKYC10</t>
  </si>
  <si>
    <t>DKYC11</t>
  </si>
  <si>
    <t>DKYC12</t>
  </si>
  <si>
    <t>DKYC13</t>
  </si>
  <si>
    <t>DKYC14</t>
  </si>
  <si>
    <t>DKYC15</t>
  </si>
  <si>
    <t>DKYC16</t>
  </si>
  <si>
    <t>TAHRİK ÇARKI</t>
  </si>
  <si>
    <t>TAMBUR TAHRİK PARÇASI</t>
  </si>
  <si>
    <t>ÇARK BAĞLANTI PLASTİĞİ</t>
  </si>
  <si>
    <t>MANUVELA KOLU</t>
  </si>
  <si>
    <t>DKYC17</t>
  </si>
  <si>
    <t>DKYC18</t>
  </si>
  <si>
    <t>DKYC19</t>
  </si>
  <si>
    <t>DKYC20</t>
  </si>
  <si>
    <t>ALT PARÇA TAKOZU</t>
  </si>
  <si>
    <t>ÇELİK HALAT SABİTLEME</t>
  </si>
  <si>
    <t>KİLİTLEME PARÇASI</t>
  </si>
  <si>
    <t>SABİTLEME PARÇASI</t>
  </si>
  <si>
    <t xml:space="preserve">ÇELİK HALAT  </t>
  </si>
  <si>
    <t>DKYD01</t>
  </si>
  <si>
    <t>DKYD02</t>
  </si>
  <si>
    <t>DKYD03</t>
  </si>
  <si>
    <t>DKYD04</t>
  </si>
  <si>
    <t>DKYD05</t>
  </si>
  <si>
    <t>DKYD06</t>
  </si>
  <si>
    <t>DKYD07</t>
  </si>
  <si>
    <t>DKYD08</t>
  </si>
  <si>
    <t>DKYD09</t>
  </si>
  <si>
    <t>DKYD10</t>
  </si>
  <si>
    <t>DKYD11</t>
  </si>
  <si>
    <t>DKYD12</t>
  </si>
  <si>
    <t>DKYD13</t>
  </si>
  <si>
    <t>DKYD14</t>
  </si>
  <si>
    <t>DKYD15</t>
  </si>
  <si>
    <t>DKYD16</t>
  </si>
  <si>
    <t>XKZ1</t>
  </si>
  <si>
    <t>XKZ2</t>
  </si>
  <si>
    <t>XKZ3</t>
  </si>
  <si>
    <t>XKZ4</t>
  </si>
  <si>
    <t>XKZ5</t>
  </si>
  <si>
    <t>XKZ6</t>
  </si>
  <si>
    <t>XKZ7</t>
  </si>
  <si>
    <t>XKZ8</t>
  </si>
  <si>
    <t>XKZ9</t>
  </si>
  <si>
    <t>GNL06Z</t>
  </si>
  <si>
    <t>GNL01Z</t>
  </si>
  <si>
    <t>GNL05Z</t>
  </si>
  <si>
    <t>GNL03Z</t>
  </si>
  <si>
    <t>GNL08Z</t>
  </si>
  <si>
    <t>GNL09Z</t>
  </si>
  <si>
    <t>GNL07Z</t>
  </si>
  <si>
    <t>GNL01Q</t>
  </si>
  <si>
    <t>GNL08Q</t>
  </si>
  <si>
    <t>GNL09Q</t>
  </si>
  <si>
    <t>GNL07Q</t>
  </si>
  <si>
    <t>GNL11Q</t>
  </si>
  <si>
    <t>GNL10Q</t>
  </si>
  <si>
    <t>TVN25</t>
  </si>
  <si>
    <t>PARÇA ADI</t>
  </si>
  <si>
    <t>PARÇA BİRİM</t>
  </si>
  <si>
    <t>2*(2h+2g)</t>
  </si>
  <si>
    <t>METRAJ</t>
  </si>
  <si>
    <t>TOPLAM MALİYET</t>
  </si>
  <si>
    <t>DPH00107701</t>
  </si>
  <si>
    <t>TVN10K</t>
  </si>
  <si>
    <t>Toplam TOPLAM FİYAT</t>
  </si>
  <si>
    <t>Toplam METRAJ</t>
  </si>
  <si>
    <t>VİDA1</t>
  </si>
  <si>
    <t>VİDA2</t>
  </si>
  <si>
    <t>VİDA3</t>
  </si>
  <si>
    <t>VİDA4</t>
  </si>
  <si>
    <t>VİDA5</t>
  </si>
  <si>
    <t>İMALAT İÇİN DÜŞÜM ÖLÇÜLERİ</t>
  </si>
  <si>
    <t>KUMAŞ GENİŞLİK</t>
  </si>
  <si>
    <t>KUMAŞ YÜKSEKLİK</t>
  </si>
  <si>
    <t>KUTU:</t>
  </si>
  <si>
    <t>DİKME:</t>
  </si>
  <si>
    <t>ALT PARÇA:</t>
  </si>
  <si>
    <t>BORU:</t>
  </si>
  <si>
    <t>KUMAŞ:</t>
  </si>
  <si>
    <t>(+K, +1 D)</t>
  </si>
  <si>
    <t>ÖZEL BOYA FİYATI</t>
  </si>
  <si>
    <t>MOTORSUZ</t>
  </si>
  <si>
    <t>AĞIRLIKLAR</t>
  </si>
  <si>
    <t xml:space="preserve">bir poz için toplam maliyet </t>
  </si>
  <si>
    <t>PARÇA TEKLİF</t>
  </si>
  <si>
    <t>PARÇA TEKLİF İÇİN</t>
  </si>
  <si>
    <t>parça teklif özet liste</t>
  </si>
  <si>
    <r>
      <t>Zipline® Neo 110</t>
    </r>
    <r>
      <rPr>
        <b/>
        <i/>
        <sz val="18"/>
        <color theme="1"/>
        <rFont val="Izmir-Heavy"/>
        <family val="3"/>
      </rPr>
      <t xml:space="preserve"> </t>
    </r>
    <r>
      <rPr>
        <b/>
        <sz val="18"/>
        <color theme="1"/>
        <rFont val="Izmir-Heavy"/>
        <family val="3"/>
      </rPr>
      <t>(Dikey)</t>
    </r>
  </si>
  <si>
    <t>Zipline® Neo 110 (Dikey)_MNL</t>
  </si>
  <si>
    <t>Zipline® Neo 110 (Dikey)_ZG</t>
  </si>
  <si>
    <r>
      <t xml:space="preserve">Zipline® 105 </t>
    </r>
    <r>
      <rPr>
        <b/>
        <i/>
        <sz val="18"/>
        <color theme="1"/>
        <rFont val="Izmir-Heavy"/>
        <family val="3"/>
      </rPr>
      <t xml:space="preserve"> </t>
    </r>
    <r>
      <rPr>
        <b/>
        <sz val="18"/>
        <color theme="1"/>
        <rFont val="Izmir-Heavy"/>
        <family val="3"/>
      </rPr>
      <t>(Dikey)</t>
    </r>
  </si>
  <si>
    <t>MİKTAR</t>
  </si>
  <si>
    <t>M²</t>
  </si>
  <si>
    <t>NAKİT İSKONTOLU ÖZEL FİYAT:</t>
  </si>
  <si>
    <t>VADELİ İSKONTOLU ÖZEL FİYAT</t>
  </si>
  <si>
    <t>PROFİL RENGİ</t>
  </si>
  <si>
    <t>MALZEME</t>
  </si>
  <si>
    <t xml:space="preserve">       </t>
  </si>
  <si>
    <t>P</t>
  </si>
  <si>
    <t>TOPLAM MONTAJ BEDELİ</t>
  </si>
  <si>
    <t>MONTAJ ORANI</t>
  </si>
  <si>
    <t>KUMAŞ ÇEŞİDİ</t>
  </si>
  <si>
    <t>KUMAŞ RENK KODU</t>
  </si>
  <si>
    <t>ÖZEL KUMAŞ FİYATI</t>
  </si>
  <si>
    <t>MOTOR MARKASI VE TİPİ</t>
  </si>
  <si>
    <t>BASKI / LOGO</t>
  </si>
  <si>
    <t>ÖZEL BASKI / LOGO FİYATI</t>
  </si>
  <si>
    <t>ÖLÇÜ</t>
  </si>
  <si>
    <t>poz</t>
  </si>
  <si>
    <t>EURO KUR</t>
  </si>
  <si>
    <t>DOLAR KUR</t>
  </si>
  <si>
    <t>X&lt;800</t>
  </si>
  <si>
    <t>800&lt;X&lt;2000</t>
  </si>
  <si>
    <t>2000&lt;X&lt;3000</t>
  </si>
  <si>
    <t>3000&lt;X&lt;4000</t>
  </si>
  <si>
    <t>4000&lt;X&lt;5000</t>
  </si>
  <si>
    <t>5000&lt;X</t>
  </si>
  <si>
    <t>F</t>
  </si>
  <si>
    <t>C:\Zipperde\</t>
  </si>
  <si>
    <t>tavan ayak fiyatları</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</si>
  <si>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 'Fiyat teklifi kabul edilmiştir' 'Kayıt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</si>
  <si>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MÜŞTERİ POZ NO</t>
  </si>
  <si>
    <t>&lt;</t>
  </si>
  <si>
    <t>----------------</t>
  </si>
  <si>
    <t>&gt;</t>
  </si>
  <si>
    <t>--------------&gt;</t>
  </si>
  <si>
    <t>&lt;---------------</t>
  </si>
  <si>
    <t>------------&gt;</t>
  </si>
  <si>
    <t>-----------------&gt;</t>
  </si>
  <si>
    <t>ALÜMİNYUM</t>
  </si>
  <si>
    <t>I</t>
  </si>
  <si>
    <t>İ</t>
  </si>
  <si>
    <t>G</t>
  </si>
  <si>
    <t>H</t>
  </si>
  <si>
    <t>J</t>
  </si>
  <si>
    <t>K</t>
  </si>
  <si>
    <t>L</t>
  </si>
  <si>
    <t>M</t>
  </si>
  <si>
    <t>N</t>
  </si>
  <si>
    <t>O</t>
  </si>
  <si>
    <t>Ö</t>
  </si>
  <si>
    <t>R</t>
  </si>
  <si>
    <t>S</t>
  </si>
  <si>
    <t>POZ İSMİ</t>
  </si>
  <si>
    <t xml:space="preserve">        </t>
  </si>
  <si>
    <t>MÜŞTERİ</t>
  </si>
  <si>
    <t xml:space="preserve">İŞ İSMİ    </t>
  </si>
  <si>
    <t>CUSTOMER</t>
  </si>
  <si>
    <t xml:space="preserve">PROJECT NAME    </t>
  </si>
  <si>
    <t>PRODUCT</t>
  </si>
  <si>
    <t>PROJECT NO</t>
  </si>
  <si>
    <t>POSE NO</t>
  </si>
  <si>
    <t>DIMENSION</t>
  </si>
  <si>
    <t>WIDTH</t>
  </si>
  <si>
    <t>HEIGHT</t>
  </si>
  <si>
    <t>BOX</t>
  </si>
  <si>
    <t>FERRINI BUTON</t>
  </si>
  <si>
    <t>SOMFY BUTON</t>
  </si>
  <si>
    <t>ETEK KAPAĞI TAKIMI</t>
  </si>
  <si>
    <t>İL / ÜLKE</t>
  </si>
  <si>
    <t>47047_ANTRASİTGREY</t>
  </si>
  <si>
    <t>FERRINI DÜZ KISA MOTOR + SOMFY ALICI</t>
  </si>
  <si>
    <t>BRUN 2650 SABLE</t>
  </si>
  <si>
    <t>YW 366 F</t>
  </si>
  <si>
    <t>KOPYALAMA!!!</t>
  </si>
  <si>
    <t>TOPLAM MTÜL</t>
  </si>
  <si>
    <t>TOPLAM M²</t>
  </si>
  <si>
    <t>BOYA TARİHİ</t>
  </si>
  <si>
    <t>SEVK TARİHİ</t>
  </si>
  <si>
    <t>SABİT İÇİN KUMAŞ</t>
  </si>
  <si>
    <t>(boş)</t>
  </si>
  <si>
    <t>SOMFY IO &amp; RTS TELİS 1</t>
  </si>
  <si>
    <t>SOMFY IO &amp; RTS TELİS 4</t>
  </si>
  <si>
    <t>SOMFY IO &amp; RTS TELİS 16</t>
  </si>
  <si>
    <t>KALDIRAÇ</t>
  </si>
  <si>
    <t>EPH14006701</t>
  </si>
  <si>
    <t>TAVAN SİSTEMİ İÇİN ALM KG FİYATI</t>
  </si>
  <si>
    <t>HAZIRLAYAN</t>
  </si>
  <si>
    <t>&lt;------------------------</t>
  </si>
  <si>
    <t>&lt;-----------------------</t>
  </si>
  <si>
    <t>--------------------&gt;</t>
  </si>
  <si>
    <t>SOMFY IO ALICILI - 60-20</t>
  </si>
  <si>
    <t>SOMFY IO ALICILI - 60-30</t>
  </si>
  <si>
    <t>SOMFY IO ALICILI - 60-40</t>
  </si>
  <si>
    <t>ASA ALICILI - 20NM</t>
  </si>
  <si>
    <t>ASA ALICILI - 40NM</t>
  </si>
  <si>
    <t>FERRINI ALICILI - 20NM</t>
  </si>
  <si>
    <t>FERRINI ALICILI - 30NM</t>
  </si>
  <si>
    <t>FERRINI ALICILI - 50NM</t>
  </si>
  <si>
    <t>BECKER ALICILI - 20NM</t>
  </si>
  <si>
    <t>BECKER ALICILI - 40NM</t>
  </si>
  <si>
    <t>BECKER ALICILI - 20NM ÖZEL</t>
  </si>
  <si>
    <t>78BOR</t>
  </si>
  <si>
    <t>100BOR</t>
  </si>
  <si>
    <t>2044_WHITE</t>
  </si>
  <si>
    <t>2171_BOULDER</t>
  </si>
  <si>
    <t>2175_CHAMPAGNE</t>
  </si>
  <si>
    <t>2135_SANDYBEIGE</t>
  </si>
  <si>
    <t>2043_BRONZE</t>
  </si>
  <si>
    <t>2048_ALU/ALU</t>
  </si>
  <si>
    <t>2045_BEATENMETAL</t>
  </si>
  <si>
    <t>2167_CONCRETE</t>
  </si>
  <si>
    <t>2047_ANTRASİT</t>
  </si>
  <si>
    <t>51176_DEEPBLACK</t>
  </si>
  <si>
    <t>51180_BRICK</t>
  </si>
  <si>
    <t>51181_DEEPRED</t>
  </si>
  <si>
    <t>51182_DEEPBLUE</t>
  </si>
  <si>
    <t>2157_ANİSEED</t>
  </si>
  <si>
    <t>2158_MOSSGREEN</t>
  </si>
  <si>
    <t>8204_ORANGE</t>
  </si>
  <si>
    <t>8255_RED</t>
  </si>
  <si>
    <t>2046_ALU/OAT</t>
  </si>
  <si>
    <t>2068_ALU/ANTRASİT</t>
  </si>
  <si>
    <t>2166_BUTTERCUP</t>
  </si>
  <si>
    <t>2071_CHAMPAGNE</t>
  </si>
  <si>
    <t>50690_SNOWWHITE</t>
  </si>
  <si>
    <t>2051_ALU/WHITE</t>
  </si>
  <si>
    <t>50273_GOLD</t>
  </si>
  <si>
    <t>50303_QUARTZ</t>
  </si>
  <si>
    <t>50266_HAVANABROWN</t>
  </si>
  <si>
    <t>50850_TAUPE</t>
  </si>
  <si>
    <t>51178_CELESTIALGREY</t>
  </si>
  <si>
    <t>2074_ALU/MEDIUMGREY</t>
  </si>
  <si>
    <t>50274_COPPER</t>
  </si>
  <si>
    <t>50843_SHEA</t>
  </si>
  <si>
    <t>50265_HEMP</t>
  </si>
  <si>
    <t>50272_CLOUD</t>
  </si>
  <si>
    <t>51177_DARKGREY</t>
  </si>
  <si>
    <t>51179_GREENGREY</t>
  </si>
  <si>
    <t>8056_TENISGREEN</t>
  </si>
  <si>
    <t>2160_LOGAAN</t>
  </si>
  <si>
    <t>1046_ALU</t>
  </si>
  <si>
    <t>1044_WHITE</t>
  </si>
  <si>
    <t>8102_WHITE</t>
  </si>
  <si>
    <t>1103_OFFWHITE</t>
  </si>
  <si>
    <t>8861_VANILLA</t>
  </si>
  <si>
    <t>2171_CLOUD</t>
  </si>
  <si>
    <t>50537_WHITE</t>
  </si>
  <si>
    <t>50539_QUARTZ</t>
  </si>
  <si>
    <t>50542_GREY</t>
  </si>
  <si>
    <t>915CHARCOAL/BRONZE</t>
  </si>
  <si>
    <t>906CHARCOAL/GREY</t>
  </si>
  <si>
    <t>001WHİTE</t>
  </si>
  <si>
    <t>002WHİTE/BEİGE</t>
  </si>
  <si>
    <t>003WHİTE/GREY</t>
  </si>
  <si>
    <t>202BEİGE</t>
  </si>
  <si>
    <t>303GREY</t>
  </si>
  <si>
    <t>914CHARCOAL</t>
  </si>
  <si>
    <t>POZ 1.</t>
  </si>
  <si>
    <t>POZ 2.</t>
  </si>
  <si>
    <t>POZ 3.</t>
  </si>
  <si>
    <t>POZ 4.</t>
  </si>
  <si>
    <t>POZ 5.</t>
  </si>
  <si>
    <t>POZ 6.</t>
  </si>
  <si>
    <t>POZ 7.</t>
  </si>
  <si>
    <t>POZ 8.</t>
  </si>
  <si>
    <t>POZ 9.</t>
  </si>
  <si>
    <t>PVC PLASTİK RAY</t>
  </si>
  <si>
    <t>PVC FERMUAR ÇITASI</t>
  </si>
  <si>
    <t>FATMA PENBE</t>
  </si>
  <si>
    <t>GÖKSU DAMAR</t>
  </si>
  <si>
    <t>RAZİYE AKYOL</t>
  </si>
  <si>
    <t>SELVİHAN GENÇ</t>
  </si>
  <si>
    <t>SÜHEYLA DUMAN</t>
  </si>
  <si>
    <t>ZİYA DURAK</t>
  </si>
  <si>
    <t>SEVKİYAT YERLERİ</t>
  </si>
  <si>
    <t>GAZİEMİR</t>
  </si>
  <si>
    <t>KARABAĞLAR</t>
  </si>
  <si>
    <t>ÜÇYOL</t>
  </si>
  <si>
    <t>BUCA</t>
  </si>
  <si>
    <t>MENDERES</t>
  </si>
  <si>
    <t>TORBALI</t>
  </si>
  <si>
    <t>BAYINDIR</t>
  </si>
  <si>
    <t>TİRE</t>
  </si>
  <si>
    <t>ÖDEMİŞ</t>
  </si>
  <si>
    <t>KİRAZ</t>
  </si>
  <si>
    <t>BORNOVA</t>
  </si>
  <si>
    <t>BAYRAKLI</t>
  </si>
  <si>
    <t>KARŞIYAKA</t>
  </si>
  <si>
    <t>ÇİĞLİ</t>
  </si>
  <si>
    <t>MENEMEN</t>
  </si>
  <si>
    <t>FOÇA</t>
  </si>
  <si>
    <t>ALİAĞA</t>
  </si>
  <si>
    <t>BERGAMA</t>
  </si>
  <si>
    <t>ALTINOVA</t>
  </si>
  <si>
    <t>AYVALIK</t>
  </si>
  <si>
    <t>BURHANİYE</t>
  </si>
  <si>
    <t>EDREMİT</t>
  </si>
  <si>
    <t>ALTINOLUK</t>
  </si>
  <si>
    <t>ÇANAKKALE</t>
  </si>
  <si>
    <t>AKHİSAR</t>
  </si>
  <si>
    <t>BALIKESİR</t>
  </si>
  <si>
    <t>ALAŞEHİR</t>
  </si>
  <si>
    <t>SARIGÖL</t>
  </si>
  <si>
    <t>TURGUTLU</t>
  </si>
  <si>
    <t>SALİHLİ</t>
  </si>
  <si>
    <t>MANİSA</t>
  </si>
  <si>
    <t>AFYON</t>
  </si>
  <si>
    <t>UŞAK</t>
  </si>
  <si>
    <t>ESKİŞEHİR</t>
  </si>
  <si>
    <t>HATAY</t>
  </si>
  <si>
    <t>BALÇOVA</t>
  </si>
  <si>
    <t>NARLIDERE</t>
  </si>
  <si>
    <t>ZEYTİNALANI</t>
  </si>
  <si>
    <t>URLA</t>
  </si>
  <si>
    <t>KARABURUN</t>
  </si>
  <si>
    <t>ÇEŞME</t>
  </si>
  <si>
    <t>ÖZDERE</t>
  </si>
  <si>
    <t>GÜMÜLDÜR</t>
  </si>
  <si>
    <t>ÜRKMEZ</t>
  </si>
  <si>
    <t>SEFERİHİSAR</t>
  </si>
  <si>
    <t xml:space="preserve">SELÇUK </t>
  </si>
  <si>
    <t>KUŞADASI</t>
  </si>
  <si>
    <t>İSTANBUL</t>
  </si>
  <si>
    <t>BURSA</t>
  </si>
  <si>
    <t>AYDIN</t>
  </si>
  <si>
    <t>NAZİLLİ</t>
  </si>
  <si>
    <t>KUYUCAK</t>
  </si>
  <si>
    <t>DENİZLİ</t>
  </si>
  <si>
    <t>ÇİVRİL</t>
  </si>
  <si>
    <t>SÖKE</t>
  </si>
  <si>
    <t>DİDİM</t>
  </si>
  <si>
    <t>MİLAS</t>
  </si>
  <si>
    <t>GÜLLÜK</t>
  </si>
  <si>
    <t>YALIKAVAK</t>
  </si>
  <si>
    <t>BODRUM</t>
  </si>
  <si>
    <t>ÇİNE</t>
  </si>
  <si>
    <t>MUĞLA</t>
  </si>
  <si>
    <t>YATAĞAN</t>
  </si>
  <si>
    <t>KÖYCEĞİZ</t>
  </si>
  <si>
    <t>ORTACA</t>
  </si>
  <si>
    <t>DALAMAN</t>
  </si>
  <si>
    <t>MARMARİS</t>
  </si>
  <si>
    <t>DATÇA</t>
  </si>
  <si>
    <t>FETHİYE</t>
  </si>
  <si>
    <t>İMALAT TARİHİ</t>
  </si>
  <si>
    <t>&lt;---------------------------</t>
  </si>
  <si>
    <t>&lt;--------------------------</t>
  </si>
  <si>
    <t>&lt;----------------------</t>
  </si>
  <si>
    <t>KADER BAYGIN</t>
  </si>
  <si>
    <t>FİYAT İÇİN VERİLEN KUMAŞ VE MOTOR BİLGİLERİNE DİKKAT EDİNİZ. FARKLI MARKA KUMAŞ ve MOTOR İÇİN LÜTFEN FİYAT SORUNUZ</t>
  </si>
  <si>
    <t>CEREN ÖZYURT</t>
  </si>
  <si>
    <t>ULUKENT</t>
  </si>
  <si>
    <t>GÜNEŞ PEN</t>
  </si>
  <si>
    <t>GÜRKAN BEY</t>
  </si>
  <si>
    <t>ALTAN AYDINLAR</t>
  </si>
  <si>
    <t>Z 5001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</si>
</sst>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quot;₺&quot;* #,##0.00_-;\-&quot;₺&quot;* #,##0.00_-;_-&quot;₺&quot;* &quot;-&quot;??_-;_-@_-"/>
    <numFmt numFmtId="165" formatCode="0\ &quot;SET&quot;"/>
    <numFmt numFmtId="166" formatCode="#,##0.00\ [$€-1]"/>
    <numFmt numFmtId="167" formatCode="_-[$€-2]\ * #,##0.00_-;\-[$€-2]\ * #,##0.00_-;_-[$€-2]\ * &quot;-&quot;??_-;_-@_-"/>
    <numFmt numFmtId="168" formatCode="#,##0.00\ &quot;₺&quot;"/>
    <numFmt numFmtId="169" formatCode="0.000"/>
    <numFmt numFmtId="170" formatCode="_-[$₺-41F]* #,##0.00_-;\-[$₺-41F]* #,##0.00_-;_-[$₺-41F]* &quot;-&quot;??_-;_-@_-"/>
    <numFmt numFmtId="171" formatCode="0.0\ &quot;KG&quot;"/>
    <numFmt numFmtId="172" formatCode="#,##0.00\ \€"/>
  </numFmts>
  <fonts count="111">
    <font>
      <sz val="11"/>
      <color theme="1"/>
      <name val="Izmir-Regular"/>
      <family val="2"/>
      <charset val="162"/>
    </font>
    <font>
      <b/>
      <sz val="11"/>
      <color theme="1"/>
      <name val="Arial"/>
      <family val="2"/>
      <charset val="162"/>
      <scheme val="minor"/>
    </font>
    <font>
      <b/>
      <sz val="16"/>
      <color theme="1"/>
      <name val="Izmir-Regular"/>
      <family val="3"/>
    </font>
    <font>
      <sz val="11"/>
      <color theme="1"/>
      <name val="Izmir-Heavy"/>
      <family val="3"/>
    </font>
    <font>
      <sz val="11"/>
      <color theme="1"/>
      <name val="Arial"/>
      <family val="2"/>
      <charset val="162"/>
      <scheme val="minor"/>
    </font>
    <font>
      <sz val="8"/>
      <name val="Arial"/>
      <family val="2"/>
      <charset val="204"/>
    </font>
    <font>
      <b/>
      <sz val="11"/>
      <color rgb="FFFA7D00"/>
      <name val="Arial"/>
      <family val="2"/>
      <charset val="162"/>
      <scheme val="minor"/>
    </font>
    <font>
      <b/>
      <sz val="20"/>
      <color theme="1"/>
      <name val="Arial"/>
      <family val="2"/>
      <charset val="162"/>
      <scheme val="minor"/>
    </font>
    <font>
      <sz val="8"/>
      <name val="Izmir-Regular"/>
      <family val="2"/>
      <charset val="162"/>
    </font>
    <font>
      <sz val="11"/>
      <color theme="0"/>
      <name val="Izmir-Regular"/>
      <family val="2"/>
      <charset val="162"/>
    </font>
    <font>
      <sz val="8"/>
      <color theme="1"/>
      <name val="Arial"/>
      <family val="2"/>
      <charset val="162"/>
      <scheme val="minor"/>
    </font>
    <font>
      <u/>
      <sz val="11"/>
      <color theme="10"/>
      <name val="Arial"/>
      <family val="2"/>
      <charset val="162"/>
      <scheme val="minor"/>
    </font>
    <font>
      <b/>
      <sz val="11"/>
      <color theme="1"/>
      <name val="Izmir-Regular"/>
      <family val="3"/>
    </font>
    <font>
      <sz val="10"/>
      <color theme="1"/>
      <name val="Arial"/>
      <family val="2"/>
      <charset val="162"/>
      <scheme val="minor"/>
    </font>
    <font>
      <sz val="9"/>
      <color theme="1"/>
      <name val="Arial"/>
      <family val="2"/>
      <charset val="162"/>
      <scheme val="minor"/>
    </font>
    <font>
      <sz val="14"/>
      <color theme="1"/>
      <name val="Arial"/>
      <family val="2"/>
      <charset val="162"/>
      <scheme val="minor"/>
    </font>
    <font>
      <b/>
      <sz val="8"/>
      <color theme="1"/>
      <name val="Izmir-Regular"/>
      <family val="3"/>
    </font>
    <font>
      <sz val="9"/>
      <color indexed="81"/>
      <name val="Tahoma"/>
      <family val="2"/>
    </font>
    <font>
      <b/>
      <sz val="9"/>
      <color indexed="81"/>
      <name val="Tahoma"/>
      <family val="2"/>
    </font>
    <font>
      <sz val="11"/>
      <color theme="1"/>
      <name val="Arial"/>
      <family val="2"/>
      <scheme val="minor"/>
    </font>
    <font>
      <sz val="8"/>
      <color theme="1"/>
      <name val="Izmir-Regular"/>
      <family val="3"/>
    </font>
    <font>
      <b/>
      <sz val="18"/>
      <color theme="1"/>
      <name val="Izmir-Heavy"/>
      <family val="3"/>
    </font>
    <font>
      <b/>
      <i/>
      <sz val="18"/>
      <color theme="1"/>
      <name val="Izmir-Heavy"/>
      <family val="3"/>
    </font>
    <font>
      <b/>
      <sz val="18"/>
      <color rgb="FFFF0000"/>
      <name val="Izmir-Heavy"/>
      <family val="3"/>
    </font>
    <font>
      <sz val="11"/>
      <color theme="1"/>
      <name val="Izmir-Regular"/>
      <family val="2"/>
      <charset val="162"/>
    </font>
    <font>
      <sz val="11"/>
      <color rgb="FFFF0000"/>
      <name val="Izmir-Regular"/>
      <family val="2"/>
      <charset val="162"/>
    </font>
    <font>
      <b/>
      <sz val="14"/>
      <color theme="1"/>
      <name val="Izmir-Regular"/>
      <family val="3"/>
    </font>
    <font>
      <b/>
      <sz val="16"/>
      <color theme="0"/>
      <name val="Izmir-Regular"/>
      <family val="3"/>
    </font>
    <font>
      <b/>
      <sz val="11"/>
      <color theme="0"/>
      <name val="Izmir-Regular"/>
      <family val="3"/>
    </font>
    <font>
      <b/>
      <sz val="22"/>
      <color theme="1"/>
      <name val="Izmir-Regular"/>
      <family val="3"/>
    </font>
    <font>
      <b/>
      <sz val="10"/>
      <color theme="1"/>
      <name val="Izmir-Regular"/>
      <family val="3"/>
    </font>
    <font>
      <sz val="11"/>
      <color theme="0"/>
      <name val="Arial"/>
      <family val="2"/>
    </font>
    <font>
      <b/>
      <sz val="12"/>
      <color theme="0"/>
      <name val="Arial"/>
      <family val="2"/>
    </font>
    <font>
      <sz val="11"/>
      <color theme="1"/>
      <name val="Arial"/>
      <family val="2"/>
    </font>
    <font>
      <b/>
      <sz val="11"/>
      <color theme="1"/>
      <name val="Arial"/>
      <family val="2"/>
    </font>
    <font>
      <sz val="11"/>
      <name val="Arial"/>
      <family val="2"/>
    </font>
    <font>
      <b/>
      <sz val="18"/>
      <color theme="1"/>
      <name val="Arial"/>
      <family val="2"/>
    </font>
    <font>
      <sz val="10"/>
      <color theme="1"/>
      <name val="Arial"/>
      <family val="2"/>
    </font>
    <font>
      <b/>
      <sz val="14"/>
      <color theme="1"/>
      <name val="Arial"/>
      <family val="2"/>
    </font>
    <font>
      <sz val="16"/>
      <color theme="1"/>
      <name val="Arial"/>
      <family val="2"/>
    </font>
    <font>
      <b/>
      <sz val="10"/>
      <color theme="1"/>
      <name val="Arial"/>
      <family val="2"/>
    </font>
    <font>
      <sz val="14"/>
      <color theme="1"/>
      <name val="Arial"/>
      <family val="2"/>
    </font>
    <font>
      <sz val="9"/>
      <color theme="1"/>
      <name val="Arial"/>
      <family val="2"/>
    </font>
    <font>
      <sz val="8"/>
      <color theme="1"/>
      <name val="Arial"/>
      <family val="2"/>
    </font>
    <font>
      <b/>
      <sz val="12"/>
      <color theme="1"/>
      <name val="Arial"/>
      <family val="2"/>
    </font>
    <font>
      <b/>
      <sz val="16"/>
      <color theme="1"/>
      <name val="Arial"/>
      <family val="2"/>
    </font>
    <font>
      <b/>
      <sz val="20"/>
      <color theme="1"/>
      <name val="Arial"/>
      <family val="2"/>
    </font>
    <font>
      <sz val="11"/>
      <color rgb="FF9C5700"/>
      <name val="Izmir-Regular"/>
      <family val="2"/>
      <charset val="162"/>
    </font>
    <font>
      <b/>
      <sz val="16"/>
      <color theme="0"/>
      <name val="Arial"/>
      <family val="2"/>
    </font>
    <font>
      <b/>
      <i/>
      <sz val="10"/>
      <color theme="1"/>
      <name val="Arial"/>
      <family val="2"/>
    </font>
    <font>
      <b/>
      <sz val="11"/>
      <color rgb="FFC00000"/>
      <name val="Arial"/>
      <family val="2"/>
    </font>
    <font>
      <b/>
      <sz val="9"/>
      <color theme="1"/>
      <name val="Arial"/>
      <family val="2"/>
    </font>
    <font>
      <b/>
      <i/>
      <sz val="10"/>
      <color theme="0"/>
      <name val="Arial"/>
      <family val="2"/>
    </font>
    <font>
      <sz val="10"/>
      <name val="Arial"/>
      <family val="2"/>
    </font>
    <font>
      <b/>
      <sz val="12"/>
      <color rgb="FFFF0000"/>
      <name val="Arial"/>
      <family val="2"/>
    </font>
    <font>
      <sz val="8.1999999999999993"/>
      <color theme="1"/>
      <name val="Arial"/>
      <family val="2"/>
    </font>
    <font>
      <b/>
      <sz val="11"/>
      <color rgb="FFFF0000"/>
      <name val="Arial"/>
      <family val="2"/>
    </font>
    <font>
      <b/>
      <sz val="28"/>
      <color theme="1"/>
      <name val="Arial"/>
      <family val="2"/>
    </font>
    <font>
      <sz val="18"/>
      <color theme="1"/>
      <name val="Arial"/>
      <family val="2"/>
    </font>
    <font>
      <sz val="16"/>
      <color theme="0"/>
      <name val="Arial"/>
      <family val="2"/>
    </font>
    <font>
      <sz val="12"/>
      <color theme="1"/>
      <name val="Arial"/>
      <family val="2"/>
    </font>
    <font>
      <b/>
      <sz val="12"/>
      <color rgb="FFC00000"/>
      <name val="Arial"/>
      <family val="2"/>
    </font>
    <font>
      <b/>
      <sz val="11"/>
      <color theme="1"/>
      <name val="Arial"/>
      <family val="2"/>
      <charset val="162"/>
    </font>
    <font>
      <sz val="11"/>
      <color rgb="FF0070C0"/>
      <name val="Arial"/>
      <family val="2"/>
    </font>
    <font>
      <b/>
      <sz val="11"/>
      <color theme="8"/>
      <name val="Arial"/>
      <family val="2"/>
    </font>
    <font>
      <sz val="9"/>
      <color rgb="FFC00000"/>
      <name val="Arial"/>
      <family val="2"/>
    </font>
    <font>
      <sz val="11"/>
      <color rgb="FFC00000"/>
      <name val="Arial"/>
      <family val="2"/>
    </font>
    <font>
      <b/>
      <sz val="11"/>
      <color rgb="FF002060"/>
      <name val="Arial"/>
      <family val="2"/>
    </font>
    <font>
      <sz val="11"/>
      <color theme="1"/>
      <name val="Arial"/>
      <family val="2"/>
      <charset val="162"/>
    </font>
    <font>
      <sz val="12"/>
      <color theme="1"/>
      <name val="Arial"/>
      <family val="2"/>
      <charset val="162"/>
    </font>
    <font>
      <b/>
      <sz val="18"/>
      <color theme="1"/>
      <name val="Arial"/>
      <family val="2"/>
      <charset val="162"/>
    </font>
    <font>
      <b/>
      <sz val="10"/>
      <color rgb="FFFF0000"/>
      <name val="Arial"/>
      <family val="2"/>
      <charset val="162"/>
    </font>
    <font>
      <b/>
      <sz val="14"/>
      <color rgb="FFFF0000"/>
      <name val="Arial"/>
      <family val="2"/>
    </font>
    <font>
      <b/>
      <sz val="11"/>
      <name val="Arial"/>
      <family val="2"/>
      <charset val="162"/>
    </font>
    <font>
      <b/>
      <sz val="14"/>
      <color rgb="FFC00000"/>
      <name val="Arial"/>
      <family val="2"/>
    </font>
    <font>
      <b/>
      <sz val="26"/>
      <color theme="1"/>
      <name val="Arial"/>
      <family val="2"/>
      <charset val="162"/>
      <scheme val="minor"/>
    </font>
    <font>
      <sz val="26"/>
      <color theme="1"/>
      <name val="Arial"/>
      <family val="2"/>
      <charset val="162"/>
      <scheme val="minor"/>
    </font>
    <font>
      <sz val="22"/>
      <color theme="1"/>
      <name val="Arial"/>
      <family val="2"/>
      <charset val="162"/>
      <scheme val="minor"/>
    </font>
    <font>
      <b/>
      <sz val="22"/>
      <color theme="1"/>
      <name val="Arial"/>
      <family val="2"/>
      <scheme val="minor"/>
    </font>
    <font>
      <sz val="24"/>
      <color theme="1"/>
      <name val="Arial"/>
      <family val="2"/>
      <charset val="162"/>
      <scheme val="minor"/>
    </font>
    <font>
      <b/>
      <sz val="16"/>
      <color theme="1"/>
      <name val="Arial"/>
      <family val="2"/>
      <charset val="162"/>
      <scheme val="minor"/>
    </font>
    <font>
      <b/>
      <sz val="24"/>
      <color theme="1"/>
      <name val="Arial"/>
      <family val="2"/>
      <charset val="162"/>
      <scheme val="minor"/>
    </font>
    <font>
      <b/>
      <sz val="14"/>
      <color theme="1"/>
      <name val="Arial"/>
      <family val="2"/>
      <scheme val="minor"/>
    </font>
    <font>
      <b/>
      <sz val="26"/>
      <color rgb="FFFF0000"/>
      <name val="Arial"/>
      <family val="2"/>
      <charset val="162"/>
      <scheme val="minor"/>
    </font>
    <font>
      <b/>
      <sz val="14"/>
      <color theme="1"/>
      <name val="Arial"/>
      <family val="2"/>
      <charset val="162"/>
      <scheme val="minor"/>
    </font>
    <font>
      <b/>
      <sz val="16"/>
      <color theme="8"/>
      <name val="Arial"/>
      <family val="2"/>
    </font>
    <font>
      <sz val="14"/>
      <color rgb="FFC00000"/>
      <name val="Arial"/>
      <family val="2"/>
    </font>
    <font>
      <b/>
      <sz val="9"/>
      <color theme="1"/>
      <name val="Arial"/>
      <family val="2"/>
      <charset val="162"/>
    </font>
    <font>
      <b/>
      <sz val="13"/>
      <color theme="1"/>
      <name val="Arial"/>
      <family val="2"/>
      <charset val="162"/>
    </font>
    <font>
      <b/>
      <sz val="12"/>
      <color theme="8"/>
      <name val="Arial"/>
      <family val="2"/>
    </font>
    <font>
      <sz val="12"/>
      <color theme="8"/>
      <name val="Arial"/>
      <family val="2"/>
    </font>
    <font>
      <b/>
      <sz val="14"/>
      <color theme="1"/>
      <name val="Arial"/>
      <family val="2"/>
      <charset val="162"/>
    </font>
    <font>
      <b/>
      <sz val="18"/>
      <color theme="0"/>
      <name val="Arial"/>
      <family val="2"/>
      <charset val="162"/>
    </font>
    <font>
      <b/>
      <sz val="12"/>
      <color theme="1"/>
      <name val="Arial"/>
      <family val="2"/>
      <charset val="162"/>
    </font>
    <font>
      <b/>
      <sz val="18"/>
      <color theme="0"/>
      <name val="Arial"/>
      <family val="2"/>
    </font>
    <font>
      <b/>
      <sz val="22"/>
      <color theme="1"/>
      <name val="Arial"/>
      <family val="2"/>
    </font>
    <font>
      <b/>
      <sz val="24"/>
      <color theme="1"/>
      <name val="Arial"/>
      <family val="2"/>
    </font>
    <font>
      <b/>
      <sz val="28"/>
      <color rgb="FFC00000"/>
      <name val="Arial"/>
      <family val="2"/>
    </font>
    <font>
      <b/>
      <i/>
      <sz val="14"/>
      <color theme="0"/>
      <name val="Arial"/>
      <family val="2"/>
    </font>
    <font>
      <sz val="28"/>
      <color theme="1"/>
      <name val="Arial"/>
      <family val="2"/>
    </font>
    <font>
      <b/>
      <sz val="14"/>
      <color rgb="FFC00000"/>
      <name val="Arial"/>
      <family val="2"/>
      <charset val="162"/>
    </font>
    <font>
      <b/>
      <sz val="16"/>
      <color theme="1"/>
      <name val="Arial"/>
      <family val="2"/>
      <charset val="162"/>
    </font>
    <font>
      <sz val="12"/>
      <name val="Arial"/>
      <family val="2"/>
    </font>
    <font>
      <b/>
      <sz val="12"/>
      <color theme="1"/>
      <name val="Arial"/>
      <family val="2"/>
      <scheme val="minor"/>
    </font>
    <font>
      <b/>
      <sz val="11.5"/>
      <color theme="1"/>
      <name val="Arial"/>
      <family val="2"/>
    </font>
    <font>
      <sz val="26"/>
      <color theme="1"/>
      <name val="Arial"/>
      <family val="2"/>
    </font>
    <font>
      <b/>
      <sz val="32"/>
      <color theme="1"/>
      <name val="Arial"/>
      <family val="2"/>
      <charset val="162"/>
    </font>
    <font>
      <sz val="22"/>
      <color theme="1"/>
      <name val="Arial"/>
      <family val="2"/>
    </font>
    <font>
      <b/>
      <i/>
      <sz val="11"/>
      <color theme="1"/>
      <name val="Arial"/>
      <family val="2"/>
      <charset val="162"/>
    </font>
    <font>
      <b/>
      <i/>
      <sz val="11"/>
      <name val="Arial"/>
      <family val="2"/>
      <charset val="162"/>
    </font>
    <font>
      <b/>
      <i/>
      <sz val="12"/>
      <color rgb="FFFF0000"/>
      <name val="Arial"/>
      <family val="2"/>
      <charset val="162"/>
    </font>
  </fonts>
  <fills count="30">
    <fill>
      <patternFill patternType="none"/>
    </fill>
    <fill>
      <patternFill patternType="gray125"/>
    </fill>
    <fill>
      <patternFill patternType="solid">
        <fgColor theme="3" tint="0.749992370372631"/>
        <bgColor indexed="64"/>
      </patternFill>
    </fill>
    <fill>
      <patternFill patternType="solid">
        <fgColor rgb="FFF2F2F2"/>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bgColor indexed="64"/>
      </patternFill>
    </fill>
    <fill>
      <patternFill patternType="solid">
        <fgColor rgb="FFD3E2F5"/>
        <bgColor indexed="64"/>
      </patternFill>
    </fill>
    <fill>
      <patternFill patternType="solid">
        <fgColor theme="1"/>
        <bgColor indexed="64"/>
      </patternFill>
    </fill>
    <fill>
      <patternFill patternType="solid">
        <fgColor rgb="FFDAE7F6"/>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FEB9C"/>
      </patternFill>
    </fill>
    <fill>
      <patternFill patternType="solid">
        <fgColor theme="7"/>
      </patternFill>
    </fill>
    <fill>
      <patternFill patternType="solid">
        <fgColor rgb="FF00B050"/>
        <bgColor indexed="64"/>
      </patternFill>
    </fill>
    <fill>
      <patternFill patternType="solid">
        <fgColor theme="0" tint="-0.34998626667073579"/>
        <bgColor indexed="64"/>
      </patternFill>
    </fill>
    <fill>
      <patternFill patternType="solid">
        <fgColor theme="2" tint="-9.9978637043366805E-2"/>
        <bgColor indexed="64"/>
      </patternFill>
    </fill>
  </fills>
  <borders count="94">
    <border>
      <left/>
      <right/>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dotted">
        <color indexed="64"/>
      </right>
      <top/>
      <bottom/>
      <diagonal/>
    </border>
    <border>
      <left style="dotted">
        <color indexed="64"/>
      </left>
      <right style="dotted">
        <color indexed="64"/>
      </right>
      <top style="thin">
        <color indexed="64"/>
      </top>
      <bottom style="dotted">
        <color indexed="64"/>
      </bottom>
      <diagonal/>
    </border>
    <border>
      <left/>
      <right style="dotted">
        <color indexed="64"/>
      </right>
      <top style="thin">
        <color indexed="64"/>
      </top>
      <bottom style="dotted">
        <color indexed="64"/>
      </bottom>
      <diagonal/>
    </border>
    <border>
      <left/>
      <right/>
      <top style="thin">
        <color indexed="64"/>
      </top>
      <bottom style="dotted">
        <color indexed="64"/>
      </bottom>
      <diagonal/>
    </border>
    <border>
      <left style="medium">
        <color indexed="64"/>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style="double">
        <color indexed="64"/>
      </top>
      <bottom style="thin">
        <color indexed="64"/>
      </bottom>
      <diagonal/>
    </border>
    <border>
      <left style="thin">
        <color indexed="64"/>
      </left>
      <right/>
      <top style="double">
        <color indexed="64"/>
      </top>
      <bottom/>
      <diagonal/>
    </border>
    <border>
      <left/>
      <right/>
      <top style="double">
        <color indexed="64"/>
      </top>
      <bottom/>
      <diagonal/>
    </border>
    <border>
      <left/>
      <right/>
      <top/>
      <bottom style="double">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hair">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indexed="64"/>
      </right>
      <top style="double">
        <color indexed="64"/>
      </top>
      <bottom/>
      <diagonal/>
    </border>
    <border>
      <left style="thin">
        <color rgb="FFC00000"/>
      </left>
      <right style="thin">
        <color rgb="FFC00000"/>
      </right>
      <top style="thin">
        <color rgb="FFC00000"/>
      </top>
      <bottom style="thin">
        <color rgb="FFC00000"/>
      </bottom>
      <diagonal/>
    </border>
    <border>
      <left style="thin">
        <color rgb="FFC00000"/>
      </left>
      <right/>
      <top/>
      <bottom/>
      <diagonal/>
    </border>
    <border>
      <left style="thin">
        <color rgb="FFC00000"/>
      </left>
      <right/>
      <top/>
      <bottom style="thin">
        <color rgb="FFC00000"/>
      </bottom>
      <diagonal/>
    </border>
    <border>
      <left/>
      <right style="thin">
        <color rgb="FFC00000"/>
      </right>
      <top style="thin">
        <color rgb="FFC00000"/>
      </top>
      <bottom style="thin">
        <color rgb="FFC00000"/>
      </bottom>
      <diagonal/>
    </border>
    <border>
      <left style="thin">
        <color rgb="FFC00000"/>
      </left>
      <right/>
      <top style="thin">
        <color rgb="FFC00000"/>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thin">
        <color rgb="FFC00000"/>
      </left>
      <right/>
      <top style="thin">
        <color rgb="FFC00000"/>
      </top>
      <bottom/>
      <diagonal/>
    </border>
    <border>
      <left/>
      <right style="thin">
        <color rgb="FFC00000"/>
      </right>
      <top style="thin">
        <color rgb="FFC00000"/>
      </top>
      <bottom/>
      <diagonal/>
    </border>
    <border>
      <left/>
      <right style="thin">
        <color rgb="FFC00000"/>
      </right>
      <top/>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double">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medium">
        <color indexed="64"/>
      </top>
      <bottom/>
      <diagonal/>
    </border>
    <border>
      <left style="thin">
        <color theme="0"/>
      </left>
      <right/>
      <top style="thin">
        <color indexed="64"/>
      </top>
      <bottom/>
      <diagonal/>
    </border>
    <border>
      <left style="thin">
        <color theme="0"/>
      </left>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theme="0"/>
      </left>
      <right/>
      <top/>
      <bottom style="thin">
        <color theme="0"/>
      </bottom>
      <diagonal/>
    </border>
    <border>
      <left style="thin">
        <color theme="0"/>
      </left>
      <right style="thin">
        <color theme="0"/>
      </right>
      <top/>
      <bottom style="thin">
        <color theme="0"/>
      </bottom>
      <diagonal/>
    </border>
    <border>
      <left/>
      <right style="thin">
        <color indexed="64"/>
      </right>
      <top style="medium">
        <color indexed="64"/>
      </top>
      <bottom style="medium">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style="double">
        <color indexed="64"/>
      </top>
      <bottom style="double">
        <color indexed="64"/>
      </bottom>
      <diagonal/>
    </border>
  </borders>
  <cellStyleXfs count="9">
    <xf numFmtId="0" fontId="0" fillId="0" borderId="0"/>
    <xf numFmtId="0" fontId="4" fillId="0" borderId="0"/>
    <xf numFmtId="0" fontId="5" fillId="0" borderId="0"/>
    <xf numFmtId="0" fontId="6" fillId="3" borderId="3" applyNumberFormat="0" applyAlignment="0" applyProtection="0"/>
    <xf numFmtId="0" fontId="11" fillId="0" borderId="0" applyNumberFormat="0" applyFill="0" applyBorder="0" applyAlignment="0" applyProtection="0"/>
    <xf numFmtId="164" fontId="24" fillId="0" borderId="0" applyFont="0" applyFill="0" applyBorder="0" applyAlignment="0" applyProtection="0"/>
    <xf numFmtId="0" fontId="19" fillId="0" borderId="0"/>
    <xf numFmtId="0" fontId="47" fillId="25" borderId="0" applyNumberFormat="0" applyBorder="0" applyAlignment="0" applyProtection="0"/>
    <xf numFmtId="0" fontId="9" fillId="26" borderId="0" applyNumberFormat="0" applyBorder="0" applyAlignment="0" applyProtection="0"/>
  </cellStyleXfs>
  <cellXfs count="669">
    <xf numFmtId="0" fontId="0" fillId="0" borderId="0" xfId="0"/>
    <xf numFmtId="0" fontId="0" fillId="2" borderId="0" xfId="0" applyFill="1"/>
    <xf numFmtId="0" fontId="2" fillId="2" borderId="0" xfId="0" applyFont="1" applyFill="1"/>
    <xf numFmtId="0" fontId="0" fillId="0" borderId="0" xfId="0" applyAlignment="1">
      <alignment horizontal="center" vertical="center"/>
    </xf>
    <xf numFmtId="0" fontId="0" fillId="0" borderId="0" xfId="0" applyAlignment="1">
      <alignment wrapText="1"/>
    </xf>
    <xf numFmtId="0" fontId="3" fillId="4" borderId="2" xfId="0" applyFont="1" applyFill="1" applyBorder="1" applyAlignment="1">
      <alignment horizontal="center" vertical="center" wrapText="1"/>
    </xf>
    <xf numFmtId="0" fontId="4" fillId="0" borderId="0" xfId="1" applyAlignment="1">
      <alignment horizontal="left"/>
    </xf>
    <xf numFmtId="0" fontId="1" fillId="0" borderId="0" xfId="0" applyFont="1" applyAlignment="1">
      <alignment wrapText="1"/>
    </xf>
    <xf numFmtId="0" fontId="7" fillId="0" borderId="2" xfId="0" applyFont="1" applyBorder="1" applyAlignment="1">
      <alignment wrapText="1"/>
    </xf>
    <xf numFmtId="0" fontId="7" fillId="0" borderId="0" xfId="0" applyFont="1" applyAlignment="1">
      <alignment wrapText="1"/>
    </xf>
    <xf numFmtId="0" fontId="2" fillId="2" borderId="0" xfId="0" applyFont="1" applyFill="1" applyAlignment="1">
      <alignment horizontal="center" vertical="center"/>
    </xf>
    <xf numFmtId="0" fontId="7" fillId="0" borderId="0" xfId="0" applyFont="1" applyAlignment="1">
      <alignment horizontal="center" vertical="center" wrapText="1"/>
    </xf>
    <xf numFmtId="0" fontId="4" fillId="0" borderId="0" xfId="1"/>
    <xf numFmtId="0" fontId="4" fillId="0" borderId="2" xfId="1" applyBorder="1" applyAlignment="1">
      <alignment horizontal="center"/>
    </xf>
    <xf numFmtId="0" fontId="4" fillId="0" borderId="2" xfId="1" applyBorder="1"/>
    <xf numFmtId="0" fontId="0" fillId="0" borderId="0" xfId="0" applyAlignment="1">
      <alignment vertical="center"/>
    </xf>
    <xf numFmtId="0" fontId="0" fillId="0" borderId="0" xfId="0" applyAlignment="1">
      <alignment horizontal="right"/>
    </xf>
    <xf numFmtId="0" fontId="10" fillId="0" borderId="41" xfId="1" applyFont="1" applyBorder="1" applyAlignment="1">
      <alignment horizontal="center"/>
    </xf>
    <xf numFmtId="0" fontId="10" fillId="0" borderId="42" xfId="1" applyFont="1" applyBorder="1"/>
    <xf numFmtId="0" fontId="13" fillId="0" borderId="43" xfId="1" applyFont="1" applyBorder="1"/>
    <xf numFmtId="0" fontId="14" fillId="0" borderId="43" xfId="1" applyFont="1" applyBorder="1"/>
    <xf numFmtId="0" fontId="10" fillId="0" borderId="43" xfId="1" applyFont="1" applyBorder="1"/>
    <xf numFmtId="0" fontId="10" fillId="0" borderId="2" xfId="1" applyFont="1" applyBorder="1"/>
    <xf numFmtId="1" fontId="0" fillId="0" borderId="0" xfId="0" applyNumberFormat="1" applyAlignment="1">
      <alignment wrapText="1"/>
    </xf>
    <xf numFmtId="0" fontId="16" fillId="0" borderId="0" xfId="0" applyFont="1" applyAlignment="1">
      <alignment vertical="center" wrapText="1"/>
    </xf>
    <xf numFmtId="0" fontId="3" fillId="4" borderId="24" xfId="0" applyFont="1" applyFill="1" applyBorder="1" applyAlignment="1">
      <alignment horizontal="center" vertical="center" wrapText="1"/>
    </xf>
    <xf numFmtId="0" fontId="0" fillId="0" borderId="0" xfId="0" pivotButton="1"/>
    <xf numFmtId="0" fontId="20" fillId="0" borderId="0" xfId="0" applyFont="1" applyAlignment="1">
      <alignment wrapText="1"/>
    </xf>
    <xf numFmtId="0" fontId="21" fillId="2" borderId="0" xfId="0" applyFont="1" applyFill="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vertical="center" wrapText="1"/>
    </xf>
    <xf numFmtId="0" fontId="21" fillId="0" borderId="2" xfId="0" applyFont="1" applyBorder="1" applyAlignment="1">
      <alignment horizontal="center" vertical="center" wrapText="1"/>
    </xf>
    <xf numFmtId="0" fontId="23" fillId="0" borderId="0" xfId="0" applyFont="1" applyAlignment="1">
      <alignment horizontal="center" vertical="center" wrapText="1"/>
    </xf>
    <xf numFmtId="0" fontId="23" fillId="16" borderId="0" xfId="0" applyFont="1" applyFill="1" applyAlignment="1">
      <alignment horizontal="center" vertical="center" wrapText="1"/>
    </xf>
    <xf numFmtId="165" fontId="21" fillId="0" borderId="0" xfId="0" applyNumberFormat="1" applyFont="1" applyAlignment="1">
      <alignment horizontal="center" vertical="center" wrapText="1"/>
    </xf>
    <xf numFmtId="167" fontId="21" fillId="0" borderId="0" xfId="0" applyNumberFormat="1" applyFont="1" applyAlignment="1">
      <alignment horizontal="center" vertical="center"/>
    </xf>
    <xf numFmtId="167" fontId="21" fillId="0" borderId="0" xfId="0" applyNumberFormat="1" applyFont="1" applyAlignment="1">
      <alignment horizontal="center" vertical="center" wrapText="1"/>
    </xf>
    <xf numFmtId="167" fontId="0" fillId="0" borderId="0" xfId="0" applyNumberFormat="1"/>
    <xf numFmtId="167" fontId="0" fillId="0" borderId="0" xfId="0" applyNumberFormat="1" applyAlignment="1">
      <alignment wrapText="1"/>
    </xf>
    <xf numFmtId="168" fontId="21" fillId="0" borderId="0" xfId="0" applyNumberFormat="1" applyFont="1" applyAlignment="1">
      <alignment horizontal="center" vertical="center"/>
    </xf>
    <xf numFmtId="0" fontId="21" fillId="0" borderId="37" xfId="0" applyFont="1" applyBorder="1" applyAlignment="1">
      <alignment horizontal="center" vertical="center" wrapText="1"/>
    </xf>
    <xf numFmtId="0" fontId="21" fillId="2" borderId="2" xfId="0" applyFont="1" applyFill="1" applyBorder="1" applyAlignment="1">
      <alignment horizontal="center" vertical="center" wrapText="1"/>
    </xf>
    <xf numFmtId="167" fontId="21" fillId="2" borderId="2" xfId="0" applyNumberFormat="1" applyFont="1" applyFill="1" applyBorder="1" applyAlignment="1">
      <alignment horizontal="center" vertical="center" wrapText="1"/>
    </xf>
    <xf numFmtId="0" fontId="21" fillId="2" borderId="2" xfId="0" applyFont="1" applyFill="1" applyBorder="1" applyAlignment="1">
      <alignment horizontal="center" vertical="center"/>
    </xf>
    <xf numFmtId="0" fontId="21" fillId="13" borderId="2" xfId="0" applyFont="1" applyFill="1" applyBorder="1" applyAlignment="1">
      <alignment horizontal="center" vertical="center" wrapText="1"/>
    </xf>
    <xf numFmtId="0" fontId="21" fillId="14" borderId="2" xfId="0" applyFont="1" applyFill="1" applyBorder="1" applyAlignment="1">
      <alignment horizontal="center" vertical="center" wrapText="1"/>
    </xf>
    <xf numFmtId="167" fontId="0" fillId="0" borderId="0" xfId="5" applyNumberFormat="1" applyFont="1" applyAlignment="1">
      <alignment wrapText="1"/>
    </xf>
    <xf numFmtId="0" fontId="21" fillId="17" borderId="2" xfId="0" applyFont="1" applyFill="1" applyBorder="1" applyAlignment="1">
      <alignment horizontal="center" vertical="center" wrapText="1"/>
    </xf>
    <xf numFmtId="0" fontId="21" fillId="18" borderId="37" xfId="0" applyFont="1" applyFill="1" applyBorder="1" applyAlignment="1">
      <alignment horizontal="center" vertical="center" wrapText="1"/>
    </xf>
    <xf numFmtId="0" fontId="21" fillId="18" borderId="2" xfId="0" applyFont="1" applyFill="1" applyBorder="1" applyAlignment="1">
      <alignment horizontal="center" vertical="center" wrapText="1"/>
    </xf>
    <xf numFmtId="0" fontId="21" fillId="19" borderId="2" xfId="0" applyFont="1" applyFill="1" applyBorder="1" applyAlignment="1">
      <alignment horizontal="center" vertical="center" wrapText="1"/>
    </xf>
    <xf numFmtId="0" fontId="21" fillId="20" borderId="2" xfId="0" applyFont="1" applyFill="1" applyBorder="1" applyAlignment="1">
      <alignment horizontal="center" vertical="center" wrapText="1"/>
    </xf>
    <xf numFmtId="2" fontId="0" fillId="0" borderId="0" xfId="5" applyNumberFormat="1" applyFont="1" applyAlignment="1">
      <alignment wrapText="1"/>
    </xf>
    <xf numFmtId="0" fontId="7" fillId="16" borderId="0" xfId="0" applyFont="1" applyFill="1" applyAlignment="1">
      <alignment wrapText="1"/>
    </xf>
    <xf numFmtId="167" fontId="0" fillId="21" borderId="0" xfId="0" applyNumberFormat="1" applyFill="1"/>
    <xf numFmtId="0" fontId="25" fillId="21" borderId="0" xfId="0" applyFont="1" applyFill="1"/>
    <xf numFmtId="167" fontId="12" fillId="22" borderId="0" xfId="0" applyNumberFormat="1" applyFont="1" applyFill="1"/>
    <xf numFmtId="2" fontId="0" fillId="0" borderId="0" xfId="0" applyNumberFormat="1"/>
    <xf numFmtId="2" fontId="21" fillId="0" borderId="0" xfId="0" applyNumberFormat="1" applyFont="1" applyAlignment="1">
      <alignment horizontal="center" vertical="center"/>
    </xf>
    <xf numFmtId="0" fontId="21" fillId="22" borderId="2" xfId="0" applyFont="1" applyFill="1" applyBorder="1" applyAlignment="1">
      <alignment horizontal="center" vertical="center" wrapText="1"/>
    </xf>
    <xf numFmtId="0" fontId="7" fillId="16" borderId="0" xfId="0" applyFont="1" applyFill="1" applyAlignment="1">
      <alignment horizontal="center" vertical="center" wrapText="1"/>
    </xf>
    <xf numFmtId="0" fontId="21" fillId="0" borderId="0" xfId="0" applyFont="1" applyAlignment="1">
      <alignment horizontal="left" vertical="top" wrapText="1"/>
    </xf>
    <xf numFmtId="0" fontId="0" fillId="12" borderId="0" xfId="0" applyFill="1"/>
    <xf numFmtId="167" fontId="7" fillId="0" borderId="0" xfId="0" applyNumberFormat="1" applyFont="1" applyAlignment="1">
      <alignment wrapText="1"/>
    </xf>
    <xf numFmtId="0" fontId="27" fillId="24" borderId="0" xfId="0" applyFont="1" applyFill="1"/>
    <xf numFmtId="0" fontId="0" fillId="24" borderId="0" xfId="0" applyFill="1"/>
    <xf numFmtId="0" fontId="26" fillId="2" borderId="2" xfId="0" applyFont="1" applyFill="1" applyBorder="1"/>
    <xf numFmtId="0" fontId="0" fillId="0" borderId="2" xfId="0" applyBorder="1"/>
    <xf numFmtId="0" fontId="26" fillId="2" borderId="2" xfId="0" applyFont="1" applyFill="1" applyBorder="1" applyAlignment="1">
      <alignment horizontal="center" vertical="center"/>
    </xf>
    <xf numFmtId="167" fontId="0" fillId="0" borderId="2" xfId="0" applyNumberFormat="1" applyBorder="1" applyAlignment="1">
      <alignment horizontal="center" vertical="center"/>
    </xf>
    <xf numFmtId="0" fontId="0" fillId="0" borderId="2" xfId="0" applyBorder="1" applyAlignment="1">
      <alignment horizontal="center" vertical="center"/>
    </xf>
    <xf numFmtId="167" fontId="28" fillId="24" borderId="0" xfId="0" applyNumberFormat="1" applyFont="1" applyFill="1"/>
    <xf numFmtId="0" fontId="28" fillId="24" borderId="0" xfId="0" applyFont="1" applyFill="1"/>
    <xf numFmtId="0" fontId="29" fillId="0" borderId="0" xfId="0" applyFont="1" applyAlignment="1">
      <alignment horizontal="center" vertical="center"/>
    </xf>
    <xf numFmtId="169" fontId="0" fillId="24" borderId="0" xfId="0" applyNumberFormat="1" applyFill="1"/>
    <xf numFmtId="169" fontId="26" fillId="2" borderId="2" xfId="0" applyNumberFormat="1" applyFont="1" applyFill="1" applyBorder="1" applyAlignment="1">
      <alignment horizontal="center" vertical="center"/>
    </xf>
    <xf numFmtId="169" fontId="0" fillId="0" borderId="2" xfId="0" applyNumberFormat="1" applyBorder="1" applyAlignment="1">
      <alignment horizontal="center" vertical="center"/>
    </xf>
    <xf numFmtId="169" fontId="0" fillId="0" borderId="0" xfId="0" applyNumberFormat="1"/>
    <xf numFmtId="0" fontId="0" fillId="0" borderId="0" xfId="0" pivotButton="1" applyAlignment="1">
      <alignment horizontal="left" vertical="top"/>
    </xf>
    <xf numFmtId="0" fontId="0" fillId="0" borderId="0" xfId="0" applyAlignment="1">
      <alignment horizontal="left" vertical="top"/>
    </xf>
    <xf numFmtId="0" fontId="21" fillId="16" borderId="0" xfId="0" applyFont="1" applyFill="1" applyAlignment="1">
      <alignment horizontal="center" vertical="center"/>
    </xf>
    <xf numFmtId="0" fontId="26" fillId="0" borderId="0" xfId="0" applyFont="1" applyAlignment="1">
      <alignment horizontal="center" vertical="center"/>
    </xf>
    <xf numFmtId="0" fontId="29" fillId="0" borderId="2" xfId="0" applyFont="1" applyBorder="1" applyAlignment="1">
      <alignment horizontal="center" vertical="center"/>
    </xf>
    <xf numFmtId="0" fontId="26" fillId="2" borderId="24" xfId="0" applyFont="1" applyFill="1" applyBorder="1" applyAlignment="1">
      <alignment horizontal="center" vertical="center"/>
    </xf>
    <xf numFmtId="0" fontId="0" fillId="6" borderId="0" xfId="0" applyFill="1"/>
    <xf numFmtId="0" fontId="0" fillId="16" borderId="0" xfId="0" applyFill="1"/>
    <xf numFmtId="0" fontId="31" fillId="9" borderId="9" xfId="0" applyFont="1" applyFill="1" applyBorder="1" applyAlignment="1">
      <alignment horizontal="left" vertical="center"/>
    </xf>
    <xf numFmtId="0" fontId="33" fillId="0" borderId="0" xfId="0" applyFont="1"/>
    <xf numFmtId="0" fontId="34" fillId="0" borderId="0" xfId="0" applyFont="1"/>
    <xf numFmtId="0" fontId="35" fillId="9" borderId="9" xfId="0" applyFont="1" applyFill="1" applyBorder="1" applyAlignment="1">
      <alignment horizontal="left" vertical="center"/>
    </xf>
    <xf numFmtId="0" fontId="33" fillId="0" borderId="8" xfId="1" applyFont="1" applyBorder="1"/>
    <xf numFmtId="0" fontId="36" fillId="14" borderId="0" xfId="0" applyFont="1" applyFill="1" applyAlignment="1">
      <alignment horizontal="right" vertical="center"/>
    </xf>
    <xf numFmtId="0" fontId="33" fillId="0" borderId="0" xfId="0" applyFont="1" applyAlignment="1">
      <alignment horizontal="right"/>
    </xf>
    <xf numFmtId="0" fontId="33" fillId="0" borderId="7" xfId="0" applyFont="1" applyBorder="1"/>
    <xf numFmtId="0" fontId="33" fillId="0" borderId="8" xfId="0" applyFont="1" applyBorder="1"/>
    <xf numFmtId="0" fontId="33" fillId="0" borderId="0" xfId="1" applyFont="1"/>
    <xf numFmtId="0" fontId="34" fillId="0" borderId="16" xfId="0" applyFont="1" applyBorder="1" applyAlignment="1">
      <alignment horizontal="center"/>
    </xf>
    <xf numFmtId="0" fontId="34" fillId="0" borderId="0" xfId="0" applyFont="1" applyAlignment="1">
      <alignment horizontal="center" vertical="center"/>
    </xf>
    <xf numFmtId="0" fontId="33" fillId="0" borderId="0" xfId="0" applyFont="1" applyAlignment="1">
      <alignment horizontal="center" vertical="center"/>
    </xf>
    <xf numFmtId="0" fontId="33" fillId="6" borderId="40" xfId="0" applyFont="1" applyFill="1" applyBorder="1"/>
    <xf numFmtId="0" fontId="33" fillId="6" borderId="17" xfId="0" applyFont="1" applyFill="1" applyBorder="1" applyAlignment="1">
      <alignment horizontal="center" vertical="center"/>
    </xf>
    <xf numFmtId="0" fontId="40" fillId="0" borderId="7" xfId="0" applyFont="1" applyBorder="1" applyAlignment="1">
      <alignment horizontal="left" vertical="center"/>
    </xf>
    <xf numFmtId="0" fontId="33" fillId="6" borderId="60" xfId="0" applyFont="1" applyFill="1" applyBorder="1"/>
    <xf numFmtId="0" fontId="33" fillId="6" borderId="60" xfId="1" applyFont="1" applyFill="1" applyBorder="1"/>
    <xf numFmtId="0" fontId="42" fillId="0" borderId="0" xfId="0" applyFont="1" applyAlignment="1">
      <alignment horizontal="center" vertical="center"/>
    </xf>
    <xf numFmtId="0" fontId="33" fillId="6" borderId="61" xfId="0" applyFont="1" applyFill="1" applyBorder="1"/>
    <xf numFmtId="0" fontId="34" fillId="6" borderId="61" xfId="0" applyFont="1" applyFill="1" applyBorder="1" applyAlignment="1">
      <alignment horizontal="center"/>
    </xf>
    <xf numFmtId="0" fontId="42" fillId="6" borderId="61" xfId="0" applyFont="1" applyFill="1" applyBorder="1" applyAlignment="1">
      <alignment horizontal="center" vertical="center" wrapText="1"/>
    </xf>
    <xf numFmtId="0" fontId="34" fillId="0" borderId="7" xfId="0" applyFont="1" applyBorder="1" applyAlignment="1">
      <alignment horizontal="left" vertical="center"/>
    </xf>
    <xf numFmtId="0" fontId="33" fillId="0" borderId="0" xfId="0" applyFont="1" applyAlignment="1">
      <alignment vertical="center"/>
    </xf>
    <xf numFmtId="0" fontId="44" fillId="0" borderId="0" xfId="0" applyFont="1" applyAlignment="1">
      <alignment horizontal="center" vertical="center"/>
    </xf>
    <xf numFmtId="0" fontId="33" fillId="0" borderId="0" xfId="1" applyFont="1" applyAlignment="1">
      <alignment vertical="center"/>
    </xf>
    <xf numFmtId="0" fontId="33" fillId="6" borderId="61" xfId="1" applyFont="1" applyFill="1" applyBorder="1"/>
    <xf numFmtId="0" fontId="33" fillId="0" borderId="45" xfId="0" applyFont="1" applyBorder="1" applyAlignment="1">
      <alignment vertical="center"/>
    </xf>
    <xf numFmtId="0" fontId="33" fillId="0" borderId="59" xfId="0" applyFont="1" applyBorder="1" applyAlignment="1">
      <alignment vertical="center"/>
    </xf>
    <xf numFmtId="0" fontId="33" fillId="6" borderId="61" xfId="0" applyFont="1" applyFill="1" applyBorder="1" applyAlignment="1">
      <alignment horizontal="center" vertical="center" wrapText="1"/>
    </xf>
    <xf numFmtId="0" fontId="42" fillId="0" borderId="0" xfId="0" applyFont="1" applyAlignment="1">
      <alignment vertical="center" wrapText="1"/>
    </xf>
    <xf numFmtId="0" fontId="33" fillId="0" borderId="7" xfId="1" applyFont="1" applyBorder="1" applyAlignment="1">
      <alignment horizontal="left" vertical="center"/>
    </xf>
    <xf numFmtId="0" fontId="42" fillId="6" borderId="61" xfId="0" applyFont="1" applyFill="1" applyBorder="1" applyAlignment="1">
      <alignment horizontal="center" vertical="top"/>
    </xf>
    <xf numFmtId="0" fontId="33" fillId="6" borderId="62" xfId="0" applyFont="1" applyFill="1" applyBorder="1"/>
    <xf numFmtId="0" fontId="33" fillId="0" borderId="6" xfId="0" applyFont="1" applyBorder="1"/>
    <xf numFmtId="0" fontId="33" fillId="0" borderId="5" xfId="0" applyFont="1" applyBorder="1"/>
    <xf numFmtId="0" fontId="33" fillId="0" borderId="4" xfId="0" applyFont="1" applyBorder="1"/>
    <xf numFmtId="0" fontId="39" fillId="0" borderId="0" xfId="0" applyFont="1" applyAlignment="1">
      <alignment horizontal="right" vertical="center"/>
    </xf>
    <xf numFmtId="0" fontId="33" fillId="9" borderId="0" xfId="0" applyFont="1" applyFill="1"/>
    <xf numFmtId="0" fontId="34" fillId="9" borderId="0" xfId="0" applyFont="1" applyFill="1"/>
    <xf numFmtId="0" fontId="46" fillId="0" borderId="0" xfId="0" applyFont="1"/>
    <xf numFmtId="0" fontId="44" fillId="0" borderId="0" xfId="0" applyFont="1"/>
    <xf numFmtId="0" fontId="45" fillId="0" borderId="0" xfId="0" applyFont="1"/>
    <xf numFmtId="0" fontId="34" fillId="6" borderId="17" xfId="0" applyFont="1" applyFill="1" applyBorder="1" applyAlignment="1">
      <alignment horizontal="center" vertical="center"/>
    </xf>
    <xf numFmtId="0" fontId="48" fillId="9" borderId="65" xfId="0" applyFont="1" applyFill="1" applyBorder="1" applyAlignment="1">
      <alignment horizontal="center" vertical="center"/>
    </xf>
    <xf numFmtId="0" fontId="33" fillId="0" borderId="0" xfId="0" applyFont="1" applyAlignment="1">
      <alignment horizontal="center" vertical="center" wrapText="1"/>
    </xf>
    <xf numFmtId="0" fontId="33" fillId="0" borderId="8" xfId="0" applyFont="1" applyBorder="1" applyAlignment="1">
      <alignment horizontal="center" vertical="center"/>
    </xf>
    <xf numFmtId="0" fontId="33" fillId="6" borderId="61" xfId="0" applyFont="1" applyFill="1" applyBorder="1" applyAlignment="1">
      <alignment horizontal="center" vertical="center"/>
    </xf>
    <xf numFmtId="0" fontId="33" fillId="6" borderId="63" xfId="0" applyFont="1" applyFill="1" applyBorder="1" applyAlignment="1">
      <alignment horizontal="center" vertical="center"/>
    </xf>
    <xf numFmtId="0" fontId="33" fillId="6" borderId="40" xfId="0" applyFont="1" applyFill="1" applyBorder="1" applyAlignment="1">
      <alignment horizontal="center" vertical="center"/>
    </xf>
    <xf numFmtId="0" fontId="33" fillId="6" borderId="39" xfId="0" applyFont="1" applyFill="1" applyBorder="1" applyAlignment="1">
      <alignment horizontal="center" vertical="center"/>
    </xf>
    <xf numFmtId="0" fontId="33" fillId="6" borderId="38" xfId="0" applyFont="1" applyFill="1" applyBorder="1" applyAlignment="1">
      <alignment horizontal="center" vertical="center"/>
    </xf>
    <xf numFmtId="0" fontId="12" fillId="4" borderId="0" xfId="0" applyFont="1" applyFill="1" applyAlignment="1">
      <alignment horizontal="center" vertical="center"/>
    </xf>
    <xf numFmtId="0" fontId="12" fillId="4" borderId="0" xfId="0" quotePrefix="1" applyFont="1" applyFill="1" applyAlignment="1">
      <alignment horizontal="center"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0" fillId="0" borderId="0" xfId="0" applyAlignment="1">
      <alignment horizontal="center"/>
    </xf>
    <xf numFmtId="0" fontId="33" fillId="0" borderId="0" xfId="0" applyFont="1" applyAlignment="1" applyProtection="1">
      <alignment horizontal="center" vertical="center"/>
      <protection locked="0"/>
    </xf>
    <xf numFmtId="0" fontId="33" fillId="0" borderId="0" xfId="0" applyFont="1" applyProtection="1">
      <protection locked="0"/>
    </xf>
    <xf numFmtId="0" fontId="0" fillId="0" borderId="0" xfId="0" applyProtection="1">
      <protection locked="0"/>
    </xf>
    <xf numFmtId="0" fontId="33" fillId="0" borderId="0" xfId="0" applyFont="1" applyAlignment="1" applyProtection="1">
      <alignment wrapText="1"/>
      <protection locked="0"/>
    </xf>
    <xf numFmtId="14" fontId="33" fillId="0" borderId="0" xfId="0" applyNumberFormat="1" applyFont="1" applyAlignment="1" applyProtection="1">
      <alignment horizontal="center" vertical="center"/>
      <protection locked="0"/>
    </xf>
    <xf numFmtId="0" fontId="34" fillId="4" borderId="2" xfId="0" applyFont="1" applyFill="1" applyBorder="1" applyAlignment="1">
      <alignment horizontal="center" vertical="center" wrapText="1"/>
    </xf>
    <xf numFmtId="0" fontId="11" fillId="0" borderId="0" xfId="4"/>
    <xf numFmtId="0" fontId="43" fillId="0" borderId="0" xfId="0" applyFont="1" applyAlignment="1">
      <alignment horizontal="center"/>
    </xf>
    <xf numFmtId="167" fontId="21" fillId="0" borderId="0" xfId="5" applyNumberFormat="1" applyFont="1" applyAlignment="1">
      <alignment horizontal="center" vertical="center"/>
    </xf>
    <xf numFmtId="167" fontId="21" fillId="15" borderId="0" xfId="5" applyNumberFormat="1" applyFont="1" applyFill="1" applyAlignment="1">
      <alignment horizontal="center" vertical="center"/>
    </xf>
    <xf numFmtId="0" fontId="43" fillId="0" borderId="0" xfId="1" applyFont="1"/>
    <xf numFmtId="0" fontId="33" fillId="0" borderId="0" xfId="1" applyFont="1" applyAlignment="1">
      <alignment horizontal="center"/>
    </xf>
    <xf numFmtId="0" fontId="43" fillId="0" borderId="0" xfId="1" applyFont="1" applyAlignment="1">
      <alignment vertical="center"/>
    </xf>
    <xf numFmtId="0" fontId="33" fillId="0" borderId="55" xfId="1" applyFont="1" applyBorder="1"/>
    <xf numFmtId="0" fontId="33" fillId="0" borderId="7" xfId="1" applyFont="1" applyBorder="1" applyAlignment="1">
      <alignment horizontal="center" vertical="center"/>
    </xf>
    <xf numFmtId="0" fontId="33" fillId="0" borderId="7" xfId="1" applyFont="1" applyBorder="1"/>
    <xf numFmtId="0" fontId="33" fillId="0" borderId="13" xfId="1" applyFont="1" applyBorder="1"/>
    <xf numFmtId="0" fontId="33" fillId="0" borderId="7" xfId="1" applyFont="1" applyBorder="1" applyAlignment="1">
      <alignment horizontal="left"/>
    </xf>
    <xf numFmtId="0" fontId="44" fillId="0" borderId="0" xfId="1" applyFont="1" applyAlignment="1">
      <alignment horizontal="center"/>
    </xf>
    <xf numFmtId="0" fontId="33" fillId="7" borderId="0" xfId="1" applyFont="1" applyFill="1" applyAlignment="1">
      <alignment horizontal="center" vertical="center"/>
    </xf>
    <xf numFmtId="0" fontId="34" fillId="10" borderId="37" xfId="1" applyFont="1" applyFill="1" applyBorder="1" applyAlignment="1">
      <alignment horizontal="center" vertical="center"/>
    </xf>
    <xf numFmtId="0" fontId="34" fillId="10" borderId="4" xfId="1" applyFont="1" applyFill="1" applyBorder="1" applyAlignment="1">
      <alignment horizontal="center" vertical="center"/>
    </xf>
    <xf numFmtId="0" fontId="33" fillId="7" borderId="0" xfId="1" applyFont="1" applyFill="1" applyAlignment="1">
      <alignment vertical="center"/>
    </xf>
    <xf numFmtId="0" fontId="33" fillId="7" borderId="49" xfId="1" applyFont="1" applyFill="1" applyBorder="1" applyAlignment="1">
      <alignment horizontal="center" vertical="center" wrapText="1"/>
    </xf>
    <xf numFmtId="166" fontId="43" fillId="0" borderId="0" xfId="1" applyNumberFormat="1" applyFont="1"/>
    <xf numFmtId="0" fontId="33" fillId="6" borderId="47" xfId="1" applyFont="1" applyFill="1" applyBorder="1" applyAlignment="1">
      <alignment horizontal="center" vertical="center" wrapText="1"/>
    </xf>
    <xf numFmtId="0" fontId="42" fillId="6" borderId="47" xfId="1" applyFont="1" applyFill="1" applyBorder="1" applyAlignment="1">
      <alignment horizontal="center" vertical="center" wrapText="1"/>
    </xf>
    <xf numFmtId="0" fontId="33" fillId="7" borderId="47" xfId="1" applyFont="1" applyFill="1" applyBorder="1" applyAlignment="1">
      <alignment horizontal="center" vertical="center" wrapText="1"/>
    </xf>
    <xf numFmtId="0" fontId="42" fillId="7" borderId="47" xfId="1" applyFont="1" applyFill="1" applyBorder="1" applyAlignment="1">
      <alignment horizontal="center" vertical="center" wrapText="1"/>
    </xf>
    <xf numFmtId="0" fontId="33" fillId="6" borderId="37" xfId="1" applyFont="1" applyFill="1" applyBorder="1" applyAlignment="1">
      <alignment horizontal="center" vertical="center" wrapText="1"/>
    </xf>
    <xf numFmtId="0" fontId="43" fillId="6" borderId="37" xfId="1" applyFont="1" applyFill="1" applyBorder="1" applyAlignment="1">
      <alignment horizontal="center" vertical="center" wrapText="1"/>
    </xf>
    <xf numFmtId="0" fontId="33" fillId="7" borderId="56" xfId="1" applyFont="1" applyFill="1" applyBorder="1" applyAlignment="1">
      <alignment horizontal="center" vertical="center"/>
    </xf>
    <xf numFmtId="0" fontId="33" fillId="7" borderId="57" xfId="1" applyFont="1" applyFill="1" applyBorder="1" applyAlignment="1">
      <alignment horizontal="center" vertical="center"/>
    </xf>
    <xf numFmtId="0" fontId="33" fillId="7" borderId="57" xfId="1" applyFont="1" applyFill="1" applyBorder="1" applyAlignment="1">
      <alignment horizontal="center"/>
    </xf>
    <xf numFmtId="166" fontId="33" fillId="7" borderId="57" xfId="1" applyNumberFormat="1" applyFont="1" applyFill="1" applyBorder="1" applyAlignment="1">
      <alignment horizontal="center" vertical="center"/>
    </xf>
    <xf numFmtId="166" fontId="33" fillId="7" borderId="66" xfId="1" applyNumberFormat="1" applyFont="1" applyFill="1" applyBorder="1" applyAlignment="1">
      <alignment horizontal="center" vertical="center"/>
    </xf>
    <xf numFmtId="0" fontId="33" fillId="7" borderId="0" xfId="1" applyFont="1" applyFill="1" applyAlignment="1">
      <alignment horizontal="center"/>
    </xf>
    <xf numFmtId="166" fontId="33" fillId="23" borderId="67" xfId="1" applyNumberFormat="1" applyFont="1" applyFill="1" applyBorder="1" applyAlignment="1">
      <alignment horizontal="center" vertical="center"/>
    </xf>
    <xf numFmtId="166" fontId="33" fillId="23" borderId="70" xfId="1" applyNumberFormat="1" applyFont="1" applyFill="1" applyBorder="1" applyAlignment="1">
      <alignment horizontal="center" vertical="center"/>
    </xf>
    <xf numFmtId="166" fontId="33" fillId="23" borderId="72" xfId="1" applyNumberFormat="1" applyFont="1" applyFill="1" applyBorder="1" applyAlignment="1">
      <alignment horizontal="center" vertical="center"/>
    </xf>
    <xf numFmtId="0" fontId="43" fillId="0" borderId="0" xfId="1" applyFont="1" applyAlignment="1">
      <alignment horizontal="center" vertical="center"/>
    </xf>
    <xf numFmtId="166" fontId="33" fillId="0" borderId="0" xfId="1" applyNumberFormat="1" applyFont="1" applyAlignment="1">
      <alignment horizontal="center" vertical="center"/>
    </xf>
    <xf numFmtId="0" fontId="33" fillId="7" borderId="8" xfId="1" applyFont="1" applyFill="1" applyBorder="1" applyAlignment="1">
      <alignment horizontal="center" vertical="center"/>
    </xf>
    <xf numFmtId="0" fontId="43" fillId="7" borderId="0" xfId="1" applyFont="1" applyFill="1" applyAlignment="1">
      <alignment horizontal="center" vertical="center"/>
    </xf>
    <xf numFmtId="0" fontId="43" fillId="7" borderId="58" xfId="1" applyFont="1" applyFill="1" applyBorder="1" applyAlignment="1">
      <alignment horizontal="center" vertical="center"/>
    </xf>
    <xf numFmtId="166" fontId="33" fillId="7" borderId="58" xfId="1" applyNumberFormat="1" applyFont="1" applyFill="1" applyBorder="1" applyAlignment="1">
      <alignment horizontal="center" vertical="center"/>
    </xf>
    <xf numFmtId="166" fontId="44" fillId="8" borderId="46" xfId="1" applyNumberFormat="1" applyFont="1" applyFill="1" applyBorder="1" applyAlignment="1">
      <alignment horizontal="center" vertical="center"/>
    </xf>
    <xf numFmtId="0" fontId="33" fillId="0" borderId="0" xfId="1" applyFont="1" applyAlignment="1">
      <alignment horizontal="center" vertical="center" wrapText="1"/>
    </xf>
    <xf numFmtId="166" fontId="38" fillId="8" borderId="46" xfId="1" applyNumberFormat="1" applyFont="1" applyFill="1" applyBorder="1" applyAlignment="1">
      <alignment horizontal="center" vertical="center"/>
    </xf>
    <xf numFmtId="0" fontId="49" fillId="0" borderId="0" xfId="1" applyFont="1" applyAlignment="1">
      <alignment horizontal="center" vertical="center" textRotation="90" wrapText="1"/>
    </xf>
    <xf numFmtId="166" fontId="51" fillId="0" borderId="0" xfId="1" applyNumberFormat="1" applyFont="1"/>
    <xf numFmtId="166" fontId="34" fillId="0" borderId="0" xfId="1" applyNumberFormat="1" applyFont="1" applyAlignment="1">
      <alignment horizontal="center"/>
    </xf>
    <xf numFmtId="0" fontId="34" fillId="14" borderId="37" xfId="1" applyFont="1" applyFill="1" applyBorder="1" applyAlignment="1">
      <alignment horizontal="center" vertical="center" wrapText="1"/>
    </xf>
    <xf numFmtId="0" fontId="34" fillId="12" borderId="24" xfId="1" applyFont="1" applyFill="1" applyBorder="1" applyAlignment="1">
      <alignment horizontal="center" vertical="center" wrapText="1"/>
    </xf>
    <xf numFmtId="0" fontId="34" fillId="12" borderId="35" xfId="1" applyFont="1" applyFill="1" applyBorder="1" applyAlignment="1">
      <alignment horizontal="center" vertical="center" wrapText="1"/>
    </xf>
    <xf numFmtId="0" fontId="34" fillId="13" borderId="36" xfId="1" applyFont="1" applyFill="1" applyBorder="1" applyAlignment="1">
      <alignment horizontal="center" vertical="center" wrapText="1"/>
    </xf>
    <xf numFmtId="0" fontId="34" fillId="13" borderId="24" xfId="1" applyFont="1" applyFill="1" applyBorder="1" applyAlignment="1">
      <alignment horizontal="center" vertical="center" wrapText="1"/>
    </xf>
    <xf numFmtId="0" fontId="34" fillId="13" borderId="35" xfId="1" applyFont="1" applyFill="1" applyBorder="1" applyAlignment="1">
      <alignment horizontal="center" vertical="center" wrapText="1"/>
    </xf>
    <xf numFmtId="166" fontId="33" fillId="14" borderId="33" xfId="1" applyNumberFormat="1" applyFont="1" applyFill="1" applyBorder="1" applyAlignment="1">
      <alignment horizontal="center" vertical="center"/>
    </xf>
    <xf numFmtId="166" fontId="33" fillId="12" borderId="26" xfId="1" applyNumberFormat="1" applyFont="1" applyFill="1" applyBorder="1" applyAlignment="1">
      <alignment horizontal="center" vertical="center"/>
    </xf>
    <xf numFmtId="166" fontId="33" fillId="12" borderId="32" xfId="1" applyNumberFormat="1" applyFont="1" applyFill="1" applyBorder="1" applyAlignment="1">
      <alignment horizontal="center" vertical="center"/>
    </xf>
    <xf numFmtId="166" fontId="33" fillId="13" borderId="28" xfId="1" applyNumberFormat="1" applyFont="1" applyFill="1" applyBorder="1" applyAlignment="1">
      <alignment horizontal="center" vertical="center"/>
    </xf>
    <xf numFmtId="166" fontId="33" fillId="13" borderId="26" xfId="1" applyNumberFormat="1" applyFont="1" applyFill="1" applyBorder="1" applyAlignment="1">
      <alignment horizontal="center" vertical="center"/>
    </xf>
    <xf numFmtId="166" fontId="33" fillId="13" borderId="32" xfId="1" applyNumberFormat="1" applyFont="1" applyFill="1" applyBorder="1" applyAlignment="1">
      <alignment horizontal="center" vertical="center"/>
    </xf>
    <xf numFmtId="0" fontId="53" fillId="0" borderId="0" xfId="2" applyFont="1" applyAlignment="1">
      <alignment horizontal="center"/>
    </xf>
    <xf numFmtId="0" fontId="34" fillId="10" borderId="37" xfId="1" applyFont="1" applyFill="1" applyBorder="1" applyAlignment="1">
      <alignment horizontal="center" vertical="center" wrapText="1"/>
    </xf>
    <xf numFmtId="0" fontId="33" fillId="7" borderId="2" xfId="1" applyFont="1" applyFill="1" applyBorder="1" applyAlignment="1">
      <alignment horizontal="center" vertical="center" wrapText="1"/>
    </xf>
    <xf numFmtId="0" fontId="42" fillId="7" borderId="2" xfId="1" applyFont="1" applyFill="1" applyBorder="1" applyAlignment="1">
      <alignment horizontal="center" vertical="center" wrapText="1"/>
    </xf>
    <xf numFmtId="2" fontId="42" fillId="7" borderId="2" xfId="1" applyNumberFormat="1" applyFont="1" applyFill="1" applyBorder="1" applyAlignment="1">
      <alignment horizontal="center" vertical="center" wrapText="1"/>
    </xf>
    <xf numFmtId="0" fontId="31" fillId="9" borderId="65" xfId="0" applyFont="1" applyFill="1" applyBorder="1" applyAlignment="1">
      <alignment horizontal="center" vertical="center"/>
    </xf>
    <xf numFmtId="0" fontId="33" fillId="0" borderId="0" xfId="0" applyFont="1" applyAlignment="1">
      <alignment vertical="center" wrapText="1"/>
    </xf>
    <xf numFmtId="0" fontId="33" fillId="6" borderId="63" xfId="0" applyFont="1" applyFill="1" applyBorder="1"/>
    <xf numFmtId="0" fontId="33" fillId="6" borderId="39" xfId="0" applyFont="1" applyFill="1" applyBorder="1"/>
    <xf numFmtId="0" fontId="33" fillId="6" borderId="38" xfId="0" applyFont="1" applyFill="1" applyBorder="1"/>
    <xf numFmtId="0" fontId="43" fillId="0" borderId="0" xfId="0" applyFont="1" applyAlignment="1">
      <alignment horizontal="center" vertical="center" wrapText="1"/>
    </xf>
    <xf numFmtId="0" fontId="59" fillId="9" borderId="65" xfId="0" applyFont="1" applyFill="1" applyBorder="1" applyAlignment="1">
      <alignment horizontal="center" vertical="center"/>
    </xf>
    <xf numFmtId="0" fontId="39" fillId="0" borderId="0" xfId="0" applyFont="1"/>
    <xf numFmtId="0" fontId="60" fillId="0" borderId="0" xfId="0" applyFont="1"/>
    <xf numFmtId="0" fontId="29" fillId="27" borderId="0" xfId="0" applyFont="1" applyFill="1" applyAlignment="1">
      <alignment horizontal="center" vertical="center"/>
    </xf>
    <xf numFmtId="0" fontId="30" fillId="16" borderId="2" xfId="0" applyFont="1" applyFill="1" applyBorder="1" applyAlignment="1">
      <alignment horizontal="center" vertical="center"/>
    </xf>
    <xf numFmtId="0" fontId="26" fillId="16" borderId="0" xfId="0" applyFont="1" applyFill="1" applyAlignment="1">
      <alignment horizontal="center" vertical="center"/>
    </xf>
    <xf numFmtId="0" fontId="33" fillId="0" borderId="37" xfId="0" applyFont="1" applyBorder="1" applyAlignment="1" applyProtection="1">
      <alignment horizontal="center" vertical="center" wrapText="1"/>
      <protection locked="0"/>
    </xf>
    <xf numFmtId="0" fontId="33" fillId="0" borderId="37" xfId="0" applyFont="1" applyBorder="1" applyAlignment="1" applyProtection="1">
      <alignment horizontal="center" vertical="center"/>
      <protection locked="0"/>
    </xf>
    <xf numFmtId="0" fontId="63" fillId="0" borderId="37" xfId="0" applyFont="1" applyBorder="1" applyAlignment="1" applyProtection="1">
      <alignment horizontal="center" vertical="center" wrapText="1"/>
      <protection locked="0"/>
    </xf>
    <xf numFmtId="167" fontId="65" fillId="0" borderId="2" xfId="0" applyNumberFormat="1" applyFont="1" applyBorder="1" applyAlignment="1" applyProtection="1">
      <alignment horizontal="center" vertical="center" wrapText="1"/>
      <protection locked="0"/>
    </xf>
    <xf numFmtId="0" fontId="66" fillId="0" borderId="0" xfId="0" applyFont="1" applyAlignment="1" applyProtection="1">
      <alignment horizontal="center" vertical="center" wrapText="1"/>
      <protection locked="0"/>
    </xf>
    <xf numFmtId="9" fontId="66" fillId="26" borderId="2" xfId="8" applyNumberFormat="1" applyFont="1" applyBorder="1" applyAlignment="1" applyProtection="1">
      <alignment horizontal="center" vertical="center" wrapText="1"/>
      <protection locked="0"/>
    </xf>
    <xf numFmtId="167" fontId="64" fillId="12" borderId="37" xfId="0" applyNumberFormat="1" applyFont="1" applyFill="1" applyBorder="1" applyAlignment="1" applyProtection="1">
      <alignment horizontal="center" vertical="center" wrapText="1"/>
      <protection locked="0"/>
    </xf>
    <xf numFmtId="0" fontId="34" fillId="12" borderId="81" xfId="0" applyFont="1" applyFill="1" applyBorder="1" applyAlignment="1">
      <alignment horizontal="center" vertical="center" wrapText="1"/>
    </xf>
    <xf numFmtId="0" fontId="66" fillId="0" borderId="37" xfId="0" applyFont="1" applyBorder="1" applyAlignment="1" applyProtection="1">
      <alignment horizontal="center" vertical="center" wrapText="1"/>
      <protection locked="0"/>
    </xf>
    <xf numFmtId="0" fontId="66" fillId="0" borderId="2" xfId="0" applyFont="1" applyBorder="1" applyAlignment="1" applyProtection="1">
      <alignment horizontal="center" vertical="center" wrapText="1"/>
      <protection locked="0"/>
    </xf>
    <xf numFmtId="0" fontId="66" fillId="0" borderId="33" xfId="0" applyFont="1" applyBorder="1" applyAlignment="1" applyProtection="1">
      <alignment horizontal="center" vertical="center" wrapText="1"/>
      <protection locked="0"/>
    </xf>
    <xf numFmtId="0" fontId="34" fillId="4" borderId="83" xfId="0" applyFont="1" applyFill="1" applyBorder="1" applyAlignment="1">
      <alignment horizontal="center" vertical="center" wrapText="1"/>
    </xf>
    <xf numFmtId="0" fontId="67" fillId="0" borderId="46" xfId="0" applyFont="1" applyBorder="1" applyAlignment="1" applyProtection="1">
      <alignment horizontal="center" vertical="center" wrapText="1"/>
      <protection locked="0"/>
    </xf>
    <xf numFmtId="0" fontId="33" fillId="0" borderId="0" xfId="0" applyFont="1" applyAlignment="1">
      <alignment horizontal="center"/>
    </xf>
    <xf numFmtId="0" fontId="33" fillId="0" borderId="0" xfId="0" quotePrefix="1" applyFont="1" applyAlignment="1">
      <alignment vertical="center"/>
    </xf>
    <xf numFmtId="0" fontId="33" fillId="0" borderId="0" xfId="0" quotePrefix="1" applyFont="1"/>
    <xf numFmtId="0" fontId="33" fillId="0" borderId="0" xfId="0" quotePrefix="1" applyFont="1" applyAlignment="1">
      <alignment horizontal="right"/>
    </xf>
    <xf numFmtId="0" fontId="74" fillId="0" borderId="0" xfId="0" applyFont="1" applyAlignment="1" applyProtection="1">
      <alignment horizontal="center" vertical="top"/>
      <protection locked="0"/>
    </xf>
    <xf numFmtId="0" fontId="44" fillId="0" borderId="7" xfId="0" applyFont="1" applyBorder="1" applyAlignment="1">
      <alignment horizontal="left" vertical="center"/>
    </xf>
    <xf numFmtId="0" fontId="27" fillId="24" borderId="0" xfId="0" applyFont="1" applyFill="1" applyAlignment="1">
      <alignment horizontal="center" vertical="center"/>
    </xf>
    <xf numFmtId="1" fontId="56" fillId="0" borderId="22" xfId="0" applyNumberFormat="1" applyFont="1" applyBorder="1" applyAlignment="1">
      <alignment horizontal="center" vertical="center" wrapText="1"/>
    </xf>
    <xf numFmtId="1" fontId="56" fillId="0" borderId="80" xfId="0" applyNumberFormat="1" applyFont="1" applyBorder="1" applyAlignment="1">
      <alignment horizontal="center" vertical="center" wrapText="1"/>
    </xf>
    <xf numFmtId="1" fontId="56" fillId="0" borderId="34" xfId="0" applyNumberFormat="1" applyFont="1" applyBorder="1" applyAlignment="1">
      <alignment horizontal="center" vertical="center" wrapText="1"/>
    </xf>
    <xf numFmtId="49" fontId="56" fillId="0" borderId="22" xfId="0" applyNumberFormat="1" applyFont="1" applyBorder="1" applyAlignment="1">
      <alignment horizontal="center" vertical="center" wrapText="1"/>
    </xf>
    <xf numFmtId="0" fontId="75" fillId="0" borderId="0" xfId="1" applyFont="1" applyAlignment="1">
      <alignment horizontal="center" vertical="center"/>
    </xf>
    <xf numFmtId="0" fontId="76" fillId="0" borderId="0" xfId="1" applyFont="1" applyAlignment="1">
      <alignment horizontal="center" vertical="center"/>
    </xf>
    <xf numFmtId="0" fontId="79" fillId="0" borderId="0" xfId="1" applyFont="1" applyAlignment="1">
      <alignment shrinkToFit="1"/>
    </xf>
    <xf numFmtId="0" fontId="75" fillId="0" borderId="0" xfId="1" applyFont="1" applyAlignment="1">
      <alignment horizontal="center"/>
    </xf>
    <xf numFmtId="0" fontId="80" fillId="0" borderId="86" xfId="1" applyFont="1" applyBorder="1" applyAlignment="1">
      <alignment horizontal="center" vertical="center" shrinkToFit="1"/>
    </xf>
    <xf numFmtId="0" fontId="75" fillId="0" borderId="86" xfId="1" applyFont="1" applyBorder="1" applyAlignment="1">
      <alignment horizontal="center" vertical="center"/>
    </xf>
    <xf numFmtId="0" fontId="81" fillId="0" borderId="86" xfId="1" applyFont="1" applyBorder="1" applyAlignment="1">
      <alignment horizontal="center" vertical="center" shrinkToFit="1"/>
    </xf>
    <xf numFmtId="0" fontId="83" fillId="0" borderId="0" xfId="1" applyFont="1" applyAlignment="1">
      <alignment horizontal="center" vertical="center"/>
    </xf>
    <xf numFmtId="0" fontId="81" fillId="0" borderId="0" xfId="1" applyFont="1" applyAlignment="1">
      <alignment vertical="center"/>
    </xf>
    <xf numFmtId="0" fontId="81" fillId="0" borderId="86" xfId="1" applyFont="1" applyBorder="1" applyAlignment="1">
      <alignment vertical="center"/>
    </xf>
    <xf numFmtId="0" fontId="79" fillId="0" borderId="0" xfId="1" applyFont="1"/>
    <xf numFmtId="0" fontId="84" fillId="0" borderId="0" xfId="1" applyFont="1" applyAlignment="1">
      <alignment horizontal="left" vertical="center"/>
    </xf>
    <xf numFmtId="0" fontId="84" fillId="0" borderId="86" xfId="1" applyFont="1" applyBorder="1" applyAlignment="1">
      <alignment horizontal="left" vertical="center"/>
    </xf>
    <xf numFmtId="0" fontId="15" fillId="0" borderId="0" xfId="1" applyFont="1" applyAlignment="1">
      <alignment horizontal="left" vertical="center"/>
    </xf>
    <xf numFmtId="0" fontId="56" fillId="0" borderId="37" xfId="0" applyFont="1" applyBorder="1" applyAlignment="1" applyProtection="1">
      <alignment horizontal="center" vertical="center"/>
      <protection locked="0"/>
    </xf>
    <xf numFmtId="0" fontId="85" fillId="0" borderId="37" xfId="0" applyFont="1" applyBorder="1" applyAlignment="1" applyProtection="1">
      <alignment horizontal="center" vertical="center" wrapText="1"/>
      <protection locked="0"/>
    </xf>
    <xf numFmtId="0" fontId="72" fillId="0" borderId="37" xfId="0" applyFont="1" applyBorder="1" applyAlignment="1" applyProtection="1">
      <alignment horizontal="center" vertical="center" wrapText="1"/>
      <protection locked="0"/>
    </xf>
    <xf numFmtId="0" fontId="60" fillId="0" borderId="37" xfId="0" applyFont="1" applyBorder="1" applyAlignment="1" applyProtection="1">
      <alignment horizontal="center" vertical="center" wrapText="1"/>
      <protection locked="0"/>
    </xf>
    <xf numFmtId="0" fontId="60" fillId="0" borderId="8" xfId="0" applyFont="1" applyBorder="1"/>
    <xf numFmtId="0" fontId="60" fillId="0" borderId="0" xfId="0" quotePrefix="1" applyFont="1" applyAlignment="1">
      <alignment vertical="center"/>
    </xf>
    <xf numFmtId="0" fontId="60" fillId="0" borderId="7" xfId="0" applyFont="1" applyBorder="1"/>
    <xf numFmtId="166" fontId="33" fillId="0" borderId="0" xfId="1" applyNumberFormat="1" applyFont="1"/>
    <xf numFmtId="0" fontId="34" fillId="10" borderId="2" xfId="1" applyFont="1" applyFill="1" applyBorder="1" applyAlignment="1">
      <alignment horizontal="center" vertical="center"/>
    </xf>
    <xf numFmtId="0" fontId="52" fillId="28" borderId="7" xfId="0" applyFont="1" applyFill="1" applyBorder="1" applyAlignment="1">
      <alignment horizontal="center" vertical="center" wrapText="1"/>
    </xf>
    <xf numFmtId="0" fontId="33" fillId="0" borderId="0" xfId="1" applyFont="1" applyAlignment="1">
      <alignment horizontal="center" vertical="center"/>
    </xf>
    <xf numFmtId="0" fontId="61" fillId="25" borderId="2" xfId="7" applyFont="1" applyBorder="1" applyAlignment="1" applyProtection="1">
      <alignment horizontal="center" vertical="center" wrapText="1"/>
      <protection locked="0"/>
    </xf>
    <xf numFmtId="0" fontId="74" fillId="25" borderId="2" xfId="7" applyNumberFormat="1" applyFont="1" applyBorder="1" applyAlignment="1" applyProtection="1">
      <alignment horizontal="center" vertical="center" wrapText="1"/>
      <protection locked="0"/>
    </xf>
    <xf numFmtId="0" fontId="74" fillId="25" borderId="2" xfId="7" applyFont="1" applyBorder="1" applyAlignment="1" applyProtection="1">
      <alignment horizontal="center" vertical="center" wrapText="1"/>
      <protection locked="0"/>
    </xf>
    <xf numFmtId="0" fontId="86" fillId="0" borderId="0" xfId="0" applyFont="1" applyAlignment="1" applyProtection="1">
      <alignment horizontal="center" vertical="center" wrapText="1"/>
      <protection locked="0"/>
    </xf>
    <xf numFmtId="0" fontId="61" fillId="25" borderId="12" xfId="7" applyNumberFormat="1" applyFont="1" applyBorder="1" applyAlignment="1">
      <alignment horizontal="center" vertical="center" wrapText="1"/>
    </xf>
    <xf numFmtId="14" fontId="50" fillId="25" borderId="2" xfId="7" applyNumberFormat="1" applyFont="1" applyBorder="1" applyAlignment="1">
      <alignment horizontal="center" vertical="center" wrapText="1"/>
    </xf>
    <xf numFmtId="0" fontId="54" fillId="0" borderId="37" xfId="0" applyFont="1" applyBorder="1" applyAlignment="1" applyProtection="1">
      <alignment horizontal="center" vertical="center" wrapText="1"/>
      <protection locked="0"/>
    </xf>
    <xf numFmtId="167" fontId="89" fillId="12" borderId="37" xfId="0" applyNumberFormat="1" applyFont="1" applyFill="1" applyBorder="1" applyAlignment="1" applyProtection="1">
      <alignment horizontal="center" vertical="center" wrapText="1"/>
      <protection locked="0"/>
    </xf>
    <xf numFmtId="167" fontId="90" fillId="12" borderId="37" xfId="0" applyNumberFormat="1" applyFont="1" applyFill="1" applyBorder="1" applyAlignment="1" applyProtection="1">
      <alignment horizontal="center" vertical="center"/>
      <protection locked="0"/>
    </xf>
    <xf numFmtId="0" fontId="44" fillId="4" borderId="2" xfId="0" applyFont="1" applyFill="1" applyBorder="1" applyAlignment="1">
      <alignment horizontal="center" vertical="center" wrapText="1"/>
    </xf>
    <xf numFmtId="0" fontId="38" fillId="4" borderId="2" xfId="0" applyFont="1" applyFill="1" applyBorder="1" applyAlignment="1">
      <alignment horizontal="center" vertical="center" wrapText="1"/>
    </xf>
    <xf numFmtId="0" fontId="44" fillId="4" borderId="12" xfId="0" applyFont="1" applyFill="1" applyBorder="1" applyAlignment="1">
      <alignment horizontal="center" vertical="center" wrapText="1"/>
    </xf>
    <xf numFmtId="0" fontId="44" fillId="4" borderId="81" xfId="0" applyFont="1" applyFill="1" applyBorder="1" applyAlignment="1">
      <alignment horizontal="center" vertical="center" wrapText="1"/>
    </xf>
    <xf numFmtId="0" fontId="44" fillId="4" borderId="40" xfId="0" applyFont="1" applyFill="1" applyBorder="1" applyAlignment="1">
      <alignment horizontal="center" vertical="center" wrapText="1"/>
    </xf>
    <xf numFmtId="0" fontId="44" fillId="12" borderId="81" xfId="0" applyFont="1" applyFill="1" applyBorder="1" applyAlignment="1">
      <alignment horizontal="center" vertical="center" wrapText="1"/>
    </xf>
    <xf numFmtId="0" fontId="44" fillId="12" borderId="82" xfId="0" applyFont="1" applyFill="1" applyBorder="1" applyAlignment="1">
      <alignment horizontal="center" vertical="center" wrapText="1"/>
    </xf>
    <xf numFmtId="0" fontId="48" fillId="9" borderId="88" xfId="0" applyFont="1" applyFill="1" applyBorder="1" applyAlignment="1">
      <alignment horizontal="center" vertical="center"/>
    </xf>
    <xf numFmtId="0" fontId="69" fillId="0" borderId="0" xfId="1" applyFont="1" applyAlignment="1">
      <alignment horizontal="center" vertical="center"/>
    </xf>
    <xf numFmtId="0" fontId="58" fillId="0" borderId="0" xfId="1" applyFont="1" applyAlignment="1">
      <alignment horizontal="center" vertical="center"/>
    </xf>
    <xf numFmtId="0" fontId="58" fillId="0" borderId="0" xfId="1" applyFont="1" applyAlignment="1">
      <alignment horizontal="center" vertical="center" wrapText="1"/>
    </xf>
    <xf numFmtId="0" fontId="58" fillId="0" borderId="0" xfId="0" applyFont="1" applyAlignment="1">
      <alignment horizontal="center" vertical="center" wrapText="1"/>
    </xf>
    <xf numFmtId="0" fontId="60" fillId="0" borderId="0" xfId="0" applyFont="1" applyAlignment="1">
      <alignment horizontal="center" vertical="center" wrapText="1"/>
    </xf>
    <xf numFmtId="14" fontId="58" fillId="0" borderId="0" xfId="0" applyNumberFormat="1" applyFont="1" applyAlignment="1">
      <alignment horizontal="center" vertical="center"/>
    </xf>
    <xf numFmtId="0" fontId="58" fillId="0" borderId="0" xfId="0" applyFont="1" applyAlignment="1">
      <alignment horizontal="center" vertical="center"/>
    </xf>
    <xf numFmtId="0" fontId="70" fillId="0" borderId="0" xfId="0" applyFont="1" applyAlignment="1">
      <alignment horizontal="center" vertical="center"/>
    </xf>
    <xf numFmtId="167" fontId="64" fillId="0" borderId="37" xfId="0" applyNumberFormat="1" applyFont="1" applyBorder="1" applyAlignment="1" applyProtection="1">
      <alignment horizontal="center" vertical="center" wrapText="1"/>
      <protection locked="0"/>
    </xf>
    <xf numFmtId="0" fontId="92" fillId="9" borderId="89" xfId="0" applyFont="1" applyFill="1" applyBorder="1" applyAlignment="1">
      <alignment horizontal="left" vertical="center"/>
    </xf>
    <xf numFmtId="0" fontId="92" fillId="9" borderId="64" xfId="0" applyFont="1" applyFill="1" applyBorder="1" applyAlignment="1">
      <alignment horizontal="left" vertical="center"/>
    </xf>
    <xf numFmtId="166" fontId="33" fillId="0" borderId="0" xfId="1" applyNumberFormat="1" applyFont="1" applyAlignment="1">
      <alignment horizontal="right"/>
    </xf>
    <xf numFmtId="0" fontId="41" fillId="0" borderId="0" xfId="1" applyFont="1"/>
    <xf numFmtId="166" fontId="60" fillId="0" borderId="0" xfId="1" applyNumberFormat="1" applyFont="1" applyAlignment="1">
      <alignment horizontal="right"/>
    </xf>
    <xf numFmtId="2" fontId="33" fillId="0" borderId="0" xfId="1" applyNumberFormat="1" applyFont="1" applyAlignment="1">
      <alignment horizontal="right"/>
    </xf>
    <xf numFmtId="2" fontId="60" fillId="0" borderId="0" xfId="1" applyNumberFormat="1" applyFont="1" applyAlignment="1">
      <alignment horizontal="right"/>
    </xf>
    <xf numFmtId="0" fontId="0" fillId="0" borderId="0" xfId="0" applyAlignment="1">
      <alignment horizontal="left"/>
    </xf>
    <xf numFmtId="166" fontId="60" fillId="6" borderId="47" xfId="1" applyNumberFormat="1" applyFont="1" applyFill="1" applyBorder="1" applyAlignment="1">
      <alignment horizontal="center" vertical="center" wrapText="1"/>
    </xf>
    <xf numFmtId="166" fontId="60" fillId="7" borderId="47" xfId="1" applyNumberFormat="1" applyFont="1" applyFill="1" applyBorder="1" applyAlignment="1">
      <alignment horizontal="center" vertical="center" wrapText="1"/>
    </xf>
    <xf numFmtId="166" fontId="60" fillId="6" borderId="37" xfId="1" applyNumberFormat="1" applyFont="1" applyFill="1" applyBorder="1" applyAlignment="1">
      <alignment horizontal="center" vertical="center" wrapText="1"/>
    </xf>
    <xf numFmtId="0" fontId="60" fillId="0" borderId="59" xfId="0" applyFont="1" applyBorder="1" applyAlignment="1">
      <alignment vertical="center"/>
    </xf>
    <xf numFmtId="0" fontId="38" fillId="0" borderId="2" xfId="0" applyFont="1" applyBorder="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38" fillId="0" borderId="7" xfId="0" applyFont="1" applyBorder="1" applyAlignment="1">
      <alignment horizontal="left" vertical="center"/>
    </xf>
    <xf numFmtId="0" fontId="38" fillId="0" borderId="7" xfId="0" applyFont="1" applyBorder="1" applyAlignment="1">
      <alignment horizontal="left" vertical="center" wrapText="1"/>
    </xf>
    <xf numFmtId="0" fontId="57" fillId="14" borderId="0" xfId="0" applyFont="1" applyFill="1" applyAlignment="1">
      <alignment horizontal="right" vertical="center"/>
    </xf>
    <xf numFmtId="0" fontId="96" fillId="6" borderId="39" xfId="0" applyFont="1" applyFill="1" applyBorder="1" applyAlignment="1">
      <alignment horizontal="center" vertical="center"/>
    </xf>
    <xf numFmtId="0" fontId="97" fillId="6" borderId="39" xfId="0" applyFont="1" applyFill="1" applyBorder="1" applyAlignment="1">
      <alignment horizontal="right"/>
    </xf>
    <xf numFmtId="0" fontId="97" fillId="6" borderId="39" xfId="0" applyFont="1" applyFill="1" applyBorder="1" applyAlignment="1">
      <alignment horizontal="left"/>
    </xf>
    <xf numFmtId="0" fontId="98" fillId="28" borderId="7" xfId="0" applyFont="1" applyFill="1" applyBorder="1" applyAlignment="1">
      <alignment horizontal="center" vertical="center" wrapText="1"/>
    </xf>
    <xf numFmtId="0" fontId="99" fillId="0" borderId="0" xfId="0" applyFont="1"/>
    <xf numFmtId="0" fontId="38" fillId="6" borderId="39" xfId="0" applyFont="1" applyFill="1" applyBorder="1" applyAlignment="1">
      <alignment horizontal="center" vertical="center"/>
    </xf>
    <xf numFmtId="0" fontId="74" fillId="6" borderId="39" xfId="0" applyFont="1" applyFill="1" applyBorder="1" applyAlignment="1">
      <alignment horizontal="right"/>
    </xf>
    <xf numFmtId="0" fontId="91" fillId="6" borderId="39" xfId="0" applyFont="1" applyFill="1" applyBorder="1" applyAlignment="1">
      <alignment horizontal="center" vertical="center"/>
    </xf>
    <xf numFmtId="0" fontId="100" fillId="6" borderId="39" xfId="0" applyFont="1" applyFill="1" applyBorder="1" applyAlignment="1">
      <alignment horizontal="right"/>
    </xf>
    <xf numFmtId="170" fontId="89" fillId="12" borderId="6" xfId="0" applyNumberFormat="1" applyFont="1" applyFill="1" applyBorder="1" applyAlignment="1" applyProtection="1">
      <alignment horizontal="center" vertical="center"/>
      <protection locked="0"/>
    </xf>
    <xf numFmtId="171" fontId="101" fillId="0" borderId="2" xfId="0" applyNumberFormat="1" applyFont="1" applyBorder="1" applyAlignment="1">
      <alignment vertical="center"/>
    </xf>
    <xf numFmtId="0" fontId="43" fillId="6" borderId="47" xfId="1" applyFont="1" applyFill="1" applyBorder="1" applyAlignment="1">
      <alignment horizontal="center" vertical="center" wrapText="1"/>
    </xf>
    <xf numFmtId="0" fontId="43" fillId="7" borderId="47" xfId="1" applyFont="1" applyFill="1" applyBorder="1" applyAlignment="1">
      <alignment horizontal="center" vertical="center" wrapText="1"/>
    </xf>
    <xf numFmtId="0" fontId="43" fillId="29" borderId="49" xfId="1" applyFont="1" applyFill="1" applyBorder="1" applyAlignment="1">
      <alignment horizontal="center" vertical="center" wrapText="1"/>
    </xf>
    <xf numFmtId="0" fontId="76" fillId="0" borderId="40" xfId="1" applyFont="1" applyBorder="1" applyAlignment="1">
      <alignment vertical="center"/>
    </xf>
    <xf numFmtId="0" fontId="76" fillId="0" borderId="90" xfId="1" applyFont="1" applyBorder="1" applyAlignment="1">
      <alignment vertical="center"/>
    </xf>
    <xf numFmtId="2" fontId="0" fillId="0" borderId="0" xfId="0" applyNumberFormat="1" applyAlignment="1">
      <alignment horizontal="center" vertical="center"/>
    </xf>
    <xf numFmtId="167" fontId="0" fillId="0" borderId="0" xfId="0" applyNumberFormat="1" applyAlignment="1">
      <alignment horizontal="center" vertical="center"/>
    </xf>
    <xf numFmtId="172" fontId="0" fillId="0" borderId="0" xfId="0" applyNumberFormat="1" applyAlignment="1">
      <alignment horizontal="center" vertical="center"/>
    </xf>
    <xf numFmtId="0" fontId="46" fillId="0" borderId="2" xfId="0" applyFont="1" applyBorder="1" applyAlignment="1">
      <alignment horizontal="center" vertical="center"/>
    </xf>
    <xf numFmtId="0" fontId="74" fillId="6" borderId="39" xfId="0" applyFont="1" applyFill="1" applyBorder="1" applyAlignment="1">
      <alignment horizontal="left"/>
    </xf>
    <xf numFmtId="0" fontId="100" fillId="6" borderId="39" xfId="0" applyFont="1" applyFill="1" applyBorder="1" applyAlignment="1">
      <alignment horizontal="left"/>
    </xf>
    <xf numFmtId="0" fontId="95" fillId="0" borderId="0" xfId="0" applyFont="1" applyAlignment="1">
      <alignment horizontal="center" vertical="center"/>
    </xf>
    <xf numFmtId="0" fontId="107" fillId="0" borderId="0" xfId="0" applyFont="1"/>
    <xf numFmtId="0" fontId="43" fillId="0" borderId="0" xfId="1" applyFont="1" applyAlignment="1">
      <alignment horizontal="center" vertical="center"/>
    </xf>
    <xf numFmtId="0" fontId="42" fillId="0" borderId="0" xfId="1" applyFont="1" applyAlignment="1">
      <alignment horizontal="center" vertical="center"/>
    </xf>
    <xf numFmtId="0" fontId="34" fillId="12" borderId="31" xfId="1" applyFont="1" applyFill="1" applyBorder="1" applyAlignment="1">
      <alignment horizontal="center" vertical="center" wrapText="1"/>
    </xf>
    <xf numFmtId="0" fontId="34" fillId="12" borderId="29" xfId="1" applyFont="1" applyFill="1" applyBorder="1" applyAlignment="1">
      <alignment horizontal="center" vertical="center" wrapText="1"/>
    </xf>
    <xf numFmtId="0" fontId="34" fillId="12" borderId="30" xfId="1" applyFont="1" applyFill="1" applyBorder="1" applyAlignment="1">
      <alignment horizontal="center" vertical="center" wrapText="1"/>
    </xf>
    <xf numFmtId="166" fontId="33" fillId="12" borderId="28" xfId="1" applyNumberFormat="1" applyFont="1" applyFill="1" applyBorder="1" applyAlignment="1">
      <alignment horizontal="center" vertical="center"/>
    </xf>
    <xf numFmtId="166" fontId="33" fillId="12" borderId="25" xfId="1" applyNumberFormat="1" applyFont="1" applyFill="1" applyBorder="1" applyAlignment="1">
      <alignment horizontal="center" vertical="center"/>
    </xf>
    <xf numFmtId="166" fontId="33" fillId="12" borderId="27" xfId="1" applyNumberFormat="1" applyFont="1" applyFill="1" applyBorder="1" applyAlignment="1">
      <alignment horizontal="center" vertical="center"/>
    </xf>
    <xf numFmtId="0" fontId="37" fillId="0" borderId="0" xfId="1" applyFont="1" applyAlignment="1">
      <alignment horizontal="left" vertical="center" wrapText="1"/>
    </xf>
    <xf numFmtId="0" fontId="42" fillId="0" borderId="0" xfId="1" applyFont="1" applyAlignment="1">
      <alignment horizontal="left" vertical="top" wrapText="1"/>
    </xf>
    <xf numFmtId="0" fontId="71" fillId="0" borderId="73" xfId="1" applyFont="1" applyBorder="1" applyAlignment="1">
      <alignment horizontal="center" vertical="center"/>
    </xf>
    <xf numFmtId="0" fontId="71" fillId="0" borderId="74" xfId="1" applyFont="1" applyBorder="1" applyAlignment="1">
      <alignment horizontal="center" vertical="center"/>
    </xf>
    <xf numFmtId="0" fontId="71" fillId="0" borderId="75" xfId="1" applyFont="1" applyBorder="1" applyAlignment="1">
      <alignment horizontal="center" vertical="center"/>
    </xf>
    <xf numFmtId="0" fontId="54" fillId="0" borderId="2" xfId="1" applyFont="1" applyBorder="1" applyAlignment="1">
      <alignment horizontal="center" vertical="center"/>
    </xf>
    <xf numFmtId="0" fontId="34" fillId="0" borderId="0" xfId="1" applyFont="1" applyAlignment="1">
      <alignment horizontal="left"/>
    </xf>
    <xf numFmtId="166" fontId="33" fillId="14" borderId="34" xfId="1" applyNumberFormat="1" applyFont="1" applyFill="1" applyBorder="1" applyAlignment="1">
      <alignment horizontal="center" vertical="center"/>
    </xf>
    <xf numFmtId="166" fontId="33" fillId="14" borderId="33" xfId="1" applyNumberFormat="1" applyFont="1" applyFill="1" applyBorder="1" applyAlignment="1">
      <alignment horizontal="center" vertical="center"/>
    </xf>
    <xf numFmtId="166" fontId="33" fillId="14" borderId="26" xfId="1" applyNumberFormat="1" applyFont="1" applyFill="1" applyBorder="1" applyAlignment="1">
      <alignment horizontal="center" vertical="center"/>
    </xf>
    <xf numFmtId="166" fontId="33" fillId="14" borderId="79" xfId="1" applyNumberFormat="1" applyFont="1" applyFill="1" applyBorder="1" applyAlignment="1">
      <alignment horizontal="center" vertical="center"/>
    </xf>
    <xf numFmtId="0" fontId="34" fillId="14" borderId="22" xfId="1" applyFont="1" applyFill="1" applyBorder="1" applyAlignment="1">
      <alignment horizontal="center" vertical="center" wrapText="1"/>
    </xf>
    <xf numFmtId="0" fontId="34" fillId="14" borderId="37" xfId="1" applyFont="1" applyFill="1" applyBorder="1" applyAlignment="1">
      <alignment horizontal="center" vertical="center" wrapText="1"/>
    </xf>
    <xf numFmtId="0" fontId="34" fillId="0" borderId="14" xfId="1" applyFont="1" applyBorder="1" applyAlignment="1">
      <alignment horizontal="center" vertical="center"/>
    </xf>
    <xf numFmtId="0" fontId="34" fillId="0" borderId="13" xfId="1" applyFont="1" applyBorder="1" applyAlignment="1">
      <alignment horizontal="center" vertical="center"/>
    </xf>
    <xf numFmtId="0" fontId="34" fillId="0" borderId="2" xfId="1" applyFont="1" applyBorder="1" applyAlignment="1">
      <alignment horizontal="center" vertical="center"/>
    </xf>
    <xf numFmtId="0" fontId="37" fillId="6" borderId="53" xfId="1" applyFont="1" applyFill="1" applyBorder="1" applyAlignment="1">
      <alignment horizontal="center" vertical="center" wrapText="1"/>
    </xf>
    <xf numFmtId="0" fontId="37" fillId="6" borderId="48" xfId="1" applyFont="1" applyFill="1" applyBorder="1" applyAlignment="1">
      <alignment horizontal="center" vertical="center" wrapText="1"/>
    </xf>
    <xf numFmtId="0" fontId="37" fillId="6" borderId="54" xfId="1" applyFont="1" applyFill="1" applyBorder="1" applyAlignment="1">
      <alignment horizontal="center" vertical="center" wrapText="1"/>
    </xf>
    <xf numFmtId="0" fontId="93" fillId="0" borderId="14" xfId="1" applyFont="1" applyBorder="1" applyAlignment="1">
      <alignment horizontal="center" vertical="center" wrapText="1"/>
    </xf>
    <xf numFmtId="0" fontId="93" fillId="0" borderId="13" xfId="1" applyFont="1" applyBorder="1" applyAlignment="1">
      <alignment horizontal="center" vertical="center" wrapText="1"/>
    </xf>
    <xf numFmtId="0" fontId="93" fillId="0" borderId="12" xfId="1" applyFont="1" applyBorder="1" applyAlignment="1">
      <alignment horizontal="center" vertical="center" wrapText="1"/>
    </xf>
    <xf numFmtId="0" fontId="34" fillId="0" borderId="12" xfId="1" applyFont="1" applyBorder="1" applyAlignment="1">
      <alignment horizontal="center" vertical="center"/>
    </xf>
    <xf numFmtId="0" fontId="51" fillId="0" borderId="2" xfId="1" applyFont="1" applyBorder="1" applyAlignment="1">
      <alignment horizontal="center" vertical="center"/>
    </xf>
    <xf numFmtId="0" fontId="44" fillId="11" borderId="18" xfId="1" applyFont="1" applyFill="1" applyBorder="1" applyAlignment="1">
      <alignment horizontal="center"/>
    </xf>
    <xf numFmtId="0" fontId="44" fillId="11" borderId="39" xfId="1" applyFont="1" applyFill="1" applyBorder="1" applyAlignment="1">
      <alignment horizontal="center"/>
    </xf>
    <xf numFmtId="0" fontId="44" fillId="11" borderId="38" xfId="1" applyFont="1" applyFill="1" applyBorder="1" applyAlignment="1">
      <alignment horizontal="center"/>
    </xf>
    <xf numFmtId="0" fontId="33" fillId="0" borderId="14" xfId="1" applyFont="1" applyBorder="1" applyAlignment="1">
      <alignment horizontal="center" vertical="center"/>
    </xf>
    <xf numFmtId="0" fontId="33" fillId="0" borderId="12" xfId="1" applyFont="1" applyBorder="1" applyAlignment="1">
      <alignment horizontal="center" vertical="center"/>
    </xf>
    <xf numFmtId="0" fontId="62" fillId="0" borderId="14" xfId="1" applyFont="1" applyBorder="1" applyAlignment="1">
      <alignment horizontal="center" vertical="center"/>
    </xf>
    <xf numFmtId="0" fontId="62" fillId="0" borderId="12" xfId="1" applyFont="1" applyBorder="1" applyAlignment="1">
      <alignment horizontal="center" vertical="center"/>
    </xf>
    <xf numFmtId="0" fontId="40" fillId="0" borderId="2" xfId="1" applyFont="1" applyBorder="1" applyAlignment="1">
      <alignment horizontal="left" vertical="center"/>
    </xf>
    <xf numFmtId="0" fontId="40" fillId="0" borderId="14" xfId="1" applyFont="1" applyBorder="1" applyAlignment="1">
      <alignment horizontal="left" vertical="center"/>
    </xf>
    <xf numFmtId="0" fontId="40" fillId="0" borderId="12" xfId="1" applyFont="1" applyBorder="1" applyAlignment="1">
      <alignment horizontal="left" vertical="center"/>
    </xf>
    <xf numFmtId="0" fontId="34" fillId="10" borderId="6" xfId="1" applyFont="1" applyFill="1" applyBorder="1" applyAlignment="1">
      <alignment horizontal="center" vertical="center"/>
    </xf>
    <xf numFmtId="0" fontId="34" fillId="10" borderId="5" xfId="1" applyFont="1" applyFill="1" applyBorder="1" applyAlignment="1">
      <alignment horizontal="center" vertical="center"/>
    </xf>
    <xf numFmtId="0" fontId="34" fillId="10" borderId="4" xfId="1" applyFont="1" applyFill="1" applyBorder="1" applyAlignment="1">
      <alignment horizontal="center" vertical="center"/>
    </xf>
    <xf numFmtId="0" fontId="34" fillId="14" borderId="23" xfId="1" applyFont="1" applyFill="1" applyBorder="1" applyAlignment="1">
      <alignment horizontal="center" vertical="center" wrapText="1"/>
    </xf>
    <xf numFmtId="166" fontId="38" fillId="8" borderId="46" xfId="1" applyNumberFormat="1" applyFont="1" applyFill="1" applyBorder="1" applyAlignment="1">
      <alignment horizontal="right" vertical="center"/>
    </xf>
    <xf numFmtId="0" fontId="37" fillId="7" borderId="53" xfId="1" applyFont="1" applyFill="1" applyBorder="1" applyAlignment="1">
      <alignment horizontal="center" vertical="center" wrapText="1"/>
    </xf>
    <xf numFmtId="0" fontId="37" fillId="7" borderId="48" xfId="1" applyFont="1" applyFill="1" applyBorder="1" applyAlignment="1">
      <alignment horizontal="center" vertical="center" wrapText="1"/>
    </xf>
    <xf numFmtId="0" fontId="37" fillId="7" borderId="54" xfId="1" applyFont="1" applyFill="1" applyBorder="1" applyAlignment="1">
      <alignment horizontal="center" vertical="center" wrapText="1"/>
    </xf>
    <xf numFmtId="0" fontId="73" fillId="6" borderId="2" xfId="2" applyFont="1" applyFill="1" applyBorder="1" applyAlignment="1">
      <alignment horizontal="center" vertical="center"/>
    </xf>
    <xf numFmtId="0" fontId="40" fillId="23" borderId="71" xfId="1" applyFont="1" applyFill="1" applyBorder="1" applyAlignment="1">
      <alignment horizontal="center" vertical="center"/>
    </xf>
    <xf numFmtId="0" fontId="40" fillId="23" borderId="70" xfId="1" applyFont="1" applyFill="1" applyBorder="1" applyAlignment="1">
      <alignment horizontal="center" vertical="center"/>
    </xf>
    <xf numFmtId="0" fontId="34" fillId="14" borderId="21" xfId="1" applyFont="1" applyFill="1" applyBorder="1" applyAlignment="1">
      <alignment horizontal="center" vertical="center" wrapText="1"/>
    </xf>
    <xf numFmtId="0" fontId="34" fillId="14" borderId="20" xfId="1" applyFont="1" applyFill="1" applyBorder="1" applyAlignment="1">
      <alignment horizontal="center" vertical="center" wrapText="1"/>
    </xf>
    <xf numFmtId="0" fontId="34" fillId="14" borderId="19" xfId="1" applyFont="1" applyFill="1" applyBorder="1" applyAlignment="1">
      <alignment horizontal="center" vertical="center" wrapText="1"/>
    </xf>
    <xf numFmtId="166" fontId="34" fillId="13" borderId="40" xfId="1" applyNumberFormat="1" applyFont="1" applyFill="1" applyBorder="1" applyAlignment="1">
      <alignment horizontal="center" vertical="center"/>
    </xf>
    <xf numFmtId="166" fontId="34" fillId="13" borderId="39" xfId="1" applyNumberFormat="1" applyFont="1" applyFill="1" applyBorder="1" applyAlignment="1">
      <alignment horizontal="center" vertical="center"/>
    </xf>
    <xf numFmtId="166" fontId="34" fillId="13" borderId="38" xfId="1" applyNumberFormat="1" applyFont="1" applyFill="1" applyBorder="1" applyAlignment="1">
      <alignment horizontal="center" vertical="center"/>
    </xf>
    <xf numFmtId="0" fontId="34" fillId="12" borderId="40" xfId="1" applyFont="1" applyFill="1" applyBorder="1" applyAlignment="1">
      <alignment horizontal="center" vertical="center" wrapText="1"/>
    </xf>
    <xf numFmtId="0" fontId="34" fillId="12" borderId="39" xfId="1" applyFont="1" applyFill="1" applyBorder="1" applyAlignment="1">
      <alignment horizontal="center" vertical="center" wrapText="1"/>
    </xf>
    <xf numFmtId="0" fontId="34" fillId="12" borderId="38" xfId="1" applyFont="1" applyFill="1" applyBorder="1" applyAlignment="1">
      <alignment horizontal="center" vertical="center" wrapText="1"/>
    </xf>
    <xf numFmtId="0" fontId="102" fillId="0" borderId="2" xfId="2" applyFont="1" applyBorder="1" applyAlignment="1">
      <alignment horizontal="center"/>
    </xf>
    <xf numFmtId="0" fontId="102" fillId="6" borderId="2" xfId="2" applyFont="1" applyFill="1" applyBorder="1" applyAlignment="1">
      <alignment horizontal="center"/>
    </xf>
    <xf numFmtId="0" fontId="33" fillId="6" borderId="14" xfId="1" applyFont="1" applyFill="1" applyBorder="1" applyAlignment="1">
      <alignment horizontal="center"/>
    </xf>
    <xf numFmtId="0" fontId="33" fillId="6" borderId="13" xfId="1" applyFont="1" applyFill="1" applyBorder="1" applyAlignment="1">
      <alignment horizontal="center"/>
    </xf>
    <xf numFmtId="0" fontId="33" fillId="6" borderId="12" xfId="1" applyFont="1" applyFill="1" applyBorder="1" applyAlignment="1">
      <alignment horizontal="center"/>
    </xf>
    <xf numFmtId="0" fontId="52" fillId="9" borderId="18" xfId="1" applyFont="1" applyFill="1" applyBorder="1" applyAlignment="1">
      <alignment horizontal="center" vertical="center" wrapText="1"/>
    </xf>
    <xf numFmtId="0" fontId="52" fillId="9" borderId="1" xfId="1" applyFont="1" applyFill="1" applyBorder="1" applyAlignment="1">
      <alignment horizontal="center" vertical="center" wrapText="1"/>
    </xf>
    <xf numFmtId="0" fontId="52" fillId="9" borderId="39" xfId="1" applyFont="1" applyFill="1" applyBorder="1" applyAlignment="1">
      <alignment horizontal="center" vertical="center" wrapText="1"/>
    </xf>
    <xf numFmtId="0" fontId="52" fillId="9" borderId="38" xfId="1" applyFont="1" applyFill="1" applyBorder="1" applyAlignment="1">
      <alignment horizontal="center" vertical="center" wrapText="1"/>
    </xf>
    <xf numFmtId="0" fontId="49" fillId="0" borderId="15" xfId="1" applyFont="1" applyBorder="1" applyAlignment="1">
      <alignment horizontal="center" vertical="center" textRotation="90" wrapText="1"/>
    </xf>
    <xf numFmtId="0" fontId="49" fillId="0" borderId="24" xfId="1" applyFont="1" applyBorder="1" applyAlignment="1">
      <alignment horizontal="center" vertical="center" textRotation="90" wrapText="1"/>
    </xf>
    <xf numFmtId="0" fontId="49" fillId="0" borderId="37" xfId="1" applyFont="1" applyBorder="1" applyAlignment="1">
      <alignment horizontal="center" vertical="center" textRotation="90" wrapText="1"/>
    </xf>
    <xf numFmtId="0" fontId="62" fillId="7" borderId="2" xfId="1" applyFont="1" applyFill="1" applyBorder="1" applyAlignment="1">
      <alignment horizontal="center" vertical="center"/>
    </xf>
    <xf numFmtId="166" fontId="38" fillId="8" borderId="93" xfId="1" applyNumberFormat="1" applyFont="1" applyFill="1" applyBorder="1" applyAlignment="1">
      <alignment horizontal="right" vertical="center"/>
    </xf>
    <xf numFmtId="0" fontId="50" fillId="0" borderId="11" xfId="1" applyFont="1" applyBorder="1" applyAlignment="1">
      <alignment horizontal="center" vertical="center" wrapText="1"/>
    </xf>
    <xf numFmtId="0" fontId="50" fillId="0" borderId="10" xfId="1" applyFont="1" applyBorder="1" applyAlignment="1">
      <alignment horizontal="center" vertical="center" wrapText="1"/>
    </xf>
    <xf numFmtId="0" fontId="50" fillId="0" borderId="91" xfId="1" applyFont="1" applyBorder="1" applyAlignment="1">
      <alignment horizontal="center" vertical="center" wrapText="1"/>
    </xf>
    <xf numFmtId="0" fontId="50" fillId="0" borderId="8" xfId="1" applyFont="1" applyBorder="1" applyAlignment="1">
      <alignment horizontal="center" vertical="center" wrapText="1"/>
    </xf>
    <xf numFmtId="0" fontId="50" fillId="0" borderId="0" xfId="1" applyFont="1" applyAlignment="1">
      <alignment horizontal="center" vertical="center" wrapText="1"/>
    </xf>
    <xf numFmtId="0" fontId="50" fillId="0" borderId="92" xfId="1" applyFont="1" applyBorder="1" applyAlignment="1">
      <alignment horizontal="center" vertical="center" wrapText="1"/>
    </xf>
    <xf numFmtId="0" fontId="34" fillId="0" borderId="2" xfId="1" applyFont="1" applyBorder="1" applyAlignment="1">
      <alignment horizontal="left" vertical="center"/>
    </xf>
    <xf numFmtId="166" fontId="72" fillId="23" borderId="76" xfId="1" applyNumberFormat="1" applyFont="1" applyFill="1" applyBorder="1" applyAlignment="1">
      <alignment horizontal="center" vertical="center" wrapText="1"/>
    </xf>
    <xf numFmtId="166" fontId="72" fillId="23" borderId="77" xfId="1" applyNumberFormat="1" applyFont="1" applyFill="1" applyBorder="1" applyAlignment="1">
      <alignment horizontal="center" vertical="center" wrapText="1"/>
    </xf>
    <xf numFmtId="166" fontId="72" fillId="23" borderId="68" xfId="1" applyNumberFormat="1" applyFont="1" applyFill="1" applyBorder="1" applyAlignment="1">
      <alignment horizontal="center" vertical="center" wrapText="1"/>
    </xf>
    <xf numFmtId="166" fontId="72" fillId="23" borderId="78" xfId="1" applyNumberFormat="1" applyFont="1" applyFill="1" applyBorder="1" applyAlignment="1">
      <alignment horizontal="center" vertical="center" wrapText="1"/>
    </xf>
    <xf numFmtId="166" fontId="72" fillId="23" borderId="69" xfId="1" applyNumberFormat="1" applyFont="1" applyFill="1" applyBorder="1" applyAlignment="1">
      <alignment horizontal="center" vertical="center" wrapText="1"/>
    </xf>
    <xf numFmtId="166" fontId="72" fillId="23" borderId="72" xfId="1" applyNumberFormat="1" applyFont="1" applyFill="1" applyBorder="1" applyAlignment="1">
      <alignment horizontal="center" vertical="center" wrapText="1"/>
    </xf>
    <xf numFmtId="0" fontId="33" fillId="0" borderId="46" xfId="1" applyFont="1" applyBorder="1" applyAlignment="1">
      <alignment horizontal="center"/>
    </xf>
    <xf numFmtId="0" fontId="36" fillId="0" borderId="46" xfId="1" applyFont="1" applyBorder="1" applyAlignment="1">
      <alignment horizontal="center" vertical="center" wrapText="1"/>
    </xf>
    <xf numFmtId="0" fontId="68" fillId="0" borderId="2" xfId="1" applyFont="1" applyBorder="1" applyAlignment="1">
      <alignment horizontal="center" vertical="center"/>
    </xf>
    <xf numFmtId="0" fontId="33" fillId="0" borderId="2" xfId="1" applyFont="1" applyBorder="1" applyAlignment="1">
      <alignment horizontal="center" vertical="center"/>
    </xf>
    <xf numFmtId="14" fontId="62" fillId="0" borderId="2" xfId="1" applyNumberFormat="1" applyFont="1" applyBorder="1" applyAlignment="1">
      <alignment horizontal="center" vertical="center"/>
    </xf>
    <xf numFmtId="0" fontId="62" fillId="0" borderId="2" xfId="1" applyFont="1" applyBorder="1" applyAlignment="1">
      <alignment horizontal="center" vertical="center"/>
    </xf>
    <xf numFmtId="0" fontId="33" fillId="0" borderId="13" xfId="1" applyFont="1" applyBorder="1" applyAlignment="1">
      <alignment horizontal="center" vertical="center"/>
    </xf>
    <xf numFmtId="0" fontId="93" fillId="0" borderId="11" xfId="1" applyFont="1" applyBorder="1" applyAlignment="1">
      <alignment horizontal="center" vertical="center"/>
    </xf>
    <xf numFmtId="0" fontId="93" fillId="0" borderId="10" xfId="1" applyFont="1" applyBorder="1" applyAlignment="1">
      <alignment horizontal="center" vertical="center"/>
    </xf>
    <xf numFmtId="0" fontId="93" fillId="0" borderId="9" xfId="1" applyFont="1" applyBorder="1" applyAlignment="1">
      <alignment horizontal="center" vertical="center"/>
    </xf>
    <xf numFmtId="0" fontId="93" fillId="0" borderId="8" xfId="1" applyFont="1" applyBorder="1" applyAlignment="1">
      <alignment horizontal="center" vertical="center"/>
    </xf>
    <xf numFmtId="0" fontId="93" fillId="0" borderId="0" xfId="1" applyFont="1" applyAlignment="1">
      <alignment horizontal="center" vertical="center"/>
    </xf>
    <xf numFmtId="0" fontId="93" fillId="0" borderId="7" xfId="1" applyFont="1" applyBorder="1" applyAlignment="1">
      <alignment horizontal="center" vertical="center"/>
    </xf>
    <xf numFmtId="0" fontId="93" fillId="0" borderId="6" xfId="1" applyFont="1" applyBorder="1" applyAlignment="1">
      <alignment horizontal="center" vertical="center"/>
    </xf>
    <xf numFmtId="0" fontId="93" fillId="0" borderId="5" xfId="1" applyFont="1" applyBorder="1" applyAlignment="1">
      <alignment horizontal="center" vertical="center"/>
    </xf>
    <xf numFmtId="0" fontId="93" fillId="0" borderId="4" xfId="1" applyFont="1" applyBorder="1" applyAlignment="1">
      <alignment horizontal="center" vertical="center"/>
    </xf>
    <xf numFmtId="0" fontId="33" fillId="7" borderId="14" xfId="1" applyFont="1" applyFill="1" applyBorder="1" applyAlignment="1">
      <alignment horizontal="center" vertical="center" wrapText="1"/>
    </xf>
    <xf numFmtId="0" fontId="33" fillId="7" borderId="13" xfId="1" applyFont="1" applyFill="1" applyBorder="1" applyAlignment="1">
      <alignment horizontal="center" vertical="center" wrapText="1"/>
    </xf>
    <xf numFmtId="0" fontId="33" fillId="7" borderId="12" xfId="1" applyFont="1" applyFill="1" applyBorder="1" applyAlignment="1">
      <alignment horizontal="center" vertical="center" wrapText="1"/>
    </xf>
    <xf numFmtId="0" fontId="42" fillId="7" borderId="2" xfId="1" applyFont="1" applyFill="1" applyBorder="1" applyAlignment="1">
      <alignment horizontal="center" vertical="center" wrapText="1"/>
    </xf>
    <xf numFmtId="0" fontId="34" fillId="10" borderId="37" xfId="1" applyFont="1" applyFill="1" applyBorder="1" applyAlignment="1">
      <alignment horizontal="center" vertical="center"/>
    </xf>
    <xf numFmtId="0" fontId="55" fillId="0" borderId="0" xfId="1" applyFont="1" applyAlignment="1">
      <alignment horizontal="left" vertical="top" wrapText="1"/>
    </xf>
    <xf numFmtId="166" fontId="33" fillId="14" borderId="32" xfId="1" applyNumberFormat="1" applyFont="1" applyFill="1" applyBorder="1" applyAlignment="1">
      <alignment horizontal="center" vertical="center"/>
    </xf>
    <xf numFmtId="166" fontId="34" fillId="8" borderId="46" xfId="1" applyNumberFormat="1" applyFont="1" applyFill="1" applyBorder="1" applyAlignment="1">
      <alignment horizontal="right" vertical="center"/>
    </xf>
    <xf numFmtId="0" fontId="33" fillId="14" borderId="21" xfId="1" applyFont="1" applyFill="1" applyBorder="1" applyAlignment="1">
      <alignment horizontal="center" vertical="center" wrapText="1"/>
    </xf>
    <xf numFmtId="0" fontId="33" fillId="14" borderId="20" xfId="1" applyFont="1" applyFill="1" applyBorder="1" applyAlignment="1">
      <alignment horizontal="center" vertical="center" wrapText="1"/>
    </xf>
    <xf numFmtId="0" fontId="33" fillId="14" borderId="19" xfId="1" applyFont="1" applyFill="1" applyBorder="1" applyAlignment="1">
      <alignment horizontal="center" vertical="center" wrapText="1"/>
    </xf>
    <xf numFmtId="0" fontId="33" fillId="12" borderId="40" xfId="1" applyFont="1" applyFill="1" applyBorder="1" applyAlignment="1">
      <alignment horizontal="center" vertical="center" wrapText="1"/>
    </xf>
    <xf numFmtId="0" fontId="33" fillId="12" borderId="39" xfId="1" applyFont="1" applyFill="1" applyBorder="1" applyAlignment="1">
      <alignment horizontal="center" vertical="center" wrapText="1"/>
    </xf>
    <xf numFmtId="0" fontId="33" fillId="12" borderId="38" xfId="1" applyFont="1" applyFill="1" applyBorder="1" applyAlignment="1">
      <alignment horizontal="center" vertical="center" wrapText="1"/>
    </xf>
    <xf numFmtId="166" fontId="40" fillId="13" borderId="40" xfId="1" applyNumberFormat="1" applyFont="1" applyFill="1" applyBorder="1" applyAlignment="1">
      <alignment horizontal="center" vertical="center"/>
    </xf>
    <xf numFmtId="166" fontId="40" fillId="13" borderId="39" xfId="1" applyNumberFormat="1" applyFont="1" applyFill="1" applyBorder="1" applyAlignment="1">
      <alignment horizontal="center" vertical="center"/>
    </xf>
    <xf numFmtId="166" fontId="40" fillId="13" borderId="38" xfId="1" applyNumberFormat="1" applyFont="1" applyFill="1" applyBorder="1" applyAlignment="1">
      <alignment horizontal="center" vertical="center"/>
    </xf>
    <xf numFmtId="0" fontId="33" fillId="0" borderId="10" xfId="1" applyFont="1" applyBorder="1" applyAlignment="1">
      <alignment horizontal="center" vertical="center" wrapText="1"/>
    </xf>
    <xf numFmtId="0" fontId="33" fillId="0" borderId="8" xfId="1" applyFont="1" applyBorder="1" applyAlignment="1">
      <alignment horizontal="center" vertical="center" wrapText="1"/>
    </xf>
    <xf numFmtId="0" fontId="33" fillId="0" borderId="0" xfId="1" applyFont="1" applyAlignment="1">
      <alignment horizontal="center" vertical="center" wrapText="1"/>
    </xf>
    <xf numFmtId="0" fontId="33" fillId="0" borderId="6" xfId="1" applyFont="1" applyBorder="1" applyAlignment="1">
      <alignment horizontal="center" vertical="center" wrapText="1"/>
    </xf>
    <xf numFmtId="0" fontId="33" fillId="0" borderId="5" xfId="1" applyFont="1" applyBorder="1" applyAlignment="1">
      <alignment horizontal="center" vertical="center" wrapText="1"/>
    </xf>
    <xf numFmtId="0" fontId="51" fillId="23" borderId="71" xfId="1" applyFont="1" applyFill="1" applyBorder="1" applyAlignment="1">
      <alignment horizontal="center" vertical="center"/>
    </xf>
    <xf numFmtId="0" fontId="51" fillId="23" borderId="70" xfId="1" applyFont="1" applyFill="1" applyBorder="1" applyAlignment="1">
      <alignment horizontal="center" vertical="center"/>
    </xf>
    <xf numFmtId="0" fontId="35" fillId="0" borderId="2" xfId="2" applyFont="1" applyBorder="1" applyAlignment="1">
      <alignment horizontal="center"/>
    </xf>
    <xf numFmtId="0" fontId="33" fillId="7" borderId="2" xfId="1" applyFont="1" applyFill="1" applyBorder="1" applyAlignment="1">
      <alignment horizontal="center" vertical="center"/>
    </xf>
    <xf numFmtId="0" fontId="87" fillId="23" borderId="71" xfId="1" applyFont="1" applyFill="1" applyBorder="1" applyAlignment="1">
      <alignment horizontal="center" vertical="center"/>
    </xf>
    <xf numFmtId="0" fontId="87" fillId="23" borderId="70" xfId="1" applyFont="1" applyFill="1" applyBorder="1" applyAlignment="1">
      <alignment horizontal="center" vertical="center"/>
    </xf>
    <xf numFmtId="0" fontId="35" fillId="6" borderId="2" xfId="2" applyFont="1" applyFill="1" applyBorder="1" applyAlignment="1">
      <alignment horizontal="center"/>
    </xf>
    <xf numFmtId="0" fontId="33" fillId="6" borderId="2" xfId="1" applyFont="1" applyFill="1" applyBorder="1" applyAlignment="1">
      <alignment horizontal="center"/>
    </xf>
    <xf numFmtId="166" fontId="56" fillId="23" borderId="76" xfId="1" applyNumberFormat="1" applyFont="1" applyFill="1" applyBorder="1" applyAlignment="1">
      <alignment horizontal="center" vertical="center" wrapText="1"/>
    </xf>
    <xf numFmtId="166" fontId="56" fillId="23" borderId="77" xfId="1" applyNumberFormat="1" applyFont="1" applyFill="1" applyBorder="1" applyAlignment="1">
      <alignment horizontal="center" vertical="center" wrapText="1"/>
    </xf>
    <xf numFmtId="166" fontId="56" fillId="23" borderId="68" xfId="1" applyNumberFormat="1" applyFont="1" applyFill="1" applyBorder="1" applyAlignment="1">
      <alignment horizontal="center" vertical="center" wrapText="1"/>
    </xf>
    <xf numFmtId="166" fontId="56" fillId="23" borderId="78" xfId="1" applyNumberFormat="1" applyFont="1" applyFill="1" applyBorder="1" applyAlignment="1">
      <alignment horizontal="center" vertical="center" wrapText="1"/>
    </xf>
    <xf numFmtId="166" fontId="56" fillId="23" borderId="69" xfId="1" applyNumberFormat="1" applyFont="1" applyFill="1" applyBorder="1" applyAlignment="1">
      <alignment horizontal="center" vertical="center" wrapText="1"/>
    </xf>
    <xf numFmtId="166" fontId="56" fillId="23" borderId="72" xfId="1" applyNumberFormat="1" applyFont="1" applyFill="1" applyBorder="1" applyAlignment="1">
      <alignment horizontal="center" vertical="center" wrapText="1"/>
    </xf>
    <xf numFmtId="0" fontId="44" fillId="11" borderId="40" xfId="1" applyFont="1" applyFill="1" applyBorder="1" applyAlignment="1">
      <alignment horizontal="center"/>
    </xf>
    <xf numFmtId="0" fontId="33" fillId="0" borderId="11" xfId="1" applyFont="1" applyBorder="1" applyAlignment="1">
      <alignment horizontal="center" vertical="center"/>
    </xf>
    <xf numFmtId="0" fontId="33" fillId="0" borderId="10" xfId="1" applyFont="1" applyBorder="1" applyAlignment="1">
      <alignment horizontal="center" vertical="center"/>
    </xf>
    <xf numFmtId="0" fontId="33" fillId="0" borderId="9" xfId="1" applyFont="1" applyBorder="1" applyAlignment="1">
      <alignment horizontal="center" vertical="center"/>
    </xf>
    <xf numFmtId="0" fontId="33" fillId="0" borderId="8" xfId="1" applyFont="1" applyBorder="1" applyAlignment="1">
      <alignment horizontal="center" vertical="center"/>
    </xf>
    <xf numFmtId="0" fontId="33" fillId="0" borderId="0" xfId="1" applyFont="1" applyAlignment="1">
      <alignment horizontal="center" vertical="center"/>
    </xf>
    <xf numFmtId="0" fontId="33" fillId="0" borderId="7" xfId="1" applyFont="1" applyBorder="1" applyAlignment="1">
      <alignment horizontal="center" vertical="center"/>
    </xf>
    <xf numFmtId="0" fontId="33" fillId="0" borderId="6" xfId="1" applyFont="1" applyBorder="1" applyAlignment="1">
      <alignment horizontal="center" vertical="center"/>
    </xf>
    <xf numFmtId="0" fontId="33" fillId="0" borderId="5" xfId="1" applyFont="1" applyBorder="1" applyAlignment="1">
      <alignment horizontal="center" vertical="center"/>
    </xf>
    <xf numFmtId="0" fontId="33" fillId="0" borderId="4" xfId="1" applyFont="1" applyBorder="1" applyAlignment="1">
      <alignment horizontal="center" vertical="center"/>
    </xf>
    <xf numFmtId="0" fontId="34" fillId="10" borderId="87" xfId="1" applyFont="1" applyFill="1" applyBorder="1" applyAlignment="1">
      <alignment horizontal="center" vertical="center"/>
    </xf>
    <xf numFmtId="0" fontId="34" fillId="10" borderId="29" xfId="1" applyFont="1" applyFill="1" applyBorder="1" applyAlignment="1">
      <alignment horizontal="center" vertical="center"/>
    </xf>
    <xf numFmtId="166" fontId="33" fillId="7" borderId="14" xfId="1" applyNumberFormat="1" applyFont="1" applyFill="1" applyBorder="1" applyAlignment="1">
      <alignment horizontal="right" vertical="center" wrapText="1" indent="2"/>
    </xf>
    <xf numFmtId="166" fontId="33" fillId="7" borderId="12" xfId="1" applyNumberFormat="1" applyFont="1" applyFill="1" applyBorder="1" applyAlignment="1">
      <alignment horizontal="right" vertical="center" wrapText="1" indent="2"/>
    </xf>
    <xf numFmtId="0" fontId="62" fillId="0" borderId="14" xfId="1" applyFont="1" applyBorder="1" applyAlignment="1">
      <alignment horizontal="center" vertical="center" wrapText="1"/>
    </xf>
    <xf numFmtId="0" fontId="62" fillId="0" borderId="13" xfId="1" applyFont="1" applyBorder="1" applyAlignment="1">
      <alignment horizontal="center" vertical="center" wrapText="1"/>
    </xf>
    <xf numFmtId="0" fontId="62" fillId="0" borderId="12" xfId="1" applyFont="1" applyBorder="1" applyAlignment="1">
      <alignment horizontal="center" vertical="center" wrapText="1"/>
    </xf>
    <xf numFmtId="0" fontId="33" fillId="0" borderId="14" xfId="1" applyFont="1" applyBorder="1" applyAlignment="1">
      <alignment horizontal="center"/>
    </xf>
    <xf numFmtId="0" fontId="33" fillId="0" borderId="13" xfId="1" applyFont="1" applyBorder="1" applyAlignment="1">
      <alignment horizontal="center"/>
    </xf>
    <xf numFmtId="0" fontId="33" fillId="0" borderId="12" xfId="1" applyFont="1" applyBorder="1" applyAlignment="1">
      <alignment horizontal="center"/>
    </xf>
    <xf numFmtId="0" fontId="33" fillId="0" borderId="59" xfId="0" applyFont="1" applyBorder="1" applyAlignment="1">
      <alignment horizontal="center" vertical="top" textRotation="90"/>
    </xf>
    <xf numFmtId="0" fontId="33" fillId="0" borderId="59" xfId="0" quotePrefix="1" applyFont="1" applyBorder="1" applyAlignment="1">
      <alignment horizontal="center" vertical="top" textRotation="90"/>
    </xf>
    <xf numFmtId="0" fontId="32" fillId="9" borderId="10" xfId="0" applyFont="1" applyFill="1" applyBorder="1" applyAlignment="1">
      <alignment horizontal="left" vertical="center"/>
    </xf>
    <xf numFmtId="0" fontId="36" fillId="14" borderId="0" xfId="0" applyFont="1" applyFill="1" applyAlignment="1">
      <alignment horizontal="left" vertical="center"/>
    </xf>
    <xf numFmtId="0" fontId="38" fillId="0" borderId="59" xfId="0" applyFont="1" applyBorder="1" applyAlignment="1">
      <alignment horizontal="center" vertical="center" textRotation="90"/>
    </xf>
    <xf numFmtId="0" fontId="33" fillId="0" borderId="0" xfId="0" applyFont="1" applyAlignment="1">
      <alignment horizontal="center" vertical="center"/>
    </xf>
    <xf numFmtId="0" fontId="42" fillId="0" borderId="7" xfId="0" applyFont="1" applyBorder="1" applyAlignment="1">
      <alignment horizontal="left" vertical="center" wrapText="1"/>
    </xf>
    <xf numFmtId="0" fontId="43" fillId="0" borderId="16" xfId="0" applyFont="1" applyBorder="1" applyAlignment="1">
      <alignment horizontal="center" vertical="center" wrapText="1"/>
    </xf>
    <xf numFmtId="0" fontId="43" fillId="0" borderId="0" xfId="0" applyFont="1" applyAlignment="1">
      <alignment horizontal="center"/>
    </xf>
    <xf numFmtId="0" fontId="60" fillId="0" borderId="7" xfId="0" applyFont="1" applyBorder="1" applyAlignment="1">
      <alignment horizontal="left" vertical="center" wrapText="1"/>
    </xf>
    <xf numFmtId="0" fontId="37" fillId="0" borderId="7" xfId="0" applyFont="1" applyBorder="1" applyAlignment="1">
      <alignment horizontal="left" vertical="center" wrapText="1"/>
    </xf>
    <xf numFmtId="0" fontId="62" fillId="0" borderId="2" xfId="1" applyFont="1" applyBorder="1" applyAlignment="1">
      <alignment horizontal="center" vertical="center" wrapText="1"/>
    </xf>
    <xf numFmtId="0" fontId="62" fillId="0" borderId="2" xfId="0" applyFont="1" applyBorder="1" applyAlignment="1">
      <alignment horizontal="center" vertical="center" wrapText="1"/>
    </xf>
    <xf numFmtId="0" fontId="34" fillId="0" borderId="14" xfId="0" applyFont="1" applyBorder="1" applyAlignment="1">
      <alignment horizontal="center" vertical="center"/>
    </xf>
    <xf numFmtId="0" fontId="34" fillId="0" borderId="13" xfId="0" applyFont="1" applyBorder="1" applyAlignment="1">
      <alignment horizontal="center" vertical="center"/>
    </xf>
    <xf numFmtId="0" fontId="34" fillId="0" borderId="12" xfId="0" applyFont="1" applyBorder="1" applyAlignment="1">
      <alignment horizontal="center" vertical="center"/>
    </xf>
    <xf numFmtId="0" fontId="93" fillId="0" borderId="2" xfId="0" applyFont="1" applyBorder="1" applyAlignment="1">
      <alignment horizontal="center" vertical="center" wrapText="1"/>
    </xf>
    <xf numFmtId="0" fontId="44" fillId="0" borderId="2" xfId="1" applyFont="1" applyBorder="1" applyAlignment="1">
      <alignment horizontal="center" vertical="center"/>
    </xf>
    <xf numFmtId="14" fontId="44" fillId="0" borderId="2" xfId="1" applyNumberFormat="1" applyFont="1" applyBorder="1" applyAlignment="1">
      <alignment horizontal="center" vertical="center"/>
    </xf>
    <xf numFmtId="0" fontId="33" fillId="0" borderId="7" xfId="0" applyFont="1" applyBorder="1" applyAlignment="1">
      <alignment horizontal="left" vertical="center" wrapText="1"/>
    </xf>
    <xf numFmtId="0" fontId="104" fillId="0" borderId="2" xfId="0" applyFont="1" applyBorder="1" applyAlignment="1">
      <alignment horizontal="center" vertical="center"/>
    </xf>
    <xf numFmtId="0" fontId="57" fillId="0" borderId="2" xfId="0" applyFont="1" applyBorder="1" applyAlignment="1">
      <alignment horizontal="center" vertical="center"/>
    </xf>
    <xf numFmtId="0" fontId="96" fillId="0" borderId="2" xfId="0" applyFont="1" applyBorder="1" applyAlignment="1">
      <alignment horizontal="center" vertical="center"/>
    </xf>
    <xf numFmtId="0" fontId="38" fillId="0" borderId="2" xfId="0" applyFont="1" applyBorder="1" applyAlignment="1">
      <alignment horizontal="center" vertical="center"/>
    </xf>
    <xf numFmtId="0" fontId="57" fillId="0" borderId="11" xfId="0" applyFont="1" applyBorder="1" applyAlignment="1">
      <alignment horizontal="center" vertical="center"/>
    </xf>
    <xf numFmtId="0" fontId="57" fillId="0" borderId="10" xfId="0" applyFont="1" applyBorder="1" applyAlignment="1">
      <alignment horizontal="center" vertical="center"/>
    </xf>
    <xf numFmtId="0" fontId="57" fillId="0" borderId="9" xfId="0" applyFont="1" applyBorder="1" applyAlignment="1">
      <alignment horizontal="center" vertical="center"/>
    </xf>
    <xf numFmtId="0" fontId="57" fillId="0" borderId="6" xfId="0" applyFont="1" applyBorder="1" applyAlignment="1">
      <alignment horizontal="center" vertical="center"/>
    </xf>
    <xf numFmtId="0" fontId="57" fillId="0" borderId="5" xfId="0" applyFont="1" applyBorder="1" applyAlignment="1">
      <alignment horizontal="center" vertical="center"/>
    </xf>
    <xf numFmtId="0" fontId="57" fillId="0" borderId="4" xfId="0" applyFont="1" applyBorder="1" applyAlignment="1">
      <alignment horizontal="center" vertical="center"/>
    </xf>
    <xf numFmtId="0" fontId="45" fillId="0" borderId="2" xfId="0" applyFont="1" applyBorder="1" applyAlignment="1">
      <alignment horizontal="center" vertical="center"/>
    </xf>
    <xf numFmtId="0" fontId="57" fillId="0" borderId="2" xfId="0" applyFont="1" applyBorder="1" applyAlignment="1">
      <alignment horizontal="center"/>
    </xf>
    <xf numFmtId="0" fontId="58" fillId="0" borderId="7" xfId="0" applyFont="1" applyBorder="1" applyAlignment="1">
      <alignment horizontal="center" vertical="top" wrapText="1"/>
    </xf>
    <xf numFmtId="0" fontId="45" fillId="0" borderId="11" xfId="0" applyFont="1" applyBorder="1" applyAlignment="1">
      <alignment horizontal="center" vertical="center" wrapText="1"/>
    </xf>
    <xf numFmtId="0" fontId="45" fillId="0" borderId="10" xfId="0" applyFont="1" applyBorder="1" applyAlignment="1">
      <alignment horizontal="center" vertical="center" wrapText="1"/>
    </xf>
    <xf numFmtId="0" fontId="45" fillId="0" borderId="9" xfId="0" applyFont="1" applyBorder="1" applyAlignment="1">
      <alignment horizontal="center" vertical="center" wrapText="1"/>
    </xf>
    <xf numFmtId="0" fontId="45" fillId="0" borderId="6" xfId="0" applyFont="1" applyBorder="1" applyAlignment="1">
      <alignment horizontal="center" vertical="center" wrapText="1"/>
    </xf>
    <xf numFmtId="0" fontId="45" fillId="0" borderId="5" xfId="0" applyFont="1" applyBorder="1" applyAlignment="1">
      <alignment horizontal="center" vertical="center" wrapText="1"/>
    </xf>
    <xf numFmtId="0" fontId="45" fillId="0" borderId="4" xfId="0" applyFont="1" applyBorder="1" applyAlignment="1">
      <alignment horizontal="center" vertical="center" wrapText="1"/>
    </xf>
    <xf numFmtId="0" fontId="106" fillId="0" borderId="14" xfId="0" applyFont="1" applyBorder="1" applyAlignment="1">
      <alignment horizontal="center" vertical="center"/>
    </xf>
    <xf numFmtId="0" fontId="106" fillId="0" borderId="13" xfId="0" applyFont="1" applyBorder="1" applyAlignment="1">
      <alignment horizontal="center" vertical="center"/>
    </xf>
    <xf numFmtId="0" fontId="96" fillId="0" borderId="59" xfId="0" applyFont="1" applyBorder="1" applyAlignment="1">
      <alignment horizontal="center" vertical="center" textRotation="90"/>
    </xf>
    <xf numFmtId="0" fontId="94" fillId="9" borderId="85" xfId="0" applyFont="1" applyFill="1" applyBorder="1" applyAlignment="1">
      <alignment horizontal="left" vertical="center"/>
    </xf>
    <xf numFmtId="0" fontId="94" fillId="9" borderId="0" xfId="0" applyFont="1" applyFill="1" applyAlignment="1">
      <alignment horizontal="left" vertical="center"/>
    </xf>
    <xf numFmtId="0" fontId="94" fillId="9" borderId="7" xfId="0" applyFont="1" applyFill="1" applyBorder="1" applyAlignment="1">
      <alignment horizontal="left" vertical="center"/>
    </xf>
    <xf numFmtId="0" fontId="39" fillId="0" borderId="7" xfId="0" applyFont="1" applyBorder="1" applyAlignment="1">
      <alignment horizontal="center" vertical="center" wrapText="1"/>
    </xf>
    <xf numFmtId="0" fontId="48" fillId="9" borderId="84" xfId="0" applyFont="1" applyFill="1" applyBorder="1" applyAlignment="1">
      <alignment horizontal="left" vertical="center"/>
    </xf>
    <xf numFmtId="0" fontId="48" fillId="9" borderId="10" xfId="0" applyFont="1" applyFill="1" applyBorder="1" applyAlignment="1">
      <alignment horizontal="left" vertical="center"/>
    </xf>
    <xf numFmtId="0" fontId="48" fillId="9" borderId="9" xfId="0" applyFont="1" applyFill="1" applyBorder="1" applyAlignment="1">
      <alignment horizontal="left" vertical="center"/>
    </xf>
    <xf numFmtId="0" fontId="41" fillId="0" borderId="16" xfId="0" applyFont="1" applyBorder="1" applyAlignment="1">
      <alignment horizontal="right" vertical="center" wrapText="1"/>
    </xf>
    <xf numFmtId="0" fontId="46" fillId="0" borderId="14" xfId="0" applyFont="1" applyBorder="1" applyAlignment="1">
      <alignment horizontal="center" vertical="center" wrapText="1"/>
    </xf>
    <xf numFmtId="0" fontId="46" fillId="0" borderId="13" xfId="0" applyFont="1" applyBorder="1" applyAlignment="1">
      <alignment horizontal="center" vertical="center" wrapText="1"/>
    </xf>
    <xf numFmtId="0" fontId="45" fillId="0" borderId="14" xfId="1" applyFont="1" applyBorder="1" applyAlignment="1">
      <alignment horizontal="center" vertical="center"/>
    </xf>
    <xf numFmtId="0" fontId="45" fillId="0" borderId="13" xfId="1" applyFont="1" applyBorder="1" applyAlignment="1">
      <alignment horizontal="center" vertical="center"/>
    </xf>
    <xf numFmtId="0" fontId="45" fillId="0" borderId="12" xfId="1" applyFont="1" applyBorder="1" applyAlignment="1">
      <alignment horizontal="center" vertical="center"/>
    </xf>
    <xf numFmtId="0" fontId="91" fillId="0" borderId="14" xfId="1" applyFont="1" applyBorder="1" applyAlignment="1">
      <alignment horizontal="center" vertical="center"/>
    </xf>
    <xf numFmtId="0" fontId="91" fillId="0" borderId="13" xfId="1" applyFont="1" applyBorder="1" applyAlignment="1">
      <alignment horizontal="center" vertical="center"/>
    </xf>
    <xf numFmtId="0" fontId="91" fillId="0" borderId="12" xfId="1" applyFont="1" applyBorder="1" applyAlignment="1">
      <alignment horizontal="center" vertical="center"/>
    </xf>
    <xf numFmtId="0" fontId="70" fillId="0" borderId="2" xfId="1" applyFont="1" applyBorder="1" applyAlignment="1">
      <alignment horizontal="center" vertical="center" wrapText="1"/>
    </xf>
    <xf numFmtId="0" fontId="58" fillId="0" borderId="14" xfId="1" applyFont="1" applyBorder="1" applyAlignment="1">
      <alignment horizontal="center" vertical="center" wrapText="1"/>
    </xf>
    <xf numFmtId="0" fontId="58" fillId="0" borderId="13" xfId="1" applyFont="1" applyBorder="1" applyAlignment="1">
      <alignment horizontal="center" vertical="center" wrapText="1"/>
    </xf>
    <xf numFmtId="0" fontId="58" fillId="0" borderId="12" xfId="1" applyFont="1" applyBorder="1" applyAlignment="1">
      <alignment horizontal="center" vertical="center" wrapText="1"/>
    </xf>
    <xf numFmtId="0" fontId="58" fillId="0" borderId="2" xfId="0" applyFont="1" applyBorder="1" applyAlignment="1">
      <alignment horizontal="center" vertical="center" wrapText="1"/>
    </xf>
    <xf numFmtId="0" fontId="101" fillId="0" borderId="2" xfId="0" applyFont="1" applyBorder="1" applyAlignment="1">
      <alignment horizontal="center" vertical="center" wrapText="1"/>
    </xf>
    <xf numFmtId="2" fontId="70" fillId="0" borderId="14" xfId="0" applyNumberFormat="1" applyFont="1" applyBorder="1" applyAlignment="1">
      <alignment horizontal="center" vertical="center"/>
    </xf>
    <xf numFmtId="2" fontId="70" fillId="0" borderId="13" xfId="0" applyNumberFormat="1" applyFont="1" applyBorder="1" applyAlignment="1">
      <alignment horizontal="center" vertical="center"/>
    </xf>
    <xf numFmtId="2" fontId="70" fillId="0" borderId="12" xfId="0" applyNumberFormat="1" applyFont="1" applyBorder="1" applyAlignment="1">
      <alignment horizontal="center" vertical="center"/>
    </xf>
    <xf numFmtId="0" fontId="41" fillId="0" borderId="2" xfId="0" applyFont="1" applyBorder="1" applyAlignment="1">
      <alignment horizontal="center" vertical="center" wrapText="1"/>
    </xf>
    <xf numFmtId="0" fontId="88" fillId="0" borderId="14" xfId="1" applyFont="1" applyBorder="1" applyAlignment="1">
      <alignment horizontal="center" vertical="center"/>
    </xf>
    <xf numFmtId="0" fontId="88" fillId="0" borderId="13" xfId="1" applyFont="1" applyBorder="1" applyAlignment="1">
      <alignment horizontal="center" vertical="center"/>
    </xf>
    <xf numFmtId="0" fontId="105" fillId="0" borderId="2" xfId="1" applyFont="1" applyBorder="1" applyAlignment="1">
      <alignment horizontal="center" vertical="center"/>
    </xf>
    <xf numFmtId="0" fontId="58" fillId="0" borderId="2" xfId="1" applyFont="1" applyBorder="1" applyAlignment="1">
      <alignment horizontal="center" vertical="center" wrapText="1"/>
    </xf>
    <xf numFmtId="0" fontId="46" fillId="0" borderId="2" xfId="1" applyFont="1" applyBorder="1" applyAlignment="1">
      <alignment horizontal="center" vertical="center"/>
    </xf>
    <xf numFmtId="0" fontId="36" fillId="0" borderId="2" xfId="1" applyFont="1" applyBorder="1" applyAlignment="1">
      <alignment horizontal="center" vertical="center"/>
    </xf>
    <xf numFmtId="0" fontId="46" fillId="0" borderId="2" xfId="0" applyFont="1" applyBorder="1" applyAlignment="1">
      <alignment horizontal="center" vertical="center"/>
    </xf>
    <xf numFmtId="14" fontId="58" fillId="0" borderId="14" xfId="0" applyNumberFormat="1" applyFont="1" applyBorder="1" applyAlignment="1">
      <alignment horizontal="center" vertical="center"/>
    </xf>
    <xf numFmtId="0" fontId="58" fillId="0" borderId="13" xfId="0" applyFont="1" applyBorder="1" applyAlignment="1">
      <alignment horizontal="center" vertical="center"/>
    </xf>
    <xf numFmtId="0" fontId="58" fillId="0" borderId="12" xfId="0" applyFont="1" applyBorder="1" applyAlignment="1">
      <alignment horizontal="center" vertical="center"/>
    </xf>
    <xf numFmtId="0" fontId="45" fillId="0" borderId="14" xfId="0" applyFont="1" applyBorder="1" applyAlignment="1">
      <alignment horizontal="center" vertical="center"/>
    </xf>
    <xf numFmtId="0" fontId="45" fillId="0" borderId="13" xfId="0" applyFont="1" applyBorder="1" applyAlignment="1">
      <alignment horizontal="center" vertical="center"/>
    </xf>
    <xf numFmtId="0" fontId="45" fillId="0" borderId="12" xfId="0" applyFont="1" applyBorder="1" applyAlignment="1">
      <alignment horizontal="center" vertical="center"/>
    </xf>
    <xf numFmtId="0" fontId="37" fillId="0" borderId="7" xfId="0" applyFont="1" applyBorder="1" applyAlignment="1">
      <alignment horizontal="center" vertical="center" wrapText="1"/>
    </xf>
    <xf numFmtId="0" fontId="46" fillId="14" borderId="0" xfId="0" applyFont="1" applyFill="1" applyAlignment="1">
      <alignment horizontal="left" vertical="center"/>
    </xf>
    <xf numFmtId="0" fontId="60" fillId="0" borderId="0" xfId="0" applyFont="1" applyAlignment="1">
      <alignment horizontal="center"/>
    </xf>
    <xf numFmtId="0" fontId="95" fillId="0" borderId="45" xfId="0" applyFont="1" applyBorder="1" applyAlignment="1">
      <alignment horizontal="center" vertical="center"/>
    </xf>
    <xf numFmtId="0" fontId="95" fillId="0" borderId="0" xfId="0" applyFont="1" applyAlignment="1">
      <alignment horizontal="center" vertical="center"/>
    </xf>
    <xf numFmtId="0" fontId="95" fillId="0" borderId="59" xfId="0" applyFont="1" applyBorder="1" applyAlignment="1">
      <alignment horizontal="center" vertical="center"/>
    </xf>
    <xf numFmtId="0" fontId="104" fillId="0" borderId="2" xfId="0" applyFont="1" applyBorder="1" applyAlignment="1">
      <alignment horizontal="center"/>
    </xf>
    <xf numFmtId="0" fontId="36" fillId="0" borderId="0" xfId="1" applyFont="1" applyAlignment="1">
      <alignment horizontal="center" vertical="center" wrapText="1"/>
    </xf>
    <xf numFmtId="0" fontId="33" fillId="0" borderId="0" xfId="0" applyFont="1" applyAlignment="1">
      <alignment horizontal="center"/>
    </xf>
    <xf numFmtId="0" fontId="57" fillId="0" borderId="12" xfId="1" applyFont="1" applyBorder="1" applyAlignment="1">
      <alignment horizontal="center" vertical="center" wrapText="1"/>
    </xf>
    <xf numFmtId="0" fontId="57" fillId="0" borderId="2" xfId="1" applyFont="1" applyBorder="1" applyAlignment="1">
      <alignment horizontal="center" vertical="center" wrapText="1"/>
    </xf>
    <xf numFmtId="0" fontId="57" fillId="0" borderId="14" xfId="1" applyFont="1" applyBorder="1" applyAlignment="1">
      <alignment horizontal="center" vertical="center" wrapText="1"/>
    </xf>
    <xf numFmtId="0" fontId="57" fillId="0" borderId="9" xfId="1" applyFont="1" applyBorder="1" applyAlignment="1">
      <alignment horizontal="center" vertical="center" wrapText="1"/>
    </xf>
    <xf numFmtId="0" fontId="57" fillId="0" borderId="15" xfId="1" applyFont="1" applyBorder="1" applyAlignment="1">
      <alignment horizontal="center" vertical="center" wrapText="1"/>
    </xf>
    <xf numFmtId="0" fontId="57" fillId="0" borderId="11" xfId="1" applyFont="1" applyBorder="1" applyAlignment="1">
      <alignment horizontal="center" vertical="center" wrapText="1"/>
    </xf>
    <xf numFmtId="0" fontId="33" fillId="0" borderId="59" xfId="0" quotePrefix="1" applyFont="1" applyBorder="1" applyAlignment="1">
      <alignment horizontal="center" textRotation="90"/>
    </xf>
    <xf numFmtId="0" fontId="95" fillId="0" borderId="45" xfId="0" applyFont="1" applyBorder="1" applyAlignment="1">
      <alignment horizontal="center" vertical="center" wrapText="1"/>
    </xf>
    <xf numFmtId="0" fontId="95" fillId="0" borderId="0" xfId="0" applyFont="1" applyAlignment="1">
      <alignment horizontal="center" vertical="center" wrapText="1"/>
    </xf>
    <xf numFmtId="0" fontId="95" fillId="0" borderId="59" xfId="0" applyFont="1" applyBorder="1" applyAlignment="1">
      <alignment horizontal="center" vertical="center" wrapText="1"/>
    </xf>
    <xf numFmtId="0" fontId="45" fillId="0" borderId="2" xfId="0" applyFont="1" applyBorder="1" applyAlignment="1">
      <alignment horizontal="center" vertical="center" wrapText="1"/>
    </xf>
    <xf numFmtId="0" fontId="57" fillId="0" borderId="11" xfId="0" applyFont="1" applyBorder="1" applyAlignment="1">
      <alignment horizontal="center"/>
    </xf>
    <xf numFmtId="0" fontId="57" fillId="0" borderId="9" xfId="0" applyFont="1" applyBorder="1" applyAlignment="1">
      <alignment horizontal="center"/>
    </xf>
    <xf numFmtId="0" fontId="57" fillId="0" borderId="6" xfId="0" applyFont="1" applyBorder="1" applyAlignment="1">
      <alignment horizontal="center"/>
    </xf>
    <xf numFmtId="0" fontId="57" fillId="0" borderId="4" xfId="0" applyFont="1" applyBorder="1" applyAlignment="1">
      <alignment horizontal="center"/>
    </xf>
    <xf numFmtId="0" fontId="45" fillId="0" borderId="11" xfId="0" applyFont="1" applyBorder="1" applyAlignment="1">
      <alignment horizontal="center" vertical="center"/>
    </xf>
    <xf numFmtId="0" fontId="45" fillId="0" borderId="10" xfId="0" applyFont="1" applyBorder="1" applyAlignment="1">
      <alignment horizontal="center" vertical="center"/>
    </xf>
    <xf numFmtId="0" fontId="45" fillId="0" borderId="9" xfId="0" applyFont="1" applyBorder="1" applyAlignment="1">
      <alignment horizontal="center" vertical="center"/>
    </xf>
    <xf numFmtId="0" fontId="45" fillId="0" borderId="6" xfId="0" applyFont="1" applyBorder="1" applyAlignment="1">
      <alignment horizontal="center" vertical="center"/>
    </xf>
    <xf numFmtId="0" fontId="45" fillId="0" borderId="5" xfId="0" applyFont="1" applyBorder="1" applyAlignment="1">
      <alignment horizontal="center" vertical="center"/>
    </xf>
    <xf numFmtId="0" fontId="45" fillId="0" borderId="4" xfId="0" applyFont="1" applyBorder="1" applyAlignment="1">
      <alignment horizontal="center" vertical="center"/>
    </xf>
    <xf numFmtId="0" fontId="41" fillId="7" borderId="16" xfId="0" applyFont="1" applyFill="1" applyBorder="1" applyAlignment="1">
      <alignment horizontal="right" vertical="center" wrapText="1"/>
    </xf>
    <xf numFmtId="0" fontId="48" fillId="9" borderId="85" xfId="0" applyFont="1" applyFill="1" applyBorder="1" applyAlignment="1">
      <alignment horizontal="left" vertical="center"/>
    </xf>
    <xf numFmtId="0" fontId="48" fillId="9" borderId="0" xfId="0" applyFont="1" applyFill="1" applyAlignment="1">
      <alignment horizontal="left" vertical="center"/>
    </xf>
    <xf numFmtId="0" fontId="0" fillId="6" borderId="0" xfId="0" applyFill="1" applyAlignment="1">
      <alignment horizontal="center"/>
    </xf>
    <xf numFmtId="0" fontId="0" fillId="16" borderId="0" xfId="0" applyFill="1" applyAlignment="1">
      <alignment horizontal="center"/>
    </xf>
    <xf numFmtId="0" fontId="29" fillId="0" borderId="60" xfId="0" applyFont="1" applyBorder="1" applyAlignment="1">
      <alignment horizontal="center" vertical="center"/>
    </xf>
    <xf numFmtId="0" fontId="29" fillId="0" borderId="61" xfId="0" applyFont="1" applyBorder="1" applyAlignment="1">
      <alignment horizontal="center" vertical="center"/>
    </xf>
    <xf numFmtId="0" fontId="29" fillId="0" borderId="62" xfId="0" applyFont="1" applyBorder="1" applyAlignment="1">
      <alignment horizontal="center" vertical="center"/>
    </xf>
    <xf numFmtId="0" fontId="1" fillId="0" borderId="2" xfId="1" applyFont="1" applyBorder="1" applyAlignment="1">
      <alignment horizontal="center" vertical="center"/>
    </xf>
    <xf numFmtId="0" fontId="4" fillId="0" borderId="2" xfId="1" applyBorder="1" applyAlignment="1">
      <alignment horizontal="center"/>
    </xf>
    <xf numFmtId="0" fontId="4" fillId="0" borderId="2" xfId="1" applyBorder="1" applyAlignment="1">
      <alignment horizontal="center" vertical="center"/>
    </xf>
    <xf numFmtId="0" fontId="4" fillId="0" borderId="2" xfId="1" applyBorder="1"/>
    <xf numFmtId="0" fontId="15" fillId="15" borderId="2" xfId="1" applyFont="1" applyFill="1" applyBorder="1" applyAlignment="1">
      <alignment horizontal="center" vertical="center"/>
    </xf>
    <xf numFmtId="0" fontId="1" fillId="0" borderId="2" xfId="1" applyFont="1" applyBorder="1" applyAlignment="1">
      <alignment horizontal="center"/>
    </xf>
    <xf numFmtId="0" fontId="4" fillId="0" borderId="0" xfId="1" applyAlignment="1">
      <alignment horizontal="center"/>
    </xf>
    <xf numFmtId="0" fontId="13" fillId="0" borderId="44" xfId="1" applyFont="1" applyBorder="1" applyAlignment="1">
      <alignment horizontal="center"/>
    </xf>
    <xf numFmtId="0" fontId="13" fillId="0" borderId="43" xfId="1" applyFont="1" applyBorder="1" applyAlignment="1">
      <alignment horizontal="center"/>
    </xf>
    <xf numFmtId="0" fontId="4" fillId="0" borderId="2" xfId="1" applyBorder="1" applyAlignment="1">
      <alignment horizontal="center" vertical="center" wrapText="1"/>
    </xf>
    <xf numFmtId="0" fontId="7" fillId="0" borderId="2" xfId="1" applyFont="1" applyBorder="1" applyAlignment="1">
      <alignment horizontal="center" vertical="center" wrapText="1"/>
    </xf>
    <xf numFmtId="14" fontId="4" fillId="0" borderId="2" xfId="1" applyNumberFormat="1" applyBorder="1" applyAlignment="1">
      <alignment horizontal="center"/>
    </xf>
    <xf numFmtId="0" fontId="4" fillId="0" borderId="11" xfId="1" applyBorder="1" applyAlignment="1">
      <alignment horizontal="left" vertical="center" wrapText="1"/>
    </xf>
    <xf numFmtId="0" fontId="4" fillId="0" borderId="10" xfId="1" applyBorder="1" applyAlignment="1">
      <alignment horizontal="left" vertical="center" wrapText="1"/>
    </xf>
    <xf numFmtId="0" fontId="4" fillId="0" borderId="9" xfId="1" applyBorder="1" applyAlignment="1">
      <alignment horizontal="left" vertical="center" wrapText="1"/>
    </xf>
    <xf numFmtId="0" fontId="4" fillId="0" borderId="6" xfId="1" applyBorder="1" applyAlignment="1">
      <alignment horizontal="left" vertical="center" wrapText="1"/>
    </xf>
    <xf numFmtId="0" fontId="4" fillId="0" borderId="5" xfId="1" applyBorder="1" applyAlignment="1">
      <alignment horizontal="left" vertical="center" wrapText="1"/>
    </xf>
    <xf numFmtId="0" fontId="4" fillId="0" borderId="4" xfId="1" applyBorder="1" applyAlignment="1">
      <alignment horizontal="left" vertical="center" wrapText="1"/>
    </xf>
    <xf numFmtId="0" fontId="10" fillId="0" borderId="2" xfId="1" applyFont="1" applyBorder="1" applyAlignment="1">
      <alignment horizontal="center" vertical="center" wrapText="1"/>
    </xf>
    <xf numFmtId="0" fontId="4" fillId="0" borderId="2" xfId="1" applyBorder="1" applyAlignment="1">
      <alignment horizontal="left" vertical="center" wrapText="1"/>
    </xf>
    <xf numFmtId="0" fontId="21" fillId="15" borderId="0" xfId="0" applyFont="1" applyFill="1" applyAlignment="1">
      <alignment horizontal="center" vertical="center"/>
    </xf>
    <xf numFmtId="0" fontId="103" fillId="0" borderId="39" xfId="1" applyFont="1" applyBorder="1" applyAlignment="1">
      <alignment horizontal="center" vertical="center" wrapText="1"/>
    </xf>
    <xf numFmtId="0" fontId="103" fillId="0" borderId="38" xfId="1" applyFont="1" applyBorder="1" applyAlignment="1">
      <alignment horizontal="center" vertical="center" wrapText="1"/>
    </xf>
    <xf numFmtId="0" fontId="77" fillId="0" borderId="40" xfId="1" applyFont="1" applyBorder="1" applyAlignment="1">
      <alignment horizontal="center" vertical="center" shrinkToFit="1"/>
    </xf>
    <xf numFmtId="0" fontId="4" fillId="0" borderId="39" xfId="1" applyBorder="1" applyAlignment="1">
      <alignment horizontal="center" vertical="center" shrinkToFit="1"/>
    </xf>
    <xf numFmtId="0" fontId="4" fillId="0" borderId="38" xfId="1" applyBorder="1" applyAlignment="1">
      <alignment horizontal="center" vertical="center" shrinkToFit="1"/>
    </xf>
    <xf numFmtId="0" fontId="82" fillId="0" borderId="40" xfId="1" applyFont="1" applyBorder="1" applyAlignment="1">
      <alignment horizontal="center" vertical="center"/>
    </xf>
    <xf numFmtId="0" fontId="82" fillId="0" borderId="39" xfId="1" applyFont="1" applyBorder="1" applyAlignment="1">
      <alignment horizontal="center" vertical="center"/>
    </xf>
    <xf numFmtId="0" fontId="82" fillId="0" borderId="38" xfId="1" applyFont="1" applyBorder="1" applyAlignment="1">
      <alignment horizontal="center" vertical="center"/>
    </xf>
    <xf numFmtId="0" fontId="78" fillId="0" borderId="40" xfId="1" applyFont="1" applyBorder="1" applyAlignment="1">
      <alignment horizontal="center" vertical="center"/>
    </xf>
    <xf numFmtId="0" fontId="78" fillId="0" borderId="39" xfId="1" applyFont="1" applyBorder="1" applyAlignment="1">
      <alignment horizontal="center" vertical="center"/>
    </xf>
    <xf numFmtId="0" fontId="78" fillId="0" borderId="38" xfId="1" applyFont="1" applyBorder="1" applyAlignment="1">
      <alignment horizontal="center" vertical="center"/>
    </xf>
    <xf numFmtId="0" fontId="76" fillId="0" borderId="40" xfId="1" applyFont="1" applyBorder="1" applyAlignment="1">
      <alignment horizontal="center" vertical="center"/>
    </xf>
    <xf numFmtId="0" fontId="76" fillId="0" borderId="39" xfId="1" applyFont="1" applyBorder="1" applyAlignment="1">
      <alignment horizontal="center" vertical="center"/>
    </xf>
    <xf numFmtId="0" fontId="76" fillId="0" borderId="38" xfId="1" applyFont="1" applyBorder="1" applyAlignment="1">
      <alignment horizontal="center" vertical="center"/>
    </xf>
    <xf numFmtId="0" fontId="76" fillId="0" borderId="0" xfId="1" applyFont="1" applyAlignment="1">
      <alignment horizontal="center" vertical="center"/>
    </xf>
    <xf numFmtId="0" fontId="76" fillId="0" borderId="40" xfId="1" applyFont="1" applyBorder="1" applyAlignment="1">
      <alignment horizontal="center" vertical="center" shrinkToFit="1"/>
    </xf>
    <xf numFmtId="0" fontId="76" fillId="0" borderId="39" xfId="1" applyFont="1" applyBorder="1" applyAlignment="1">
      <alignment horizontal="center" vertical="center" shrinkToFit="1"/>
    </xf>
    <xf numFmtId="0" fontId="76" fillId="0" borderId="38" xfId="1" applyFont="1" applyBorder="1" applyAlignment="1">
      <alignment horizontal="center" vertical="center" shrinkToFit="1"/>
    </xf>
    <xf numFmtId="0" fontId="33" fillId="7" borderId="50" xfId="1" applyFont="1" applyFill="1" applyBorder="1" applyAlignment="1">
      <alignment horizontal="center" vertical="center" wrapText="1"/>
    </xf>
    <xf numFmtId="0" fontId="33" fillId="7" borderId="51" xfId="1" applyFont="1" applyFill="1" applyBorder="1" applyAlignment="1">
      <alignment horizontal="center" vertical="center" wrapText="1"/>
    </xf>
    <xf numFmtId="0" fontId="33" fillId="7" borderId="52" xfId="1" applyFont="1" applyFill="1" applyBorder="1" applyAlignment="1">
      <alignment horizontal="center" vertical="center" wrapText="1"/>
    </xf>
    <xf numFmtId="166" fontId="33" fillId="7" borderId="49" xfId="1" applyNumberFormat="1" applyFont="1" applyFill="1" applyBorder="1" applyAlignment="1">
      <alignment horizontal="center" vertical="center" wrapText="1"/>
    </xf>
    <xf numFmtId="0" fontId="108" fillId="7" borderId="49" xfId="1" applyFont="1" applyFill="1" applyBorder="1" applyAlignment="1">
      <alignment horizontal="center" vertical="center" wrapText="1"/>
    </xf>
    <xf numFmtId="166" fontId="108" fillId="23" borderId="67" xfId="1" applyNumberFormat="1" applyFont="1" applyFill="1" applyBorder="1" applyAlignment="1">
      <alignment horizontal="center" vertical="center"/>
    </xf>
    <xf numFmtId="166" fontId="108" fillId="23" borderId="70" xfId="1" applyNumberFormat="1" applyFont="1" applyFill="1" applyBorder="1" applyAlignment="1">
      <alignment horizontal="center" vertical="center"/>
    </xf>
    <xf numFmtId="0" fontId="109" fillId="0" borderId="2" xfId="2" applyFont="1" applyBorder="1" applyAlignment="1">
      <alignment horizontal="center" vertical="center"/>
    </xf>
    <xf numFmtId="0" fontId="110" fillId="0" borderId="2" xfId="1" applyFont="1" applyBorder="1" applyAlignment="1">
      <alignment horizontal="center" vertical="center" wrapText="1"/>
    </xf>
  </cellXfs>
  <cellStyles count="9">
    <cellStyle name="Hesaplama 2" xfId="3" xr:uid="{95897ACE-5E6A-4DC0-8BF2-81F9B9999575}"/>
    <cellStyle name="Köprü" xfId="4" builtinId="8"/>
    <cellStyle name="Normal" xfId="0" builtinId="0"/>
    <cellStyle name="Normal 2" xfId="1" xr:uid="{05F6DA90-9901-4F14-92C1-720001D25CDF}"/>
    <cellStyle name="Normal 2 2" xfId="2" xr:uid="{B0C50960-DBE0-4EF6-BF78-E86B92185A9B}"/>
    <cellStyle name="Normal 3" xfId="6" xr:uid="{D73312FD-0CC5-4141-BC4E-1C3C3DA5C3DE}"/>
    <cellStyle name="Nötr" xfId="7" builtinId="28"/>
    <cellStyle name="ParaBirimi" xfId="5" builtinId="4"/>
    <cellStyle name="Vurgu4" xfId="8" builtinId="41"/>
  </cellStyles>
  <dxfs count="127">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9C0006"/>
      </font>
      <fill>
        <patternFill>
          <bgColor rgb="FFFFC7CE"/>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92D050"/>
        </patternFill>
      </fill>
    </dxf>
    <dxf>
      <numFmt numFmtId="172" formatCode="#,##0.00\ \€"/>
    </dxf>
    <dxf>
      <numFmt numFmtId="172" formatCode="#,##0.00\ \€"/>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left"/>
    </dxf>
    <dxf>
      <alignment horizontal="left"/>
    </dxf>
    <dxf>
      <alignment horizontal="left"/>
    </dxf>
    <dxf>
      <alignment vertical="top"/>
    </dxf>
    <dxf>
      <alignment vertical="top"/>
    </dxf>
    <dxf>
      <alignment vertical="top"/>
    </dxf>
    <dxf>
      <numFmt numFmtId="2" formatCode="0.00"/>
    </dxf>
    <dxf>
      <numFmt numFmtId="2" formatCode="0.00"/>
    </dxf>
    <dxf>
      <numFmt numFmtId="167" formatCode="_-[$€-2]\ * #,##0.00_-;\-[$€-2]\ * #,##0.00_-;_-[$€-2]\ * &quot;-&quot;??_-;_-@_-"/>
    </dxf>
    <dxf>
      <numFmt numFmtId="167" formatCode="_-[$€-2]\ * #,##0.00_-;\-[$€-2]\ * #,##0.00_-;_-[$€-2]\ * &quot;-&quot;??_-;_-@_-"/>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C000"/>
        </patternFill>
      </fill>
    </dxf>
    <dxf>
      <fill>
        <patternFill>
          <bgColor rgb="FFC00000"/>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ill>
        <patternFill>
          <bgColor rgb="FFC0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none">
          <fgColor indexed="64"/>
          <bgColor auto="1"/>
        </patternFill>
      </fill>
      <border>
        <left/>
        <right/>
        <top/>
        <bottom/>
        <vertical/>
        <horizontal/>
      </border>
    </dxf>
    <dxf>
      <fill>
        <patternFill>
          <bgColor theme="4"/>
        </patternFill>
      </fill>
    </dxf>
    <dxf>
      <fill>
        <patternFill>
          <bgColor theme="4"/>
        </patternFill>
      </fill>
    </dxf>
    <dxf>
      <fill>
        <patternFill>
          <bgColor rgb="FFFFC000"/>
        </patternFill>
      </fill>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109612A3-2DBA-4016-AA1B-40E7CB7B099A}">
      <tableStyleElement type="wholeTable" dxfId="126"/>
      <tableStyleElement type="headerRow" dxfId="125"/>
      <tableStyleElement type="firstRowStripe" dxfId="124"/>
    </tableStyle>
    <tableStyle name="TableStyleQueryResult" pivot="0" count="3" xr9:uid="{99BCE247-2282-4E1C-AA0B-15E3863C8270}">
      <tableStyleElement type="wholeTable" dxfId="123"/>
      <tableStyleElement type="headerRow" dxfId="122"/>
      <tableStyleElement type="firstRowStripe"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s>
</file>

<file path=xl/drawings/_rels/drawing2.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3.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4.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5.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6.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68.png"/></Relationships>
</file>

<file path=xl/drawings/_rels/drawing7.xml.rels><?xml version="1.0" encoding="UTF-8" standalone="yes"?>
<Relationships xmlns="http://schemas.openxmlformats.org/package/2006/relationships"><Relationship Id="rId3" Type="http://schemas.openxmlformats.org/officeDocument/2006/relationships/image" Target="../media/image72.jpeg"/><Relationship Id="rId2" Type="http://schemas.openxmlformats.org/officeDocument/2006/relationships/image" Target="../media/image71.jpeg"/><Relationship Id="rId1" Type="http://schemas.openxmlformats.org/officeDocument/2006/relationships/image" Target="../media/image70.png"/><Relationship Id="rId5" Type="http://schemas.openxmlformats.org/officeDocument/2006/relationships/image" Target="../media/image74.jpeg"/><Relationship Id="rId4" Type="http://schemas.openxmlformats.org/officeDocument/2006/relationships/image" Target="../media/image7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_rels/drawing9.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drawing1.xml><?xml version="1.0" encoding="utf-8"?>
<xdr:wsDr xmlns:xdr="http://schemas.openxmlformats.org/drawingml/2006/spreadsheetDrawing" xmlns:a="http://schemas.openxmlformats.org/drawingml/2006/main">
  <xdr:twoCellAnchor>
    <xdr:from>
      <xdr:col>11</xdr:col>
      <xdr:colOff>627400</xdr:colOff>
      <xdr:row>4</xdr:row>
      <xdr:rowOff>239115</xdr:rowOff>
    </xdr:from>
    <xdr:to>
      <xdr:col>11</xdr:col>
      <xdr:colOff>886921</xdr:colOff>
      <xdr:row>4</xdr:row>
      <xdr:rowOff>433268</xdr:rowOff>
    </xdr:to>
    <xdr:sp macro="" textlink="">
      <xdr:nvSpPr>
        <xdr:cNvPr id="2" name="Ok: Aşağı 1">
          <a:extLst>
            <a:ext uri="{FF2B5EF4-FFF2-40B4-BE49-F238E27FC236}">
              <a16:creationId xmlns:a16="http://schemas.microsoft.com/office/drawing/2014/main" id="{74DD6B38-813F-C588-B88A-C4EB6B1E1402}"/>
            </a:ext>
          </a:extLst>
        </xdr:cNvPr>
        <xdr:cNvSpPr/>
      </xdr:nvSpPr>
      <xdr:spPr>
        <a:xfrm>
          <a:off x="13429000" y="2194915"/>
          <a:ext cx="259521" cy="19415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kern="1200"/>
        </a:p>
      </xdr:txBody>
    </xdr:sp>
    <xdr:clientData/>
  </xdr:twoCellAnchor>
  <xdr:twoCellAnchor>
    <xdr:from>
      <xdr:col>12</xdr:col>
      <xdr:colOff>1346200</xdr:colOff>
      <xdr:row>3</xdr:row>
      <xdr:rowOff>101601</xdr:rowOff>
    </xdr:from>
    <xdr:to>
      <xdr:col>14</xdr:col>
      <xdr:colOff>117264</xdr:colOff>
      <xdr:row>4</xdr:row>
      <xdr:rowOff>254001</xdr:rowOff>
    </xdr:to>
    <xdr:sp macro="[0]!TEMZLE_makro" textlink="">
      <xdr:nvSpPr>
        <xdr:cNvPr id="3" name="Akış Çizelgesi: Öteki İşlem 2">
          <a:extLst>
            <a:ext uri="{FF2B5EF4-FFF2-40B4-BE49-F238E27FC236}">
              <a16:creationId xmlns:a16="http://schemas.microsoft.com/office/drawing/2014/main" id="{879C25F2-A392-31F4-E36A-B4707D882DA1}"/>
            </a:ext>
          </a:extLst>
        </xdr:cNvPr>
        <xdr:cNvSpPr/>
      </xdr:nvSpPr>
      <xdr:spPr>
        <a:xfrm>
          <a:off x="15646400" y="1892301"/>
          <a:ext cx="1768264"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TEMİZLE</a:t>
          </a:r>
        </a:p>
      </xdr:txBody>
    </xdr:sp>
    <xdr:clientData/>
  </xdr:twoCellAnchor>
  <xdr:twoCellAnchor>
    <xdr:from>
      <xdr:col>14</xdr:col>
      <xdr:colOff>711199</xdr:colOff>
      <xdr:row>3</xdr:row>
      <xdr:rowOff>88900</xdr:rowOff>
    </xdr:from>
    <xdr:to>
      <xdr:col>16</xdr:col>
      <xdr:colOff>550948</xdr:colOff>
      <xdr:row>4</xdr:row>
      <xdr:rowOff>247651</xdr:rowOff>
    </xdr:to>
    <xdr:sp macro="[0]!prjkydt" textlink="">
      <xdr:nvSpPr>
        <xdr:cNvPr id="4" name="Akış Çizelgesi: Öteki İşlem 3">
          <a:extLst>
            <a:ext uri="{FF2B5EF4-FFF2-40B4-BE49-F238E27FC236}">
              <a16:creationId xmlns:a16="http://schemas.microsoft.com/office/drawing/2014/main" id="{C47A29FF-4F31-4A24-B5A1-437EA41EB756}"/>
            </a:ext>
          </a:extLst>
        </xdr:cNvPr>
        <xdr:cNvSpPr/>
      </xdr:nvSpPr>
      <xdr:spPr>
        <a:xfrm>
          <a:off x="18008599" y="1879600"/>
          <a:ext cx="1681249" cy="323851"/>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PROJE KAYDET</a:t>
          </a:r>
        </a:p>
      </xdr:txBody>
    </xdr:sp>
    <xdr:clientData/>
  </xdr:twoCellAnchor>
  <xdr:twoCellAnchor>
    <xdr:from>
      <xdr:col>16</xdr:col>
      <xdr:colOff>831850</xdr:colOff>
      <xdr:row>3</xdr:row>
      <xdr:rowOff>76201</xdr:rowOff>
    </xdr:from>
    <xdr:to>
      <xdr:col>17</xdr:col>
      <xdr:colOff>1447376</xdr:colOff>
      <xdr:row>4</xdr:row>
      <xdr:rowOff>228601</xdr:rowOff>
    </xdr:to>
    <xdr:sp macro="[0]!PdfKaydet" textlink="">
      <xdr:nvSpPr>
        <xdr:cNvPr id="5" name="Akış Çizelgesi: Öteki İşlem 4">
          <a:extLst>
            <a:ext uri="{FF2B5EF4-FFF2-40B4-BE49-F238E27FC236}">
              <a16:creationId xmlns:a16="http://schemas.microsoft.com/office/drawing/2014/main" id="{6313E6A7-DBD9-4B65-BE0D-2E41DACBC6C2}"/>
            </a:ext>
          </a:extLst>
        </xdr:cNvPr>
        <xdr:cNvSpPr/>
      </xdr:nvSpPr>
      <xdr:spPr>
        <a:xfrm>
          <a:off x="19970750" y="1866901"/>
          <a:ext cx="1631526"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twoCellAnchor>
    <xdr:from>
      <xdr:col>18</xdr:col>
      <xdr:colOff>298449</xdr:colOff>
      <xdr:row>3</xdr:row>
      <xdr:rowOff>50801</xdr:rowOff>
    </xdr:from>
    <xdr:to>
      <xdr:col>19</xdr:col>
      <xdr:colOff>1187450</xdr:colOff>
      <xdr:row>4</xdr:row>
      <xdr:rowOff>190501</xdr:rowOff>
    </xdr:to>
    <xdr:sp macro="[0]!pdf_imalat" textlink="">
      <xdr:nvSpPr>
        <xdr:cNvPr id="6" name="Akış Çizelgesi: Öteki İşlem 5">
          <a:extLst>
            <a:ext uri="{FF2B5EF4-FFF2-40B4-BE49-F238E27FC236}">
              <a16:creationId xmlns:a16="http://schemas.microsoft.com/office/drawing/2014/main" id="{9FC16312-5707-4AA4-9952-37A8A08CC18C}"/>
            </a:ext>
          </a:extLst>
        </xdr:cNvPr>
        <xdr:cNvSpPr/>
      </xdr:nvSpPr>
      <xdr:spPr>
        <a:xfrm>
          <a:off x="21951949" y="1841501"/>
          <a:ext cx="1905001" cy="3048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İMALAT PDF</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333224</xdr:colOff>
      <xdr:row>1</xdr:row>
      <xdr:rowOff>58296</xdr:rowOff>
    </xdr:from>
    <xdr:ext cx="1464101" cy="507675"/>
    <xdr:pic>
      <xdr:nvPicPr>
        <xdr:cNvPr id="2" name="Resim 1">
          <a:extLst>
            <a:ext uri="{FF2B5EF4-FFF2-40B4-BE49-F238E27FC236}">
              <a16:creationId xmlns:a16="http://schemas.microsoft.com/office/drawing/2014/main" id="{2B8BEEFA-97C1-4C2F-AC4F-8F3641298485}"/>
            </a:ext>
          </a:extLst>
        </xdr:cNvPr>
        <xdr:cNvPicPr>
          <a:picLocks noChangeAspect="1"/>
        </xdr:cNvPicPr>
      </xdr:nvPicPr>
      <xdr:blipFill>
        <a:blip xmlns:r="http://schemas.openxmlformats.org/officeDocument/2006/relationships" r:embed="rId1"/>
        <a:stretch>
          <a:fillRect/>
        </a:stretch>
      </xdr:blipFill>
      <xdr:spPr>
        <a:xfrm>
          <a:off x="728878" y="80277"/>
          <a:ext cx="1464101" cy="507675"/>
        </a:xfrm>
        <a:prstGeom prst="rect">
          <a:avLst/>
        </a:prstGeom>
      </xdr:spPr>
    </xdr:pic>
    <xdr:clientData/>
  </xdr:oneCellAnchor>
  <xdr:oneCellAnchor>
    <xdr:from>
      <xdr:col>11</xdr:col>
      <xdr:colOff>275980</xdr:colOff>
      <xdr:row>1</xdr:row>
      <xdr:rowOff>50663</xdr:rowOff>
    </xdr:from>
    <xdr:ext cx="2478355" cy="513510"/>
    <xdr:pic>
      <xdr:nvPicPr>
        <xdr:cNvPr id="3" name="Resim 2">
          <a:extLst>
            <a:ext uri="{FF2B5EF4-FFF2-40B4-BE49-F238E27FC236}">
              <a16:creationId xmlns:a16="http://schemas.microsoft.com/office/drawing/2014/main" id="{AD4DE01A-D4F7-4C1A-ACC7-ADF82625E2B7}"/>
            </a:ext>
          </a:extLst>
        </xdr:cNvPr>
        <xdr:cNvPicPr>
          <a:picLocks noChangeAspect="1"/>
        </xdr:cNvPicPr>
      </xdr:nvPicPr>
      <xdr:blipFill>
        <a:blip xmlns:r="http://schemas.openxmlformats.org/officeDocument/2006/relationships" r:embed="rId2"/>
        <a:stretch>
          <a:fillRect/>
        </a:stretch>
      </xdr:blipFill>
      <xdr:spPr>
        <a:xfrm>
          <a:off x="6247422" y="72644"/>
          <a:ext cx="2478355" cy="51351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2</xdr:col>
      <xdr:colOff>206834</xdr:colOff>
      <xdr:row>1</xdr:row>
      <xdr:rowOff>71119</xdr:rowOff>
    </xdr:from>
    <xdr:ext cx="1464101" cy="476569"/>
    <xdr:pic>
      <xdr:nvPicPr>
        <xdr:cNvPr id="2" name="Resim 1">
          <a:extLst>
            <a:ext uri="{FF2B5EF4-FFF2-40B4-BE49-F238E27FC236}">
              <a16:creationId xmlns:a16="http://schemas.microsoft.com/office/drawing/2014/main" id="{B059DB3A-1BDE-49B7-A721-9C16F7B28C8F}"/>
            </a:ext>
          </a:extLst>
        </xdr:cNvPr>
        <xdr:cNvPicPr>
          <a:picLocks noChangeAspect="1"/>
        </xdr:cNvPicPr>
      </xdr:nvPicPr>
      <xdr:blipFill>
        <a:blip xmlns:r="http://schemas.openxmlformats.org/officeDocument/2006/relationships" r:embed="rId1"/>
        <a:stretch>
          <a:fillRect/>
        </a:stretch>
      </xdr:blipFill>
      <xdr:spPr>
        <a:xfrm>
          <a:off x="611647" y="178275"/>
          <a:ext cx="1464101" cy="476569"/>
        </a:xfrm>
        <a:prstGeom prst="rect">
          <a:avLst/>
        </a:prstGeom>
      </xdr:spPr>
    </xdr:pic>
    <xdr:clientData/>
  </xdr:oneCellAnchor>
  <xdr:oneCellAnchor>
    <xdr:from>
      <xdr:col>11</xdr:col>
      <xdr:colOff>297045</xdr:colOff>
      <xdr:row>1</xdr:row>
      <xdr:rowOff>80886</xdr:rowOff>
    </xdr:from>
    <xdr:ext cx="2478355" cy="442989"/>
    <xdr:pic>
      <xdr:nvPicPr>
        <xdr:cNvPr id="3" name="Resim 2">
          <a:extLst>
            <a:ext uri="{FF2B5EF4-FFF2-40B4-BE49-F238E27FC236}">
              <a16:creationId xmlns:a16="http://schemas.microsoft.com/office/drawing/2014/main" id="{6FDFE426-DD87-478C-8F15-E6FDF02CABB1}"/>
            </a:ext>
          </a:extLst>
        </xdr:cNvPr>
        <xdr:cNvPicPr>
          <a:picLocks noChangeAspect="1"/>
        </xdr:cNvPicPr>
      </xdr:nvPicPr>
      <xdr:blipFill>
        <a:blip xmlns:r="http://schemas.openxmlformats.org/officeDocument/2006/relationships" r:embed="rId2"/>
        <a:stretch>
          <a:fillRect/>
        </a:stretch>
      </xdr:blipFill>
      <xdr:spPr>
        <a:xfrm>
          <a:off x="6000139" y="188042"/>
          <a:ext cx="2478355" cy="442989"/>
        </a:xfrm>
        <a:prstGeom prst="rect">
          <a:avLst/>
        </a:prstGeom>
      </xdr:spPr>
    </xdr:pic>
    <xdr:clientData/>
  </xdr:oneCellAnchor>
  <xdr:twoCellAnchor>
    <xdr:from>
      <xdr:col>15</xdr:col>
      <xdr:colOff>430695</xdr:colOff>
      <xdr:row>13</xdr:row>
      <xdr:rowOff>132522</xdr:rowOff>
    </xdr:from>
    <xdr:to>
      <xdr:col>17</xdr:col>
      <xdr:colOff>421723</xdr:colOff>
      <xdr:row>16</xdr:row>
      <xdr:rowOff>196954</xdr:rowOff>
    </xdr:to>
    <xdr:sp macro="[0]!tklfx" textlink="">
      <xdr:nvSpPr>
        <xdr:cNvPr id="4" name="Akış Çizelgesi: Öteki İşlem 3">
          <a:extLst>
            <a:ext uri="{FF2B5EF4-FFF2-40B4-BE49-F238E27FC236}">
              <a16:creationId xmlns:a16="http://schemas.microsoft.com/office/drawing/2014/main" id="{7BF108C3-8C17-44B8-92F5-DAC13338AAAF}"/>
            </a:ext>
          </a:extLst>
        </xdr:cNvPr>
        <xdr:cNvSpPr/>
      </xdr:nvSpPr>
      <xdr:spPr>
        <a:xfrm>
          <a:off x="8779565" y="2286000"/>
          <a:ext cx="1603375" cy="467519"/>
        </a:xfrm>
        <a:prstGeom prst="flowChartAlternateProcess">
          <a:avLst/>
        </a:prstGeom>
        <a:solidFill>
          <a:schemeClr val="tx1"/>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261016</xdr:colOff>
      <xdr:row>0</xdr:row>
      <xdr:rowOff>155670</xdr:rowOff>
    </xdr:from>
    <xdr:ext cx="1464101" cy="507675"/>
    <xdr:pic>
      <xdr:nvPicPr>
        <xdr:cNvPr id="85" name="Resim 84">
          <a:extLst>
            <a:ext uri="{FF2B5EF4-FFF2-40B4-BE49-F238E27FC236}">
              <a16:creationId xmlns:a16="http://schemas.microsoft.com/office/drawing/2014/main" id="{21DFF652-2766-42F9-91B9-FA623BA0572E}"/>
            </a:ext>
          </a:extLst>
        </xdr:cNvPr>
        <xdr:cNvPicPr>
          <a:picLocks noChangeAspect="1"/>
        </xdr:cNvPicPr>
      </xdr:nvPicPr>
      <xdr:blipFill>
        <a:blip xmlns:r="http://schemas.openxmlformats.org/officeDocument/2006/relationships" r:embed="rId1"/>
        <a:stretch>
          <a:fillRect/>
        </a:stretch>
      </xdr:blipFill>
      <xdr:spPr>
        <a:xfrm>
          <a:off x="868407" y="155670"/>
          <a:ext cx="1464101" cy="507675"/>
        </a:xfrm>
        <a:prstGeom prst="rect">
          <a:avLst/>
        </a:prstGeom>
      </xdr:spPr>
    </xdr:pic>
    <xdr:clientData/>
  </xdr:oneCellAnchor>
  <xdr:oneCellAnchor>
    <xdr:from>
      <xdr:col>14</xdr:col>
      <xdr:colOff>541554</xdr:colOff>
      <xdr:row>0</xdr:row>
      <xdr:rowOff>199431</xdr:rowOff>
    </xdr:from>
    <xdr:ext cx="2478355" cy="539986"/>
    <xdr:pic>
      <xdr:nvPicPr>
        <xdr:cNvPr id="86" name="Resim 85">
          <a:extLst>
            <a:ext uri="{FF2B5EF4-FFF2-40B4-BE49-F238E27FC236}">
              <a16:creationId xmlns:a16="http://schemas.microsoft.com/office/drawing/2014/main" id="{0BE5EE8D-EA46-44F3-A977-B1FC8583C522}"/>
            </a:ext>
          </a:extLst>
        </xdr:cNvPr>
        <xdr:cNvPicPr>
          <a:picLocks noChangeAspect="1"/>
        </xdr:cNvPicPr>
      </xdr:nvPicPr>
      <xdr:blipFill>
        <a:blip xmlns:r="http://schemas.openxmlformats.org/officeDocument/2006/relationships" r:embed="rId2"/>
        <a:stretch>
          <a:fillRect/>
        </a:stretch>
      </xdr:blipFill>
      <xdr:spPr>
        <a:xfrm>
          <a:off x="6460858" y="199431"/>
          <a:ext cx="2478355" cy="53998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27</xdr:col>
      <xdr:colOff>112058</xdr:colOff>
      <xdr:row>0</xdr:row>
      <xdr:rowOff>94496</xdr:rowOff>
    </xdr:from>
    <xdr:ext cx="2913530" cy="656298"/>
    <xdr:pic>
      <xdr:nvPicPr>
        <xdr:cNvPr id="34" name="Resim 33">
          <a:extLst>
            <a:ext uri="{FF2B5EF4-FFF2-40B4-BE49-F238E27FC236}">
              <a16:creationId xmlns:a16="http://schemas.microsoft.com/office/drawing/2014/main" id="{BA214345-ACF0-45B5-AC22-CE8D30FF32C1}"/>
            </a:ext>
          </a:extLst>
        </xdr:cNvPr>
        <xdr:cNvPicPr>
          <a:picLocks noChangeAspect="1"/>
        </xdr:cNvPicPr>
      </xdr:nvPicPr>
      <xdr:blipFill>
        <a:blip xmlns:r="http://schemas.openxmlformats.org/officeDocument/2006/relationships" r:embed="rId1"/>
        <a:stretch>
          <a:fillRect/>
        </a:stretch>
      </xdr:blipFill>
      <xdr:spPr>
        <a:xfrm>
          <a:off x="12225617" y="94496"/>
          <a:ext cx="2913530" cy="656298"/>
        </a:xfrm>
        <a:prstGeom prst="rect">
          <a:avLst/>
        </a:prstGeom>
      </xdr:spPr>
    </xdr:pic>
    <xdr:clientData/>
  </xdr:oneCellAnchor>
  <xdr:oneCellAnchor>
    <xdr:from>
      <xdr:col>1</xdr:col>
      <xdr:colOff>243453</xdr:colOff>
      <xdr:row>0</xdr:row>
      <xdr:rowOff>74435</xdr:rowOff>
    </xdr:from>
    <xdr:ext cx="4070814" cy="653947"/>
    <xdr:pic>
      <xdr:nvPicPr>
        <xdr:cNvPr id="35" name="Resim 34">
          <a:extLst>
            <a:ext uri="{FF2B5EF4-FFF2-40B4-BE49-F238E27FC236}">
              <a16:creationId xmlns:a16="http://schemas.microsoft.com/office/drawing/2014/main" id="{042D11CE-1171-4CAE-B2CC-4642F932C60A}"/>
            </a:ext>
          </a:extLst>
        </xdr:cNvPr>
        <xdr:cNvPicPr>
          <a:picLocks noChangeAspect="1"/>
        </xdr:cNvPicPr>
      </xdr:nvPicPr>
      <xdr:blipFill>
        <a:blip xmlns:r="http://schemas.openxmlformats.org/officeDocument/2006/relationships" r:embed="rId2"/>
        <a:stretch>
          <a:fillRect/>
        </a:stretch>
      </xdr:blipFill>
      <xdr:spPr>
        <a:xfrm>
          <a:off x="422747" y="74435"/>
          <a:ext cx="4070814" cy="653947"/>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201600</xdr:colOff>
      <xdr:row>1</xdr:row>
      <xdr:rowOff>150829</xdr:rowOff>
    </xdr:from>
    <xdr:to>
      <xdr:col>3</xdr:col>
      <xdr:colOff>306048</xdr:colOff>
      <xdr:row>4</xdr:row>
      <xdr:rowOff>95251</xdr:rowOff>
    </xdr:to>
    <xdr:pic>
      <xdr:nvPicPr>
        <xdr:cNvPr id="2" name="Resim 1">
          <a:extLst>
            <a:ext uri="{FF2B5EF4-FFF2-40B4-BE49-F238E27FC236}">
              <a16:creationId xmlns:a16="http://schemas.microsoft.com/office/drawing/2014/main" id="{FDB2F05C-1506-4B3D-A966-E6660E04A446}"/>
            </a:ext>
          </a:extLst>
        </xdr:cNvPr>
        <xdr:cNvPicPr>
          <a:picLocks noChangeAspect="1"/>
        </xdr:cNvPicPr>
      </xdr:nvPicPr>
      <xdr:blipFill>
        <a:blip xmlns:r="http://schemas.openxmlformats.org/officeDocument/2006/relationships" r:embed="rId1"/>
        <a:stretch>
          <a:fillRect/>
        </a:stretch>
      </xdr:blipFill>
      <xdr:spPr>
        <a:xfrm>
          <a:off x="519100" y="334979"/>
          <a:ext cx="1304598" cy="496872"/>
        </a:xfrm>
        <a:prstGeom prst="rect">
          <a:avLst/>
        </a:prstGeom>
      </xdr:spPr>
    </xdr:pic>
    <xdr:clientData/>
  </xdr:twoCellAnchor>
  <xdr:twoCellAnchor editAs="oneCell">
    <xdr:from>
      <xdr:col>8</xdr:col>
      <xdr:colOff>95251</xdr:colOff>
      <xdr:row>1</xdr:row>
      <xdr:rowOff>161925</xdr:rowOff>
    </xdr:from>
    <xdr:to>
      <xdr:col>9</xdr:col>
      <xdr:colOff>945497</xdr:colOff>
      <xdr:row>4</xdr:row>
      <xdr:rowOff>28575</xdr:rowOff>
    </xdr:to>
    <xdr:pic>
      <xdr:nvPicPr>
        <xdr:cNvPr id="3" name="Resim 2">
          <a:extLst>
            <a:ext uri="{FF2B5EF4-FFF2-40B4-BE49-F238E27FC236}">
              <a16:creationId xmlns:a16="http://schemas.microsoft.com/office/drawing/2014/main" id="{1EBFBBAC-A928-46C1-A6AC-D3EEBAF761B0}"/>
            </a:ext>
          </a:extLst>
        </xdr:cNvPr>
        <xdr:cNvPicPr>
          <a:picLocks noChangeAspect="1"/>
        </xdr:cNvPicPr>
      </xdr:nvPicPr>
      <xdr:blipFill>
        <a:blip xmlns:r="http://schemas.openxmlformats.org/officeDocument/2006/relationships" r:embed="rId2"/>
        <a:stretch>
          <a:fillRect/>
        </a:stretch>
      </xdr:blipFill>
      <xdr:spPr>
        <a:xfrm>
          <a:off x="4591051" y="346075"/>
          <a:ext cx="1516996" cy="4191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34</xdr:row>
      <xdr:rowOff>166831</xdr:rowOff>
    </xdr:from>
    <xdr:to>
      <xdr:col>1</xdr:col>
      <xdr:colOff>0</xdr:colOff>
      <xdr:row>34</xdr:row>
      <xdr:rowOff>1685636</xdr:rowOff>
    </xdr:to>
    <xdr:pic>
      <xdr:nvPicPr>
        <xdr:cNvPr id="2" name="Resim 1">
          <a:extLst>
            <a:ext uri="{FF2B5EF4-FFF2-40B4-BE49-F238E27FC236}">
              <a16:creationId xmlns:a16="http://schemas.microsoft.com/office/drawing/2014/main" id="{3B35750B-785E-12D1-4F09-4BC997373186}"/>
            </a:ext>
          </a:extLst>
        </xdr:cNvPr>
        <xdr:cNvPicPr>
          <a:picLocks noChangeAspect="1"/>
        </xdr:cNvPicPr>
      </xdr:nvPicPr>
      <xdr:blipFill>
        <a:blip xmlns:r="http://schemas.openxmlformats.org/officeDocument/2006/relationships" r:embed="rId1"/>
        <a:stretch>
          <a:fillRect/>
        </a:stretch>
      </xdr:blipFill>
      <xdr:spPr>
        <a:xfrm>
          <a:off x="0" y="67730831"/>
          <a:ext cx="1708727" cy="1518805"/>
        </a:xfrm>
        <a:prstGeom prst="rect">
          <a:avLst/>
        </a:prstGeom>
      </xdr:spPr>
    </xdr:pic>
    <xdr:clientData/>
  </xdr:twoCellAnchor>
  <xdr:twoCellAnchor editAs="oneCell">
    <xdr:from>
      <xdr:col>0</xdr:col>
      <xdr:colOff>127000</xdr:colOff>
      <xdr:row>109</xdr:row>
      <xdr:rowOff>111125</xdr:rowOff>
    </xdr:from>
    <xdr:to>
      <xdr:col>0</xdr:col>
      <xdr:colOff>1463675</xdr:colOff>
      <xdr:row>109</xdr:row>
      <xdr:rowOff>1952625</xdr:rowOff>
    </xdr:to>
    <xdr:pic>
      <xdr:nvPicPr>
        <xdr:cNvPr id="3" name="Resim 2">
          <a:extLst>
            <a:ext uri="{FF2B5EF4-FFF2-40B4-BE49-F238E27FC236}">
              <a16:creationId xmlns:a16="http://schemas.microsoft.com/office/drawing/2014/main" id="{872FB095-69DF-4298-9E3D-20E5064524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7000" y="217789125"/>
          <a:ext cx="1555750" cy="1841500"/>
        </a:xfrm>
        <a:prstGeom prst="rect">
          <a:avLst/>
        </a:prstGeom>
      </xdr:spPr>
    </xdr:pic>
    <xdr:clientData/>
  </xdr:twoCellAnchor>
  <xdr:twoCellAnchor editAs="oneCell">
    <xdr:from>
      <xdr:col>0</xdr:col>
      <xdr:colOff>0</xdr:colOff>
      <xdr:row>110</xdr:row>
      <xdr:rowOff>-1</xdr:rowOff>
    </xdr:from>
    <xdr:to>
      <xdr:col>0</xdr:col>
      <xdr:colOff>1466850</xdr:colOff>
      <xdr:row>111</xdr:row>
      <xdr:rowOff>79374</xdr:rowOff>
    </xdr:to>
    <xdr:pic>
      <xdr:nvPicPr>
        <xdr:cNvPr id="4" name="Resim 3">
          <a:extLst>
            <a:ext uri="{FF2B5EF4-FFF2-40B4-BE49-F238E27FC236}">
              <a16:creationId xmlns:a16="http://schemas.microsoft.com/office/drawing/2014/main" id="{58421616-019F-469B-9F17-A1B61DD820A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219678249"/>
          <a:ext cx="1619250" cy="2079625"/>
        </a:xfrm>
        <a:prstGeom prst="rect">
          <a:avLst/>
        </a:prstGeom>
      </xdr:spPr>
    </xdr:pic>
    <xdr:clientData/>
  </xdr:twoCellAnchor>
  <xdr:twoCellAnchor editAs="oneCell">
    <xdr:from>
      <xdr:col>0</xdr:col>
      <xdr:colOff>0</xdr:colOff>
      <xdr:row>111</xdr:row>
      <xdr:rowOff>0</xdr:rowOff>
    </xdr:from>
    <xdr:to>
      <xdr:col>0</xdr:col>
      <xdr:colOff>1470025</xdr:colOff>
      <xdr:row>111</xdr:row>
      <xdr:rowOff>1905000</xdr:rowOff>
    </xdr:to>
    <xdr:pic>
      <xdr:nvPicPr>
        <xdr:cNvPr id="5" name="Resim 4">
          <a:extLst>
            <a:ext uri="{FF2B5EF4-FFF2-40B4-BE49-F238E27FC236}">
              <a16:creationId xmlns:a16="http://schemas.microsoft.com/office/drawing/2014/main" id="{B0D7E1B8-2CB2-4EF6-BB23-3BD36C9B402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221678500"/>
          <a:ext cx="1651000" cy="1905000"/>
        </a:xfrm>
        <a:prstGeom prst="rect">
          <a:avLst/>
        </a:prstGeom>
      </xdr:spPr>
    </xdr:pic>
    <xdr:clientData/>
  </xdr:twoCellAnchor>
  <xdr:twoCellAnchor editAs="oneCell">
    <xdr:from>
      <xdr:col>0</xdr:col>
      <xdr:colOff>0</xdr:colOff>
      <xdr:row>112</xdr:row>
      <xdr:rowOff>0</xdr:rowOff>
    </xdr:from>
    <xdr:to>
      <xdr:col>0</xdr:col>
      <xdr:colOff>1470024</xdr:colOff>
      <xdr:row>112</xdr:row>
      <xdr:rowOff>1968500</xdr:rowOff>
    </xdr:to>
    <xdr:pic>
      <xdr:nvPicPr>
        <xdr:cNvPr id="6" name="Resim 5">
          <a:extLst>
            <a:ext uri="{FF2B5EF4-FFF2-40B4-BE49-F238E27FC236}">
              <a16:creationId xmlns:a16="http://schemas.microsoft.com/office/drawing/2014/main" id="{7964137E-B985-45E4-B066-DEB7DCF0488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223678750"/>
          <a:ext cx="1603374" cy="19685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8" name="Resim 27">
          <a:extLst>
            <a:ext uri="{FF2B5EF4-FFF2-40B4-BE49-F238E27FC236}">
              <a16:creationId xmlns:a16="http://schemas.microsoft.com/office/drawing/2014/main" id="{DF41D145-C995-4AE8-B6AE-0DAA4FBB580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1</xdr:col>
      <xdr:colOff>74705</xdr:colOff>
      <xdr:row>0</xdr:row>
      <xdr:rowOff>194236</xdr:rowOff>
    </xdr:from>
    <xdr:ext cx="1665941" cy="560294"/>
    <xdr:pic>
      <xdr:nvPicPr>
        <xdr:cNvPr id="29" name="Resim 28">
          <a:extLst>
            <a:ext uri="{FF2B5EF4-FFF2-40B4-BE49-F238E27FC236}">
              <a16:creationId xmlns:a16="http://schemas.microsoft.com/office/drawing/2014/main" id="{79F5A95A-FAB7-4EBE-8582-8E2E5900BF89}"/>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30" name="Resim 29">
          <a:extLst>
            <a:ext uri="{FF2B5EF4-FFF2-40B4-BE49-F238E27FC236}">
              <a16:creationId xmlns:a16="http://schemas.microsoft.com/office/drawing/2014/main" id="{5236504C-5857-4EA0-86B1-A1B7CCBF8B76}"/>
            </a:ext>
          </a:extLst>
        </xdr:cNvPr>
        <xdr:cNvPicPr>
          <a:picLocks noChangeAspect="1"/>
        </xdr:cNvPicPr>
      </xdr:nvPicPr>
      <xdr:blipFill>
        <a:blip xmlns:r="http://schemas.openxmlformats.org/officeDocument/2006/relationships" r:embed="rId2"/>
        <a:stretch>
          <a:fillRect/>
        </a:stretch>
      </xdr:blipFill>
      <xdr:spPr>
        <a:xfrm>
          <a:off x="3139440" y="3749413"/>
          <a:ext cx="1783314" cy="701175"/>
        </a:xfrm>
        <a:prstGeom prst="rect">
          <a:avLst/>
        </a:prstGeom>
      </xdr:spPr>
    </xdr:pic>
    <xdr:clientData/>
  </xdr:oneCellAnchor>
  <xdr:oneCellAnchor>
    <xdr:from>
      <xdr:col>4</xdr:col>
      <xdr:colOff>784411</xdr:colOff>
      <xdr:row>0</xdr:row>
      <xdr:rowOff>56029</xdr:rowOff>
    </xdr:from>
    <xdr:ext cx="1783314" cy="701175"/>
    <xdr:pic>
      <xdr:nvPicPr>
        <xdr:cNvPr id="31" name="Resim 30">
          <a:extLst>
            <a:ext uri="{FF2B5EF4-FFF2-40B4-BE49-F238E27FC236}">
              <a16:creationId xmlns:a16="http://schemas.microsoft.com/office/drawing/2014/main" id="{0C981990-1FC6-4D6F-8BC9-744FE4DC699F}"/>
            </a:ext>
          </a:extLst>
        </xdr:cNvPr>
        <xdr:cNvPicPr>
          <a:picLocks noChangeAspect="1"/>
        </xdr:cNvPicPr>
      </xdr:nvPicPr>
      <xdr:blipFill>
        <a:blip xmlns:r="http://schemas.openxmlformats.org/officeDocument/2006/relationships" r:embed="rId2"/>
        <a:stretch>
          <a:fillRect/>
        </a:stretch>
      </xdr:blipFill>
      <xdr:spPr>
        <a:xfrm>
          <a:off x="3159311" y="5983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362" name="Resim 361">
          <a:extLst>
            <a:ext uri="{FF2B5EF4-FFF2-40B4-BE49-F238E27FC236}">
              <a16:creationId xmlns:a16="http://schemas.microsoft.com/office/drawing/2014/main" id="{845DABA2-13C1-4805-B1F7-53FA8BE2C20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xdr:row>
      <xdr:rowOff>44823</xdr:rowOff>
    </xdr:from>
    <xdr:ext cx="1783314" cy="701175"/>
    <xdr:pic>
      <xdr:nvPicPr>
        <xdr:cNvPr id="363" name="Resim 362">
          <a:extLst>
            <a:ext uri="{FF2B5EF4-FFF2-40B4-BE49-F238E27FC236}">
              <a16:creationId xmlns:a16="http://schemas.microsoft.com/office/drawing/2014/main" id="{024E6948-C110-47F6-A562-F2FC7A0B1DA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xdr:row>
      <xdr:rowOff>156884</xdr:rowOff>
    </xdr:from>
    <xdr:ext cx="1623392" cy="560294"/>
    <xdr:pic>
      <xdr:nvPicPr>
        <xdr:cNvPr id="364" name="Resim 363">
          <a:extLst>
            <a:ext uri="{FF2B5EF4-FFF2-40B4-BE49-F238E27FC236}">
              <a16:creationId xmlns:a16="http://schemas.microsoft.com/office/drawing/2014/main" id="{A49E4375-8F99-4637-A10B-1CA62A32A1AE}"/>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xdr:row>
      <xdr:rowOff>44823</xdr:rowOff>
    </xdr:from>
    <xdr:ext cx="1783314" cy="701175"/>
    <xdr:pic>
      <xdr:nvPicPr>
        <xdr:cNvPr id="365" name="Resim 364">
          <a:extLst>
            <a:ext uri="{FF2B5EF4-FFF2-40B4-BE49-F238E27FC236}">
              <a16:creationId xmlns:a16="http://schemas.microsoft.com/office/drawing/2014/main" id="{8D757A8A-C332-4935-9A5C-F06F47AF5E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xdr:row>
      <xdr:rowOff>156884</xdr:rowOff>
    </xdr:from>
    <xdr:ext cx="1623392" cy="560294"/>
    <xdr:pic>
      <xdr:nvPicPr>
        <xdr:cNvPr id="366" name="Resim 365">
          <a:extLst>
            <a:ext uri="{FF2B5EF4-FFF2-40B4-BE49-F238E27FC236}">
              <a16:creationId xmlns:a16="http://schemas.microsoft.com/office/drawing/2014/main" id="{B7A5452A-A10F-4544-AA0E-474379901D6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xdr:row>
      <xdr:rowOff>44823</xdr:rowOff>
    </xdr:from>
    <xdr:ext cx="1783314" cy="701175"/>
    <xdr:pic>
      <xdr:nvPicPr>
        <xdr:cNvPr id="367" name="Resim 366">
          <a:extLst>
            <a:ext uri="{FF2B5EF4-FFF2-40B4-BE49-F238E27FC236}">
              <a16:creationId xmlns:a16="http://schemas.microsoft.com/office/drawing/2014/main" id="{074DB17B-1862-42FC-BDCF-C8425585297B}"/>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xdr:row>
      <xdr:rowOff>156884</xdr:rowOff>
    </xdr:from>
    <xdr:ext cx="1623392" cy="560294"/>
    <xdr:pic>
      <xdr:nvPicPr>
        <xdr:cNvPr id="368" name="Resim 367">
          <a:extLst>
            <a:ext uri="{FF2B5EF4-FFF2-40B4-BE49-F238E27FC236}">
              <a16:creationId xmlns:a16="http://schemas.microsoft.com/office/drawing/2014/main" id="{153C602C-C601-4C23-AD34-95A47A9A0A2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xdr:row>
      <xdr:rowOff>44823</xdr:rowOff>
    </xdr:from>
    <xdr:ext cx="1783314" cy="701175"/>
    <xdr:pic>
      <xdr:nvPicPr>
        <xdr:cNvPr id="369" name="Resim 368">
          <a:extLst>
            <a:ext uri="{FF2B5EF4-FFF2-40B4-BE49-F238E27FC236}">
              <a16:creationId xmlns:a16="http://schemas.microsoft.com/office/drawing/2014/main" id="{C9AE709E-E017-4D9F-B1F2-B636DF30927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xdr:row>
      <xdr:rowOff>156884</xdr:rowOff>
    </xdr:from>
    <xdr:ext cx="1623392" cy="560294"/>
    <xdr:pic>
      <xdr:nvPicPr>
        <xdr:cNvPr id="370" name="Resim 369">
          <a:extLst>
            <a:ext uri="{FF2B5EF4-FFF2-40B4-BE49-F238E27FC236}">
              <a16:creationId xmlns:a16="http://schemas.microsoft.com/office/drawing/2014/main" id="{44B38D7C-F462-4A82-A21B-27C788C4073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xdr:row>
      <xdr:rowOff>44823</xdr:rowOff>
    </xdr:from>
    <xdr:ext cx="1783314" cy="701175"/>
    <xdr:pic>
      <xdr:nvPicPr>
        <xdr:cNvPr id="371" name="Resim 370">
          <a:extLst>
            <a:ext uri="{FF2B5EF4-FFF2-40B4-BE49-F238E27FC236}">
              <a16:creationId xmlns:a16="http://schemas.microsoft.com/office/drawing/2014/main" id="{D4D203CF-962F-481E-B9A1-D6C6EACBA44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xdr:row>
      <xdr:rowOff>156884</xdr:rowOff>
    </xdr:from>
    <xdr:ext cx="1623392" cy="560294"/>
    <xdr:pic>
      <xdr:nvPicPr>
        <xdr:cNvPr id="372" name="Resim 371">
          <a:extLst>
            <a:ext uri="{FF2B5EF4-FFF2-40B4-BE49-F238E27FC236}">
              <a16:creationId xmlns:a16="http://schemas.microsoft.com/office/drawing/2014/main" id="{7F7A0D78-9E1A-4344-B51E-B184F680B6E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xdr:row>
      <xdr:rowOff>44823</xdr:rowOff>
    </xdr:from>
    <xdr:ext cx="1783314" cy="701175"/>
    <xdr:pic>
      <xdr:nvPicPr>
        <xdr:cNvPr id="373" name="Resim 372">
          <a:extLst>
            <a:ext uri="{FF2B5EF4-FFF2-40B4-BE49-F238E27FC236}">
              <a16:creationId xmlns:a16="http://schemas.microsoft.com/office/drawing/2014/main" id="{4F56777F-BF7F-4DFD-9A7A-999A3278079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xdr:row>
      <xdr:rowOff>156884</xdr:rowOff>
    </xdr:from>
    <xdr:ext cx="1623392" cy="560294"/>
    <xdr:pic>
      <xdr:nvPicPr>
        <xdr:cNvPr id="374" name="Resim 373">
          <a:extLst>
            <a:ext uri="{FF2B5EF4-FFF2-40B4-BE49-F238E27FC236}">
              <a16:creationId xmlns:a16="http://schemas.microsoft.com/office/drawing/2014/main" id="{60B661C8-10A1-4B91-90BC-AFF10E7EF95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xdr:row>
      <xdr:rowOff>44823</xdr:rowOff>
    </xdr:from>
    <xdr:ext cx="1783314" cy="701175"/>
    <xdr:pic>
      <xdr:nvPicPr>
        <xdr:cNvPr id="375" name="Resim 374">
          <a:extLst>
            <a:ext uri="{FF2B5EF4-FFF2-40B4-BE49-F238E27FC236}">
              <a16:creationId xmlns:a16="http://schemas.microsoft.com/office/drawing/2014/main" id="{C918DB4F-81F2-4066-9AA8-260C2DAAF00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72</xdr:row>
      <xdr:rowOff>156884</xdr:rowOff>
    </xdr:from>
    <xdr:ext cx="1623392" cy="560294"/>
    <xdr:pic>
      <xdr:nvPicPr>
        <xdr:cNvPr id="376" name="Resim 375">
          <a:extLst>
            <a:ext uri="{FF2B5EF4-FFF2-40B4-BE49-F238E27FC236}">
              <a16:creationId xmlns:a16="http://schemas.microsoft.com/office/drawing/2014/main" id="{448B7B40-7A27-4D6B-8A6E-30B48D48FE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72</xdr:row>
      <xdr:rowOff>44823</xdr:rowOff>
    </xdr:from>
    <xdr:ext cx="1783314" cy="701175"/>
    <xdr:pic>
      <xdr:nvPicPr>
        <xdr:cNvPr id="377" name="Resim 376">
          <a:extLst>
            <a:ext uri="{FF2B5EF4-FFF2-40B4-BE49-F238E27FC236}">
              <a16:creationId xmlns:a16="http://schemas.microsoft.com/office/drawing/2014/main" id="{E6C6AE48-177E-4FEB-ACC7-CB531700A1C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80</xdr:row>
      <xdr:rowOff>156884</xdr:rowOff>
    </xdr:from>
    <xdr:ext cx="1623392" cy="560294"/>
    <xdr:pic>
      <xdr:nvPicPr>
        <xdr:cNvPr id="378" name="Resim 377">
          <a:extLst>
            <a:ext uri="{FF2B5EF4-FFF2-40B4-BE49-F238E27FC236}">
              <a16:creationId xmlns:a16="http://schemas.microsoft.com/office/drawing/2014/main" id="{B7FE4DCD-2524-436B-B604-7121C2786FF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80</xdr:row>
      <xdr:rowOff>44823</xdr:rowOff>
    </xdr:from>
    <xdr:ext cx="1783314" cy="701175"/>
    <xdr:pic>
      <xdr:nvPicPr>
        <xdr:cNvPr id="379" name="Resim 378">
          <a:extLst>
            <a:ext uri="{FF2B5EF4-FFF2-40B4-BE49-F238E27FC236}">
              <a16:creationId xmlns:a16="http://schemas.microsoft.com/office/drawing/2014/main" id="{738C00DE-7273-49E1-9B15-82D1DCA8E83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88</xdr:row>
      <xdr:rowOff>156884</xdr:rowOff>
    </xdr:from>
    <xdr:ext cx="1623392" cy="560294"/>
    <xdr:pic>
      <xdr:nvPicPr>
        <xdr:cNvPr id="380" name="Resim 379">
          <a:extLst>
            <a:ext uri="{FF2B5EF4-FFF2-40B4-BE49-F238E27FC236}">
              <a16:creationId xmlns:a16="http://schemas.microsoft.com/office/drawing/2014/main" id="{C35061AB-3BE6-421A-83BF-5925CDFC406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88</xdr:row>
      <xdr:rowOff>44823</xdr:rowOff>
    </xdr:from>
    <xdr:ext cx="1783314" cy="701175"/>
    <xdr:pic>
      <xdr:nvPicPr>
        <xdr:cNvPr id="381" name="Resim 380">
          <a:extLst>
            <a:ext uri="{FF2B5EF4-FFF2-40B4-BE49-F238E27FC236}">
              <a16:creationId xmlns:a16="http://schemas.microsoft.com/office/drawing/2014/main" id="{CE0BE6B8-E7D0-4351-B84C-35441A31FC1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96</xdr:row>
      <xdr:rowOff>156884</xdr:rowOff>
    </xdr:from>
    <xdr:ext cx="1623392" cy="560294"/>
    <xdr:pic>
      <xdr:nvPicPr>
        <xdr:cNvPr id="382" name="Resim 381">
          <a:extLst>
            <a:ext uri="{FF2B5EF4-FFF2-40B4-BE49-F238E27FC236}">
              <a16:creationId xmlns:a16="http://schemas.microsoft.com/office/drawing/2014/main" id="{1F8B16DA-57DC-46FC-84B0-CCC5338971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96</xdr:row>
      <xdr:rowOff>44823</xdr:rowOff>
    </xdr:from>
    <xdr:ext cx="1783314" cy="701175"/>
    <xdr:pic>
      <xdr:nvPicPr>
        <xdr:cNvPr id="383" name="Resim 382">
          <a:extLst>
            <a:ext uri="{FF2B5EF4-FFF2-40B4-BE49-F238E27FC236}">
              <a16:creationId xmlns:a16="http://schemas.microsoft.com/office/drawing/2014/main" id="{76E85FA1-18FA-467B-BB18-382B51DA26C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384" name="Resim 383">
          <a:extLst>
            <a:ext uri="{FF2B5EF4-FFF2-40B4-BE49-F238E27FC236}">
              <a16:creationId xmlns:a16="http://schemas.microsoft.com/office/drawing/2014/main" id="{356C2C6E-4450-4B3C-969C-A7F02F19CD0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385" name="Resim 384">
          <a:extLst>
            <a:ext uri="{FF2B5EF4-FFF2-40B4-BE49-F238E27FC236}">
              <a16:creationId xmlns:a16="http://schemas.microsoft.com/office/drawing/2014/main" id="{4D73E086-0B7B-497E-8E1D-C14D381C75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86" name="Resim 385">
          <a:extLst>
            <a:ext uri="{FF2B5EF4-FFF2-40B4-BE49-F238E27FC236}">
              <a16:creationId xmlns:a16="http://schemas.microsoft.com/office/drawing/2014/main" id="{331DE2BB-BEDA-43FD-9DCB-6A27C043DC5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87" name="Resim 386">
          <a:extLst>
            <a:ext uri="{FF2B5EF4-FFF2-40B4-BE49-F238E27FC236}">
              <a16:creationId xmlns:a16="http://schemas.microsoft.com/office/drawing/2014/main" id="{B64ED5DF-A1DD-4E2C-A84A-CB728A49D29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88" name="Resim 387">
          <a:extLst>
            <a:ext uri="{FF2B5EF4-FFF2-40B4-BE49-F238E27FC236}">
              <a16:creationId xmlns:a16="http://schemas.microsoft.com/office/drawing/2014/main" id="{C179F3AA-BE70-4620-9298-51FB9C41C31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89" name="Resim 388">
          <a:extLst>
            <a:ext uri="{FF2B5EF4-FFF2-40B4-BE49-F238E27FC236}">
              <a16:creationId xmlns:a16="http://schemas.microsoft.com/office/drawing/2014/main" id="{36F8D207-E759-4022-8470-4F8850C0DD5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90" name="Resim 389">
          <a:extLst>
            <a:ext uri="{FF2B5EF4-FFF2-40B4-BE49-F238E27FC236}">
              <a16:creationId xmlns:a16="http://schemas.microsoft.com/office/drawing/2014/main" id="{55841D4D-11F6-469A-937D-4E82E2E9197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91" name="Resim 390">
          <a:extLst>
            <a:ext uri="{FF2B5EF4-FFF2-40B4-BE49-F238E27FC236}">
              <a16:creationId xmlns:a16="http://schemas.microsoft.com/office/drawing/2014/main" id="{83B76B9F-21DD-4A2B-B5C9-A4683FD8CA3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92" name="Resim 391">
          <a:extLst>
            <a:ext uri="{FF2B5EF4-FFF2-40B4-BE49-F238E27FC236}">
              <a16:creationId xmlns:a16="http://schemas.microsoft.com/office/drawing/2014/main" id="{F350D964-7064-479E-A490-DE7F013F436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93" name="Resim 392">
          <a:extLst>
            <a:ext uri="{FF2B5EF4-FFF2-40B4-BE49-F238E27FC236}">
              <a16:creationId xmlns:a16="http://schemas.microsoft.com/office/drawing/2014/main" id="{6401BA18-818A-4FF6-96F6-064D84B3976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94" name="Resim 393">
          <a:extLst>
            <a:ext uri="{FF2B5EF4-FFF2-40B4-BE49-F238E27FC236}">
              <a16:creationId xmlns:a16="http://schemas.microsoft.com/office/drawing/2014/main" id="{445C26E1-AE7D-4DC4-98F6-F68002456E0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5" name="Resim 394">
          <a:extLst>
            <a:ext uri="{FF2B5EF4-FFF2-40B4-BE49-F238E27FC236}">
              <a16:creationId xmlns:a16="http://schemas.microsoft.com/office/drawing/2014/main" id="{D980AEE0-809F-436B-B31C-6C834BB6BD3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396" name="Resim 395">
          <a:extLst>
            <a:ext uri="{FF2B5EF4-FFF2-40B4-BE49-F238E27FC236}">
              <a16:creationId xmlns:a16="http://schemas.microsoft.com/office/drawing/2014/main" id="{56C20CC0-D8A5-4019-BBF1-3631AE95B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397" name="Resim 396">
          <a:extLst>
            <a:ext uri="{FF2B5EF4-FFF2-40B4-BE49-F238E27FC236}">
              <a16:creationId xmlns:a16="http://schemas.microsoft.com/office/drawing/2014/main" id="{ECE0CEDD-73EB-402D-9FB8-91E551B9014A}"/>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398" name="Resim 397">
          <a:extLst>
            <a:ext uri="{FF2B5EF4-FFF2-40B4-BE49-F238E27FC236}">
              <a16:creationId xmlns:a16="http://schemas.microsoft.com/office/drawing/2014/main" id="{E7EE9BE9-7480-4633-B7AC-008FED269B5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399" name="Resim 398">
          <a:extLst>
            <a:ext uri="{FF2B5EF4-FFF2-40B4-BE49-F238E27FC236}">
              <a16:creationId xmlns:a16="http://schemas.microsoft.com/office/drawing/2014/main" id="{3F415622-928D-4D5A-9DCF-2107B2C633D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00" name="Resim 399">
          <a:extLst>
            <a:ext uri="{FF2B5EF4-FFF2-40B4-BE49-F238E27FC236}">
              <a16:creationId xmlns:a16="http://schemas.microsoft.com/office/drawing/2014/main" id="{7B36A462-4287-4781-A640-37BA1E8AC140}"/>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01" name="Resim 400">
          <a:extLst>
            <a:ext uri="{FF2B5EF4-FFF2-40B4-BE49-F238E27FC236}">
              <a16:creationId xmlns:a16="http://schemas.microsoft.com/office/drawing/2014/main" id="{482B864A-D009-4537-9C74-4AB46898458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02" name="Resim 401">
          <a:extLst>
            <a:ext uri="{FF2B5EF4-FFF2-40B4-BE49-F238E27FC236}">
              <a16:creationId xmlns:a16="http://schemas.microsoft.com/office/drawing/2014/main" id="{52AC627A-8E98-4EBD-B9F4-4EF6C30B2D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03" name="Resim 402">
          <a:extLst>
            <a:ext uri="{FF2B5EF4-FFF2-40B4-BE49-F238E27FC236}">
              <a16:creationId xmlns:a16="http://schemas.microsoft.com/office/drawing/2014/main" id="{75672535-5F62-473C-B956-1520AD1F945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04" name="Resim 403">
          <a:extLst>
            <a:ext uri="{FF2B5EF4-FFF2-40B4-BE49-F238E27FC236}">
              <a16:creationId xmlns:a16="http://schemas.microsoft.com/office/drawing/2014/main" id="{B395C32D-FD85-465C-9188-45B10AF5EDB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05" name="Resim 404">
          <a:extLst>
            <a:ext uri="{FF2B5EF4-FFF2-40B4-BE49-F238E27FC236}">
              <a16:creationId xmlns:a16="http://schemas.microsoft.com/office/drawing/2014/main" id="{E02BD162-BF01-44E1-B5CC-A50C954C557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406" name="Resim 405">
          <a:extLst>
            <a:ext uri="{FF2B5EF4-FFF2-40B4-BE49-F238E27FC236}">
              <a16:creationId xmlns:a16="http://schemas.microsoft.com/office/drawing/2014/main" id="{041A2489-34AE-4CDE-834D-8C773FDC672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407" name="Resim 406">
          <a:extLst>
            <a:ext uri="{FF2B5EF4-FFF2-40B4-BE49-F238E27FC236}">
              <a16:creationId xmlns:a16="http://schemas.microsoft.com/office/drawing/2014/main" id="{6507AC95-555E-4906-B048-8F52B518C8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408" name="Resim 407">
          <a:extLst>
            <a:ext uri="{FF2B5EF4-FFF2-40B4-BE49-F238E27FC236}">
              <a16:creationId xmlns:a16="http://schemas.microsoft.com/office/drawing/2014/main" id="{931257BF-3FE9-49F5-9EE0-F1FECD8D1B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409" name="Resim 408">
          <a:extLst>
            <a:ext uri="{FF2B5EF4-FFF2-40B4-BE49-F238E27FC236}">
              <a16:creationId xmlns:a16="http://schemas.microsoft.com/office/drawing/2014/main" id="{72D6447A-3662-4AAD-86C7-C92417A8AC4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410" name="Resim 409">
          <a:extLst>
            <a:ext uri="{FF2B5EF4-FFF2-40B4-BE49-F238E27FC236}">
              <a16:creationId xmlns:a16="http://schemas.microsoft.com/office/drawing/2014/main" id="{2FFBE4FC-1E57-4525-8020-F3F51E87A0B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411" name="Resim 410">
          <a:extLst>
            <a:ext uri="{FF2B5EF4-FFF2-40B4-BE49-F238E27FC236}">
              <a16:creationId xmlns:a16="http://schemas.microsoft.com/office/drawing/2014/main" id="{5D255CB9-9698-4D12-90B6-BF8E6207A04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412" name="Resim 411">
          <a:extLst>
            <a:ext uri="{FF2B5EF4-FFF2-40B4-BE49-F238E27FC236}">
              <a16:creationId xmlns:a16="http://schemas.microsoft.com/office/drawing/2014/main" id="{C66218A9-03E4-4588-BF4A-553EAA3A987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413" name="Resim 412">
          <a:extLst>
            <a:ext uri="{FF2B5EF4-FFF2-40B4-BE49-F238E27FC236}">
              <a16:creationId xmlns:a16="http://schemas.microsoft.com/office/drawing/2014/main" id="{56DE4089-2DC2-470E-BE70-832C92437AA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414" name="Resim 413">
          <a:extLst>
            <a:ext uri="{FF2B5EF4-FFF2-40B4-BE49-F238E27FC236}">
              <a16:creationId xmlns:a16="http://schemas.microsoft.com/office/drawing/2014/main" id="{3E62C6D6-2419-4E1B-AA39-E6C365D022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415" name="Resim 414">
          <a:extLst>
            <a:ext uri="{FF2B5EF4-FFF2-40B4-BE49-F238E27FC236}">
              <a16:creationId xmlns:a16="http://schemas.microsoft.com/office/drawing/2014/main" id="{5FEFDE42-F2E2-4154-9D81-B029EC6FC0E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416" name="Resim 415">
          <a:extLst>
            <a:ext uri="{FF2B5EF4-FFF2-40B4-BE49-F238E27FC236}">
              <a16:creationId xmlns:a16="http://schemas.microsoft.com/office/drawing/2014/main" id="{F9B5463D-D799-45E2-A2CC-E8E22821B1D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417" name="Resim 416">
          <a:extLst>
            <a:ext uri="{FF2B5EF4-FFF2-40B4-BE49-F238E27FC236}">
              <a16:creationId xmlns:a16="http://schemas.microsoft.com/office/drawing/2014/main" id="{09877019-BE71-4BC5-AF86-C9CEAE0507D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418" name="Resim 417">
          <a:extLst>
            <a:ext uri="{FF2B5EF4-FFF2-40B4-BE49-F238E27FC236}">
              <a16:creationId xmlns:a16="http://schemas.microsoft.com/office/drawing/2014/main" id="{64778400-A87D-4258-BECA-F74EA9396387}"/>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419" name="Resim 418">
          <a:extLst>
            <a:ext uri="{FF2B5EF4-FFF2-40B4-BE49-F238E27FC236}">
              <a16:creationId xmlns:a16="http://schemas.microsoft.com/office/drawing/2014/main" id="{6D01A1E0-959A-4C0E-A50B-FFE325355A2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420" name="Resim 419">
          <a:extLst>
            <a:ext uri="{FF2B5EF4-FFF2-40B4-BE49-F238E27FC236}">
              <a16:creationId xmlns:a16="http://schemas.microsoft.com/office/drawing/2014/main" id="{49D25629-6C51-4F63-88E6-9ADB3E1BE58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421" name="Resim 420">
          <a:extLst>
            <a:ext uri="{FF2B5EF4-FFF2-40B4-BE49-F238E27FC236}">
              <a16:creationId xmlns:a16="http://schemas.microsoft.com/office/drawing/2014/main" id="{7D272506-5D6C-4B98-9E1F-2C289296DCD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422" name="Resim 421">
          <a:extLst>
            <a:ext uri="{FF2B5EF4-FFF2-40B4-BE49-F238E27FC236}">
              <a16:creationId xmlns:a16="http://schemas.microsoft.com/office/drawing/2014/main" id="{06C96CB9-B635-472A-A2BF-33FED60DCD0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423" name="Resim 422">
          <a:extLst>
            <a:ext uri="{FF2B5EF4-FFF2-40B4-BE49-F238E27FC236}">
              <a16:creationId xmlns:a16="http://schemas.microsoft.com/office/drawing/2014/main" id="{BB376B8B-3F87-4828-8581-8200B0433D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424" name="Resim 423">
          <a:extLst>
            <a:ext uri="{FF2B5EF4-FFF2-40B4-BE49-F238E27FC236}">
              <a16:creationId xmlns:a16="http://schemas.microsoft.com/office/drawing/2014/main" id="{EEA834DA-F039-4891-B757-D79472B252E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425" name="Resim 424">
          <a:extLst>
            <a:ext uri="{FF2B5EF4-FFF2-40B4-BE49-F238E27FC236}">
              <a16:creationId xmlns:a16="http://schemas.microsoft.com/office/drawing/2014/main" id="{E838959F-B28A-4BD5-A682-8AF502519DE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426" name="Resim 425">
          <a:extLst>
            <a:ext uri="{FF2B5EF4-FFF2-40B4-BE49-F238E27FC236}">
              <a16:creationId xmlns:a16="http://schemas.microsoft.com/office/drawing/2014/main" id="{87ECE291-1F1E-4FF7-AE2F-2135F8FA3AA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427" name="Resim 426">
          <a:extLst>
            <a:ext uri="{FF2B5EF4-FFF2-40B4-BE49-F238E27FC236}">
              <a16:creationId xmlns:a16="http://schemas.microsoft.com/office/drawing/2014/main" id="{E01CA454-71FE-4D09-8B5F-63C03D742E8F}"/>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428" name="Resim 427">
          <a:extLst>
            <a:ext uri="{FF2B5EF4-FFF2-40B4-BE49-F238E27FC236}">
              <a16:creationId xmlns:a16="http://schemas.microsoft.com/office/drawing/2014/main" id="{8A1A8D69-6C4B-40DD-84BB-FFF88F3B0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429" name="Resim 428">
          <a:extLst>
            <a:ext uri="{FF2B5EF4-FFF2-40B4-BE49-F238E27FC236}">
              <a16:creationId xmlns:a16="http://schemas.microsoft.com/office/drawing/2014/main" id="{D2C91DDA-D6E9-4F5E-92B8-F8281FA88F8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430" name="Resim 429">
          <a:extLst>
            <a:ext uri="{FF2B5EF4-FFF2-40B4-BE49-F238E27FC236}">
              <a16:creationId xmlns:a16="http://schemas.microsoft.com/office/drawing/2014/main" id="{9EEC754D-0855-43BF-815E-12825D70D08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431" name="Resim 430">
          <a:extLst>
            <a:ext uri="{FF2B5EF4-FFF2-40B4-BE49-F238E27FC236}">
              <a16:creationId xmlns:a16="http://schemas.microsoft.com/office/drawing/2014/main" id="{C9E49645-8320-4ADD-8082-1212A7CF142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432" name="Resim 431">
          <a:extLst>
            <a:ext uri="{FF2B5EF4-FFF2-40B4-BE49-F238E27FC236}">
              <a16:creationId xmlns:a16="http://schemas.microsoft.com/office/drawing/2014/main" id="{0891400E-43C0-4970-AEC6-A2B731184D9C}"/>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433" name="Resim 432">
          <a:extLst>
            <a:ext uri="{FF2B5EF4-FFF2-40B4-BE49-F238E27FC236}">
              <a16:creationId xmlns:a16="http://schemas.microsoft.com/office/drawing/2014/main" id="{833AAA83-C51A-4BD4-88D2-875BC96292F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434" name="Resim 433">
          <a:extLst>
            <a:ext uri="{FF2B5EF4-FFF2-40B4-BE49-F238E27FC236}">
              <a16:creationId xmlns:a16="http://schemas.microsoft.com/office/drawing/2014/main" id="{5E67396E-197F-49F9-9CB1-DA681EDA011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435" name="Resim 434">
          <a:extLst>
            <a:ext uri="{FF2B5EF4-FFF2-40B4-BE49-F238E27FC236}">
              <a16:creationId xmlns:a16="http://schemas.microsoft.com/office/drawing/2014/main" id="{879666F5-F0D6-4255-92E1-62AA53462D8E}"/>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436" name="Resim 435">
          <a:extLst>
            <a:ext uri="{FF2B5EF4-FFF2-40B4-BE49-F238E27FC236}">
              <a16:creationId xmlns:a16="http://schemas.microsoft.com/office/drawing/2014/main" id="{FA1C48E6-1C69-4140-AEDE-80F9285C397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437" name="Resim 436">
          <a:extLst>
            <a:ext uri="{FF2B5EF4-FFF2-40B4-BE49-F238E27FC236}">
              <a16:creationId xmlns:a16="http://schemas.microsoft.com/office/drawing/2014/main" id="{89C87198-8EA3-4ED4-A243-0B0A57034EE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438" name="Resim 437">
          <a:extLst>
            <a:ext uri="{FF2B5EF4-FFF2-40B4-BE49-F238E27FC236}">
              <a16:creationId xmlns:a16="http://schemas.microsoft.com/office/drawing/2014/main" id="{6EFEB73D-E8A2-477A-912E-CBD8751F7A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439" name="Resim 438">
          <a:extLst>
            <a:ext uri="{FF2B5EF4-FFF2-40B4-BE49-F238E27FC236}">
              <a16:creationId xmlns:a16="http://schemas.microsoft.com/office/drawing/2014/main" id="{1083355D-AA55-4495-9B99-68DDEE37D91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440" name="Resim 439">
          <a:extLst>
            <a:ext uri="{FF2B5EF4-FFF2-40B4-BE49-F238E27FC236}">
              <a16:creationId xmlns:a16="http://schemas.microsoft.com/office/drawing/2014/main" id="{B7400C09-0544-42FC-9DE0-53A9B1E6043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441" name="Resim 440">
          <a:extLst>
            <a:ext uri="{FF2B5EF4-FFF2-40B4-BE49-F238E27FC236}">
              <a16:creationId xmlns:a16="http://schemas.microsoft.com/office/drawing/2014/main" id="{CA67912E-6DD7-46B8-947A-EF11657F339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442" name="Resim 441">
          <a:extLst>
            <a:ext uri="{FF2B5EF4-FFF2-40B4-BE49-F238E27FC236}">
              <a16:creationId xmlns:a16="http://schemas.microsoft.com/office/drawing/2014/main" id="{8E6BBB9C-0B7F-4925-A4D1-2AD6ABEBB0C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443" name="Resim 442">
          <a:extLst>
            <a:ext uri="{FF2B5EF4-FFF2-40B4-BE49-F238E27FC236}">
              <a16:creationId xmlns:a16="http://schemas.microsoft.com/office/drawing/2014/main" id="{02E3312B-6740-4F4F-A88D-AC10E349AB3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444" name="Resim 443">
          <a:extLst>
            <a:ext uri="{FF2B5EF4-FFF2-40B4-BE49-F238E27FC236}">
              <a16:creationId xmlns:a16="http://schemas.microsoft.com/office/drawing/2014/main" id="{05079CA7-ED26-4073-B5E6-942215863F8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445" name="Resim 444">
          <a:extLst>
            <a:ext uri="{FF2B5EF4-FFF2-40B4-BE49-F238E27FC236}">
              <a16:creationId xmlns:a16="http://schemas.microsoft.com/office/drawing/2014/main" id="{9644CB34-E683-4799-9F4B-69C29D9CD88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446" name="Resim 445">
          <a:extLst>
            <a:ext uri="{FF2B5EF4-FFF2-40B4-BE49-F238E27FC236}">
              <a16:creationId xmlns:a16="http://schemas.microsoft.com/office/drawing/2014/main" id="{255D76A5-87A3-4C78-9967-856E5C226AC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447" name="Resim 446">
          <a:extLst>
            <a:ext uri="{FF2B5EF4-FFF2-40B4-BE49-F238E27FC236}">
              <a16:creationId xmlns:a16="http://schemas.microsoft.com/office/drawing/2014/main" id="{792668E6-215D-4FC5-A21B-992D3752C0B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448" name="Resim 447">
          <a:extLst>
            <a:ext uri="{FF2B5EF4-FFF2-40B4-BE49-F238E27FC236}">
              <a16:creationId xmlns:a16="http://schemas.microsoft.com/office/drawing/2014/main" id="{2467B376-5B6D-48DB-978D-6FF24B38EC8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449" name="Resim 448">
          <a:extLst>
            <a:ext uri="{FF2B5EF4-FFF2-40B4-BE49-F238E27FC236}">
              <a16:creationId xmlns:a16="http://schemas.microsoft.com/office/drawing/2014/main" id="{412175E6-08C5-4936-9492-62B09470117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450" name="Resim 449">
          <a:extLst>
            <a:ext uri="{FF2B5EF4-FFF2-40B4-BE49-F238E27FC236}">
              <a16:creationId xmlns:a16="http://schemas.microsoft.com/office/drawing/2014/main" id="{5AD45735-3EF6-4B5D-9C04-779C82E904A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451" name="Resim 450">
          <a:extLst>
            <a:ext uri="{FF2B5EF4-FFF2-40B4-BE49-F238E27FC236}">
              <a16:creationId xmlns:a16="http://schemas.microsoft.com/office/drawing/2014/main" id="{509494A7-F173-45A8-A8B3-79CA8F6D89B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452" name="Resim 451">
          <a:extLst>
            <a:ext uri="{FF2B5EF4-FFF2-40B4-BE49-F238E27FC236}">
              <a16:creationId xmlns:a16="http://schemas.microsoft.com/office/drawing/2014/main" id="{D4DC7A7D-59E3-4EBF-AF56-AE3468773DB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453" name="Resim 452">
          <a:extLst>
            <a:ext uri="{FF2B5EF4-FFF2-40B4-BE49-F238E27FC236}">
              <a16:creationId xmlns:a16="http://schemas.microsoft.com/office/drawing/2014/main" id="{62F7C0B8-D568-4960-8370-623F38310C3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454" name="Resim 453">
          <a:extLst>
            <a:ext uri="{FF2B5EF4-FFF2-40B4-BE49-F238E27FC236}">
              <a16:creationId xmlns:a16="http://schemas.microsoft.com/office/drawing/2014/main" id="{B1AC66E0-ADDC-4879-9129-72029329943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455" name="Resim 454">
          <a:extLst>
            <a:ext uri="{FF2B5EF4-FFF2-40B4-BE49-F238E27FC236}">
              <a16:creationId xmlns:a16="http://schemas.microsoft.com/office/drawing/2014/main" id="{C399343B-0353-45B8-B54D-6AA9FBF162D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456" name="Resim 455">
          <a:extLst>
            <a:ext uri="{FF2B5EF4-FFF2-40B4-BE49-F238E27FC236}">
              <a16:creationId xmlns:a16="http://schemas.microsoft.com/office/drawing/2014/main" id="{FE86D8B6-BA6C-4015-BEA4-EF4A73B81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457" name="Resim 456">
          <a:extLst>
            <a:ext uri="{FF2B5EF4-FFF2-40B4-BE49-F238E27FC236}">
              <a16:creationId xmlns:a16="http://schemas.microsoft.com/office/drawing/2014/main" id="{0C4D1AA4-E7DB-4EEA-9CDE-1FDCFB3FCB1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458" name="Resim 457">
          <a:extLst>
            <a:ext uri="{FF2B5EF4-FFF2-40B4-BE49-F238E27FC236}">
              <a16:creationId xmlns:a16="http://schemas.microsoft.com/office/drawing/2014/main" id="{322D0344-68CD-4713-A365-2E85CB041F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459" name="Resim 458">
          <a:extLst>
            <a:ext uri="{FF2B5EF4-FFF2-40B4-BE49-F238E27FC236}">
              <a16:creationId xmlns:a16="http://schemas.microsoft.com/office/drawing/2014/main" id="{11981874-A23E-449F-9006-59112DEC504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460" name="Resim 459">
          <a:extLst>
            <a:ext uri="{FF2B5EF4-FFF2-40B4-BE49-F238E27FC236}">
              <a16:creationId xmlns:a16="http://schemas.microsoft.com/office/drawing/2014/main" id="{6767585B-6003-4F9B-8345-BFDF51AF7CE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461" name="Resim 460">
          <a:extLst>
            <a:ext uri="{FF2B5EF4-FFF2-40B4-BE49-F238E27FC236}">
              <a16:creationId xmlns:a16="http://schemas.microsoft.com/office/drawing/2014/main" id="{AA50E15D-900B-46E2-A9A9-B972A17F31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462" name="Resim 461">
          <a:extLst>
            <a:ext uri="{FF2B5EF4-FFF2-40B4-BE49-F238E27FC236}">
              <a16:creationId xmlns:a16="http://schemas.microsoft.com/office/drawing/2014/main" id="{7EB4CCAE-3680-4A83-8351-8334B36095F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463" name="Resim 462">
          <a:extLst>
            <a:ext uri="{FF2B5EF4-FFF2-40B4-BE49-F238E27FC236}">
              <a16:creationId xmlns:a16="http://schemas.microsoft.com/office/drawing/2014/main" id="{F302E995-E2D1-4CC9-8332-A15C18F31BC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464" name="Resim 463">
          <a:extLst>
            <a:ext uri="{FF2B5EF4-FFF2-40B4-BE49-F238E27FC236}">
              <a16:creationId xmlns:a16="http://schemas.microsoft.com/office/drawing/2014/main" id="{25266B35-DC82-419F-93CD-707FBA5757B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465" name="Resim 464">
          <a:extLst>
            <a:ext uri="{FF2B5EF4-FFF2-40B4-BE49-F238E27FC236}">
              <a16:creationId xmlns:a16="http://schemas.microsoft.com/office/drawing/2014/main" id="{ECEA81A3-0D5E-46CB-99A8-262E0DFCDB7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466" name="Resim 465">
          <a:extLst>
            <a:ext uri="{FF2B5EF4-FFF2-40B4-BE49-F238E27FC236}">
              <a16:creationId xmlns:a16="http://schemas.microsoft.com/office/drawing/2014/main" id="{950B3362-7F16-4F53-AAD5-22F8D676E5C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467" name="Resim 466">
          <a:extLst>
            <a:ext uri="{FF2B5EF4-FFF2-40B4-BE49-F238E27FC236}">
              <a16:creationId xmlns:a16="http://schemas.microsoft.com/office/drawing/2014/main" id="{141A7F3C-20CB-4C0F-86A7-8798AFC712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468" name="Resim 467">
          <a:extLst>
            <a:ext uri="{FF2B5EF4-FFF2-40B4-BE49-F238E27FC236}">
              <a16:creationId xmlns:a16="http://schemas.microsoft.com/office/drawing/2014/main" id="{438DE2C7-7F39-4313-BE10-09817A57FB0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469" name="Resim 468">
          <a:extLst>
            <a:ext uri="{FF2B5EF4-FFF2-40B4-BE49-F238E27FC236}">
              <a16:creationId xmlns:a16="http://schemas.microsoft.com/office/drawing/2014/main" id="{D1FB67E3-187C-4543-92CD-606F8304774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470" name="Resim 469">
          <a:extLst>
            <a:ext uri="{FF2B5EF4-FFF2-40B4-BE49-F238E27FC236}">
              <a16:creationId xmlns:a16="http://schemas.microsoft.com/office/drawing/2014/main" id="{E7D71027-CDFE-4787-A37F-EEBD962D187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471" name="Resim 470">
          <a:extLst>
            <a:ext uri="{FF2B5EF4-FFF2-40B4-BE49-F238E27FC236}">
              <a16:creationId xmlns:a16="http://schemas.microsoft.com/office/drawing/2014/main" id="{B4528016-39A5-4BD1-A264-DECA865A507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472" name="Resim 471">
          <a:extLst>
            <a:ext uri="{FF2B5EF4-FFF2-40B4-BE49-F238E27FC236}">
              <a16:creationId xmlns:a16="http://schemas.microsoft.com/office/drawing/2014/main" id="{58FF49E0-F896-44BE-B45E-009635132AE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473" name="Resim 472">
          <a:extLst>
            <a:ext uri="{FF2B5EF4-FFF2-40B4-BE49-F238E27FC236}">
              <a16:creationId xmlns:a16="http://schemas.microsoft.com/office/drawing/2014/main" id="{35DC0E95-DBC5-4BC4-9768-6C128CCFE0B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474" name="Resim 473">
          <a:extLst>
            <a:ext uri="{FF2B5EF4-FFF2-40B4-BE49-F238E27FC236}">
              <a16:creationId xmlns:a16="http://schemas.microsoft.com/office/drawing/2014/main" id="{69C7B1E9-3C0A-478D-9E34-A2F8E939690C}"/>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475" name="Resim 474">
          <a:extLst>
            <a:ext uri="{FF2B5EF4-FFF2-40B4-BE49-F238E27FC236}">
              <a16:creationId xmlns:a16="http://schemas.microsoft.com/office/drawing/2014/main" id="{4AABC8E3-DF56-4590-B5EE-4DBB3A0BD73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476" name="Resim 475">
          <a:extLst>
            <a:ext uri="{FF2B5EF4-FFF2-40B4-BE49-F238E27FC236}">
              <a16:creationId xmlns:a16="http://schemas.microsoft.com/office/drawing/2014/main" id="{2A055CC5-73B1-4E40-95E1-3019DFEDA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477" name="Resim 476">
          <a:extLst>
            <a:ext uri="{FF2B5EF4-FFF2-40B4-BE49-F238E27FC236}">
              <a16:creationId xmlns:a16="http://schemas.microsoft.com/office/drawing/2014/main" id="{4E926C8E-2009-4A24-B7B3-87EEAF6713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478" name="Resim 477">
          <a:extLst>
            <a:ext uri="{FF2B5EF4-FFF2-40B4-BE49-F238E27FC236}">
              <a16:creationId xmlns:a16="http://schemas.microsoft.com/office/drawing/2014/main" id="{DE2762A5-2853-4370-8057-6D79282D2B6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479" name="Resim 478">
          <a:extLst>
            <a:ext uri="{FF2B5EF4-FFF2-40B4-BE49-F238E27FC236}">
              <a16:creationId xmlns:a16="http://schemas.microsoft.com/office/drawing/2014/main" id="{778CC630-D725-4319-9455-F75E738AE00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480" name="Resim 479">
          <a:extLst>
            <a:ext uri="{FF2B5EF4-FFF2-40B4-BE49-F238E27FC236}">
              <a16:creationId xmlns:a16="http://schemas.microsoft.com/office/drawing/2014/main" id="{717D7E15-CB95-42EC-B783-A0E4F037DD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481" name="Resim 480">
          <a:extLst>
            <a:ext uri="{FF2B5EF4-FFF2-40B4-BE49-F238E27FC236}">
              <a16:creationId xmlns:a16="http://schemas.microsoft.com/office/drawing/2014/main" id="{E34730B3-027A-4AF2-9A27-B5E57824BBA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482" name="Resim 481">
          <a:extLst>
            <a:ext uri="{FF2B5EF4-FFF2-40B4-BE49-F238E27FC236}">
              <a16:creationId xmlns:a16="http://schemas.microsoft.com/office/drawing/2014/main" id="{BF688896-C7A1-4F80-BA26-55BAF4D9589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483" name="Resim 482">
          <a:extLst>
            <a:ext uri="{FF2B5EF4-FFF2-40B4-BE49-F238E27FC236}">
              <a16:creationId xmlns:a16="http://schemas.microsoft.com/office/drawing/2014/main" id="{89143F0F-044C-45A3-8ACF-80BB4D17ED2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4" name="Resim 483">
          <a:extLst>
            <a:ext uri="{FF2B5EF4-FFF2-40B4-BE49-F238E27FC236}">
              <a16:creationId xmlns:a16="http://schemas.microsoft.com/office/drawing/2014/main" id="{CC7B6E6C-331C-4D42-A7EC-6C08BFFD787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5" name="Resim 484">
          <a:extLst>
            <a:ext uri="{FF2B5EF4-FFF2-40B4-BE49-F238E27FC236}">
              <a16:creationId xmlns:a16="http://schemas.microsoft.com/office/drawing/2014/main" id="{B2356AB7-F846-436A-B3D9-5120E0BC7DC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86" name="Resim 485">
          <a:extLst>
            <a:ext uri="{FF2B5EF4-FFF2-40B4-BE49-F238E27FC236}">
              <a16:creationId xmlns:a16="http://schemas.microsoft.com/office/drawing/2014/main" id="{8225472D-3409-4E86-B5E7-B4EE9F81BC0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87" name="Resim 486">
          <a:extLst>
            <a:ext uri="{FF2B5EF4-FFF2-40B4-BE49-F238E27FC236}">
              <a16:creationId xmlns:a16="http://schemas.microsoft.com/office/drawing/2014/main" id="{B19A8616-C3DD-4F4D-9ED0-6BB7A920915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8" name="Resim 487">
          <a:extLst>
            <a:ext uri="{FF2B5EF4-FFF2-40B4-BE49-F238E27FC236}">
              <a16:creationId xmlns:a16="http://schemas.microsoft.com/office/drawing/2014/main" id="{1BE47CB3-7B39-4B1D-BEAB-F25C9E4786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9" name="Resim 488">
          <a:extLst>
            <a:ext uri="{FF2B5EF4-FFF2-40B4-BE49-F238E27FC236}">
              <a16:creationId xmlns:a16="http://schemas.microsoft.com/office/drawing/2014/main" id="{76526CC4-AE47-4452-876E-BA7136B9D78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90" name="Resim 489">
          <a:extLst>
            <a:ext uri="{FF2B5EF4-FFF2-40B4-BE49-F238E27FC236}">
              <a16:creationId xmlns:a16="http://schemas.microsoft.com/office/drawing/2014/main" id="{D4EFA4BA-9253-4F0E-88F7-B8CC6E2240E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91" name="Resim 490">
          <a:extLst>
            <a:ext uri="{FF2B5EF4-FFF2-40B4-BE49-F238E27FC236}">
              <a16:creationId xmlns:a16="http://schemas.microsoft.com/office/drawing/2014/main" id="{DB4130C7-F332-4B1A-A34F-A13E08F7D977}"/>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492" name="Resim 491">
          <a:extLst>
            <a:ext uri="{FF2B5EF4-FFF2-40B4-BE49-F238E27FC236}">
              <a16:creationId xmlns:a16="http://schemas.microsoft.com/office/drawing/2014/main" id="{4F612405-C07B-4A36-8586-B338D0C42E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493" name="Resim 492">
          <a:extLst>
            <a:ext uri="{FF2B5EF4-FFF2-40B4-BE49-F238E27FC236}">
              <a16:creationId xmlns:a16="http://schemas.microsoft.com/office/drawing/2014/main" id="{7BF7A598-E1F3-4C62-A0CF-DB8F0075F17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494" name="Resim 493">
          <a:extLst>
            <a:ext uri="{FF2B5EF4-FFF2-40B4-BE49-F238E27FC236}">
              <a16:creationId xmlns:a16="http://schemas.microsoft.com/office/drawing/2014/main" id="{7575C5EA-FE78-4597-B8A9-A01DD264DAC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495" name="Resim 494">
          <a:extLst>
            <a:ext uri="{FF2B5EF4-FFF2-40B4-BE49-F238E27FC236}">
              <a16:creationId xmlns:a16="http://schemas.microsoft.com/office/drawing/2014/main" id="{6F0A3E1C-29EA-4F63-A6C9-4250ABD00ED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496" name="Resim 495">
          <a:extLst>
            <a:ext uri="{FF2B5EF4-FFF2-40B4-BE49-F238E27FC236}">
              <a16:creationId xmlns:a16="http://schemas.microsoft.com/office/drawing/2014/main" id="{013A3B6A-3DF8-444F-81F9-8C52B5A972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497" name="Resim 496">
          <a:extLst>
            <a:ext uri="{FF2B5EF4-FFF2-40B4-BE49-F238E27FC236}">
              <a16:creationId xmlns:a16="http://schemas.microsoft.com/office/drawing/2014/main" id="{DB71FD94-8E13-4760-8EA4-1461A5E2EDA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498" name="Resim 497">
          <a:extLst>
            <a:ext uri="{FF2B5EF4-FFF2-40B4-BE49-F238E27FC236}">
              <a16:creationId xmlns:a16="http://schemas.microsoft.com/office/drawing/2014/main" id="{69CC5BEB-F817-4A64-8E7A-A84FB419A69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499" name="Resim 498">
          <a:extLst>
            <a:ext uri="{FF2B5EF4-FFF2-40B4-BE49-F238E27FC236}">
              <a16:creationId xmlns:a16="http://schemas.microsoft.com/office/drawing/2014/main" id="{C1C755DD-C747-4D6D-8084-D2CE3A65E9A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500" name="Resim 499">
          <a:extLst>
            <a:ext uri="{FF2B5EF4-FFF2-40B4-BE49-F238E27FC236}">
              <a16:creationId xmlns:a16="http://schemas.microsoft.com/office/drawing/2014/main" id="{B5A3B970-C2BF-4DB2-B033-3FE86006E9C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501" name="Resim 500">
          <a:extLst>
            <a:ext uri="{FF2B5EF4-FFF2-40B4-BE49-F238E27FC236}">
              <a16:creationId xmlns:a16="http://schemas.microsoft.com/office/drawing/2014/main" id="{B6AB7252-7A63-4848-B89B-ABC1F11B9E0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502" name="Resim 501">
          <a:extLst>
            <a:ext uri="{FF2B5EF4-FFF2-40B4-BE49-F238E27FC236}">
              <a16:creationId xmlns:a16="http://schemas.microsoft.com/office/drawing/2014/main" id="{6393A40F-1F03-4A42-B8CD-145E22FCB29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503" name="Resim 502">
          <a:extLst>
            <a:ext uri="{FF2B5EF4-FFF2-40B4-BE49-F238E27FC236}">
              <a16:creationId xmlns:a16="http://schemas.microsoft.com/office/drawing/2014/main" id="{C5F316E8-B5E7-485F-8C67-4FEBA1C1C13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504" name="Resim 503">
          <a:extLst>
            <a:ext uri="{FF2B5EF4-FFF2-40B4-BE49-F238E27FC236}">
              <a16:creationId xmlns:a16="http://schemas.microsoft.com/office/drawing/2014/main" id="{A77662FE-4D08-4EC3-A8F6-4D7A6F18F40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505" name="Resim 504">
          <a:extLst>
            <a:ext uri="{FF2B5EF4-FFF2-40B4-BE49-F238E27FC236}">
              <a16:creationId xmlns:a16="http://schemas.microsoft.com/office/drawing/2014/main" id="{934D94B8-B69E-4F84-BF61-2B26B6C1622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506" name="Resim 505">
          <a:extLst>
            <a:ext uri="{FF2B5EF4-FFF2-40B4-BE49-F238E27FC236}">
              <a16:creationId xmlns:a16="http://schemas.microsoft.com/office/drawing/2014/main" id="{E9903007-4DAA-4166-B2C0-2893A2B5C45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507" name="Resim 506">
          <a:extLst>
            <a:ext uri="{FF2B5EF4-FFF2-40B4-BE49-F238E27FC236}">
              <a16:creationId xmlns:a16="http://schemas.microsoft.com/office/drawing/2014/main" id="{C3BB1752-5189-4955-B09B-249A752E04F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508" name="Resim 507">
          <a:extLst>
            <a:ext uri="{FF2B5EF4-FFF2-40B4-BE49-F238E27FC236}">
              <a16:creationId xmlns:a16="http://schemas.microsoft.com/office/drawing/2014/main" id="{B2BF8723-7D15-4574-B230-DC0F2E041E5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509" name="Resim 508">
          <a:extLst>
            <a:ext uri="{FF2B5EF4-FFF2-40B4-BE49-F238E27FC236}">
              <a16:creationId xmlns:a16="http://schemas.microsoft.com/office/drawing/2014/main" id="{0643F042-6FD3-4823-AC5E-4D17833662A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510" name="Resim 509">
          <a:extLst>
            <a:ext uri="{FF2B5EF4-FFF2-40B4-BE49-F238E27FC236}">
              <a16:creationId xmlns:a16="http://schemas.microsoft.com/office/drawing/2014/main" id="{422C1F05-40AA-450E-A36D-52525457227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511" name="Resim 510">
          <a:extLst>
            <a:ext uri="{FF2B5EF4-FFF2-40B4-BE49-F238E27FC236}">
              <a16:creationId xmlns:a16="http://schemas.microsoft.com/office/drawing/2014/main" id="{FA142ACE-6D2A-4CC6-A1F5-90822CEF581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512" name="Resim 511">
          <a:extLst>
            <a:ext uri="{FF2B5EF4-FFF2-40B4-BE49-F238E27FC236}">
              <a16:creationId xmlns:a16="http://schemas.microsoft.com/office/drawing/2014/main" id="{847C819A-00DB-445C-9135-C42894E6710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513" name="Resim 512">
          <a:extLst>
            <a:ext uri="{FF2B5EF4-FFF2-40B4-BE49-F238E27FC236}">
              <a16:creationId xmlns:a16="http://schemas.microsoft.com/office/drawing/2014/main" id="{BEDA489D-A765-41BB-9C07-EF900B1467A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514" name="Resim 513">
          <a:extLst>
            <a:ext uri="{FF2B5EF4-FFF2-40B4-BE49-F238E27FC236}">
              <a16:creationId xmlns:a16="http://schemas.microsoft.com/office/drawing/2014/main" id="{D867D932-9692-4825-8AE2-B16088B6466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515" name="Resim 514">
          <a:extLst>
            <a:ext uri="{FF2B5EF4-FFF2-40B4-BE49-F238E27FC236}">
              <a16:creationId xmlns:a16="http://schemas.microsoft.com/office/drawing/2014/main" id="{8CD14EE6-106C-489D-93BF-AD5B9163560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516" name="Resim 515">
          <a:extLst>
            <a:ext uri="{FF2B5EF4-FFF2-40B4-BE49-F238E27FC236}">
              <a16:creationId xmlns:a16="http://schemas.microsoft.com/office/drawing/2014/main" id="{F2CA90E6-CF48-467B-A8D2-22B06C4231C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517" name="Resim 516">
          <a:extLst>
            <a:ext uri="{FF2B5EF4-FFF2-40B4-BE49-F238E27FC236}">
              <a16:creationId xmlns:a16="http://schemas.microsoft.com/office/drawing/2014/main" id="{4B49524D-6847-4ACD-9720-6EF62D033A9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518" name="Resim 517">
          <a:extLst>
            <a:ext uri="{FF2B5EF4-FFF2-40B4-BE49-F238E27FC236}">
              <a16:creationId xmlns:a16="http://schemas.microsoft.com/office/drawing/2014/main" id="{5662DA7F-10E7-441A-9806-CC87A80450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519" name="Resim 518">
          <a:extLst>
            <a:ext uri="{FF2B5EF4-FFF2-40B4-BE49-F238E27FC236}">
              <a16:creationId xmlns:a16="http://schemas.microsoft.com/office/drawing/2014/main" id="{0065F3C5-0289-47D6-BF9B-649172E9454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520" name="Resim 519">
          <a:extLst>
            <a:ext uri="{FF2B5EF4-FFF2-40B4-BE49-F238E27FC236}">
              <a16:creationId xmlns:a16="http://schemas.microsoft.com/office/drawing/2014/main" id="{C5091CF9-9AC1-40EE-843C-7992074481A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521" name="Resim 520">
          <a:extLst>
            <a:ext uri="{FF2B5EF4-FFF2-40B4-BE49-F238E27FC236}">
              <a16:creationId xmlns:a16="http://schemas.microsoft.com/office/drawing/2014/main" id="{0A9A666D-8F58-4F9D-926F-8D1101FBBFB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522" name="Resim 521">
          <a:extLst>
            <a:ext uri="{FF2B5EF4-FFF2-40B4-BE49-F238E27FC236}">
              <a16:creationId xmlns:a16="http://schemas.microsoft.com/office/drawing/2014/main" id="{D2A57F26-78B6-47A6-B7BE-DC858FAB494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523" name="Resim 522">
          <a:extLst>
            <a:ext uri="{FF2B5EF4-FFF2-40B4-BE49-F238E27FC236}">
              <a16:creationId xmlns:a16="http://schemas.microsoft.com/office/drawing/2014/main" id="{BC30A059-19AC-4B40-932E-8B95668254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524" name="Resim 523">
          <a:extLst>
            <a:ext uri="{FF2B5EF4-FFF2-40B4-BE49-F238E27FC236}">
              <a16:creationId xmlns:a16="http://schemas.microsoft.com/office/drawing/2014/main" id="{18ACBB8A-1ED7-4849-B67A-C1A5A3E4AB59}"/>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525" name="Resim 524">
          <a:extLst>
            <a:ext uri="{FF2B5EF4-FFF2-40B4-BE49-F238E27FC236}">
              <a16:creationId xmlns:a16="http://schemas.microsoft.com/office/drawing/2014/main" id="{EE8B44D6-B3D4-4B0A-A994-22A935DBA697}"/>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526" name="Resim 525">
          <a:extLst>
            <a:ext uri="{FF2B5EF4-FFF2-40B4-BE49-F238E27FC236}">
              <a16:creationId xmlns:a16="http://schemas.microsoft.com/office/drawing/2014/main" id="{7380C498-0F74-469A-8E88-5F26E19EF9D8}"/>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527" name="Resim 526">
          <a:extLst>
            <a:ext uri="{FF2B5EF4-FFF2-40B4-BE49-F238E27FC236}">
              <a16:creationId xmlns:a16="http://schemas.microsoft.com/office/drawing/2014/main" id="{66A0CF90-5729-4E1D-896D-C33B7281D9EB}"/>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528" name="Resim 527">
          <a:extLst>
            <a:ext uri="{FF2B5EF4-FFF2-40B4-BE49-F238E27FC236}">
              <a16:creationId xmlns:a16="http://schemas.microsoft.com/office/drawing/2014/main" id="{0648C351-305C-4C33-9408-44F91E9D982F}"/>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529" name="Resim 528">
          <a:extLst>
            <a:ext uri="{FF2B5EF4-FFF2-40B4-BE49-F238E27FC236}">
              <a16:creationId xmlns:a16="http://schemas.microsoft.com/office/drawing/2014/main" id="{7B2D8B8C-949C-4571-9E6A-9E70F9D3513A}"/>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530" name="Resim 529">
          <a:extLst>
            <a:ext uri="{FF2B5EF4-FFF2-40B4-BE49-F238E27FC236}">
              <a16:creationId xmlns:a16="http://schemas.microsoft.com/office/drawing/2014/main" id="{A6601363-5FBB-40D5-A1A8-00111E77CA97}"/>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531" name="Resim 530">
          <a:extLst>
            <a:ext uri="{FF2B5EF4-FFF2-40B4-BE49-F238E27FC236}">
              <a16:creationId xmlns:a16="http://schemas.microsoft.com/office/drawing/2014/main" id="{79D5BF71-1EA0-42FB-A787-509C5167391C}"/>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532" name="Resim 531">
          <a:extLst>
            <a:ext uri="{FF2B5EF4-FFF2-40B4-BE49-F238E27FC236}">
              <a16:creationId xmlns:a16="http://schemas.microsoft.com/office/drawing/2014/main" id="{A9695A68-01D6-48E0-BF99-5F81B2937205}"/>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533" name="Resim 532">
          <a:extLst>
            <a:ext uri="{FF2B5EF4-FFF2-40B4-BE49-F238E27FC236}">
              <a16:creationId xmlns:a16="http://schemas.microsoft.com/office/drawing/2014/main" id="{84ADC164-3C1A-4F05-8673-536C271D0F42}"/>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534" name="Resim 533">
          <a:extLst>
            <a:ext uri="{FF2B5EF4-FFF2-40B4-BE49-F238E27FC236}">
              <a16:creationId xmlns:a16="http://schemas.microsoft.com/office/drawing/2014/main" id="{69576B1A-61FC-4033-B6C7-80629F254CE6}"/>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535" name="Resim 534">
          <a:extLst>
            <a:ext uri="{FF2B5EF4-FFF2-40B4-BE49-F238E27FC236}">
              <a16:creationId xmlns:a16="http://schemas.microsoft.com/office/drawing/2014/main" id="{FF7A4C5A-6A4A-4AA8-8865-36A9478E91A5}"/>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536" name="Resim 535">
          <a:extLst>
            <a:ext uri="{FF2B5EF4-FFF2-40B4-BE49-F238E27FC236}">
              <a16:creationId xmlns:a16="http://schemas.microsoft.com/office/drawing/2014/main" id="{0E508305-4B93-4E7D-975D-54837C164474}"/>
            </a:ext>
          </a:extLst>
        </xdr:cNvPr>
        <xdr:cNvPicPr>
          <a:picLocks noChangeAspect="1"/>
        </xdr:cNvPicPr>
      </xdr:nvPicPr>
      <xdr:blipFill>
        <a:blip xmlns:r="http://schemas.openxmlformats.org/officeDocument/2006/relationships" r:embed="rId1"/>
        <a:stretch>
          <a:fillRect/>
        </a:stretch>
      </xdr:blipFill>
      <xdr:spPr>
        <a:xfrm>
          <a:off x="186764" y="11178670"/>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537" name="Resim 536">
          <a:extLst>
            <a:ext uri="{FF2B5EF4-FFF2-40B4-BE49-F238E27FC236}">
              <a16:creationId xmlns:a16="http://schemas.microsoft.com/office/drawing/2014/main" id="{10E5F22F-1A0E-40E1-80C7-DF92F0DF1229}"/>
            </a:ext>
          </a:extLst>
        </xdr:cNvPr>
        <xdr:cNvPicPr>
          <a:picLocks noChangeAspect="1"/>
        </xdr:cNvPicPr>
      </xdr:nvPicPr>
      <xdr:blipFill>
        <a:blip xmlns:r="http://schemas.openxmlformats.org/officeDocument/2006/relationships" r:embed="rId2"/>
        <a:stretch>
          <a:fillRect/>
        </a:stretch>
      </xdr:blipFill>
      <xdr:spPr>
        <a:xfrm>
          <a:off x="3147786" y="11066609"/>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538" name="Resim 537">
          <a:extLst>
            <a:ext uri="{FF2B5EF4-FFF2-40B4-BE49-F238E27FC236}">
              <a16:creationId xmlns:a16="http://schemas.microsoft.com/office/drawing/2014/main" id="{DB2C7F06-7FF5-4BD2-B7B4-D9FFDEF975FF}"/>
            </a:ext>
          </a:extLst>
        </xdr:cNvPr>
        <xdr:cNvPicPr>
          <a:picLocks noChangeAspect="1"/>
        </xdr:cNvPicPr>
      </xdr:nvPicPr>
      <xdr:blipFill>
        <a:blip xmlns:r="http://schemas.openxmlformats.org/officeDocument/2006/relationships" r:embed="rId1"/>
        <a:stretch>
          <a:fillRect/>
        </a:stretch>
      </xdr:blipFill>
      <xdr:spPr>
        <a:xfrm>
          <a:off x="186764" y="14852598"/>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539" name="Resim 538">
          <a:extLst>
            <a:ext uri="{FF2B5EF4-FFF2-40B4-BE49-F238E27FC236}">
              <a16:creationId xmlns:a16="http://schemas.microsoft.com/office/drawing/2014/main" id="{97B6D9BC-5267-44FA-AB78-6F327BBF4C00}"/>
            </a:ext>
          </a:extLst>
        </xdr:cNvPr>
        <xdr:cNvPicPr>
          <a:picLocks noChangeAspect="1"/>
        </xdr:cNvPicPr>
      </xdr:nvPicPr>
      <xdr:blipFill>
        <a:blip xmlns:r="http://schemas.openxmlformats.org/officeDocument/2006/relationships" r:embed="rId2"/>
        <a:stretch>
          <a:fillRect/>
        </a:stretch>
      </xdr:blipFill>
      <xdr:spPr>
        <a:xfrm>
          <a:off x="3147786" y="14740537"/>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540" name="Resim 539">
          <a:extLst>
            <a:ext uri="{FF2B5EF4-FFF2-40B4-BE49-F238E27FC236}">
              <a16:creationId xmlns:a16="http://schemas.microsoft.com/office/drawing/2014/main" id="{21EFFF90-8A20-4370-BDD1-A090B908607F}"/>
            </a:ext>
          </a:extLst>
        </xdr:cNvPr>
        <xdr:cNvPicPr>
          <a:picLocks noChangeAspect="1"/>
        </xdr:cNvPicPr>
      </xdr:nvPicPr>
      <xdr:blipFill>
        <a:blip xmlns:r="http://schemas.openxmlformats.org/officeDocument/2006/relationships" r:embed="rId1"/>
        <a:stretch>
          <a:fillRect/>
        </a:stretch>
      </xdr:blipFill>
      <xdr:spPr>
        <a:xfrm>
          <a:off x="186764" y="18526527"/>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541" name="Resim 540">
          <a:extLst>
            <a:ext uri="{FF2B5EF4-FFF2-40B4-BE49-F238E27FC236}">
              <a16:creationId xmlns:a16="http://schemas.microsoft.com/office/drawing/2014/main" id="{EFC9EAD5-DD22-4D3D-A28E-0DD7FDB19367}"/>
            </a:ext>
          </a:extLst>
        </xdr:cNvPr>
        <xdr:cNvPicPr>
          <a:picLocks noChangeAspect="1"/>
        </xdr:cNvPicPr>
      </xdr:nvPicPr>
      <xdr:blipFill>
        <a:blip xmlns:r="http://schemas.openxmlformats.org/officeDocument/2006/relationships" r:embed="rId2"/>
        <a:stretch>
          <a:fillRect/>
        </a:stretch>
      </xdr:blipFill>
      <xdr:spPr>
        <a:xfrm>
          <a:off x="3147786" y="18414466"/>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542" name="Resim 541">
          <a:extLst>
            <a:ext uri="{FF2B5EF4-FFF2-40B4-BE49-F238E27FC236}">
              <a16:creationId xmlns:a16="http://schemas.microsoft.com/office/drawing/2014/main" id="{DA753440-D3B1-4058-915F-F4ECAE342486}"/>
            </a:ext>
          </a:extLst>
        </xdr:cNvPr>
        <xdr:cNvPicPr>
          <a:picLocks noChangeAspect="1"/>
        </xdr:cNvPicPr>
      </xdr:nvPicPr>
      <xdr:blipFill>
        <a:blip xmlns:r="http://schemas.openxmlformats.org/officeDocument/2006/relationships" r:embed="rId1"/>
        <a:stretch>
          <a:fillRect/>
        </a:stretch>
      </xdr:blipFill>
      <xdr:spPr>
        <a:xfrm>
          <a:off x="186764" y="22200455"/>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543" name="Resim 542">
          <a:extLst>
            <a:ext uri="{FF2B5EF4-FFF2-40B4-BE49-F238E27FC236}">
              <a16:creationId xmlns:a16="http://schemas.microsoft.com/office/drawing/2014/main" id="{6F0346E7-1536-4A73-B779-66096B7067BF}"/>
            </a:ext>
          </a:extLst>
        </xdr:cNvPr>
        <xdr:cNvPicPr>
          <a:picLocks noChangeAspect="1"/>
        </xdr:cNvPicPr>
      </xdr:nvPicPr>
      <xdr:blipFill>
        <a:blip xmlns:r="http://schemas.openxmlformats.org/officeDocument/2006/relationships" r:embed="rId2"/>
        <a:stretch>
          <a:fillRect/>
        </a:stretch>
      </xdr:blipFill>
      <xdr:spPr>
        <a:xfrm>
          <a:off x="3147786" y="22088394"/>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544" name="Resim 543">
          <a:extLst>
            <a:ext uri="{FF2B5EF4-FFF2-40B4-BE49-F238E27FC236}">
              <a16:creationId xmlns:a16="http://schemas.microsoft.com/office/drawing/2014/main" id="{D627AD50-7402-4D9F-98A4-60FDEC6B8BC3}"/>
            </a:ext>
          </a:extLst>
        </xdr:cNvPr>
        <xdr:cNvPicPr>
          <a:picLocks noChangeAspect="1"/>
        </xdr:cNvPicPr>
      </xdr:nvPicPr>
      <xdr:blipFill>
        <a:blip xmlns:r="http://schemas.openxmlformats.org/officeDocument/2006/relationships" r:embed="rId1"/>
        <a:stretch>
          <a:fillRect/>
        </a:stretch>
      </xdr:blipFill>
      <xdr:spPr>
        <a:xfrm>
          <a:off x="186764" y="2587438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545" name="Resim 544">
          <a:extLst>
            <a:ext uri="{FF2B5EF4-FFF2-40B4-BE49-F238E27FC236}">
              <a16:creationId xmlns:a16="http://schemas.microsoft.com/office/drawing/2014/main" id="{DD0D3F17-9E34-4B80-94B1-928CD8684D9E}"/>
            </a:ext>
          </a:extLst>
        </xdr:cNvPr>
        <xdr:cNvPicPr>
          <a:picLocks noChangeAspect="1"/>
        </xdr:cNvPicPr>
      </xdr:nvPicPr>
      <xdr:blipFill>
        <a:blip xmlns:r="http://schemas.openxmlformats.org/officeDocument/2006/relationships" r:embed="rId2"/>
        <a:stretch>
          <a:fillRect/>
        </a:stretch>
      </xdr:blipFill>
      <xdr:spPr>
        <a:xfrm>
          <a:off x="3147786" y="2576232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546" name="Resim 545">
          <a:extLst>
            <a:ext uri="{FF2B5EF4-FFF2-40B4-BE49-F238E27FC236}">
              <a16:creationId xmlns:a16="http://schemas.microsoft.com/office/drawing/2014/main" id="{7D007157-E060-4FC1-BA20-33F6FC3B784E}"/>
            </a:ext>
          </a:extLst>
        </xdr:cNvPr>
        <xdr:cNvPicPr>
          <a:picLocks noChangeAspect="1"/>
        </xdr:cNvPicPr>
      </xdr:nvPicPr>
      <xdr:blipFill>
        <a:blip xmlns:r="http://schemas.openxmlformats.org/officeDocument/2006/relationships" r:embed="rId1"/>
        <a:stretch>
          <a:fillRect/>
        </a:stretch>
      </xdr:blipFill>
      <xdr:spPr>
        <a:xfrm>
          <a:off x="186764" y="29548313"/>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547" name="Resim 546">
          <a:extLst>
            <a:ext uri="{FF2B5EF4-FFF2-40B4-BE49-F238E27FC236}">
              <a16:creationId xmlns:a16="http://schemas.microsoft.com/office/drawing/2014/main" id="{71AE1F33-638B-4346-A64F-CB438F8956BF}"/>
            </a:ext>
          </a:extLst>
        </xdr:cNvPr>
        <xdr:cNvPicPr>
          <a:picLocks noChangeAspect="1"/>
        </xdr:cNvPicPr>
      </xdr:nvPicPr>
      <xdr:blipFill>
        <a:blip xmlns:r="http://schemas.openxmlformats.org/officeDocument/2006/relationships" r:embed="rId2"/>
        <a:stretch>
          <a:fillRect/>
        </a:stretch>
      </xdr:blipFill>
      <xdr:spPr>
        <a:xfrm>
          <a:off x="3147786" y="29436252"/>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548" name="Resim 547">
          <a:extLst>
            <a:ext uri="{FF2B5EF4-FFF2-40B4-BE49-F238E27FC236}">
              <a16:creationId xmlns:a16="http://schemas.microsoft.com/office/drawing/2014/main" id="{6FBE4B8E-ACE1-4727-9E27-586E88FE471B}"/>
            </a:ext>
          </a:extLst>
        </xdr:cNvPr>
        <xdr:cNvPicPr>
          <a:picLocks noChangeAspect="1"/>
        </xdr:cNvPicPr>
      </xdr:nvPicPr>
      <xdr:blipFill>
        <a:blip xmlns:r="http://schemas.openxmlformats.org/officeDocument/2006/relationships" r:embed="rId1"/>
        <a:stretch>
          <a:fillRect/>
        </a:stretch>
      </xdr:blipFill>
      <xdr:spPr>
        <a:xfrm>
          <a:off x="186764" y="33222241"/>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549" name="Resim 548">
          <a:extLst>
            <a:ext uri="{FF2B5EF4-FFF2-40B4-BE49-F238E27FC236}">
              <a16:creationId xmlns:a16="http://schemas.microsoft.com/office/drawing/2014/main" id="{E98AC7E4-FB3F-4738-9840-20970665635A}"/>
            </a:ext>
          </a:extLst>
        </xdr:cNvPr>
        <xdr:cNvPicPr>
          <a:picLocks noChangeAspect="1"/>
        </xdr:cNvPicPr>
      </xdr:nvPicPr>
      <xdr:blipFill>
        <a:blip xmlns:r="http://schemas.openxmlformats.org/officeDocument/2006/relationships" r:embed="rId2"/>
        <a:stretch>
          <a:fillRect/>
        </a:stretch>
      </xdr:blipFill>
      <xdr:spPr>
        <a:xfrm>
          <a:off x="3147786" y="33110180"/>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550" name="Resim 549">
          <a:extLst>
            <a:ext uri="{FF2B5EF4-FFF2-40B4-BE49-F238E27FC236}">
              <a16:creationId xmlns:a16="http://schemas.microsoft.com/office/drawing/2014/main" id="{9970251D-0861-4748-82BF-2B964D8C66A6}"/>
            </a:ext>
          </a:extLst>
        </xdr:cNvPr>
        <xdr:cNvPicPr>
          <a:picLocks noChangeAspect="1"/>
        </xdr:cNvPicPr>
      </xdr:nvPicPr>
      <xdr:blipFill>
        <a:blip xmlns:r="http://schemas.openxmlformats.org/officeDocument/2006/relationships" r:embed="rId1"/>
        <a:stretch>
          <a:fillRect/>
        </a:stretch>
      </xdr:blipFill>
      <xdr:spPr>
        <a:xfrm>
          <a:off x="186764" y="36896170"/>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551" name="Resim 550">
          <a:extLst>
            <a:ext uri="{FF2B5EF4-FFF2-40B4-BE49-F238E27FC236}">
              <a16:creationId xmlns:a16="http://schemas.microsoft.com/office/drawing/2014/main" id="{91C06A2E-4D4C-4DCD-8A33-F36CAFE770F7}"/>
            </a:ext>
          </a:extLst>
        </xdr:cNvPr>
        <xdr:cNvPicPr>
          <a:picLocks noChangeAspect="1"/>
        </xdr:cNvPicPr>
      </xdr:nvPicPr>
      <xdr:blipFill>
        <a:blip xmlns:r="http://schemas.openxmlformats.org/officeDocument/2006/relationships" r:embed="rId2"/>
        <a:stretch>
          <a:fillRect/>
        </a:stretch>
      </xdr:blipFill>
      <xdr:spPr>
        <a:xfrm>
          <a:off x="3147786" y="36784109"/>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552" name="Resim 551">
          <a:extLst>
            <a:ext uri="{FF2B5EF4-FFF2-40B4-BE49-F238E27FC236}">
              <a16:creationId xmlns:a16="http://schemas.microsoft.com/office/drawing/2014/main" id="{827EB60C-28A7-4924-96ED-B322427B580E}"/>
            </a:ext>
          </a:extLst>
        </xdr:cNvPr>
        <xdr:cNvPicPr>
          <a:picLocks noChangeAspect="1"/>
        </xdr:cNvPicPr>
      </xdr:nvPicPr>
      <xdr:blipFill>
        <a:blip xmlns:r="http://schemas.openxmlformats.org/officeDocument/2006/relationships" r:embed="rId1"/>
        <a:stretch>
          <a:fillRect/>
        </a:stretch>
      </xdr:blipFill>
      <xdr:spPr>
        <a:xfrm>
          <a:off x="186764" y="40570098"/>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553" name="Resim 552">
          <a:extLst>
            <a:ext uri="{FF2B5EF4-FFF2-40B4-BE49-F238E27FC236}">
              <a16:creationId xmlns:a16="http://schemas.microsoft.com/office/drawing/2014/main" id="{80515856-8FE4-41D9-8320-16FC7BCA7A49}"/>
            </a:ext>
          </a:extLst>
        </xdr:cNvPr>
        <xdr:cNvPicPr>
          <a:picLocks noChangeAspect="1"/>
        </xdr:cNvPicPr>
      </xdr:nvPicPr>
      <xdr:blipFill>
        <a:blip xmlns:r="http://schemas.openxmlformats.org/officeDocument/2006/relationships" r:embed="rId2"/>
        <a:stretch>
          <a:fillRect/>
        </a:stretch>
      </xdr:blipFill>
      <xdr:spPr>
        <a:xfrm>
          <a:off x="3147786" y="40458037"/>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554" name="Resim 553">
          <a:extLst>
            <a:ext uri="{FF2B5EF4-FFF2-40B4-BE49-F238E27FC236}">
              <a16:creationId xmlns:a16="http://schemas.microsoft.com/office/drawing/2014/main" id="{EDA50451-DD0C-41A8-8BF3-AE92F64CC259}"/>
            </a:ext>
          </a:extLst>
        </xdr:cNvPr>
        <xdr:cNvPicPr>
          <a:picLocks noChangeAspect="1"/>
        </xdr:cNvPicPr>
      </xdr:nvPicPr>
      <xdr:blipFill>
        <a:blip xmlns:r="http://schemas.openxmlformats.org/officeDocument/2006/relationships" r:embed="rId1"/>
        <a:stretch>
          <a:fillRect/>
        </a:stretch>
      </xdr:blipFill>
      <xdr:spPr>
        <a:xfrm>
          <a:off x="186764" y="44244027"/>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555" name="Resim 554">
          <a:extLst>
            <a:ext uri="{FF2B5EF4-FFF2-40B4-BE49-F238E27FC236}">
              <a16:creationId xmlns:a16="http://schemas.microsoft.com/office/drawing/2014/main" id="{01E5BD2C-2D65-49B3-AD23-4CCC033860D9}"/>
            </a:ext>
          </a:extLst>
        </xdr:cNvPr>
        <xdr:cNvPicPr>
          <a:picLocks noChangeAspect="1"/>
        </xdr:cNvPicPr>
      </xdr:nvPicPr>
      <xdr:blipFill>
        <a:blip xmlns:r="http://schemas.openxmlformats.org/officeDocument/2006/relationships" r:embed="rId2"/>
        <a:stretch>
          <a:fillRect/>
        </a:stretch>
      </xdr:blipFill>
      <xdr:spPr>
        <a:xfrm>
          <a:off x="3147786" y="44131966"/>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556" name="Resim 555">
          <a:extLst>
            <a:ext uri="{FF2B5EF4-FFF2-40B4-BE49-F238E27FC236}">
              <a16:creationId xmlns:a16="http://schemas.microsoft.com/office/drawing/2014/main" id="{89E8B3A4-0F66-4778-9589-D5BD8402D044}"/>
            </a:ext>
          </a:extLst>
        </xdr:cNvPr>
        <xdr:cNvPicPr>
          <a:picLocks noChangeAspect="1"/>
        </xdr:cNvPicPr>
      </xdr:nvPicPr>
      <xdr:blipFill>
        <a:blip xmlns:r="http://schemas.openxmlformats.org/officeDocument/2006/relationships" r:embed="rId1"/>
        <a:stretch>
          <a:fillRect/>
        </a:stretch>
      </xdr:blipFill>
      <xdr:spPr>
        <a:xfrm>
          <a:off x="186764" y="47917955"/>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557" name="Resim 556">
          <a:extLst>
            <a:ext uri="{FF2B5EF4-FFF2-40B4-BE49-F238E27FC236}">
              <a16:creationId xmlns:a16="http://schemas.microsoft.com/office/drawing/2014/main" id="{CFDF8DDA-F5F8-4BA1-97AE-CFD469935D5E}"/>
            </a:ext>
          </a:extLst>
        </xdr:cNvPr>
        <xdr:cNvPicPr>
          <a:picLocks noChangeAspect="1"/>
        </xdr:cNvPicPr>
      </xdr:nvPicPr>
      <xdr:blipFill>
        <a:blip xmlns:r="http://schemas.openxmlformats.org/officeDocument/2006/relationships" r:embed="rId2"/>
        <a:stretch>
          <a:fillRect/>
        </a:stretch>
      </xdr:blipFill>
      <xdr:spPr>
        <a:xfrm>
          <a:off x="3147786" y="47805894"/>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558" name="Resim 557">
          <a:extLst>
            <a:ext uri="{FF2B5EF4-FFF2-40B4-BE49-F238E27FC236}">
              <a16:creationId xmlns:a16="http://schemas.microsoft.com/office/drawing/2014/main" id="{5CFA805F-35EE-4E2F-A20D-8E630731610B}"/>
            </a:ext>
          </a:extLst>
        </xdr:cNvPr>
        <xdr:cNvPicPr>
          <a:picLocks noChangeAspect="1"/>
        </xdr:cNvPicPr>
      </xdr:nvPicPr>
      <xdr:blipFill>
        <a:blip xmlns:r="http://schemas.openxmlformats.org/officeDocument/2006/relationships" r:embed="rId1"/>
        <a:stretch>
          <a:fillRect/>
        </a:stretch>
      </xdr:blipFill>
      <xdr:spPr>
        <a:xfrm>
          <a:off x="186764" y="515918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559" name="Resim 558">
          <a:extLst>
            <a:ext uri="{FF2B5EF4-FFF2-40B4-BE49-F238E27FC236}">
              <a16:creationId xmlns:a16="http://schemas.microsoft.com/office/drawing/2014/main" id="{129925FD-8644-45BB-ACD9-C1FC69F31B7C}"/>
            </a:ext>
          </a:extLst>
        </xdr:cNvPr>
        <xdr:cNvPicPr>
          <a:picLocks noChangeAspect="1"/>
        </xdr:cNvPicPr>
      </xdr:nvPicPr>
      <xdr:blipFill>
        <a:blip xmlns:r="http://schemas.openxmlformats.org/officeDocument/2006/relationships" r:embed="rId2"/>
        <a:stretch>
          <a:fillRect/>
        </a:stretch>
      </xdr:blipFill>
      <xdr:spPr>
        <a:xfrm>
          <a:off x="3147786" y="514798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560" name="Resim 559">
          <a:extLst>
            <a:ext uri="{FF2B5EF4-FFF2-40B4-BE49-F238E27FC236}">
              <a16:creationId xmlns:a16="http://schemas.microsoft.com/office/drawing/2014/main" id="{804FBCB9-7698-4B56-9511-05DC37586C15}"/>
            </a:ext>
          </a:extLst>
        </xdr:cNvPr>
        <xdr:cNvPicPr>
          <a:picLocks noChangeAspect="1"/>
        </xdr:cNvPicPr>
      </xdr:nvPicPr>
      <xdr:blipFill>
        <a:blip xmlns:r="http://schemas.openxmlformats.org/officeDocument/2006/relationships" r:embed="rId1"/>
        <a:stretch>
          <a:fillRect/>
        </a:stretch>
      </xdr:blipFill>
      <xdr:spPr>
        <a:xfrm>
          <a:off x="186764" y="55265813"/>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561" name="Resim 560">
          <a:extLst>
            <a:ext uri="{FF2B5EF4-FFF2-40B4-BE49-F238E27FC236}">
              <a16:creationId xmlns:a16="http://schemas.microsoft.com/office/drawing/2014/main" id="{E3EC6743-C6F6-4B58-BF19-61C79DE6EBCB}"/>
            </a:ext>
          </a:extLst>
        </xdr:cNvPr>
        <xdr:cNvPicPr>
          <a:picLocks noChangeAspect="1"/>
        </xdr:cNvPicPr>
      </xdr:nvPicPr>
      <xdr:blipFill>
        <a:blip xmlns:r="http://schemas.openxmlformats.org/officeDocument/2006/relationships" r:embed="rId2"/>
        <a:stretch>
          <a:fillRect/>
        </a:stretch>
      </xdr:blipFill>
      <xdr:spPr>
        <a:xfrm>
          <a:off x="3147786" y="55153752"/>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562" name="Resim 561">
          <a:extLst>
            <a:ext uri="{FF2B5EF4-FFF2-40B4-BE49-F238E27FC236}">
              <a16:creationId xmlns:a16="http://schemas.microsoft.com/office/drawing/2014/main" id="{9BF5DA38-AAA6-4209-9CAD-7EB086D4D0B6}"/>
            </a:ext>
          </a:extLst>
        </xdr:cNvPr>
        <xdr:cNvPicPr>
          <a:picLocks noChangeAspect="1"/>
        </xdr:cNvPicPr>
      </xdr:nvPicPr>
      <xdr:blipFill>
        <a:blip xmlns:r="http://schemas.openxmlformats.org/officeDocument/2006/relationships" r:embed="rId1"/>
        <a:stretch>
          <a:fillRect/>
        </a:stretch>
      </xdr:blipFill>
      <xdr:spPr>
        <a:xfrm>
          <a:off x="186764" y="58939741"/>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563" name="Resim 562">
          <a:extLst>
            <a:ext uri="{FF2B5EF4-FFF2-40B4-BE49-F238E27FC236}">
              <a16:creationId xmlns:a16="http://schemas.microsoft.com/office/drawing/2014/main" id="{1A365FDA-22EB-4301-9ACD-188E3E1954B9}"/>
            </a:ext>
          </a:extLst>
        </xdr:cNvPr>
        <xdr:cNvPicPr>
          <a:picLocks noChangeAspect="1"/>
        </xdr:cNvPicPr>
      </xdr:nvPicPr>
      <xdr:blipFill>
        <a:blip xmlns:r="http://schemas.openxmlformats.org/officeDocument/2006/relationships" r:embed="rId2"/>
        <a:stretch>
          <a:fillRect/>
        </a:stretch>
      </xdr:blipFill>
      <xdr:spPr>
        <a:xfrm>
          <a:off x="3147786" y="58827680"/>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564" name="Resim 563">
          <a:extLst>
            <a:ext uri="{FF2B5EF4-FFF2-40B4-BE49-F238E27FC236}">
              <a16:creationId xmlns:a16="http://schemas.microsoft.com/office/drawing/2014/main" id="{A5B91CBC-13C1-43FC-965B-1FA62FEB99D2}"/>
            </a:ext>
          </a:extLst>
        </xdr:cNvPr>
        <xdr:cNvPicPr>
          <a:picLocks noChangeAspect="1"/>
        </xdr:cNvPicPr>
      </xdr:nvPicPr>
      <xdr:blipFill>
        <a:blip xmlns:r="http://schemas.openxmlformats.org/officeDocument/2006/relationships" r:embed="rId1"/>
        <a:stretch>
          <a:fillRect/>
        </a:stretch>
      </xdr:blipFill>
      <xdr:spPr>
        <a:xfrm>
          <a:off x="186764" y="62613670"/>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565" name="Resim 564">
          <a:extLst>
            <a:ext uri="{FF2B5EF4-FFF2-40B4-BE49-F238E27FC236}">
              <a16:creationId xmlns:a16="http://schemas.microsoft.com/office/drawing/2014/main" id="{99F4DD49-5D3F-4CEA-B609-9B5266C21468}"/>
            </a:ext>
          </a:extLst>
        </xdr:cNvPr>
        <xdr:cNvPicPr>
          <a:picLocks noChangeAspect="1"/>
        </xdr:cNvPicPr>
      </xdr:nvPicPr>
      <xdr:blipFill>
        <a:blip xmlns:r="http://schemas.openxmlformats.org/officeDocument/2006/relationships" r:embed="rId2"/>
        <a:stretch>
          <a:fillRect/>
        </a:stretch>
      </xdr:blipFill>
      <xdr:spPr>
        <a:xfrm>
          <a:off x="3147786" y="62501609"/>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566" name="Resim 565">
          <a:extLst>
            <a:ext uri="{FF2B5EF4-FFF2-40B4-BE49-F238E27FC236}">
              <a16:creationId xmlns:a16="http://schemas.microsoft.com/office/drawing/2014/main" id="{DA7F5EE2-5319-4D96-8B05-EB4C998E2F60}"/>
            </a:ext>
          </a:extLst>
        </xdr:cNvPr>
        <xdr:cNvPicPr>
          <a:picLocks noChangeAspect="1"/>
        </xdr:cNvPicPr>
      </xdr:nvPicPr>
      <xdr:blipFill>
        <a:blip xmlns:r="http://schemas.openxmlformats.org/officeDocument/2006/relationships" r:embed="rId1"/>
        <a:stretch>
          <a:fillRect/>
        </a:stretch>
      </xdr:blipFill>
      <xdr:spPr>
        <a:xfrm>
          <a:off x="186764" y="66287598"/>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567" name="Resim 566">
          <a:extLst>
            <a:ext uri="{FF2B5EF4-FFF2-40B4-BE49-F238E27FC236}">
              <a16:creationId xmlns:a16="http://schemas.microsoft.com/office/drawing/2014/main" id="{EC471195-B179-4355-A6F1-6F5C5838B533}"/>
            </a:ext>
          </a:extLst>
        </xdr:cNvPr>
        <xdr:cNvPicPr>
          <a:picLocks noChangeAspect="1"/>
        </xdr:cNvPicPr>
      </xdr:nvPicPr>
      <xdr:blipFill>
        <a:blip xmlns:r="http://schemas.openxmlformats.org/officeDocument/2006/relationships" r:embed="rId2"/>
        <a:stretch>
          <a:fillRect/>
        </a:stretch>
      </xdr:blipFill>
      <xdr:spPr>
        <a:xfrm>
          <a:off x="3147786" y="66175537"/>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568" name="Resim 567">
          <a:extLst>
            <a:ext uri="{FF2B5EF4-FFF2-40B4-BE49-F238E27FC236}">
              <a16:creationId xmlns:a16="http://schemas.microsoft.com/office/drawing/2014/main" id="{6E836853-289C-489F-A5DB-34CBF95B54A9}"/>
            </a:ext>
          </a:extLst>
        </xdr:cNvPr>
        <xdr:cNvPicPr>
          <a:picLocks noChangeAspect="1"/>
        </xdr:cNvPicPr>
      </xdr:nvPicPr>
      <xdr:blipFill>
        <a:blip xmlns:r="http://schemas.openxmlformats.org/officeDocument/2006/relationships" r:embed="rId1"/>
        <a:stretch>
          <a:fillRect/>
        </a:stretch>
      </xdr:blipFill>
      <xdr:spPr>
        <a:xfrm>
          <a:off x="186764" y="69961527"/>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569" name="Resim 568">
          <a:extLst>
            <a:ext uri="{FF2B5EF4-FFF2-40B4-BE49-F238E27FC236}">
              <a16:creationId xmlns:a16="http://schemas.microsoft.com/office/drawing/2014/main" id="{5411526A-84BA-4EB0-8156-F6DEEEF53611}"/>
            </a:ext>
          </a:extLst>
        </xdr:cNvPr>
        <xdr:cNvPicPr>
          <a:picLocks noChangeAspect="1"/>
        </xdr:cNvPicPr>
      </xdr:nvPicPr>
      <xdr:blipFill>
        <a:blip xmlns:r="http://schemas.openxmlformats.org/officeDocument/2006/relationships" r:embed="rId2"/>
        <a:stretch>
          <a:fillRect/>
        </a:stretch>
      </xdr:blipFill>
      <xdr:spPr>
        <a:xfrm>
          <a:off x="3147786" y="69849466"/>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570" name="Resim 569">
          <a:extLst>
            <a:ext uri="{FF2B5EF4-FFF2-40B4-BE49-F238E27FC236}">
              <a16:creationId xmlns:a16="http://schemas.microsoft.com/office/drawing/2014/main" id="{49567485-EA04-447B-978A-741D647A0EB1}"/>
            </a:ext>
          </a:extLst>
        </xdr:cNvPr>
        <xdr:cNvPicPr>
          <a:picLocks noChangeAspect="1"/>
        </xdr:cNvPicPr>
      </xdr:nvPicPr>
      <xdr:blipFill>
        <a:blip xmlns:r="http://schemas.openxmlformats.org/officeDocument/2006/relationships" r:embed="rId1"/>
        <a:stretch>
          <a:fillRect/>
        </a:stretch>
      </xdr:blipFill>
      <xdr:spPr>
        <a:xfrm>
          <a:off x="186764" y="73635455"/>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571" name="Resim 570">
          <a:extLst>
            <a:ext uri="{FF2B5EF4-FFF2-40B4-BE49-F238E27FC236}">
              <a16:creationId xmlns:a16="http://schemas.microsoft.com/office/drawing/2014/main" id="{756BB54A-68C9-46E4-BBE5-4E979BDEC5E1}"/>
            </a:ext>
          </a:extLst>
        </xdr:cNvPr>
        <xdr:cNvPicPr>
          <a:picLocks noChangeAspect="1"/>
        </xdr:cNvPicPr>
      </xdr:nvPicPr>
      <xdr:blipFill>
        <a:blip xmlns:r="http://schemas.openxmlformats.org/officeDocument/2006/relationships" r:embed="rId2"/>
        <a:stretch>
          <a:fillRect/>
        </a:stretch>
      </xdr:blipFill>
      <xdr:spPr>
        <a:xfrm>
          <a:off x="3147786" y="73523394"/>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572" name="Resim 571">
          <a:extLst>
            <a:ext uri="{FF2B5EF4-FFF2-40B4-BE49-F238E27FC236}">
              <a16:creationId xmlns:a16="http://schemas.microsoft.com/office/drawing/2014/main" id="{A59995B0-2B2F-4869-A870-2695F1A36E39}"/>
            </a:ext>
          </a:extLst>
        </xdr:cNvPr>
        <xdr:cNvPicPr>
          <a:picLocks noChangeAspect="1"/>
        </xdr:cNvPicPr>
      </xdr:nvPicPr>
      <xdr:blipFill>
        <a:blip xmlns:r="http://schemas.openxmlformats.org/officeDocument/2006/relationships" r:embed="rId1"/>
        <a:stretch>
          <a:fillRect/>
        </a:stretch>
      </xdr:blipFill>
      <xdr:spPr>
        <a:xfrm>
          <a:off x="186764" y="7730938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573" name="Resim 572">
          <a:extLst>
            <a:ext uri="{FF2B5EF4-FFF2-40B4-BE49-F238E27FC236}">
              <a16:creationId xmlns:a16="http://schemas.microsoft.com/office/drawing/2014/main" id="{F8B8247F-5ABC-46BA-95FF-14A973C231FA}"/>
            </a:ext>
          </a:extLst>
        </xdr:cNvPr>
        <xdr:cNvPicPr>
          <a:picLocks noChangeAspect="1"/>
        </xdr:cNvPicPr>
      </xdr:nvPicPr>
      <xdr:blipFill>
        <a:blip xmlns:r="http://schemas.openxmlformats.org/officeDocument/2006/relationships" r:embed="rId2"/>
        <a:stretch>
          <a:fillRect/>
        </a:stretch>
      </xdr:blipFill>
      <xdr:spPr>
        <a:xfrm>
          <a:off x="3147786" y="7719732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574" name="Resim 573">
          <a:extLst>
            <a:ext uri="{FF2B5EF4-FFF2-40B4-BE49-F238E27FC236}">
              <a16:creationId xmlns:a16="http://schemas.microsoft.com/office/drawing/2014/main" id="{651F0803-5657-475B-8C13-4EE84F365B87}"/>
            </a:ext>
          </a:extLst>
        </xdr:cNvPr>
        <xdr:cNvPicPr>
          <a:picLocks noChangeAspect="1"/>
        </xdr:cNvPicPr>
      </xdr:nvPicPr>
      <xdr:blipFill>
        <a:blip xmlns:r="http://schemas.openxmlformats.org/officeDocument/2006/relationships" r:embed="rId1"/>
        <a:stretch>
          <a:fillRect/>
        </a:stretch>
      </xdr:blipFill>
      <xdr:spPr>
        <a:xfrm>
          <a:off x="186764" y="80983313"/>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575" name="Resim 574">
          <a:extLst>
            <a:ext uri="{FF2B5EF4-FFF2-40B4-BE49-F238E27FC236}">
              <a16:creationId xmlns:a16="http://schemas.microsoft.com/office/drawing/2014/main" id="{3CE83A6A-A001-4B68-8053-6B3686DE5D00}"/>
            </a:ext>
          </a:extLst>
        </xdr:cNvPr>
        <xdr:cNvPicPr>
          <a:picLocks noChangeAspect="1"/>
        </xdr:cNvPicPr>
      </xdr:nvPicPr>
      <xdr:blipFill>
        <a:blip xmlns:r="http://schemas.openxmlformats.org/officeDocument/2006/relationships" r:embed="rId2"/>
        <a:stretch>
          <a:fillRect/>
        </a:stretch>
      </xdr:blipFill>
      <xdr:spPr>
        <a:xfrm>
          <a:off x="3147786" y="80871252"/>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576" name="Resim 575">
          <a:extLst>
            <a:ext uri="{FF2B5EF4-FFF2-40B4-BE49-F238E27FC236}">
              <a16:creationId xmlns:a16="http://schemas.microsoft.com/office/drawing/2014/main" id="{F8989BD8-D714-491C-A5D6-32829BD59E84}"/>
            </a:ext>
          </a:extLst>
        </xdr:cNvPr>
        <xdr:cNvPicPr>
          <a:picLocks noChangeAspect="1"/>
        </xdr:cNvPicPr>
      </xdr:nvPicPr>
      <xdr:blipFill>
        <a:blip xmlns:r="http://schemas.openxmlformats.org/officeDocument/2006/relationships" r:embed="rId1"/>
        <a:stretch>
          <a:fillRect/>
        </a:stretch>
      </xdr:blipFill>
      <xdr:spPr>
        <a:xfrm>
          <a:off x="186764" y="84657241"/>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577" name="Resim 576">
          <a:extLst>
            <a:ext uri="{FF2B5EF4-FFF2-40B4-BE49-F238E27FC236}">
              <a16:creationId xmlns:a16="http://schemas.microsoft.com/office/drawing/2014/main" id="{6504959A-4F46-4F50-928C-C65D1CE63F7E}"/>
            </a:ext>
          </a:extLst>
        </xdr:cNvPr>
        <xdr:cNvPicPr>
          <a:picLocks noChangeAspect="1"/>
        </xdr:cNvPicPr>
      </xdr:nvPicPr>
      <xdr:blipFill>
        <a:blip xmlns:r="http://schemas.openxmlformats.org/officeDocument/2006/relationships" r:embed="rId2"/>
        <a:stretch>
          <a:fillRect/>
        </a:stretch>
      </xdr:blipFill>
      <xdr:spPr>
        <a:xfrm>
          <a:off x="3147786" y="84545180"/>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578" name="Resim 577">
          <a:extLst>
            <a:ext uri="{FF2B5EF4-FFF2-40B4-BE49-F238E27FC236}">
              <a16:creationId xmlns:a16="http://schemas.microsoft.com/office/drawing/2014/main" id="{882572BD-3459-4718-9477-0CF5FF98A61C}"/>
            </a:ext>
          </a:extLst>
        </xdr:cNvPr>
        <xdr:cNvPicPr>
          <a:picLocks noChangeAspect="1"/>
        </xdr:cNvPicPr>
      </xdr:nvPicPr>
      <xdr:blipFill>
        <a:blip xmlns:r="http://schemas.openxmlformats.org/officeDocument/2006/relationships" r:embed="rId1"/>
        <a:stretch>
          <a:fillRect/>
        </a:stretch>
      </xdr:blipFill>
      <xdr:spPr>
        <a:xfrm>
          <a:off x="186764" y="88331170"/>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579" name="Resim 578">
          <a:extLst>
            <a:ext uri="{FF2B5EF4-FFF2-40B4-BE49-F238E27FC236}">
              <a16:creationId xmlns:a16="http://schemas.microsoft.com/office/drawing/2014/main" id="{C8EAA851-8B8F-4132-8FDB-70595A9A790B}"/>
            </a:ext>
          </a:extLst>
        </xdr:cNvPr>
        <xdr:cNvPicPr>
          <a:picLocks noChangeAspect="1"/>
        </xdr:cNvPicPr>
      </xdr:nvPicPr>
      <xdr:blipFill>
        <a:blip xmlns:r="http://schemas.openxmlformats.org/officeDocument/2006/relationships" r:embed="rId2"/>
        <a:stretch>
          <a:fillRect/>
        </a:stretch>
      </xdr:blipFill>
      <xdr:spPr>
        <a:xfrm>
          <a:off x="3147786" y="88219109"/>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580" name="Resim 579">
          <a:extLst>
            <a:ext uri="{FF2B5EF4-FFF2-40B4-BE49-F238E27FC236}">
              <a16:creationId xmlns:a16="http://schemas.microsoft.com/office/drawing/2014/main" id="{9296D8E3-01F1-4F6D-B33E-5555262504CA}"/>
            </a:ext>
          </a:extLst>
        </xdr:cNvPr>
        <xdr:cNvPicPr>
          <a:picLocks noChangeAspect="1"/>
        </xdr:cNvPicPr>
      </xdr:nvPicPr>
      <xdr:blipFill>
        <a:blip xmlns:r="http://schemas.openxmlformats.org/officeDocument/2006/relationships" r:embed="rId1"/>
        <a:stretch>
          <a:fillRect/>
        </a:stretch>
      </xdr:blipFill>
      <xdr:spPr>
        <a:xfrm>
          <a:off x="186764" y="92005098"/>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581" name="Resim 580">
          <a:extLst>
            <a:ext uri="{FF2B5EF4-FFF2-40B4-BE49-F238E27FC236}">
              <a16:creationId xmlns:a16="http://schemas.microsoft.com/office/drawing/2014/main" id="{21B8013E-A1B1-4799-A03C-FA24751C3862}"/>
            </a:ext>
          </a:extLst>
        </xdr:cNvPr>
        <xdr:cNvPicPr>
          <a:picLocks noChangeAspect="1"/>
        </xdr:cNvPicPr>
      </xdr:nvPicPr>
      <xdr:blipFill>
        <a:blip xmlns:r="http://schemas.openxmlformats.org/officeDocument/2006/relationships" r:embed="rId2"/>
        <a:stretch>
          <a:fillRect/>
        </a:stretch>
      </xdr:blipFill>
      <xdr:spPr>
        <a:xfrm>
          <a:off x="3147786" y="91893037"/>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582" name="Resim 581">
          <a:extLst>
            <a:ext uri="{FF2B5EF4-FFF2-40B4-BE49-F238E27FC236}">
              <a16:creationId xmlns:a16="http://schemas.microsoft.com/office/drawing/2014/main" id="{6CEF5391-438E-4609-87FD-971742818187}"/>
            </a:ext>
          </a:extLst>
        </xdr:cNvPr>
        <xdr:cNvPicPr>
          <a:picLocks noChangeAspect="1"/>
        </xdr:cNvPicPr>
      </xdr:nvPicPr>
      <xdr:blipFill>
        <a:blip xmlns:r="http://schemas.openxmlformats.org/officeDocument/2006/relationships" r:embed="rId1"/>
        <a:stretch>
          <a:fillRect/>
        </a:stretch>
      </xdr:blipFill>
      <xdr:spPr>
        <a:xfrm>
          <a:off x="186764" y="95679027"/>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583" name="Resim 582">
          <a:extLst>
            <a:ext uri="{FF2B5EF4-FFF2-40B4-BE49-F238E27FC236}">
              <a16:creationId xmlns:a16="http://schemas.microsoft.com/office/drawing/2014/main" id="{9387AA96-D7C4-4D09-B56E-616D884AA43F}"/>
            </a:ext>
          </a:extLst>
        </xdr:cNvPr>
        <xdr:cNvPicPr>
          <a:picLocks noChangeAspect="1"/>
        </xdr:cNvPicPr>
      </xdr:nvPicPr>
      <xdr:blipFill>
        <a:blip xmlns:r="http://schemas.openxmlformats.org/officeDocument/2006/relationships" r:embed="rId2"/>
        <a:stretch>
          <a:fillRect/>
        </a:stretch>
      </xdr:blipFill>
      <xdr:spPr>
        <a:xfrm>
          <a:off x="3147786" y="95566966"/>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584" name="Resim 583">
          <a:extLst>
            <a:ext uri="{FF2B5EF4-FFF2-40B4-BE49-F238E27FC236}">
              <a16:creationId xmlns:a16="http://schemas.microsoft.com/office/drawing/2014/main" id="{B7F9FA42-E6D6-4DD6-B87C-B07513D9902A}"/>
            </a:ext>
          </a:extLst>
        </xdr:cNvPr>
        <xdr:cNvPicPr>
          <a:picLocks noChangeAspect="1"/>
        </xdr:cNvPicPr>
      </xdr:nvPicPr>
      <xdr:blipFill>
        <a:blip xmlns:r="http://schemas.openxmlformats.org/officeDocument/2006/relationships" r:embed="rId1"/>
        <a:stretch>
          <a:fillRect/>
        </a:stretch>
      </xdr:blipFill>
      <xdr:spPr>
        <a:xfrm>
          <a:off x="186764" y="99352955"/>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585" name="Resim 584">
          <a:extLst>
            <a:ext uri="{FF2B5EF4-FFF2-40B4-BE49-F238E27FC236}">
              <a16:creationId xmlns:a16="http://schemas.microsoft.com/office/drawing/2014/main" id="{7D68C5B2-BF8B-42A8-A268-11000685A121}"/>
            </a:ext>
          </a:extLst>
        </xdr:cNvPr>
        <xdr:cNvPicPr>
          <a:picLocks noChangeAspect="1"/>
        </xdr:cNvPicPr>
      </xdr:nvPicPr>
      <xdr:blipFill>
        <a:blip xmlns:r="http://schemas.openxmlformats.org/officeDocument/2006/relationships" r:embed="rId2"/>
        <a:stretch>
          <a:fillRect/>
        </a:stretch>
      </xdr:blipFill>
      <xdr:spPr>
        <a:xfrm>
          <a:off x="3147786" y="99240894"/>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586" name="Resim 585">
          <a:extLst>
            <a:ext uri="{FF2B5EF4-FFF2-40B4-BE49-F238E27FC236}">
              <a16:creationId xmlns:a16="http://schemas.microsoft.com/office/drawing/2014/main" id="{EDE1D991-E0B8-44F8-8952-1FC51CFBF1C6}"/>
            </a:ext>
          </a:extLst>
        </xdr:cNvPr>
        <xdr:cNvPicPr>
          <a:picLocks noChangeAspect="1"/>
        </xdr:cNvPicPr>
      </xdr:nvPicPr>
      <xdr:blipFill>
        <a:blip xmlns:r="http://schemas.openxmlformats.org/officeDocument/2006/relationships" r:embed="rId1"/>
        <a:stretch>
          <a:fillRect/>
        </a:stretch>
      </xdr:blipFill>
      <xdr:spPr>
        <a:xfrm>
          <a:off x="186764" y="1030268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587" name="Resim 586">
          <a:extLst>
            <a:ext uri="{FF2B5EF4-FFF2-40B4-BE49-F238E27FC236}">
              <a16:creationId xmlns:a16="http://schemas.microsoft.com/office/drawing/2014/main" id="{C9D7FAA3-4B2E-4E5B-8AC5-F834935D6BFD}"/>
            </a:ext>
          </a:extLst>
        </xdr:cNvPr>
        <xdr:cNvPicPr>
          <a:picLocks noChangeAspect="1"/>
        </xdr:cNvPicPr>
      </xdr:nvPicPr>
      <xdr:blipFill>
        <a:blip xmlns:r="http://schemas.openxmlformats.org/officeDocument/2006/relationships" r:embed="rId2"/>
        <a:stretch>
          <a:fillRect/>
        </a:stretch>
      </xdr:blipFill>
      <xdr:spPr>
        <a:xfrm>
          <a:off x="3147786" y="1029148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588" name="Resim 587">
          <a:extLst>
            <a:ext uri="{FF2B5EF4-FFF2-40B4-BE49-F238E27FC236}">
              <a16:creationId xmlns:a16="http://schemas.microsoft.com/office/drawing/2014/main" id="{A08867C0-3EB0-4E37-8EBA-CB435926BED8}"/>
            </a:ext>
          </a:extLst>
        </xdr:cNvPr>
        <xdr:cNvPicPr>
          <a:picLocks noChangeAspect="1"/>
        </xdr:cNvPicPr>
      </xdr:nvPicPr>
      <xdr:blipFill>
        <a:blip xmlns:r="http://schemas.openxmlformats.org/officeDocument/2006/relationships" r:embed="rId1"/>
        <a:stretch>
          <a:fillRect/>
        </a:stretch>
      </xdr:blipFill>
      <xdr:spPr>
        <a:xfrm>
          <a:off x="186764" y="106700813"/>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589" name="Resim 588">
          <a:extLst>
            <a:ext uri="{FF2B5EF4-FFF2-40B4-BE49-F238E27FC236}">
              <a16:creationId xmlns:a16="http://schemas.microsoft.com/office/drawing/2014/main" id="{795B0C9C-C47C-4CE6-B961-B49B2E2F3CC8}"/>
            </a:ext>
          </a:extLst>
        </xdr:cNvPr>
        <xdr:cNvPicPr>
          <a:picLocks noChangeAspect="1"/>
        </xdr:cNvPicPr>
      </xdr:nvPicPr>
      <xdr:blipFill>
        <a:blip xmlns:r="http://schemas.openxmlformats.org/officeDocument/2006/relationships" r:embed="rId2"/>
        <a:stretch>
          <a:fillRect/>
        </a:stretch>
      </xdr:blipFill>
      <xdr:spPr>
        <a:xfrm>
          <a:off x="3147786" y="106588752"/>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590" name="Resim 589">
          <a:extLst>
            <a:ext uri="{FF2B5EF4-FFF2-40B4-BE49-F238E27FC236}">
              <a16:creationId xmlns:a16="http://schemas.microsoft.com/office/drawing/2014/main" id="{83F0AC4B-92B2-4BCD-977E-D8022BF308CA}"/>
            </a:ext>
          </a:extLst>
        </xdr:cNvPr>
        <xdr:cNvPicPr>
          <a:picLocks noChangeAspect="1"/>
        </xdr:cNvPicPr>
      </xdr:nvPicPr>
      <xdr:blipFill>
        <a:blip xmlns:r="http://schemas.openxmlformats.org/officeDocument/2006/relationships" r:embed="rId1"/>
        <a:stretch>
          <a:fillRect/>
        </a:stretch>
      </xdr:blipFill>
      <xdr:spPr>
        <a:xfrm>
          <a:off x="186764" y="110374741"/>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591" name="Resim 590">
          <a:extLst>
            <a:ext uri="{FF2B5EF4-FFF2-40B4-BE49-F238E27FC236}">
              <a16:creationId xmlns:a16="http://schemas.microsoft.com/office/drawing/2014/main" id="{847B0874-D5FA-4AA3-94E7-A87F954A7A7A}"/>
            </a:ext>
          </a:extLst>
        </xdr:cNvPr>
        <xdr:cNvPicPr>
          <a:picLocks noChangeAspect="1"/>
        </xdr:cNvPicPr>
      </xdr:nvPicPr>
      <xdr:blipFill>
        <a:blip xmlns:r="http://schemas.openxmlformats.org/officeDocument/2006/relationships" r:embed="rId2"/>
        <a:stretch>
          <a:fillRect/>
        </a:stretch>
      </xdr:blipFill>
      <xdr:spPr>
        <a:xfrm>
          <a:off x="3147786" y="110262680"/>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592" name="Resim 591">
          <a:extLst>
            <a:ext uri="{FF2B5EF4-FFF2-40B4-BE49-F238E27FC236}">
              <a16:creationId xmlns:a16="http://schemas.microsoft.com/office/drawing/2014/main" id="{E7CBDF54-4779-4670-82A9-968A7A1ACBD2}"/>
            </a:ext>
          </a:extLst>
        </xdr:cNvPr>
        <xdr:cNvPicPr>
          <a:picLocks noChangeAspect="1"/>
        </xdr:cNvPicPr>
      </xdr:nvPicPr>
      <xdr:blipFill>
        <a:blip xmlns:r="http://schemas.openxmlformats.org/officeDocument/2006/relationships" r:embed="rId1"/>
        <a:stretch>
          <a:fillRect/>
        </a:stretch>
      </xdr:blipFill>
      <xdr:spPr>
        <a:xfrm>
          <a:off x="186764" y="114048670"/>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593" name="Resim 592">
          <a:extLst>
            <a:ext uri="{FF2B5EF4-FFF2-40B4-BE49-F238E27FC236}">
              <a16:creationId xmlns:a16="http://schemas.microsoft.com/office/drawing/2014/main" id="{B9BF7CF6-B96E-4BE5-96C8-C40054A102C0}"/>
            </a:ext>
          </a:extLst>
        </xdr:cNvPr>
        <xdr:cNvPicPr>
          <a:picLocks noChangeAspect="1"/>
        </xdr:cNvPicPr>
      </xdr:nvPicPr>
      <xdr:blipFill>
        <a:blip xmlns:r="http://schemas.openxmlformats.org/officeDocument/2006/relationships" r:embed="rId2"/>
        <a:stretch>
          <a:fillRect/>
        </a:stretch>
      </xdr:blipFill>
      <xdr:spPr>
        <a:xfrm>
          <a:off x="3147786" y="113936609"/>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594" name="Resim 593">
          <a:extLst>
            <a:ext uri="{FF2B5EF4-FFF2-40B4-BE49-F238E27FC236}">
              <a16:creationId xmlns:a16="http://schemas.microsoft.com/office/drawing/2014/main" id="{9F966E40-48AF-4CA6-9F55-4E40628F2ECA}"/>
            </a:ext>
          </a:extLst>
        </xdr:cNvPr>
        <xdr:cNvPicPr>
          <a:picLocks noChangeAspect="1"/>
        </xdr:cNvPicPr>
      </xdr:nvPicPr>
      <xdr:blipFill>
        <a:blip xmlns:r="http://schemas.openxmlformats.org/officeDocument/2006/relationships" r:embed="rId1"/>
        <a:stretch>
          <a:fillRect/>
        </a:stretch>
      </xdr:blipFill>
      <xdr:spPr>
        <a:xfrm>
          <a:off x="186764" y="117722598"/>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595" name="Resim 594">
          <a:extLst>
            <a:ext uri="{FF2B5EF4-FFF2-40B4-BE49-F238E27FC236}">
              <a16:creationId xmlns:a16="http://schemas.microsoft.com/office/drawing/2014/main" id="{3E6FE018-B6B0-4E68-BE4D-8EB5C8EB8F75}"/>
            </a:ext>
          </a:extLst>
        </xdr:cNvPr>
        <xdr:cNvPicPr>
          <a:picLocks noChangeAspect="1"/>
        </xdr:cNvPicPr>
      </xdr:nvPicPr>
      <xdr:blipFill>
        <a:blip xmlns:r="http://schemas.openxmlformats.org/officeDocument/2006/relationships" r:embed="rId2"/>
        <a:stretch>
          <a:fillRect/>
        </a:stretch>
      </xdr:blipFill>
      <xdr:spPr>
        <a:xfrm>
          <a:off x="3147786" y="117610537"/>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596" name="Resim 595">
          <a:extLst>
            <a:ext uri="{FF2B5EF4-FFF2-40B4-BE49-F238E27FC236}">
              <a16:creationId xmlns:a16="http://schemas.microsoft.com/office/drawing/2014/main" id="{81BB1108-E24D-492B-BAC7-C4006F832534}"/>
            </a:ext>
          </a:extLst>
        </xdr:cNvPr>
        <xdr:cNvPicPr>
          <a:picLocks noChangeAspect="1"/>
        </xdr:cNvPicPr>
      </xdr:nvPicPr>
      <xdr:blipFill>
        <a:blip xmlns:r="http://schemas.openxmlformats.org/officeDocument/2006/relationships" r:embed="rId1"/>
        <a:stretch>
          <a:fillRect/>
        </a:stretch>
      </xdr:blipFill>
      <xdr:spPr>
        <a:xfrm>
          <a:off x="186764" y="121396527"/>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597" name="Resim 596">
          <a:extLst>
            <a:ext uri="{FF2B5EF4-FFF2-40B4-BE49-F238E27FC236}">
              <a16:creationId xmlns:a16="http://schemas.microsoft.com/office/drawing/2014/main" id="{A52BE491-0E67-4381-9F7C-E90E097BA08C}"/>
            </a:ext>
          </a:extLst>
        </xdr:cNvPr>
        <xdr:cNvPicPr>
          <a:picLocks noChangeAspect="1"/>
        </xdr:cNvPicPr>
      </xdr:nvPicPr>
      <xdr:blipFill>
        <a:blip xmlns:r="http://schemas.openxmlformats.org/officeDocument/2006/relationships" r:embed="rId2"/>
        <a:stretch>
          <a:fillRect/>
        </a:stretch>
      </xdr:blipFill>
      <xdr:spPr>
        <a:xfrm>
          <a:off x="3147786" y="121284466"/>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598" name="Resim 597">
          <a:extLst>
            <a:ext uri="{FF2B5EF4-FFF2-40B4-BE49-F238E27FC236}">
              <a16:creationId xmlns:a16="http://schemas.microsoft.com/office/drawing/2014/main" id="{6258D5B8-C7FA-49BE-832C-20A4A4FCAEA2}"/>
            </a:ext>
          </a:extLst>
        </xdr:cNvPr>
        <xdr:cNvPicPr>
          <a:picLocks noChangeAspect="1"/>
        </xdr:cNvPicPr>
      </xdr:nvPicPr>
      <xdr:blipFill>
        <a:blip xmlns:r="http://schemas.openxmlformats.org/officeDocument/2006/relationships" r:embed="rId1"/>
        <a:stretch>
          <a:fillRect/>
        </a:stretch>
      </xdr:blipFill>
      <xdr:spPr>
        <a:xfrm>
          <a:off x="186764" y="125070455"/>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599" name="Resim 598">
          <a:extLst>
            <a:ext uri="{FF2B5EF4-FFF2-40B4-BE49-F238E27FC236}">
              <a16:creationId xmlns:a16="http://schemas.microsoft.com/office/drawing/2014/main" id="{911B954B-80DA-426C-BB33-5F74314E1BAB}"/>
            </a:ext>
          </a:extLst>
        </xdr:cNvPr>
        <xdr:cNvPicPr>
          <a:picLocks noChangeAspect="1"/>
        </xdr:cNvPicPr>
      </xdr:nvPicPr>
      <xdr:blipFill>
        <a:blip xmlns:r="http://schemas.openxmlformats.org/officeDocument/2006/relationships" r:embed="rId2"/>
        <a:stretch>
          <a:fillRect/>
        </a:stretch>
      </xdr:blipFill>
      <xdr:spPr>
        <a:xfrm>
          <a:off x="3147786" y="124958394"/>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600" name="Resim 599">
          <a:extLst>
            <a:ext uri="{FF2B5EF4-FFF2-40B4-BE49-F238E27FC236}">
              <a16:creationId xmlns:a16="http://schemas.microsoft.com/office/drawing/2014/main" id="{BB976E38-941C-490E-AC3F-73428A35D0F7}"/>
            </a:ext>
          </a:extLst>
        </xdr:cNvPr>
        <xdr:cNvPicPr>
          <a:picLocks noChangeAspect="1"/>
        </xdr:cNvPicPr>
      </xdr:nvPicPr>
      <xdr:blipFill>
        <a:blip xmlns:r="http://schemas.openxmlformats.org/officeDocument/2006/relationships" r:embed="rId1"/>
        <a:stretch>
          <a:fillRect/>
        </a:stretch>
      </xdr:blipFill>
      <xdr:spPr>
        <a:xfrm>
          <a:off x="186764" y="12874438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601" name="Resim 600">
          <a:extLst>
            <a:ext uri="{FF2B5EF4-FFF2-40B4-BE49-F238E27FC236}">
              <a16:creationId xmlns:a16="http://schemas.microsoft.com/office/drawing/2014/main" id="{6D10C85E-82DF-437E-BC39-65757B3F9EE2}"/>
            </a:ext>
          </a:extLst>
        </xdr:cNvPr>
        <xdr:cNvPicPr>
          <a:picLocks noChangeAspect="1"/>
        </xdr:cNvPicPr>
      </xdr:nvPicPr>
      <xdr:blipFill>
        <a:blip xmlns:r="http://schemas.openxmlformats.org/officeDocument/2006/relationships" r:embed="rId2"/>
        <a:stretch>
          <a:fillRect/>
        </a:stretch>
      </xdr:blipFill>
      <xdr:spPr>
        <a:xfrm>
          <a:off x="3147786" y="12863232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602" name="Resim 601">
          <a:extLst>
            <a:ext uri="{FF2B5EF4-FFF2-40B4-BE49-F238E27FC236}">
              <a16:creationId xmlns:a16="http://schemas.microsoft.com/office/drawing/2014/main" id="{C4D473CB-6E43-42CB-9273-5C827DD31159}"/>
            </a:ext>
          </a:extLst>
        </xdr:cNvPr>
        <xdr:cNvPicPr>
          <a:picLocks noChangeAspect="1"/>
        </xdr:cNvPicPr>
      </xdr:nvPicPr>
      <xdr:blipFill>
        <a:blip xmlns:r="http://schemas.openxmlformats.org/officeDocument/2006/relationships" r:embed="rId1"/>
        <a:stretch>
          <a:fillRect/>
        </a:stretch>
      </xdr:blipFill>
      <xdr:spPr>
        <a:xfrm>
          <a:off x="186764" y="132418313"/>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603" name="Resim 602">
          <a:extLst>
            <a:ext uri="{FF2B5EF4-FFF2-40B4-BE49-F238E27FC236}">
              <a16:creationId xmlns:a16="http://schemas.microsoft.com/office/drawing/2014/main" id="{C4D3636C-87BD-448F-893F-48A7831E9A8F}"/>
            </a:ext>
          </a:extLst>
        </xdr:cNvPr>
        <xdr:cNvPicPr>
          <a:picLocks noChangeAspect="1"/>
        </xdr:cNvPicPr>
      </xdr:nvPicPr>
      <xdr:blipFill>
        <a:blip xmlns:r="http://schemas.openxmlformats.org/officeDocument/2006/relationships" r:embed="rId2"/>
        <a:stretch>
          <a:fillRect/>
        </a:stretch>
      </xdr:blipFill>
      <xdr:spPr>
        <a:xfrm>
          <a:off x="3147786" y="132306252"/>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604" name="Resim 603">
          <a:extLst>
            <a:ext uri="{FF2B5EF4-FFF2-40B4-BE49-F238E27FC236}">
              <a16:creationId xmlns:a16="http://schemas.microsoft.com/office/drawing/2014/main" id="{2E263C15-EFB3-4CB7-B696-397270BF2F73}"/>
            </a:ext>
          </a:extLst>
        </xdr:cNvPr>
        <xdr:cNvPicPr>
          <a:picLocks noChangeAspect="1"/>
        </xdr:cNvPicPr>
      </xdr:nvPicPr>
      <xdr:blipFill>
        <a:blip xmlns:r="http://schemas.openxmlformats.org/officeDocument/2006/relationships" r:embed="rId1"/>
        <a:stretch>
          <a:fillRect/>
        </a:stretch>
      </xdr:blipFill>
      <xdr:spPr>
        <a:xfrm>
          <a:off x="186764" y="136092241"/>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605" name="Resim 604">
          <a:extLst>
            <a:ext uri="{FF2B5EF4-FFF2-40B4-BE49-F238E27FC236}">
              <a16:creationId xmlns:a16="http://schemas.microsoft.com/office/drawing/2014/main" id="{545A2B40-5EA3-435C-A858-D4D7BCF6D679}"/>
            </a:ext>
          </a:extLst>
        </xdr:cNvPr>
        <xdr:cNvPicPr>
          <a:picLocks noChangeAspect="1"/>
        </xdr:cNvPicPr>
      </xdr:nvPicPr>
      <xdr:blipFill>
        <a:blip xmlns:r="http://schemas.openxmlformats.org/officeDocument/2006/relationships" r:embed="rId2"/>
        <a:stretch>
          <a:fillRect/>
        </a:stretch>
      </xdr:blipFill>
      <xdr:spPr>
        <a:xfrm>
          <a:off x="3147786" y="135980180"/>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606" name="Resim 605">
          <a:extLst>
            <a:ext uri="{FF2B5EF4-FFF2-40B4-BE49-F238E27FC236}">
              <a16:creationId xmlns:a16="http://schemas.microsoft.com/office/drawing/2014/main" id="{388755C1-299F-40C3-8FB0-9A6CA0089FE0}"/>
            </a:ext>
          </a:extLst>
        </xdr:cNvPr>
        <xdr:cNvPicPr>
          <a:picLocks noChangeAspect="1"/>
        </xdr:cNvPicPr>
      </xdr:nvPicPr>
      <xdr:blipFill>
        <a:blip xmlns:r="http://schemas.openxmlformats.org/officeDocument/2006/relationships" r:embed="rId1"/>
        <a:stretch>
          <a:fillRect/>
        </a:stretch>
      </xdr:blipFill>
      <xdr:spPr>
        <a:xfrm>
          <a:off x="186764" y="139766170"/>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607" name="Resim 606">
          <a:extLst>
            <a:ext uri="{FF2B5EF4-FFF2-40B4-BE49-F238E27FC236}">
              <a16:creationId xmlns:a16="http://schemas.microsoft.com/office/drawing/2014/main" id="{9A61F276-4792-488D-AFDB-EDA8A0BA6EBE}"/>
            </a:ext>
          </a:extLst>
        </xdr:cNvPr>
        <xdr:cNvPicPr>
          <a:picLocks noChangeAspect="1"/>
        </xdr:cNvPicPr>
      </xdr:nvPicPr>
      <xdr:blipFill>
        <a:blip xmlns:r="http://schemas.openxmlformats.org/officeDocument/2006/relationships" r:embed="rId2"/>
        <a:stretch>
          <a:fillRect/>
        </a:stretch>
      </xdr:blipFill>
      <xdr:spPr>
        <a:xfrm>
          <a:off x="3147786" y="139654109"/>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608" name="Resim 607">
          <a:extLst>
            <a:ext uri="{FF2B5EF4-FFF2-40B4-BE49-F238E27FC236}">
              <a16:creationId xmlns:a16="http://schemas.microsoft.com/office/drawing/2014/main" id="{26737F90-CB67-4CF6-8608-B1AD66A26A4E}"/>
            </a:ext>
          </a:extLst>
        </xdr:cNvPr>
        <xdr:cNvPicPr>
          <a:picLocks noChangeAspect="1"/>
        </xdr:cNvPicPr>
      </xdr:nvPicPr>
      <xdr:blipFill>
        <a:blip xmlns:r="http://schemas.openxmlformats.org/officeDocument/2006/relationships" r:embed="rId1"/>
        <a:stretch>
          <a:fillRect/>
        </a:stretch>
      </xdr:blipFill>
      <xdr:spPr>
        <a:xfrm>
          <a:off x="186764" y="143440098"/>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609" name="Resim 608">
          <a:extLst>
            <a:ext uri="{FF2B5EF4-FFF2-40B4-BE49-F238E27FC236}">
              <a16:creationId xmlns:a16="http://schemas.microsoft.com/office/drawing/2014/main" id="{DFF9FF7A-AE01-463A-9A0D-6D321F47F145}"/>
            </a:ext>
          </a:extLst>
        </xdr:cNvPr>
        <xdr:cNvPicPr>
          <a:picLocks noChangeAspect="1"/>
        </xdr:cNvPicPr>
      </xdr:nvPicPr>
      <xdr:blipFill>
        <a:blip xmlns:r="http://schemas.openxmlformats.org/officeDocument/2006/relationships" r:embed="rId2"/>
        <a:stretch>
          <a:fillRect/>
        </a:stretch>
      </xdr:blipFill>
      <xdr:spPr>
        <a:xfrm>
          <a:off x="3147786" y="143328037"/>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610" name="Resim 609">
          <a:extLst>
            <a:ext uri="{FF2B5EF4-FFF2-40B4-BE49-F238E27FC236}">
              <a16:creationId xmlns:a16="http://schemas.microsoft.com/office/drawing/2014/main" id="{0D5AF7E0-B352-467D-8E13-AACB6D4825BE}"/>
            </a:ext>
          </a:extLst>
        </xdr:cNvPr>
        <xdr:cNvPicPr>
          <a:picLocks noChangeAspect="1"/>
        </xdr:cNvPicPr>
      </xdr:nvPicPr>
      <xdr:blipFill>
        <a:blip xmlns:r="http://schemas.openxmlformats.org/officeDocument/2006/relationships" r:embed="rId1"/>
        <a:stretch>
          <a:fillRect/>
        </a:stretch>
      </xdr:blipFill>
      <xdr:spPr>
        <a:xfrm>
          <a:off x="186764" y="147114027"/>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611" name="Resim 610">
          <a:extLst>
            <a:ext uri="{FF2B5EF4-FFF2-40B4-BE49-F238E27FC236}">
              <a16:creationId xmlns:a16="http://schemas.microsoft.com/office/drawing/2014/main" id="{B0F0A483-15DE-49BE-8AD5-91353797CBAA}"/>
            </a:ext>
          </a:extLst>
        </xdr:cNvPr>
        <xdr:cNvPicPr>
          <a:picLocks noChangeAspect="1"/>
        </xdr:cNvPicPr>
      </xdr:nvPicPr>
      <xdr:blipFill>
        <a:blip xmlns:r="http://schemas.openxmlformats.org/officeDocument/2006/relationships" r:embed="rId2"/>
        <a:stretch>
          <a:fillRect/>
        </a:stretch>
      </xdr:blipFill>
      <xdr:spPr>
        <a:xfrm>
          <a:off x="3147786" y="147001966"/>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612" name="Resim 611">
          <a:extLst>
            <a:ext uri="{FF2B5EF4-FFF2-40B4-BE49-F238E27FC236}">
              <a16:creationId xmlns:a16="http://schemas.microsoft.com/office/drawing/2014/main" id="{22C72B40-E18F-474F-8B67-77DACEEE3FDA}"/>
            </a:ext>
          </a:extLst>
        </xdr:cNvPr>
        <xdr:cNvPicPr>
          <a:picLocks noChangeAspect="1"/>
        </xdr:cNvPicPr>
      </xdr:nvPicPr>
      <xdr:blipFill>
        <a:blip xmlns:r="http://schemas.openxmlformats.org/officeDocument/2006/relationships" r:embed="rId1"/>
        <a:stretch>
          <a:fillRect/>
        </a:stretch>
      </xdr:blipFill>
      <xdr:spPr>
        <a:xfrm>
          <a:off x="186764" y="150787955"/>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613" name="Resim 612">
          <a:extLst>
            <a:ext uri="{FF2B5EF4-FFF2-40B4-BE49-F238E27FC236}">
              <a16:creationId xmlns:a16="http://schemas.microsoft.com/office/drawing/2014/main" id="{DEA80700-14DC-4E67-BBAB-929E8107164C}"/>
            </a:ext>
          </a:extLst>
        </xdr:cNvPr>
        <xdr:cNvPicPr>
          <a:picLocks noChangeAspect="1"/>
        </xdr:cNvPicPr>
      </xdr:nvPicPr>
      <xdr:blipFill>
        <a:blip xmlns:r="http://schemas.openxmlformats.org/officeDocument/2006/relationships" r:embed="rId2"/>
        <a:stretch>
          <a:fillRect/>
        </a:stretch>
      </xdr:blipFill>
      <xdr:spPr>
        <a:xfrm>
          <a:off x="3147786" y="150675894"/>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614" name="Resim 613">
          <a:extLst>
            <a:ext uri="{FF2B5EF4-FFF2-40B4-BE49-F238E27FC236}">
              <a16:creationId xmlns:a16="http://schemas.microsoft.com/office/drawing/2014/main" id="{63629395-47B0-4E90-9E8D-0302188BF1B5}"/>
            </a:ext>
          </a:extLst>
        </xdr:cNvPr>
        <xdr:cNvPicPr>
          <a:picLocks noChangeAspect="1"/>
        </xdr:cNvPicPr>
      </xdr:nvPicPr>
      <xdr:blipFill>
        <a:blip xmlns:r="http://schemas.openxmlformats.org/officeDocument/2006/relationships" r:embed="rId1"/>
        <a:stretch>
          <a:fillRect/>
        </a:stretch>
      </xdr:blipFill>
      <xdr:spPr>
        <a:xfrm>
          <a:off x="186764" y="1544618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615" name="Resim 614">
          <a:extLst>
            <a:ext uri="{FF2B5EF4-FFF2-40B4-BE49-F238E27FC236}">
              <a16:creationId xmlns:a16="http://schemas.microsoft.com/office/drawing/2014/main" id="{14978FB2-134E-462F-B95A-7F0C96406330}"/>
            </a:ext>
          </a:extLst>
        </xdr:cNvPr>
        <xdr:cNvPicPr>
          <a:picLocks noChangeAspect="1"/>
        </xdr:cNvPicPr>
      </xdr:nvPicPr>
      <xdr:blipFill>
        <a:blip xmlns:r="http://schemas.openxmlformats.org/officeDocument/2006/relationships" r:embed="rId2"/>
        <a:stretch>
          <a:fillRect/>
        </a:stretch>
      </xdr:blipFill>
      <xdr:spPr>
        <a:xfrm>
          <a:off x="3147786" y="1543498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616" name="Resim 615">
          <a:extLst>
            <a:ext uri="{FF2B5EF4-FFF2-40B4-BE49-F238E27FC236}">
              <a16:creationId xmlns:a16="http://schemas.microsoft.com/office/drawing/2014/main" id="{8DC93854-2971-49C2-9312-D3D9C713FB56}"/>
            </a:ext>
          </a:extLst>
        </xdr:cNvPr>
        <xdr:cNvPicPr>
          <a:picLocks noChangeAspect="1"/>
        </xdr:cNvPicPr>
      </xdr:nvPicPr>
      <xdr:blipFill>
        <a:blip xmlns:r="http://schemas.openxmlformats.org/officeDocument/2006/relationships" r:embed="rId1"/>
        <a:stretch>
          <a:fillRect/>
        </a:stretch>
      </xdr:blipFill>
      <xdr:spPr>
        <a:xfrm>
          <a:off x="186764" y="158135813"/>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617" name="Resim 616">
          <a:extLst>
            <a:ext uri="{FF2B5EF4-FFF2-40B4-BE49-F238E27FC236}">
              <a16:creationId xmlns:a16="http://schemas.microsoft.com/office/drawing/2014/main" id="{AEE37C2B-29A7-4B08-87E4-3EBA1CBFC4D1}"/>
            </a:ext>
          </a:extLst>
        </xdr:cNvPr>
        <xdr:cNvPicPr>
          <a:picLocks noChangeAspect="1"/>
        </xdr:cNvPicPr>
      </xdr:nvPicPr>
      <xdr:blipFill>
        <a:blip xmlns:r="http://schemas.openxmlformats.org/officeDocument/2006/relationships" r:embed="rId2"/>
        <a:stretch>
          <a:fillRect/>
        </a:stretch>
      </xdr:blipFill>
      <xdr:spPr>
        <a:xfrm>
          <a:off x="3147786" y="158023752"/>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618" name="Resim 617">
          <a:extLst>
            <a:ext uri="{FF2B5EF4-FFF2-40B4-BE49-F238E27FC236}">
              <a16:creationId xmlns:a16="http://schemas.microsoft.com/office/drawing/2014/main" id="{98066F2A-24EE-4230-849A-0B7C2FAAC86D}"/>
            </a:ext>
          </a:extLst>
        </xdr:cNvPr>
        <xdr:cNvPicPr>
          <a:picLocks noChangeAspect="1"/>
        </xdr:cNvPicPr>
      </xdr:nvPicPr>
      <xdr:blipFill>
        <a:blip xmlns:r="http://schemas.openxmlformats.org/officeDocument/2006/relationships" r:embed="rId1"/>
        <a:stretch>
          <a:fillRect/>
        </a:stretch>
      </xdr:blipFill>
      <xdr:spPr>
        <a:xfrm>
          <a:off x="186764" y="161809741"/>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619" name="Resim 618">
          <a:extLst>
            <a:ext uri="{FF2B5EF4-FFF2-40B4-BE49-F238E27FC236}">
              <a16:creationId xmlns:a16="http://schemas.microsoft.com/office/drawing/2014/main" id="{2AD56FCC-220C-4DD7-8071-FFF8B96376DA}"/>
            </a:ext>
          </a:extLst>
        </xdr:cNvPr>
        <xdr:cNvPicPr>
          <a:picLocks noChangeAspect="1"/>
        </xdr:cNvPicPr>
      </xdr:nvPicPr>
      <xdr:blipFill>
        <a:blip xmlns:r="http://schemas.openxmlformats.org/officeDocument/2006/relationships" r:embed="rId2"/>
        <a:stretch>
          <a:fillRect/>
        </a:stretch>
      </xdr:blipFill>
      <xdr:spPr>
        <a:xfrm>
          <a:off x="3147786" y="161697680"/>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620" name="Resim 619">
          <a:extLst>
            <a:ext uri="{FF2B5EF4-FFF2-40B4-BE49-F238E27FC236}">
              <a16:creationId xmlns:a16="http://schemas.microsoft.com/office/drawing/2014/main" id="{C847C9E2-977B-45AC-BCE3-C3E126E3207F}"/>
            </a:ext>
          </a:extLst>
        </xdr:cNvPr>
        <xdr:cNvPicPr>
          <a:picLocks noChangeAspect="1"/>
        </xdr:cNvPicPr>
      </xdr:nvPicPr>
      <xdr:blipFill>
        <a:blip xmlns:r="http://schemas.openxmlformats.org/officeDocument/2006/relationships" r:embed="rId1"/>
        <a:stretch>
          <a:fillRect/>
        </a:stretch>
      </xdr:blipFill>
      <xdr:spPr>
        <a:xfrm>
          <a:off x="186764" y="165483670"/>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621" name="Resim 620">
          <a:extLst>
            <a:ext uri="{FF2B5EF4-FFF2-40B4-BE49-F238E27FC236}">
              <a16:creationId xmlns:a16="http://schemas.microsoft.com/office/drawing/2014/main" id="{23CA0356-C163-4D91-ABBC-F150E0053BE6}"/>
            </a:ext>
          </a:extLst>
        </xdr:cNvPr>
        <xdr:cNvPicPr>
          <a:picLocks noChangeAspect="1"/>
        </xdr:cNvPicPr>
      </xdr:nvPicPr>
      <xdr:blipFill>
        <a:blip xmlns:r="http://schemas.openxmlformats.org/officeDocument/2006/relationships" r:embed="rId2"/>
        <a:stretch>
          <a:fillRect/>
        </a:stretch>
      </xdr:blipFill>
      <xdr:spPr>
        <a:xfrm>
          <a:off x="3147786" y="165371609"/>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622" name="Resim 621">
          <a:extLst>
            <a:ext uri="{FF2B5EF4-FFF2-40B4-BE49-F238E27FC236}">
              <a16:creationId xmlns:a16="http://schemas.microsoft.com/office/drawing/2014/main" id="{DEA4AF84-472E-486D-8F95-B6C831E5D1AA}"/>
            </a:ext>
          </a:extLst>
        </xdr:cNvPr>
        <xdr:cNvPicPr>
          <a:picLocks noChangeAspect="1"/>
        </xdr:cNvPicPr>
      </xdr:nvPicPr>
      <xdr:blipFill>
        <a:blip xmlns:r="http://schemas.openxmlformats.org/officeDocument/2006/relationships" r:embed="rId1"/>
        <a:stretch>
          <a:fillRect/>
        </a:stretch>
      </xdr:blipFill>
      <xdr:spPr>
        <a:xfrm>
          <a:off x="186764" y="169157598"/>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623" name="Resim 622">
          <a:extLst>
            <a:ext uri="{FF2B5EF4-FFF2-40B4-BE49-F238E27FC236}">
              <a16:creationId xmlns:a16="http://schemas.microsoft.com/office/drawing/2014/main" id="{7D8352E5-4983-474C-9764-D4E4FEC17D3C}"/>
            </a:ext>
          </a:extLst>
        </xdr:cNvPr>
        <xdr:cNvPicPr>
          <a:picLocks noChangeAspect="1"/>
        </xdr:cNvPicPr>
      </xdr:nvPicPr>
      <xdr:blipFill>
        <a:blip xmlns:r="http://schemas.openxmlformats.org/officeDocument/2006/relationships" r:embed="rId2"/>
        <a:stretch>
          <a:fillRect/>
        </a:stretch>
      </xdr:blipFill>
      <xdr:spPr>
        <a:xfrm>
          <a:off x="3147786" y="169045537"/>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624" name="Resim 623">
          <a:extLst>
            <a:ext uri="{FF2B5EF4-FFF2-40B4-BE49-F238E27FC236}">
              <a16:creationId xmlns:a16="http://schemas.microsoft.com/office/drawing/2014/main" id="{F3EEB620-E00B-4394-983E-65CB3EA02005}"/>
            </a:ext>
          </a:extLst>
        </xdr:cNvPr>
        <xdr:cNvPicPr>
          <a:picLocks noChangeAspect="1"/>
        </xdr:cNvPicPr>
      </xdr:nvPicPr>
      <xdr:blipFill>
        <a:blip xmlns:r="http://schemas.openxmlformats.org/officeDocument/2006/relationships" r:embed="rId1"/>
        <a:stretch>
          <a:fillRect/>
        </a:stretch>
      </xdr:blipFill>
      <xdr:spPr>
        <a:xfrm>
          <a:off x="186764" y="172831527"/>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625" name="Resim 624">
          <a:extLst>
            <a:ext uri="{FF2B5EF4-FFF2-40B4-BE49-F238E27FC236}">
              <a16:creationId xmlns:a16="http://schemas.microsoft.com/office/drawing/2014/main" id="{2742F4DC-7F44-47DA-9232-89D9AB7835D7}"/>
            </a:ext>
          </a:extLst>
        </xdr:cNvPr>
        <xdr:cNvPicPr>
          <a:picLocks noChangeAspect="1"/>
        </xdr:cNvPicPr>
      </xdr:nvPicPr>
      <xdr:blipFill>
        <a:blip xmlns:r="http://schemas.openxmlformats.org/officeDocument/2006/relationships" r:embed="rId2"/>
        <a:stretch>
          <a:fillRect/>
        </a:stretch>
      </xdr:blipFill>
      <xdr:spPr>
        <a:xfrm>
          <a:off x="3147786" y="172719466"/>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626" name="Resim 625">
          <a:extLst>
            <a:ext uri="{FF2B5EF4-FFF2-40B4-BE49-F238E27FC236}">
              <a16:creationId xmlns:a16="http://schemas.microsoft.com/office/drawing/2014/main" id="{8832C03A-47AC-44B8-B975-2FE398219B23}"/>
            </a:ext>
          </a:extLst>
        </xdr:cNvPr>
        <xdr:cNvPicPr>
          <a:picLocks noChangeAspect="1"/>
        </xdr:cNvPicPr>
      </xdr:nvPicPr>
      <xdr:blipFill>
        <a:blip xmlns:r="http://schemas.openxmlformats.org/officeDocument/2006/relationships" r:embed="rId1"/>
        <a:stretch>
          <a:fillRect/>
        </a:stretch>
      </xdr:blipFill>
      <xdr:spPr>
        <a:xfrm>
          <a:off x="186764" y="176505455"/>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627" name="Resim 626">
          <a:extLst>
            <a:ext uri="{FF2B5EF4-FFF2-40B4-BE49-F238E27FC236}">
              <a16:creationId xmlns:a16="http://schemas.microsoft.com/office/drawing/2014/main" id="{3388CAE0-F628-4FC7-A92F-0C180681C3F1}"/>
            </a:ext>
          </a:extLst>
        </xdr:cNvPr>
        <xdr:cNvPicPr>
          <a:picLocks noChangeAspect="1"/>
        </xdr:cNvPicPr>
      </xdr:nvPicPr>
      <xdr:blipFill>
        <a:blip xmlns:r="http://schemas.openxmlformats.org/officeDocument/2006/relationships" r:embed="rId2"/>
        <a:stretch>
          <a:fillRect/>
        </a:stretch>
      </xdr:blipFill>
      <xdr:spPr>
        <a:xfrm>
          <a:off x="3147786" y="176393394"/>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628" name="Resim 627">
          <a:extLst>
            <a:ext uri="{FF2B5EF4-FFF2-40B4-BE49-F238E27FC236}">
              <a16:creationId xmlns:a16="http://schemas.microsoft.com/office/drawing/2014/main" id="{31355959-E30D-472C-8CD8-0380A41CFFBC}"/>
            </a:ext>
          </a:extLst>
        </xdr:cNvPr>
        <xdr:cNvPicPr>
          <a:picLocks noChangeAspect="1"/>
        </xdr:cNvPicPr>
      </xdr:nvPicPr>
      <xdr:blipFill>
        <a:blip xmlns:r="http://schemas.openxmlformats.org/officeDocument/2006/relationships" r:embed="rId1"/>
        <a:stretch>
          <a:fillRect/>
        </a:stretch>
      </xdr:blipFill>
      <xdr:spPr>
        <a:xfrm>
          <a:off x="186764" y="18017938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629" name="Resim 628">
          <a:extLst>
            <a:ext uri="{FF2B5EF4-FFF2-40B4-BE49-F238E27FC236}">
              <a16:creationId xmlns:a16="http://schemas.microsoft.com/office/drawing/2014/main" id="{7FDC96E7-9D0E-4233-8890-8348D60FBA2C}"/>
            </a:ext>
          </a:extLst>
        </xdr:cNvPr>
        <xdr:cNvPicPr>
          <a:picLocks noChangeAspect="1"/>
        </xdr:cNvPicPr>
      </xdr:nvPicPr>
      <xdr:blipFill>
        <a:blip xmlns:r="http://schemas.openxmlformats.org/officeDocument/2006/relationships" r:embed="rId2"/>
        <a:stretch>
          <a:fillRect/>
        </a:stretch>
      </xdr:blipFill>
      <xdr:spPr>
        <a:xfrm>
          <a:off x="3147786" y="18006732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630" name="Resim 629">
          <a:extLst>
            <a:ext uri="{FF2B5EF4-FFF2-40B4-BE49-F238E27FC236}">
              <a16:creationId xmlns:a16="http://schemas.microsoft.com/office/drawing/2014/main" id="{914E64B2-EEAE-43D2-85C7-CAD1A72ABC17}"/>
            </a:ext>
          </a:extLst>
        </xdr:cNvPr>
        <xdr:cNvPicPr>
          <a:picLocks noChangeAspect="1"/>
        </xdr:cNvPicPr>
      </xdr:nvPicPr>
      <xdr:blipFill>
        <a:blip xmlns:r="http://schemas.openxmlformats.org/officeDocument/2006/relationships" r:embed="rId1"/>
        <a:stretch>
          <a:fillRect/>
        </a:stretch>
      </xdr:blipFill>
      <xdr:spPr>
        <a:xfrm>
          <a:off x="186764" y="183853313"/>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631" name="Resim 630">
          <a:extLst>
            <a:ext uri="{FF2B5EF4-FFF2-40B4-BE49-F238E27FC236}">
              <a16:creationId xmlns:a16="http://schemas.microsoft.com/office/drawing/2014/main" id="{D1C07B8B-103B-4190-AEB0-801B1CF6C7CB}"/>
            </a:ext>
          </a:extLst>
        </xdr:cNvPr>
        <xdr:cNvPicPr>
          <a:picLocks noChangeAspect="1"/>
        </xdr:cNvPicPr>
      </xdr:nvPicPr>
      <xdr:blipFill>
        <a:blip xmlns:r="http://schemas.openxmlformats.org/officeDocument/2006/relationships" r:embed="rId2"/>
        <a:stretch>
          <a:fillRect/>
        </a:stretch>
      </xdr:blipFill>
      <xdr:spPr>
        <a:xfrm>
          <a:off x="3147786" y="183741252"/>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632" name="Resim 631">
          <a:extLst>
            <a:ext uri="{FF2B5EF4-FFF2-40B4-BE49-F238E27FC236}">
              <a16:creationId xmlns:a16="http://schemas.microsoft.com/office/drawing/2014/main" id="{71D2F7D7-039A-4152-A0A1-EF18502069B5}"/>
            </a:ext>
          </a:extLst>
        </xdr:cNvPr>
        <xdr:cNvPicPr>
          <a:picLocks noChangeAspect="1"/>
        </xdr:cNvPicPr>
      </xdr:nvPicPr>
      <xdr:blipFill>
        <a:blip xmlns:r="http://schemas.openxmlformats.org/officeDocument/2006/relationships" r:embed="rId1"/>
        <a:stretch>
          <a:fillRect/>
        </a:stretch>
      </xdr:blipFill>
      <xdr:spPr>
        <a:xfrm>
          <a:off x="186764" y="187527241"/>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633" name="Resim 632">
          <a:extLst>
            <a:ext uri="{FF2B5EF4-FFF2-40B4-BE49-F238E27FC236}">
              <a16:creationId xmlns:a16="http://schemas.microsoft.com/office/drawing/2014/main" id="{FB4F4558-0405-41FC-A4A7-FE688C788296}"/>
            </a:ext>
          </a:extLst>
        </xdr:cNvPr>
        <xdr:cNvPicPr>
          <a:picLocks noChangeAspect="1"/>
        </xdr:cNvPicPr>
      </xdr:nvPicPr>
      <xdr:blipFill>
        <a:blip xmlns:r="http://schemas.openxmlformats.org/officeDocument/2006/relationships" r:embed="rId2"/>
        <a:stretch>
          <a:fillRect/>
        </a:stretch>
      </xdr:blipFill>
      <xdr:spPr>
        <a:xfrm>
          <a:off x="3147786" y="187415180"/>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634" name="Resim 633">
          <a:extLst>
            <a:ext uri="{FF2B5EF4-FFF2-40B4-BE49-F238E27FC236}">
              <a16:creationId xmlns:a16="http://schemas.microsoft.com/office/drawing/2014/main" id="{B6D4CB3E-8A77-405F-AE35-C06B120DEA83}"/>
            </a:ext>
          </a:extLst>
        </xdr:cNvPr>
        <xdr:cNvPicPr>
          <a:picLocks noChangeAspect="1"/>
        </xdr:cNvPicPr>
      </xdr:nvPicPr>
      <xdr:blipFill>
        <a:blip xmlns:r="http://schemas.openxmlformats.org/officeDocument/2006/relationships" r:embed="rId1"/>
        <a:stretch>
          <a:fillRect/>
        </a:stretch>
      </xdr:blipFill>
      <xdr:spPr>
        <a:xfrm>
          <a:off x="186764" y="191201170"/>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635" name="Resim 634">
          <a:extLst>
            <a:ext uri="{FF2B5EF4-FFF2-40B4-BE49-F238E27FC236}">
              <a16:creationId xmlns:a16="http://schemas.microsoft.com/office/drawing/2014/main" id="{DCF99082-0EF6-4A2F-9BD5-F1FB7BF82E44}"/>
            </a:ext>
          </a:extLst>
        </xdr:cNvPr>
        <xdr:cNvPicPr>
          <a:picLocks noChangeAspect="1"/>
        </xdr:cNvPicPr>
      </xdr:nvPicPr>
      <xdr:blipFill>
        <a:blip xmlns:r="http://schemas.openxmlformats.org/officeDocument/2006/relationships" r:embed="rId2"/>
        <a:stretch>
          <a:fillRect/>
        </a:stretch>
      </xdr:blipFill>
      <xdr:spPr>
        <a:xfrm>
          <a:off x="3147786" y="191089109"/>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636" name="Resim 635">
          <a:extLst>
            <a:ext uri="{FF2B5EF4-FFF2-40B4-BE49-F238E27FC236}">
              <a16:creationId xmlns:a16="http://schemas.microsoft.com/office/drawing/2014/main" id="{31489D65-D07D-45AA-BE3B-17DEA33F940A}"/>
            </a:ext>
          </a:extLst>
        </xdr:cNvPr>
        <xdr:cNvPicPr>
          <a:picLocks noChangeAspect="1"/>
        </xdr:cNvPicPr>
      </xdr:nvPicPr>
      <xdr:blipFill>
        <a:blip xmlns:r="http://schemas.openxmlformats.org/officeDocument/2006/relationships" r:embed="rId1"/>
        <a:stretch>
          <a:fillRect/>
        </a:stretch>
      </xdr:blipFill>
      <xdr:spPr>
        <a:xfrm>
          <a:off x="186764" y="194875098"/>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637" name="Resim 636">
          <a:extLst>
            <a:ext uri="{FF2B5EF4-FFF2-40B4-BE49-F238E27FC236}">
              <a16:creationId xmlns:a16="http://schemas.microsoft.com/office/drawing/2014/main" id="{C68C91A5-6CA0-4A32-89CB-AE8A1090C2C1}"/>
            </a:ext>
          </a:extLst>
        </xdr:cNvPr>
        <xdr:cNvPicPr>
          <a:picLocks noChangeAspect="1"/>
        </xdr:cNvPicPr>
      </xdr:nvPicPr>
      <xdr:blipFill>
        <a:blip xmlns:r="http://schemas.openxmlformats.org/officeDocument/2006/relationships" r:embed="rId2"/>
        <a:stretch>
          <a:fillRect/>
        </a:stretch>
      </xdr:blipFill>
      <xdr:spPr>
        <a:xfrm>
          <a:off x="3147786" y="194763037"/>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638" name="Resim 637">
          <a:extLst>
            <a:ext uri="{FF2B5EF4-FFF2-40B4-BE49-F238E27FC236}">
              <a16:creationId xmlns:a16="http://schemas.microsoft.com/office/drawing/2014/main" id="{FCDBA345-C289-41FB-9589-6716DD5A023A}"/>
            </a:ext>
          </a:extLst>
        </xdr:cNvPr>
        <xdr:cNvPicPr>
          <a:picLocks noChangeAspect="1"/>
        </xdr:cNvPicPr>
      </xdr:nvPicPr>
      <xdr:blipFill>
        <a:blip xmlns:r="http://schemas.openxmlformats.org/officeDocument/2006/relationships" r:embed="rId1"/>
        <a:stretch>
          <a:fillRect/>
        </a:stretch>
      </xdr:blipFill>
      <xdr:spPr>
        <a:xfrm>
          <a:off x="186764" y="198549027"/>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639" name="Resim 638">
          <a:extLst>
            <a:ext uri="{FF2B5EF4-FFF2-40B4-BE49-F238E27FC236}">
              <a16:creationId xmlns:a16="http://schemas.microsoft.com/office/drawing/2014/main" id="{46AADEFE-7288-4CE9-BA85-33AD1A49E052}"/>
            </a:ext>
          </a:extLst>
        </xdr:cNvPr>
        <xdr:cNvPicPr>
          <a:picLocks noChangeAspect="1"/>
        </xdr:cNvPicPr>
      </xdr:nvPicPr>
      <xdr:blipFill>
        <a:blip xmlns:r="http://schemas.openxmlformats.org/officeDocument/2006/relationships" r:embed="rId2"/>
        <a:stretch>
          <a:fillRect/>
        </a:stretch>
      </xdr:blipFill>
      <xdr:spPr>
        <a:xfrm>
          <a:off x="3147786" y="198436966"/>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640" name="Resim 639">
          <a:extLst>
            <a:ext uri="{FF2B5EF4-FFF2-40B4-BE49-F238E27FC236}">
              <a16:creationId xmlns:a16="http://schemas.microsoft.com/office/drawing/2014/main" id="{929DF8B5-F57E-4D10-A4E9-54998A75C2B0}"/>
            </a:ext>
          </a:extLst>
        </xdr:cNvPr>
        <xdr:cNvPicPr>
          <a:picLocks noChangeAspect="1"/>
        </xdr:cNvPicPr>
      </xdr:nvPicPr>
      <xdr:blipFill>
        <a:blip xmlns:r="http://schemas.openxmlformats.org/officeDocument/2006/relationships" r:embed="rId1"/>
        <a:stretch>
          <a:fillRect/>
        </a:stretch>
      </xdr:blipFill>
      <xdr:spPr>
        <a:xfrm>
          <a:off x="186764" y="202222955"/>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641" name="Resim 640">
          <a:extLst>
            <a:ext uri="{FF2B5EF4-FFF2-40B4-BE49-F238E27FC236}">
              <a16:creationId xmlns:a16="http://schemas.microsoft.com/office/drawing/2014/main" id="{F99FF1F7-7D12-4753-B06E-0CA15B1B03B2}"/>
            </a:ext>
          </a:extLst>
        </xdr:cNvPr>
        <xdr:cNvPicPr>
          <a:picLocks noChangeAspect="1"/>
        </xdr:cNvPicPr>
      </xdr:nvPicPr>
      <xdr:blipFill>
        <a:blip xmlns:r="http://schemas.openxmlformats.org/officeDocument/2006/relationships" r:embed="rId2"/>
        <a:stretch>
          <a:fillRect/>
        </a:stretch>
      </xdr:blipFill>
      <xdr:spPr>
        <a:xfrm>
          <a:off x="3147786" y="202110894"/>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642" name="Resim 641">
          <a:extLst>
            <a:ext uri="{FF2B5EF4-FFF2-40B4-BE49-F238E27FC236}">
              <a16:creationId xmlns:a16="http://schemas.microsoft.com/office/drawing/2014/main" id="{AF9CFC1B-D145-4868-AB02-3C8AE4B1E4C7}"/>
            </a:ext>
          </a:extLst>
        </xdr:cNvPr>
        <xdr:cNvPicPr>
          <a:picLocks noChangeAspect="1"/>
        </xdr:cNvPicPr>
      </xdr:nvPicPr>
      <xdr:blipFill>
        <a:blip xmlns:r="http://schemas.openxmlformats.org/officeDocument/2006/relationships" r:embed="rId1"/>
        <a:stretch>
          <a:fillRect/>
        </a:stretch>
      </xdr:blipFill>
      <xdr:spPr>
        <a:xfrm>
          <a:off x="186764" y="205896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643" name="Resim 642">
          <a:extLst>
            <a:ext uri="{FF2B5EF4-FFF2-40B4-BE49-F238E27FC236}">
              <a16:creationId xmlns:a16="http://schemas.microsoft.com/office/drawing/2014/main" id="{BE6AA839-A7FB-4455-AF3F-A7752D5BEB21}"/>
            </a:ext>
          </a:extLst>
        </xdr:cNvPr>
        <xdr:cNvPicPr>
          <a:picLocks noChangeAspect="1"/>
        </xdr:cNvPicPr>
      </xdr:nvPicPr>
      <xdr:blipFill>
        <a:blip xmlns:r="http://schemas.openxmlformats.org/officeDocument/2006/relationships" r:embed="rId2"/>
        <a:stretch>
          <a:fillRect/>
        </a:stretch>
      </xdr:blipFill>
      <xdr:spPr>
        <a:xfrm>
          <a:off x="3147786" y="205784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644" name="Resim 643">
          <a:extLst>
            <a:ext uri="{FF2B5EF4-FFF2-40B4-BE49-F238E27FC236}">
              <a16:creationId xmlns:a16="http://schemas.microsoft.com/office/drawing/2014/main" id="{572F86A2-1EC3-4DAD-BF26-D92069C22A14}"/>
            </a:ext>
          </a:extLst>
        </xdr:cNvPr>
        <xdr:cNvPicPr>
          <a:picLocks noChangeAspect="1"/>
        </xdr:cNvPicPr>
      </xdr:nvPicPr>
      <xdr:blipFill>
        <a:blip xmlns:r="http://schemas.openxmlformats.org/officeDocument/2006/relationships" r:embed="rId1"/>
        <a:stretch>
          <a:fillRect/>
        </a:stretch>
      </xdr:blipFill>
      <xdr:spPr>
        <a:xfrm>
          <a:off x="186764" y="209570813"/>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645" name="Resim 644">
          <a:extLst>
            <a:ext uri="{FF2B5EF4-FFF2-40B4-BE49-F238E27FC236}">
              <a16:creationId xmlns:a16="http://schemas.microsoft.com/office/drawing/2014/main" id="{7E2910B3-C764-4332-B040-7C35D95C6958}"/>
            </a:ext>
          </a:extLst>
        </xdr:cNvPr>
        <xdr:cNvPicPr>
          <a:picLocks noChangeAspect="1"/>
        </xdr:cNvPicPr>
      </xdr:nvPicPr>
      <xdr:blipFill>
        <a:blip xmlns:r="http://schemas.openxmlformats.org/officeDocument/2006/relationships" r:embed="rId2"/>
        <a:stretch>
          <a:fillRect/>
        </a:stretch>
      </xdr:blipFill>
      <xdr:spPr>
        <a:xfrm>
          <a:off x="3147786" y="209458752"/>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646" name="Resim 645">
          <a:extLst>
            <a:ext uri="{FF2B5EF4-FFF2-40B4-BE49-F238E27FC236}">
              <a16:creationId xmlns:a16="http://schemas.microsoft.com/office/drawing/2014/main" id="{B5E36B47-2406-4C2D-950D-2D3DDBBDCFBF}"/>
            </a:ext>
          </a:extLst>
        </xdr:cNvPr>
        <xdr:cNvPicPr>
          <a:picLocks noChangeAspect="1"/>
        </xdr:cNvPicPr>
      </xdr:nvPicPr>
      <xdr:blipFill>
        <a:blip xmlns:r="http://schemas.openxmlformats.org/officeDocument/2006/relationships" r:embed="rId1"/>
        <a:stretch>
          <a:fillRect/>
        </a:stretch>
      </xdr:blipFill>
      <xdr:spPr>
        <a:xfrm>
          <a:off x="186764" y="213244741"/>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647" name="Resim 646">
          <a:extLst>
            <a:ext uri="{FF2B5EF4-FFF2-40B4-BE49-F238E27FC236}">
              <a16:creationId xmlns:a16="http://schemas.microsoft.com/office/drawing/2014/main" id="{6F8D301B-4DA1-42DC-8252-AC322C685E1C}"/>
            </a:ext>
          </a:extLst>
        </xdr:cNvPr>
        <xdr:cNvPicPr>
          <a:picLocks noChangeAspect="1"/>
        </xdr:cNvPicPr>
      </xdr:nvPicPr>
      <xdr:blipFill>
        <a:blip xmlns:r="http://schemas.openxmlformats.org/officeDocument/2006/relationships" r:embed="rId2"/>
        <a:stretch>
          <a:fillRect/>
        </a:stretch>
      </xdr:blipFill>
      <xdr:spPr>
        <a:xfrm>
          <a:off x="3147786" y="213132680"/>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648" name="Resim 647">
          <a:extLst>
            <a:ext uri="{FF2B5EF4-FFF2-40B4-BE49-F238E27FC236}">
              <a16:creationId xmlns:a16="http://schemas.microsoft.com/office/drawing/2014/main" id="{4F619E62-785B-4CDF-9925-D029B689CB06}"/>
            </a:ext>
          </a:extLst>
        </xdr:cNvPr>
        <xdr:cNvPicPr>
          <a:picLocks noChangeAspect="1"/>
        </xdr:cNvPicPr>
      </xdr:nvPicPr>
      <xdr:blipFill>
        <a:blip xmlns:r="http://schemas.openxmlformats.org/officeDocument/2006/relationships" r:embed="rId1"/>
        <a:stretch>
          <a:fillRect/>
        </a:stretch>
      </xdr:blipFill>
      <xdr:spPr>
        <a:xfrm>
          <a:off x="186764" y="216918670"/>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649" name="Resim 648">
          <a:extLst>
            <a:ext uri="{FF2B5EF4-FFF2-40B4-BE49-F238E27FC236}">
              <a16:creationId xmlns:a16="http://schemas.microsoft.com/office/drawing/2014/main" id="{C95975F9-1455-47C6-A384-E0C545863318}"/>
            </a:ext>
          </a:extLst>
        </xdr:cNvPr>
        <xdr:cNvPicPr>
          <a:picLocks noChangeAspect="1"/>
        </xdr:cNvPicPr>
      </xdr:nvPicPr>
      <xdr:blipFill>
        <a:blip xmlns:r="http://schemas.openxmlformats.org/officeDocument/2006/relationships" r:embed="rId2"/>
        <a:stretch>
          <a:fillRect/>
        </a:stretch>
      </xdr:blipFill>
      <xdr:spPr>
        <a:xfrm>
          <a:off x="3147786" y="216806609"/>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650" name="Resim 649">
          <a:extLst>
            <a:ext uri="{FF2B5EF4-FFF2-40B4-BE49-F238E27FC236}">
              <a16:creationId xmlns:a16="http://schemas.microsoft.com/office/drawing/2014/main" id="{8F8C0DD5-4FA3-43FF-8C59-7BADE34AF306}"/>
            </a:ext>
          </a:extLst>
        </xdr:cNvPr>
        <xdr:cNvPicPr>
          <a:picLocks noChangeAspect="1"/>
        </xdr:cNvPicPr>
      </xdr:nvPicPr>
      <xdr:blipFill>
        <a:blip xmlns:r="http://schemas.openxmlformats.org/officeDocument/2006/relationships" r:embed="rId1"/>
        <a:stretch>
          <a:fillRect/>
        </a:stretch>
      </xdr:blipFill>
      <xdr:spPr>
        <a:xfrm>
          <a:off x="186764" y="220592598"/>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651" name="Resim 650">
          <a:extLst>
            <a:ext uri="{FF2B5EF4-FFF2-40B4-BE49-F238E27FC236}">
              <a16:creationId xmlns:a16="http://schemas.microsoft.com/office/drawing/2014/main" id="{5BF21FB3-F382-4EC6-A63E-12D2DEE912D5}"/>
            </a:ext>
          </a:extLst>
        </xdr:cNvPr>
        <xdr:cNvPicPr>
          <a:picLocks noChangeAspect="1"/>
        </xdr:cNvPicPr>
      </xdr:nvPicPr>
      <xdr:blipFill>
        <a:blip xmlns:r="http://schemas.openxmlformats.org/officeDocument/2006/relationships" r:embed="rId2"/>
        <a:stretch>
          <a:fillRect/>
        </a:stretch>
      </xdr:blipFill>
      <xdr:spPr>
        <a:xfrm>
          <a:off x="3147786" y="220480537"/>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652" name="Resim 651">
          <a:extLst>
            <a:ext uri="{FF2B5EF4-FFF2-40B4-BE49-F238E27FC236}">
              <a16:creationId xmlns:a16="http://schemas.microsoft.com/office/drawing/2014/main" id="{4EBE3795-0A32-4CD5-A3A3-AB39D1F92812}"/>
            </a:ext>
          </a:extLst>
        </xdr:cNvPr>
        <xdr:cNvPicPr>
          <a:picLocks noChangeAspect="1"/>
        </xdr:cNvPicPr>
      </xdr:nvPicPr>
      <xdr:blipFill>
        <a:blip xmlns:r="http://schemas.openxmlformats.org/officeDocument/2006/relationships" r:embed="rId1"/>
        <a:stretch>
          <a:fillRect/>
        </a:stretch>
      </xdr:blipFill>
      <xdr:spPr>
        <a:xfrm>
          <a:off x="186764" y="224266527"/>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653" name="Resim 652">
          <a:extLst>
            <a:ext uri="{FF2B5EF4-FFF2-40B4-BE49-F238E27FC236}">
              <a16:creationId xmlns:a16="http://schemas.microsoft.com/office/drawing/2014/main" id="{D9BC3285-7020-4C9E-81EA-CE8D5624F7DC}"/>
            </a:ext>
          </a:extLst>
        </xdr:cNvPr>
        <xdr:cNvPicPr>
          <a:picLocks noChangeAspect="1"/>
        </xdr:cNvPicPr>
      </xdr:nvPicPr>
      <xdr:blipFill>
        <a:blip xmlns:r="http://schemas.openxmlformats.org/officeDocument/2006/relationships" r:embed="rId2"/>
        <a:stretch>
          <a:fillRect/>
        </a:stretch>
      </xdr:blipFill>
      <xdr:spPr>
        <a:xfrm>
          <a:off x="3147786" y="224154466"/>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654" name="Resim 653">
          <a:extLst>
            <a:ext uri="{FF2B5EF4-FFF2-40B4-BE49-F238E27FC236}">
              <a16:creationId xmlns:a16="http://schemas.microsoft.com/office/drawing/2014/main" id="{4370646A-8281-4393-9227-C448F694AB7D}"/>
            </a:ext>
          </a:extLst>
        </xdr:cNvPr>
        <xdr:cNvPicPr>
          <a:picLocks noChangeAspect="1"/>
        </xdr:cNvPicPr>
      </xdr:nvPicPr>
      <xdr:blipFill>
        <a:blip xmlns:r="http://schemas.openxmlformats.org/officeDocument/2006/relationships" r:embed="rId1"/>
        <a:stretch>
          <a:fillRect/>
        </a:stretch>
      </xdr:blipFill>
      <xdr:spPr>
        <a:xfrm>
          <a:off x="186764" y="227940455"/>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655" name="Resim 654">
          <a:extLst>
            <a:ext uri="{FF2B5EF4-FFF2-40B4-BE49-F238E27FC236}">
              <a16:creationId xmlns:a16="http://schemas.microsoft.com/office/drawing/2014/main" id="{E78E312E-AC18-4AD7-B70D-CE77ACFC5383}"/>
            </a:ext>
          </a:extLst>
        </xdr:cNvPr>
        <xdr:cNvPicPr>
          <a:picLocks noChangeAspect="1"/>
        </xdr:cNvPicPr>
      </xdr:nvPicPr>
      <xdr:blipFill>
        <a:blip xmlns:r="http://schemas.openxmlformats.org/officeDocument/2006/relationships" r:embed="rId2"/>
        <a:stretch>
          <a:fillRect/>
        </a:stretch>
      </xdr:blipFill>
      <xdr:spPr>
        <a:xfrm>
          <a:off x="3147786" y="227828394"/>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56" name="Resim 655">
          <a:extLst>
            <a:ext uri="{FF2B5EF4-FFF2-40B4-BE49-F238E27FC236}">
              <a16:creationId xmlns:a16="http://schemas.microsoft.com/office/drawing/2014/main" id="{9A364AEB-E51F-45F9-BB6E-C49F1194E0C1}"/>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57" name="Resim 656">
          <a:extLst>
            <a:ext uri="{FF2B5EF4-FFF2-40B4-BE49-F238E27FC236}">
              <a16:creationId xmlns:a16="http://schemas.microsoft.com/office/drawing/2014/main" id="{BF8A14E4-4510-4E15-AE00-85712CBD4191}"/>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58" name="Resim 657">
          <a:extLst>
            <a:ext uri="{FF2B5EF4-FFF2-40B4-BE49-F238E27FC236}">
              <a16:creationId xmlns:a16="http://schemas.microsoft.com/office/drawing/2014/main" id="{F35D1C4C-92CA-4C05-8DF5-0897F7C4C154}"/>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59" name="Resim 658">
          <a:extLst>
            <a:ext uri="{FF2B5EF4-FFF2-40B4-BE49-F238E27FC236}">
              <a16:creationId xmlns:a16="http://schemas.microsoft.com/office/drawing/2014/main" id="{9918C23D-BCFB-433C-A943-4CE9AAF6AE68}"/>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60" name="Resim 659">
          <a:extLst>
            <a:ext uri="{FF2B5EF4-FFF2-40B4-BE49-F238E27FC236}">
              <a16:creationId xmlns:a16="http://schemas.microsoft.com/office/drawing/2014/main" id="{B7BA31CA-C97A-4048-84E2-F8E5B2CC12B7}"/>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61" name="Resim 660">
          <a:extLst>
            <a:ext uri="{FF2B5EF4-FFF2-40B4-BE49-F238E27FC236}">
              <a16:creationId xmlns:a16="http://schemas.microsoft.com/office/drawing/2014/main" id="{8A5B3C0C-311D-41CC-8C2C-A26A270C513D}"/>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62" name="Resim 661">
          <a:extLst>
            <a:ext uri="{FF2B5EF4-FFF2-40B4-BE49-F238E27FC236}">
              <a16:creationId xmlns:a16="http://schemas.microsoft.com/office/drawing/2014/main" id="{C1F2759E-D38A-4989-84D7-DEAEB8590476}"/>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63" name="Resim 662">
          <a:extLst>
            <a:ext uri="{FF2B5EF4-FFF2-40B4-BE49-F238E27FC236}">
              <a16:creationId xmlns:a16="http://schemas.microsoft.com/office/drawing/2014/main" id="{FBAAFFEB-269D-461C-9008-217DE278B7BF}"/>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664" name="Resim 663">
          <a:extLst>
            <a:ext uri="{FF2B5EF4-FFF2-40B4-BE49-F238E27FC236}">
              <a16:creationId xmlns:a16="http://schemas.microsoft.com/office/drawing/2014/main" id="{B39E118C-D46F-49E1-A9D9-5A40E7F1ACD7}"/>
            </a:ext>
          </a:extLst>
        </xdr:cNvPr>
        <xdr:cNvPicPr>
          <a:picLocks noChangeAspect="1"/>
        </xdr:cNvPicPr>
      </xdr:nvPicPr>
      <xdr:blipFill>
        <a:blip xmlns:r="http://schemas.openxmlformats.org/officeDocument/2006/relationships" r:embed="rId1"/>
        <a:stretch>
          <a:fillRect/>
        </a:stretch>
      </xdr:blipFill>
      <xdr:spPr>
        <a:xfrm>
          <a:off x="186764" y="238962241"/>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665" name="Resim 664">
          <a:extLst>
            <a:ext uri="{FF2B5EF4-FFF2-40B4-BE49-F238E27FC236}">
              <a16:creationId xmlns:a16="http://schemas.microsoft.com/office/drawing/2014/main" id="{2474BF00-AFCE-4F2F-BEC2-324C7DE18823}"/>
            </a:ext>
          </a:extLst>
        </xdr:cNvPr>
        <xdr:cNvPicPr>
          <a:picLocks noChangeAspect="1"/>
        </xdr:cNvPicPr>
      </xdr:nvPicPr>
      <xdr:blipFill>
        <a:blip xmlns:r="http://schemas.openxmlformats.org/officeDocument/2006/relationships" r:embed="rId2"/>
        <a:stretch>
          <a:fillRect/>
        </a:stretch>
      </xdr:blipFill>
      <xdr:spPr>
        <a:xfrm>
          <a:off x="3147786" y="238850180"/>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666" name="Resim 665">
          <a:extLst>
            <a:ext uri="{FF2B5EF4-FFF2-40B4-BE49-F238E27FC236}">
              <a16:creationId xmlns:a16="http://schemas.microsoft.com/office/drawing/2014/main" id="{50BC1EA7-C5F5-4EA9-A308-5F32AB6BDD9E}"/>
            </a:ext>
          </a:extLst>
        </xdr:cNvPr>
        <xdr:cNvPicPr>
          <a:picLocks noChangeAspect="1"/>
        </xdr:cNvPicPr>
      </xdr:nvPicPr>
      <xdr:blipFill>
        <a:blip xmlns:r="http://schemas.openxmlformats.org/officeDocument/2006/relationships" r:embed="rId1"/>
        <a:stretch>
          <a:fillRect/>
        </a:stretch>
      </xdr:blipFill>
      <xdr:spPr>
        <a:xfrm>
          <a:off x="186764" y="242636170"/>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667" name="Resim 666">
          <a:extLst>
            <a:ext uri="{FF2B5EF4-FFF2-40B4-BE49-F238E27FC236}">
              <a16:creationId xmlns:a16="http://schemas.microsoft.com/office/drawing/2014/main" id="{D3A96B42-2E20-438F-98C3-EE2822AE5B2A}"/>
            </a:ext>
          </a:extLst>
        </xdr:cNvPr>
        <xdr:cNvPicPr>
          <a:picLocks noChangeAspect="1"/>
        </xdr:cNvPicPr>
      </xdr:nvPicPr>
      <xdr:blipFill>
        <a:blip xmlns:r="http://schemas.openxmlformats.org/officeDocument/2006/relationships" r:embed="rId2"/>
        <a:stretch>
          <a:fillRect/>
        </a:stretch>
      </xdr:blipFill>
      <xdr:spPr>
        <a:xfrm>
          <a:off x="3147786" y="242524109"/>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668" name="Resim 667">
          <a:extLst>
            <a:ext uri="{FF2B5EF4-FFF2-40B4-BE49-F238E27FC236}">
              <a16:creationId xmlns:a16="http://schemas.microsoft.com/office/drawing/2014/main" id="{5A0F34D2-C0E9-47A9-B579-7AC23D15CD57}"/>
            </a:ext>
          </a:extLst>
        </xdr:cNvPr>
        <xdr:cNvPicPr>
          <a:picLocks noChangeAspect="1"/>
        </xdr:cNvPicPr>
      </xdr:nvPicPr>
      <xdr:blipFill>
        <a:blip xmlns:r="http://schemas.openxmlformats.org/officeDocument/2006/relationships" r:embed="rId1"/>
        <a:stretch>
          <a:fillRect/>
        </a:stretch>
      </xdr:blipFill>
      <xdr:spPr>
        <a:xfrm>
          <a:off x="186764" y="246310098"/>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669" name="Resim 668">
          <a:extLst>
            <a:ext uri="{FF2B5EF4-FFF2-40B4-BE49-F238E27FC236}">
              <a16:creationId xmlns:a16="http://schemas.microsoft.com/office/drawing/2014/main" id="{1DBCEF50-42FC-442B-A076-BD69E8058744}"/>
            </a:ext>
          </a:extLst>
        </xdr:cNvPr>
        <xdr:cNvPicPr>
          <a:picLocks noChangeAspect="1"/>
        </xdr:cNvPicPr>
      </xdr:nvPicPr>
      <xdr:blipFill>
        <a:blip xmlns:r="http://schemas.openxmlformats.org/officeDocument/2006/relationships" r:embed="rId2"/>
        <a:stretch>
          <a:fillRect/>
        </a:stretch>
      </xdr:blipFill>
      <xdr:spPr>
        <a:xfrm>
          <a:off x="3147786" y="246198037"/>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670" name="Resim 669">
          <a:extLst>
            <a:ext uri="{FF2B5EF4-FFF2-40B4-BE49-F238E27FC236}">
              <a16:creationId xmlns:a16="http://schemas.microsoft.com/office/drawing/2014/main" id="{71A1299F-14E6-431B-BE80-DD09C53C61E3}"/>
            </a:ext>
          </a:extLst>
        </xdr:cNvPr>
        <xdr:cNvPicPr>
          <a:picLocks noChangeAspect="1"/>
        </xdr:cNvPicPr>
      </xdr:nvPicPr>
      <xdr:blipFill>
        <a:blip xmlns:r="http://schemas.openxmlformats.org/officeDocument/2006/relationships" r:embed="rId1"/>
        <a:stretch>
          <a:fillRect/>
        </a:stretch>
      </xdr:blipFill>
      <xdr:spPr>
        <a:xfrm>
          <a:off x="186764" y="249984027"/>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671" name="Resim 670">
          <a:extLst>
            <a:ext uri="{FF2B5EF4-FFF2-40B4-BE49-F238E27FC236}">
              <a16:creationId xmlns:a16="http://schemas.microsoft.com/office/drawing/2014/main" id="{1058B05A-B2EE-44E9-8B48-EDF43283BDC0}"/>
            </a:ext>
          </a:extLst>
        </xdr:cNvPr>
        <xdr:cNvPicPr>
          <a:picLocks noChangeAspect="1"/>
        </xdr:cNvPicPr>
      </xdr:nvPicPr>
      <xdr:blipFill>
        <a:blip xmlns:r="http://schemas.openxmlformats.org/officeDocument/2006/relationships" r:embed="rId2"/>
        <a:stretch>
          <a:fillRect/>
        </a:stretch>
      </xdr:blipFill>
      <xdr:spPr>
        <a:xfrm>
          <a:off x="3147786" y="249871966"/>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672" name="Resim 671">
          <a:extLst>
            <a:ext uri="{FF2B5EF4-FFF2-40B4-BE49-F238E27FC236}">
              <a16:creationId xmlns:a16="http://schemas.microsoft.com/office/drawing/2014/main" id="{4E1E35BE-2248-4A4E-875E-AD33E91D8D11}"/>
            </a:ext>
          </a:extLst>
        </xdr:cNvPr>
        <xdr:cNvPicPr>
          <a:picLocks noChangeAspect="1"/>
        </xdr:cNvPicPr>
      </xdr:nvPicPr>
      <xdr:blipFill>
        <a:blip xmlns:r="http://schemas.openxmlformats.org/officeDocument/2006/relationships" r:embed="rId1"/>
        <a:stretch>
          <a:fillRect/>
        </a:stretch>
      </xdr:blipFill>
      <xdr:spPr>
        <a:xfrm>
          <a:off x="186764" y="253657955"/>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673" name="Resim 672">
          <a:extLst>
            <a:ext uri="{FF2B5EF4-FFF2-40B4-BE49-F238E27FC236}">
              <a16:creationId xmlns:a16="http://schemas.microsoft.com/office/drawing/2014/main" id="{24E87F47-5FAD-42F7-B402-469A596871AA}"/>
            </a:ext>
          </a:extLst>
        </xdr:cNvPr>
        <xdr:cNvPicPr>
          <a:picLocks noChangeAspect="1"/>
        </xdr:cNvPicPr>
      </xdr:nvPicPr>
      <xdr:blipFill>
        <a:blip xmlns:r="http://schemas.openxmlformats.org/officeDocument/2006/relationships" r:embed="rId2"/>
        <a:stretch>
          <a:fillRect/>
        </a:stretch>
      </xdr:blipFill>
      <xdr:spPr>
        <a:xfrm>
          <a:off x="3147786" y="253545894"/>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674" name="Resim 673">
          <a:extLst>
            <a:ext uri="{FF2B5EF4-FFF2-40B4-BE49-F238E27FC236}">
              <a16:creationId xmlns:a16="http://schemas.microsoft.com/office/drawing/2014/main" id="{C22924F8-0378-4D12-B242-8784637CD5C4}"/>
            </a:ext>
          </a:extLst>
        </xdr:cNvPr>
        <xdr:cNvPicPr>
          <a:picLocks noChangeAspect="1"/>
        </xdr:cNvPicPr>
      </xdr:nvPicPr>
      <xdr:blipFill>
        <a:blip xmlns:r="http://schemas.openxmlformats.org/officeDocument/2006/relationships" r:embed="rId1"/>
        <a:stretch>
          <a:fillRect/>
        </a:stretch>
      </xdr:blipFill>
      <xdr:spPr>
        <a:xfrm>
          <a:off x="186764" y="2573318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675" name="Resim 674">
          <a:extLst>
            <a:ext uri="{FF2B5EF4-FFF2-40B4-BE49-F238E27FC236}">
              <a16:creationId xmlns:a16="http://schemas.microsoft.com/office/drawing/2014/main" id="{6F910B4E-C170-4F88-B063-1611E2266274}"/>
            </a:ext>
          </a:extLst>
        </xdr:cNvPr>
        <xdr:cNvPicPr>
          <a:picLocks noChangeAspect="1"/>
        </xdr:cNvPicPr>
      </xdr:nvPicPr>
      <xdr:blipFill>
        <a:blip xmlns:r="http://schemas.openxmlformats.org/officeDocument/2006/relationships" r:embed="rId2"/>
        <a:stretch>
          <a:fillRect/>
        </a:stretch>
      </xdr:blipFill>
      <xdr:spPr>
        <a:xfrm>
          <a:off x="3147786" y="2572198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676" name="Resim 675">
          <a:extLst>
            <a:ext uri="{FF2B5EF4-FFF2-40B4-BE49-F238E27FC236}">
              <a16:creationId xmlns:a16="http://schemas.microsoft.com/office/drawing/2014/main" id="{905022BB-7905-4C48-8B6E-AC1063B85855}"/>
            </a:ext>
          </a:extLst>
        </xdr:cNvPr>
        <xdr:cNvPicPr>
          <a:picLocks noChangeAspect="1"/>
        </xdr:cNvPicPr>
      </xdr:nvPicPr>
      <xdr:blipFill>
        <a:blip xmlns:r="http://schemas.openxmlformats.org/officeDocument/2006/relationships" r:embed="rId1"/>
        <a:stretch>
          <a:fillRect/>
        </a:stretch>
      </xdr:blipFill>
      <xdr:spPr>
        <a:xfrm>
          <a:off x="186764" y="261005813"/>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677" name="Resim 676">
          <a:extLst>
            <a:ext uri="{FF2B5EF4-FFF2-40B4-BE49-F238E27FC236}">
              <a16:creationId xmlns:a16="http://schemas.microsoft.com/office/drawing/2014/main" id="{C8BEB1E6-F60C-4177-8D0B-F6A495507D09}"/>
            </a:ext>
          </a:extLst>
        </xdr:cNvPr>
        <xdr:cNvPicPr>
          <a:picLocks noChangeAspect="1"/>
        </xdr:cNvPicPr>
      </xdr:nvPicPr>
      <xdr:blipFill>
        <a:blip xmlns:r="http://schemas.openxmlformats.org/officeDocument/2006/relationships" r:embed="rId2"/>
        <a:stretch>
          <a:fillRect/>
        </a:stretch>
      </xdr:blipFill>
      <xdr:spPr>
        <a:xfrm>
          <a:off x="3147786" y="260893752"/>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678" name="Resim 677">
          <a:extLst>
            <a:ext uri="{FF2B5EF4-FFF2-40B4-BE49-F238E27FC236}">
              <a16:creationId xmlns:a16="http://schemas.microsoft.com/office/drawing/2014/main" id="{798EFC10-9C58-47F3-8251-75B93CBDAEFE}"/>
            </a:ext>
          </a:extLst>
        </xdr:cNvPr>
        <xdr:cNvPicPr>
          <a:picLocks noChangeAspect="1"/>
        </xdr:cNvPicPr>
      </xdr:nvPicPr>
      <xdr:blipFill>
        <a:blip xmlns:r="http://schemas.openxmlformats.org/officeDocument/2006/relationships" r:embed="rId1"/>
        <a:stretch>
          <a:fillRect/>
        </a:stretch>
      </xdr:blipFill>
      <xdr:spPr>
        <a:xfrm>
          <a:off x="186764" y="264679741"/>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679" name="Resim 678">
          <a:extLst>
            <a:ext uri="{FF2B5EF4-FFF2-40B4-BE49-F238E27FC236}">
              <a16:creationId xmlns:a16="http://schemas.microsoft.com/office/drawing/2014/main" id="{EE597A64-ECA2-42C2-99D4-223E3DFDF302}"/>
            </a:ext>
          </a:extLst>
        </xdr:cNvPr>
        <xdr:cNvPicPr>
          <a:picLocks noChangeAspect="1"/>
        </xdr:cNvPicPr>
      </xdr:nvPicPr>
      <xdr:blipFill>
        <a:blip xmlns:r="http://schemas.openxmlformats.org/officeDocument/2006/relationships" r:embed="rId2"/>
        <a:stretch>
          <a:fillRect/>
        </a:stretch>
      </xdr:blipFill>
      <xdr:spPr>
        <a:xfrm>
          <a:off x="3147786" y="264567680"/>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680" name="Resim 679">
          <a:extLst>
            <a:ext uri="{FF2B5EF4-FFF2-40B4-BE49-F238E27FC236}">
              <a16:creationId xmlns:a16="http://schemas.microsoft.com/office/drawing/2014/main" id="{AFCC69C3-BD2C-40B4-94A4-E096C5FEF878}"/>
            </a:ext>
          </a:extLst>
        </xdr:cNvPr>
        <xdr:cNvPicPr>
          <a:picLocks noChangeAspect="1"/>
        </xdr:cNvPicPr>
      </xdr:nvPicPr>
      <xdr:blipFill>
        <a:blip xmlns:r="http://schemas.openxmlformats.org/officeDocument/2006/relationships" r:embed="rId1"/>
        <a:stretch>
          <a:fillRect/>
        </a:stretch>
      </xdr:blipFill>
      <xdr:spPr>
        <a:xfrm>
          <a:off x="186764" y="268353670"/>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681" name="Resim 680">
          <a:extLst>
            <a:ext uri="{FF2B5EF4-FFF2-40B4-BE49-F238E27FC236}">
              <a16:creationId xmlns:a16="http://schemas.microsoft.com/office/drawing/2014/main" id="{F7BA0F51-3E9C-458E-B2FF-B7BD263EF3AE}"/>
            </a:ext>
          </a:extLst>
        </xdr:cNvPr>
        <xdr:cNvPicPr>
          <a:picLocks noChangeAspect="1"/>
        </xdr:cNvPicPr>
      </xdr:nvPicPr>
      <xdr:blipFill>
        <a:blip xmlns:r="http://schemas.openxmlformats.org/officeDocument/2006/relationships" r:embed="rId2"/>
        <a:stretch>
          <a:fillRect/>
        </a:stretch>
      </xdr:blipFill>
      <xdr:spPr>
        <a:xfrm>
          <a:off x="3147786" y="268241609"/>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682" name="Resim 681">
          <a:extLst>
            <a:ext uri="{FF2B5EF4-FFF2-40B4-BE49-F238E27FC236}">
              <a16:creationId xmlns:a16="http://schemas.microsoft.com/office/drawing/2014/main" id="{3FA730AF-BBD2-4EF5-B7B2-DF3943C56A1C}"/>
            </a:ext>
          </a:extLst>
        </xdr:cNvPr>
        <xdr:cNvPicPr>
          <a:picLocks noChangeAspect="1"/>
        </xdr:cNvPicPr>
      </xdr:nvPicPr>
      <xdr:blipFill>
        <a:blip xmlns:r="http://schemas.openxmlformats.org/officeDocument/2006/relationships" r:embed="rId1"/>
        <a:stretch>
          <a:fillRect/>
        </a:stretch>
      </xdr:blipFill>
      <xdr:spPr>
        <a:xfrm>
          <a:off x="186764" y="272027598"/>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683" name="Resim 682">
          <a:extLst>
            <a:ext uri="{FF2B5EF4-FFF2-40B4-BE49-F238E27FC236}">
              <a16:creationId xmlns:a16="http://schemas.microsoft.com/office/drawing/2014/main" id="{F41444B7-4115-4372-BC78-9CF84600A7F8}"/>
            </a:ext>
          </a:extLst>
        </xdr:cNvPr>
        <xdr:cNvPicPr>
          <a:picLocks noChangeAspect="1"/>
        </xdr:cNvPicPr>
      </xdr:nvPicPr>
      <xdr:blipFill>
        <a:blip xmlns:r="http://schemas.openxmlformats.org/officeDocument/2006/relationships" r:embed="rId2"/>
        <a:stretch>
          <a:fillRect/>
        </a:stretch>
      </xdr:blipFill>
      <xdr:spPr>
        <a:xfrm>
          <a:off x="3147786" y="271915537"/>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684" name="Resim 683">
          <a:extLst>
            <a:ext uri="{FF2B5EF4-FFF2-40B4-BE49-F238E27FC236}">
              <a16:creationId xmlns:a16="http://schemas.microsoft.com/office/drawing/2014/main" id="{07CD4106-2F70-4589-B4DB-67D636301BF4}"/>
            </a:ext>
          </a:extLst>
        </xdr:cNvPr>
        <xdr:cNvPicPr>
          <a:picLocks noChangeAspect="1"/>
        </xdr:cNvPicPr>
      </xdr:nvPicPr>
      <xdr:blipFill>
        <a:blip xmlns:r="http://schemas.openxmlformats.org/officeDocument/2006/relationships" r:embed="rId1"/>
        <a:stretch>
          <a:fillRect/>
        </a:stretch>
      </xdr:blipFill>
      <xdr:spPr>
        <a:xfrm>
          <a:off x="186764" y="275701527"/>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685" name="Resim 684">
          <a:extLst>
            <a:ext uri="{FF2B5EF4-FFF2-40B4-BE49-F238E27FC236}">
              <a16:creationId xmlns:a16="http://schemas.microsoft.com/office/drawing/2014/main" id="{8873B37B-E853-44E9-877E-0D29AD253FB0}"/>
            </a:ext>
          </a:extLst>
        </xdr:cNvPr>
        <xdr:cNvPicPr>
          <a:picLocks noChangeAspect="1"/>
        </xdr:cNvPicPr>
      </xdr:nvPicPr>
      <xdr:blipFill>
        <a:blip xmlns:r="http://schemas.openxmlformats.org/officeDocument/2006/relationships" r:embed="rId2"/>
        <a:stretch>
          <a:fillRect/>
        </a:stretch>
      </xdr:blipFill>
      <xdr:spPr>
        <a:xfrm>
          <a:off x="3147786" y="275589466"/>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686" name="Resim 685">
          <a:extLst>
            <a:ext uri="{FF2B5EF4-FFF2-40B4-BE49-F238E27FC236}">
              <a16:creationId xmlns:a16="http://schemas.microsoft.com/office/drawing/2014/main" id="{94CE1F53-5AA1-4D32-8F81-085D74ABDC7C}"/>
            </a:ext>
          </a:extLst>
        </xdr:cNvPr>
        <xdr:cNvPicPr>
          <a:picLocks noChangeAspect="1"/>
        </xdr:cNvPicPr>
      </xdr:nvPicPr>
      <xdr:blipFill>
        <a:blip xmlns:r="http://schemas.openxmlformats.org/officeDocument/2006/relationships" r:embed="rId1"/>
        <a:stretch>
          <a:fillRect/>
        </a:stretch>
      </xdr:blipFill>
      <xdr:spPr>
        <a:xfrm>
          <a:off x="186764" y="279375455"/>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687" name="Resim 686">
          <a:extLst>
            <a:ext uri="{FF2B5EF4-FFF2-40B4-BE49-F238E27FC236}">
              <a16:creationId xmlns:a16="http://schemas.microsoft.com/office/drawing/2014/main" id="{7AC0EC79-BD69-4BBA-BBC5-CE29591B3E08}"/>
            </a:ext>
          </a:extLst>
        </xdr:cNvPr>
        <xdr:cNvPicPr>
          <a:picLocks noChangeAspect="1"/>
        </xdr:cNvPicPr>
      </xdr:nvPicPr>
      <xdr:blipFill>
        <a:blip xmlns:r="http://schemas.openxmlformats.org/officeDocument/2006/relationships" r:embed="rId2"/>
        <a:stretch>
          <a:fillRect/>
        </a:stretch>
      </xdr:blipFill>
      <xdr:spPr>
        <a:xfrm>
          <a:off x="3147786" y="279263394"/>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688" name="Resim 687">
          <a:extLst>
            <a:ext uri="{FF2B5EF4-FFF2-40B4-BE49-F238E27FC236}">
              <a16:creationId xmlns:a16="http://schemas.microsoft.com/office/drawing/2014/main" id="{F8FF0716-884A-41B3-A9C6-4FFC03612275}"/>
            </a:ext>
          </a:extLst>
        </xdr:cNvPr>
        <xdr:cNvPicPr>
          <a:picLocks noChangeAspect="1"/>
        </xdr:cNvPicPr>
      </xdr:nvPicPr>
      <xdr:blipFill>
        <a:blip xmlns:r="http://schemas.openxmlformats.org/officeDocument/2006/relationships" r:embed="rId1"/>
        <a:stretch>
          <a:fillRect/>
        </a:stretch>
      </xdr:blipFill>
      <xdr:spPr>
        <a:xfrm>
          <a:off x="186764" y="28304938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689" name="Resim 688">
          <a:extLst>
            <a:ext uri="{FF2B5EF4-FFF2-40B4-BE49-F238E27FC236}">
              <a16:creationId xmlns:a16="http://schemas.microsoft.com/office/drawing/2014/main" id="{5FC793E7-643A-4D2F-9513-5E779B585652}"/>
            </a:ext>
          </a:extLst>
        </xdr:cNvPr>
        <xdr:cNvPicPr>
          <a:picLocks noChangeAspect="1"/>
        </xdr:cNvPicPr>
      </xdr:nvPicPr>
      <xdr:blipFill>
        <a:blip xmlns:r="http://schemas.openxmlformats.org/officeDocument/2006/relationships" r:embed="rId2"/>
        <a:stretch>
          <a:fillRect/>
        </a:stretch>
      </xdr:blipFill>
      <xdr:spPr>
        <a:xfrm>
          <a:off x="3147786" y="28293732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690" name="Resim 689">
          <a:extLst>
            <a:ext uri="{FF2B5EF4-FFF2-40B4-BE49-F238E27FC236}">
              <a16:creationId xmlns:a16="http://schemas.microsoft.com/office/drawing/2014/main" id="{166A748B-9A9C-4FF1-81AF-D9FB4B5A6018}"/>
            </a:ext>
          </a:extLst>
        </xdr:cNvPr>
        <xdr:cNvPicPr>
          <a:picLocks noChangeAspect="1"/>
        </xdr:cNvPicPr>
      </xdr:nvPicPr>
      <xdr:blipFill>
        <a:blip xmlns:r="http://schemas.openxmlformats.org/officeDocument/2006/relationships" r:embed="rId1"/>
        <a:stretch>
          <a:fillRect/>
        </a:stretch>
      </xdr:blipFill>
      <xdr:spPr>
        <a:xfrm>
          <a:off x="186764" y="286723313"/>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691" name="Resim 690">
          <a:extLst>
            <a:ext uri="{FF2B5EF4-FFF2-40B4-BE49-F238E27FC236}">
              <a16:creationId xmlns:a16="http://schemas.microsoft.com/office/drawing/2014/main" id="{26B1EC56-F59A-4FAF-A56B-560FE76430CB}"/>
            </a:ext>
          </a:extLst>
        </xdr:cNvPr>
        <xdr:cNvPicPr>
          <a:picLocks noChangeAspect="1"/>
        </xdr:cNvPicPr>
      </xdr:nvPicPr>
      <xdr:blipFill>
        <a:blip xmlns:r="http://schemas.openxmlformats.org/officeDocument/2006/relationships" r:embed="rId2"/>
        <a:stretch>
          <a:fillRect/>
        </a:stretch>
      </xdr:blipFill>
      <xdr:spPr>
        <a:xfrm>
          <a:off x="3147786" y="286611252"/>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692" name="Resim 691">
          <a:extLst>
            <a:ext uri="{FF2B5EF4-FFF2-40B4-BE49-F238E27FC236}">
              <a16:creationId xmlns:a16="http://schemas.microsoft.com/office/drawing/2014/main" id="{0027013B-1888-4EFB-BD1E-7AC5D65B7EC8}"/>
            </a:ext>
          </a:extLst>
        </xdr:cNvPr>
        <xdr:cNvPicPr>
          <a:picLocks noChangeAspect="1"/>
        </xdr:cNvPicPr>
      </xdr:nvPicPr>
      <xdr:blipFill>
        <a:blip xmlns:r="http://schemas.openxmlformats.org/officeDocument/2006/relationships" r:embed="rId1"/>
        <a:stretch>
          <a:fillRect/>
        </a:stretch>
      </xdr:blipFill>
      <xdr:spPr>
        <a:xfrm>
          <a:off x="186764" y="290397241"/>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693" name="Resim 692">
          <a:extLst>
            <a:ext uri="{FF2B5EF4-FFF2-40B4-BE49-F238E27FC236}">
              <a16:creationId xmlns:a16="http://schemas.microsoft.com/office/drawing/2014/main" id="{10EF3ABA-1322-4414-8B2E-300BD9954D0B}"/>
            </a:ext>
          </a:extLst>
        </xdr:cNvPr>
        <xdr:cNvPicPr>
          <a:picLocks noChangeAspect="1"/>
        </xdr:cNvPicPr>
      </xdr:nvPicPr>
      <xdr:blipFill>
        <a:blip xmlns:r="http://schemas.openxmlformats.org/officeDocument/2006/relationships" r:embed="rId2"/>
        <a:stretch>
          <a:fillRect/>
        </a:stretch>
      </xdr:blipFill>
      <xdr:spPr>
        <a:xfrm>
          <a:off x="3147786" y="290285180"/>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694" name="Resim 693">
          <a:extLst>
            <a:ext uri="{FF2B5EF4-FFF2-40B4-BE49-F238E27FC236}">
              <a16:creationId xmlns:a16="http://schemas.microsoft.com/office/drawing/2014/main" id="{9CEBB250-790D-45C7-8467-23FB8E82E064}"/>
            </a:ext>
          </a:extLst>
        </xdr:cNvPr>
        <xdr:cNvPicPr>
          <a:picLocks noChangeAspect="1"/>
        </xdr:cNvPicPr>
      </xdr:nvPicPr>
      <xdr:blipFill>
        <a:blip xmlns:r="http://schemas.openxmlformats.org/officeDocument/2006/relationships" r:embed="rId1"/>
        <a:stretch>
          <a:fillRect/>
        </a:stretch>
      </xdr:blipFill>
      <xdr:spPr>
        <a:xfrm>
          <a:off x="186764" y="294071170"/>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695" name="Resim 694">
          <a:extLst>
            <a:ext uri="{FF2B5EF4-FFF2-40B4-BE49-F238E27FC236}">
              <a16:creationId xmlns:a16="http://schemas.microsoft.com/office/drawing/2014/main" id="{24AAC6C7-196F-4C42-A9F6-24B323A0B167}"/>
            </a:ext>
          </a:extLst>
        </xdr:cNvPr>
        <xdr:cNvPicPr>
          <a:picLocks noChangeAspect="1"/>
        </xdr:cNvPicPr>
      </xdr:nvPicPr>
      <xdr:blipFill>
        <a:blip xmlns:r="http://schemas.openxmlformats.org/officeDocument/2006/relationships" r:embed="rId2"/>
        <a:stretch>
          <a:fillRect/>
        </a:stretch>
      </xdr:blipFill>
      <xdr:spPr>
        <a:xfrm>
          <a:off x="3147786" y="293959109"/>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696" name="Resim 695">
          <a:extLst>
            <a:ext uri="{FF2B5EF4-FFF2-40B4-BE49-F238E27FC236}">
              <a16:creationId xmlns:a16="http://schemas.microsoft.com/office/drawing/2014/main" id="{4900D33F-6788-4CAA-83D8-786078D5F2A5}"/>
            </a:ext>
          </a:extLst>
        </xdr:cNvPr>
        <xdr:cNvPicPr>
          <a:picLocks noChangeAspect="1"/>
        </xdr:cNvPicPr>
      </xdr:nvPicPr>
      <xdr:blipFill>
        <a:blip xmlns:r="http://schemas.openxmlformats.org/officeDocument/2006/relationships" r:embed="rId1"/>
        <a:stretch>
          <a:fillRect/>
        </a:stretch>
      </xdr:blipFill>
      <xdr:spPr>
        <a:xfrm>
          <a:off x="186764" y="297745098"/>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697" name="Resim 696">
          <a:extLst>
            <a:ext uri="{FF2B5EF4-FFF2-40B4-BE49-F238E27FC236}">
              <a16:creationId xmlns:a16="http://schemas.microsoft.com/office/drawing/2014/main" id="{2B13B449-9751-44D6-A169-8BC71915C443}"/>
            </a:ext>
          </a:extLst>
        </xdr:cNvPr>
        <xdr:cNvPicPr>
          <a:picLocks noChangeAspect="1"/>
        </xdr:cNvPicPr>
      </xdr:nvPicPr>
      <xdr:blipFill>
        <a:blip xmlns:r="http://schemas.openxmlformats.org/officeDocument/2006/relationships" r:embed="rId2"/>
        <a:stretch>
          <a:fillRect/>
        </a:stretch>
      </xdr:blipFill>
      <xdr:spPr>
        <a:xfrm>
          <a:off x="3147786" y="297633037"/>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698" name="Resim 697">
          <a:extLst>
            <a:ext uri="{FF2B5EF4-FFF2-40B4-BE49-F238E27FC236}">
              <a16:creationId xmlns:a16="http://schemas.microsoft.com/office/drawing/2014/main" id="{ECB655CD-11E8-41DC-AC38-83DA7BC73DF6}"/>
            </a:ext>
          </a:extLst>
        </xdr:cNvPr>
        <xdr:cNvPicPr>
          <a:picLocks noChangeAspect="1"/>
        </xdr:cNvPicPr>
      </xdr:nvPicPr>
      <xdr:blipFill>
        <a:blip xmlns:r="http://schemas.openxmlformats.org/officeDocument/2006/relationships" r:embed="rId1"/>
        <a:stretch>
          <a:fillRect/>
        </a:stretch>
      </xdr:blipFill>
      <xdr:spPr>
        <a:xfrm>
          <a:off x="186764" y="301419027"/>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699" name="Resim 698">
          <a:extLst>
            <a:ext uri="{FF2B5EF4-FFF2-40B4-BE49-F238E27FC236}">
              <a16:creationId xmlns:a16="http://schemas.microsoft.com/office/drawing/2014/main" id="{ECA88EB0-AD63-47FC-9BA5-00444F66EFB1}"/>
            </a:ext>
          </a:extLst>
        </xdr:cNvPr>
        <xdr:cNvPicPr>
          <a:picLocks noChangeAspect="1"/>
        </xdr:cNvPicPr>
      </xdr:nvPicPr>
      <xdr:blipFill>
        <a:blip xmlns:r="http://schemas.openxmlformats.org/officeDocument/2006/relationships" r:embed="rId2"/>
        <a:stretch>
          <a:fillRect/>
        </a:stretch>
      </xdr:blipFill>
      <xdr:spPr>
        <a:xfrm>
          <a:off x="3147786" y="301306966"/>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700" name="Resim 699">
          <a:extLst>
            <a:ext uri="{FF2B5EF4-FFF2-40B4-BE49-F238E27FC236}">
              <a16:creationId xmlns:a16="http://schemas.microsoft.com/office/drawing/2014/main" id="{45489D68-3838-4FB8-B043-46830CE1424F}"/>
            </a:ext>
          </a:extLst>
        </xdr:cNvPr>
        <xdr:cNvPicPr>
          <a:picLocks noChangeAspect="1"/>
        </xdr:cNvPicPr>
      </xdr:nvPicPr>
      <xdr:blipFill>
        <a:blip xmlns:r="http://schemas.openxmlformats.org/officeDocument/2006/relationships" r:embed="rId1"/>
        <a:stretch>
          <a:fillRect/>
        </a:stretch>
      </xdr:blipFill>
      <xdr:spPr>
        <a:xfrm>
          <a:off x="186764" y="305092955"/>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701" name="Resim 700">
          <a:extLst>
            <a:ext uri="{FF2B5EF4-FFF2-40B4-BE49-F238E27FC236}">
              <a16:creationId xmlns:a16="http://schemas.microsoft.com/office/drawing/2014/main" id="{C99B385E-1537-432E-A11A-1000B61ADA1F}"/>
            </a:ext>
          </a:extLst>
        </xdr:cNvPr>
        <xdr:cNvPicPr>
          <a:picLocks noChangeAspect="1"/>
        </xdr:cNvPicPr>
      </xdr:nvPicPr>
      <xdr:blipFill>
        <a:blip xmlns:r="http://schemas.openxmlformats.org/officeDocument/2006/relationships" r:embed="rId2"/>
        <a:stretch>
          <a:fillRect/>
        </a:stretch>
      </xdr:blipFill>
      <xdr:spPr>
        <a:xfrm>
          <a:off x="3147786" y="304980894"/>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702" name="Resim 701">
          <a:extLst>
            <a:ext uri="{FF2B5EF4-FFF2-40B4-BE49-F238E27FC236}">
              <a16:creationId xmlns:a16="http://schemas.microsoft.com/office/drawing/2014/main" id="{1AAAD7C7-943F-4E48-B0B5-29C8239781FE}"/>
            </a:ext>
          </a:extLst>
        </xdr:cNvPr>
        <xdr:cNvPicPr>
          <a:picLocks noChangeAspect="1"/>
        </xdr:cNvPicPr>
      </xdr:nvPicPr>
      <xdr:blipFill>
        <a:blip xmlns:r="http://schemas.openxmlformats.org/officeDocument/2006/relationships" r:embed="rId1"/>
        <a:stretch>
          <a:fillRect/>
        </a:stretch>
      </xdr:blipFill>
      <xdr:spPr>
        <a:xfrm>
          <a:off x="186764" y="3087668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703" name="Resim 702">
          <a:extLst>
            <a:ext uri="{FF2B5EF4-FFF2-40B4-BE49-F238E27FC236}">
              <a16:creationId xmlns:a16="http://schemas.microsoft.com/office/drawing/2014/main" id="{B44991BE-FC1A-48DC-AFC1-9F1BDA61DAEC}"/>
            </a:ext>
          </a:extLst>
        </xdr:cNvPr>
        <xdr:cNvPicPr>
          <a:picLocks noChangeAspect="1"/>
        </xdr:cNvPicPr>
      </xdr:nvPicPr>
      <xdr:blipFill>
        <a:blip xmlns:r="http://schemas.openxmlformats.org/officeDocument/2006/relationships" r:embed="rId2"/>
        <a:stretch>
          <a:fillRect/>
        </a:stretch>
      </xdr:blipFill>
      <xdr:spPr>
        <a:xfrm>
          <a:off x="3147786" y="308654823"/>
          <a:ext cx="1783314" cy="701175"/>
        </a:xfrm>
        <a:prstGeom prst="rect">
          <a:avLst/>
        </a:prstGeom>
      </xdr:spPr>
    </xdr:pic>
    <xdr:clientData/>
  </xdr:oneCellAnchor>
  <xdr:oneCellAnchor>
    <xdr:from>
      <xdr:col>1</xdr:col>
      <xdr:colOff>59764</xdr:colOff>
      <xdr:row>1352</xdr:row>
      <xdr:rowOff>156884</xdr:rowOff>
    </xdr:from>
    <xdr:ext cx="1623392" cy="560294"/>
    <xdr:pic>
      <xdr:nvPicPr>
        <xdr:cNvPr id="2" name="Resim 1">
          <a:extLst>
            <a:ext uri="{FF2B5EF4-FFF2-40B4-BE49-F238E27FC236}">
              <a16:creationId xmlns:a16="http://schemas.microsoft.com/office/drawing/2014/main" id="{93507570-EF55-408B-AF2E-9EAE4A47050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1352</xdr:row>
      <xdr:rowOff>44823</xdr:rowOff>
    </xdr:from>
    <xdr:ext cx="1783314" cy="701175"/>
    <xdr:pic>
      <xdr:nvPicPr>
        <xdr:cNvPr id="3" name="Resim 2">
          <a:extLst>
            <a:ext uri="{FF2B5EF4-FFF2-40B4-BE49-F238E27FC236}">
              <a16:creationId xmlns:a16="http://schemas.microsoft.com/office/drawing/2014/main" id="{4F6BC624-51ED-424A-8A66-856A8B36566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1360</xdr:row>
      <xdr:rowOff>156884</xdr:rowOff>
    </xdr:from>
    <xdr:ext cx="1623392" cy="560294"/>
    <xdr:pic>
      <xdr:nvPicPr>
        <xdr:cNvPr id="4" name="Resim 3">
          <a:extLst>
            <a:ext uri="{FF2B5EF4-FFF2-40B4-BE49-F238E27FC236}">
              <a16:creationId xmlns:a16="http://schemas.microsoft.com/office/drawing/2014/main" id="{176A11D9-DCE4-4D83-8A3C-402EAFF1549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1360</xdr:row>
      <xdr:rowOff>44823</xdr:rowOff>
    </xdr:from>
    <xdr:ext cx="1783314" cy="701175"/>
    <xdr:pic>
      <xdr:nvPicPr>
        <xdr:cNvPr id="5" name="Resim 4">
          <a:extLst>
            <a:ext uri="{FF2B5EF4-FFF2-40B4-BE49-F238E27FC236}">
              <a16:creationId xmlns:a16="http://schemas.microsoft.com/office/drawing/2014/main" id="{6C8DFBB6-DD65-4576-8150-3978FC67BD9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1368</xdr:row>
      <xdr:rowOff>156884</xdr:rowOff>
    </xdr:from>
    <xdr:ext cx="1623392" cy="560294"/>
    <xdr:pic>
      <xdr:nvPicPr>
        <xdr:cNvPr id="6" name="Resim 5">
          <a:extLst>
            <a:ext uri="{FF2B5EF4-FFF2-40B4-BE49-F238E27FC236}">
              <a16:creationId xmlns:a16="http://schemas.microsoft.com/office/drawing/2014/main" id="{22B64B6E-9825-4A14-8BFA-92453111DD2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1368</xdr:row>
      <xdr:rowOff>44823</xdr:rowOff>
    </xdr:from>
    <xdr:ext cx="1783314" cy="701175"/>
    <xdr:pic>
      <xdr:nvPicPr>
        <xdr:cNvPr id="7" name="Resim 6">
          <a:extLst>
            <a:ext uri="{FF2B5EF4-FFF2-40B4-BE49-F238E27FC236}">
              <a16:creationId xmlns:a16="http://schemas.microsoft.com/office/drawing/2014/main" id="{C530ECA4-2E84-431F-BB25-251A451F69F2}"/>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1376</xdr:row>
      <xdr:rowOff>156884</xdr:rowOff>
    </xdr:from>
    <xdr:ext cx="1623392" cy="560294"/>
    <xdr:pic>
      <xdr:nvPicPr>
        <xdr:cNvPr id="8" name="Resim 7">
          <a:extLst>
            <a:ext uri="{FF2B5EF4-FFF2-40B4-BE49-F238E27FC236}">
              <a16:creationId xmlns:a16="http://schemas.microsoft.com/office/drawing/2014/main" id="{87608FC9-7DE1-4B48-91C6-D3555CC0CD6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1376</xdr:row>
      <xdr:rowOff>44823</xdr:rowOff>
    </xdr:from>
    <xdr:ext cx="1783314" cy="701175"/>
    <xdr:pic>
      <xdr:nvPicPr>
        <xdr:cNvPr id="9" name="Resim 8">
          <a:extLst>
            <a:ext uri="{FF2B5EF4-FFF2-40B4-BE49-F238E27FC236}">
              <a16:creationId xmlns:a16="http://schemas.microsoft.com/office/drawing/2014/main" id="{51EEEDF4-CE58-4D6F-BF7B-1B29CE4DFDE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1384</xdr:row>
      <xdr:rowOff>156884</xdr:rowOff>
    </xdr:from>
    <xdr:ext cx="1623392" cy="560294"/>
    <xdr:pic>
      <xdr:nvPicPr>
        <xdr:cNvPr id="10" name="Resim 9">
          <a:extLst>
            <a:ext uri="{FF2B5EF4-FFF2-40B4-BE49-F238E27FC236}">
              <a16:creationId xmlns:a16="http://schemas.microsoft.com/office/drawing/2014/main" id="{7FFBE9F6-9BDC-4DAB-BC61-36A390087193}"/>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1384</xdr:row>
      <xdr:rowOff>44823</xdr:rowOff>
    </xdr:from>
    <xdr:ext cx="1783314" cy="701175"/>
    <xdr:pic>
      <xdr:nvPicPr>
        <xdr:cNvPr id="11" name="Resim 10">
          <a:extLst>
            <a:ext uri="{FF2B5EF4-FFF2-40B4-BE49-F238E27FC236}">
              <a16:creationId xmlns:a16="http://schemas.microsoft.com/office/drawing/2014/main" id="{B835BEB6-F156-4256-AE71-DEE5158F8C1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1392</xdr:row>
      <xdr:rowOff>156884</xdr:rowOff>
    </xdr:from>
    <xdr:ext cx="1623392" cy="560294"/>
    <xdr:pic>
      <xdr:nvPicPr>
        <xdr:cNvPr id="12" name="Resim 11">
          <a:extLst>
            <a:ext uri="{FF2B5EF4-FFF2-40B4-BE49-F238E27FC236}">
              <a16:creationId xmlns:a16="http://schemas.microsoft.com/office/drawing/2014/main" id="{FB9EDCC5-C0AE-4062-A88C-C6A7A663FE4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1392</xdr:row>
      <xdr:rowOff>44823</xdr:rowOff>
    </xdr:from>
    <xdr:ext cx="1783314" cy="701175"/>
    <xdr:pic>
      <xdr:nvPicPr>
        <xdr:cNvPr id="13" name="Resim 12">
          <a:extLst>
            <a:ext uri="{FF2B5EF4-FFF2-40B4-BE49-F238E27FC236}">
              <a16:creationId xmlns:a16="http://schemas.microsoft.com/office/drawing/2014/main" id="{8EA1F17A-A835-47E7-9436-61BA5D813E0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1400</xdr:row>
      <xdr:rowOff>156884</xdr:rowOff>
    </xdr:from>
    <xdr:ext cx="1623392" cy="560294"/>
    <xdr:pic>
      <xdr:nvPicPr>
        <xdr:cNvPr id="14" name="Resim 13">
          <a:extLst>
            <a:ext uri="{FF2B5EF4-FFF2-40B4-BE49-F238E27FC236}">
              <a16:creationId xmlns:a16="http://schemas.microsoft.com/office/drawing/2014/main" id="{6D58DB32-959E-461F-B9DD-1EA35397FED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1400</xdr:row>
      <xdr:rowOff>44823</xdr:rowOff>
    </xdr:from>
    <xdr:ext cx="1783314" cy="701175"/>
    <xdr:pic>
      <xdr:nvPicPr>
        <xdr:cNvPr id="15" name="Resim 14">
          <a:extLst>
            <a:ext uri="{FF2B5EF4-FFF2-40B4-BE49-F238E27FC236}">
              <a16:creationId xmlns:a16="http://schemas.microsoft.com/office/drawing/2014/main" id="{C6F84A81-9061-4496-A0D2-0E816505E8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1408</xdr:row>
      <xdr:rowOff>156884</xdr:rowOff>
    </xdr:from>
    <xdr:ext cx="1623392" cy="560294"/>
    <xdr:pic>
      <xdr:nvPicPr>
        <xdr:cNvPr id="16" name="Resim 15">
          <a:extLst>
            <a:ext uri="{FF2B5EF4-FFF2-40B4-BE49-F238E27FC236}">
              <a16:creationId xmlns:a16="http://schemas.microsoft.com/office/drawing/2014/main" id="{7E642FF1-12FC-48CF-9367-46CE661791C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1408</xdr:row>
      <xdr:rowOff>44823</xdr:rowOff>
    </xdr:from>
    <xdr:ext cx="1783314" cy="701175"/>
    <xdr:pic>
      <xdr:nvPicPr>
        <xdr:cNvPr id="17" name="Resim 16">
          <a:extLst>
            <a:ext uri="{FF2B5EF4-FFF2-40B4-BE49-F238E27FC236}">
              <a16:creationId xmlns:a16="http://schemas.microsoft.com/office/drawing/2014/main" id="{3FD89A4B-CA70-4CB4-87FE-5962F8AD659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1416</xdr:row>
      <xdr:rowOff>156884</xdr:rowOff>
    </xdr:from>
    <xdr:ext cx="1623392" cy="560294"/>
    <xdr:pic>
      <xdr:nvPicPr>
        <xdr:cNvPr id="18" name="Resim 17">
          <a:extLst>
            <a:ext uri="{FF2B5EF4-FFF2-40B4-BE49-F238E27FC236}">
              <a16:creationId xmlns:a16="http://schemas.microsoft.com/office/drawing/2014/main" id="{3E60EFEB-F032-456D-99AD-D2CC9FE3DE9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1416</xdr:row>
      <xdr:rowOff>44823</xdr:rowOff>
    </xdr:from>
    <xdr:ext cx="1783314" cy="701175"/>
    <xdr:pic>
      <xdr:nvPicPr>
        <xdr:cNvPr id="19" name="Resim 18">
          <a:extLst>
            <a:ext uri="{FF2B5EF4-FFF2-40B4-BE49-F238E27FC236}">
              <a16:creationId xmlns:a16="http://schemas.microsoft.com/office/drawing/2014/main" id="{4DF06C50-8E4D-47F5-A290-B82686C37F8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1424</xdr:row>
      <xdr:rowOff>156884</xdr:rowOff>
    </xdr:from>
    <xdr:ext cx="1623392" cy="560294"/>
    <xdr:pic>
      <xdr:nvPicPr>
        <xdr:cNvPr id="20" name="Resim 19">
          <a:extLst>
            <a:ext uri="{FF2B5EF4-FFF2-40B4-BE49-F238E27FC236}">
              <a16:creationId xmlns:a16="http://schemas.microsoft.com/office/drawing/2014/main" id="{753774B0-3B10-4E55-B4AE-B31D12F2FAB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1424</xdr:row>
      <xdr:rowOff>44823</xdr:rowOff>
    </xdr:from>
    <xdr:ext cx="1783314" cy="701175"/>
    <xdr:pic>
      <xdr:nvPicPr>
        <xdr:cNvPr id="21" name="Resim 20">
          <a:extLst>
            <a:ext uri="{FF2B5EF4-FFF2-40B4-BE49-F238E27FC236}">
              <a16:creationId xmlns:a16="http://schemas.microsoft.com/office/drawing/2014/main" id="{850B5577-6A27-4B8E-88AA-B649BF4B6B8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1432</xdr:row>
      <xdr:rowOff>156884</xdr:rowOff>
    </xdr:from>
    <xdr:ext cx="1623392" cy="560294"/>
    <xdr:pic>
      <xdr:nvPicPr>
        <xdr:cNvPr id="22" name="Resim 21">
          <a:extLst>
            <a:ext uri="{FF2B5EF4-FFF2-40B4-BE49-F238E27FC236}">
              <a16:creationId xmlns:a16="http://schemas.microsoft.com/office/drawing/2014/main" id="{15CAFDB6-8313-45F2-98D5-CFC0A2AA6F4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1432</xdr:row>
      <xdr:rowOff>44823</xdr:rowOff>
    </xdr:from>
    <xdr:ext cx="1783314" cy="701175"/>
    <xdr:pic>
      <xdr:nvPicPr>
        <xdr:cNvPr id="23" name="Resim 22">
          <a:extLst>
            <a:ext uri="{FF2B5EF4-FFF2-40B4-BE49-F238E27FC236}">
              <a16:creationId xmlns:a16="http://schemas.microsoft.com/office/drawing/2014/main" id="{F130F647-C396-4160-96FF-5C7F7090E83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1440</xdr:row>
      <xdr:rowOff>156884</xdr:rowOff>
    </xdr:from>
    <xdr:ext cx="1623392" cy="560294"/>
    <xdr:pic>
      <xdr:nvPicPr>
        <xdr:cNvPr id="24" name="Resim 23">
          <a:extLst>
            <a:ext uri="{FF2B5EF4-FFF2-40B4-BE49-F238E27FC236}">
              <a16:creationId xmlns:a16="http://schemas.microsoft.com/office/drawing/2014/main" id="{E832C304-A15F-4113-84C7-88A153CFEB0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1440</xdr:row>
      <xdr:rowOff>44823</xdr:rowOff>
    </xdr:from>
    <xdr:ext cx="1783314" cy="701175"/>
    <xdr:pic>
      <xdr:nvPicPr>
        <xdr:cNvPr id="25" name="Resim 24">
          <a:extLst>
            <a:ext uri="{FF2B5EF4-FFF2-40B4-BE49-F238E27FC236}">
              <a16:creationId xmlns:a16="http://schemas.microsoft.com/office/drawing/2014/main" id="{C6E84B7E-C55F-467E-9722-40135D5D0ED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1448</xdr:row>
      <xdr:rowOff>156884</xdr:rowOff>
    </xdr:from>
    <xdr:ext cx="1623392" cy="560294"/>
    <xdr:pic>
      <xdr:nvPicPr>
        <xdr:cNvPr id="26" name="Resim 25">
          <a:extLst>
            <a:ext uri="{FF2B5EF4-FFF2-40B4-BE49-F238E27FC236}">
              <a16:creationId xmlns:a16="http://schemas.microsoft.com/office/drawing/2014/main" id="{B9E5D531-EB5F-4D0E-8A3F-8A2A0EEFDDC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1448</xdr:row>
      <xdr:rowOff>44823</xdr:rowOff>
    </xdr:from>
    <xdr:ext cx="1783314" cy="701175"/>
    <xdr:pic>
      <xdr:nvPicPr>
        <xdr:cNvPr id="27" name="Resim 26">
          <a:extLst>
            <a:ext uri="{FF2B5EF4-FFF2-40B4-BE49-F238E27FC236}">
              <a16:creationId xmlns:a16="http://schemas.microsoft.com/office/drawing/2014/main" id="{F419A8AB-39BB-4755-B136-CDB5EBA842B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1456</xdr:row>
      <xdr:rowOff>156884</xdr:rowOff>
    </xdr:from>
    <xdr:ext cx="1623392" cy="560294"/>
    <xdr:pic>
      <xdr:nvPicPr>
        <xdr:cNvPr id="32" name="Resim 31">
          <a:extLst>
            <a:ext uri="{FF2B5EF4-FFF2-40B4-BE49-F238E27FC236}">
              <a16:creationId xmlns:a16="http://schemas.microsoft.com/office/drawing/2014/main" id="{E42BD0D2-393C-4D87-AF23-1A74D5C060A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1456</xdr:row>
      <xdr:rowOff>44823</xdr:rowOff>
    </xdr:from>
    <xdr:ext cx="1783314" cy="701175"/>
    <xdr:pic>
      <xdr:nvPicPr>
        <xdr:cNvPr id="33" name="Resim 32">
          <a:extLst>
            <a:ext uri="{FF2B5EF4-FFF2-40B4-BE49-F238E27FC236}">
              <a16:creationId xmlns:a16="http://schemas.microsoft.com/office/drawing/2014/main" id="{1D83866D-D2DD-41FE-95D9-0418F61CC2F8}"/>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1464</xdr:row>
      <xdr:rowOff>156884</xdr:rowOff>
    </xdr:from>
    <xdr:ext cx="1623392" cy="560294"/>
    <xdr:pic>
      <xdr:nvPicPr>
        <xdr:cNvPr id="34" name="Resim 33">
          <a:extLst>
            <a:ext uri="{FF2B5EF4-FFF2-40B4-BE49-F238E27FC236}">
              <a16:creationId xmlns:a16="http://schemas.microsoft.com/office/drawing/2014/main" id="{242D9EEA-6A04-4B61-856F-0322091A7A36}"/>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1464</xdr:row>
      <xdr:rowOff>44823</xdr:rowOff>
    </xdr:from>
    <xdr:ext cx="1783314" cy="701175"/>
    <xdr:pic>
      <xdr:nvPicPr>
        <xdr:cNvPr id="35" name="Resim 34">
          <a:extLst>
            <a:ext uri="{FF2B5EF4-FFF2-40B4-BE49-F238E27FC236}">
              <a16:creationId xmlns:a16="http://schemas.microsoft.com/office/drawing/2014/main" id="{E2D16778-357A-406D-8B7E-2A3BB32D16E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1472</xdr:row>
      <xdr:rowOff>156884</xdr:rowOff>
    </xdr:from>
    <xdr:ext cx="1623392" cy="560294"/>
    <xdr:pic>
      <xdr:nvPicPr>
        <xdr:cNvPr id="36" name="Resim 35">
          <a:extLst>
            <a:ext uri="{FF2B5EF4-FFF2-40B4-BE49-F238E27FC236}">
              <a16:creationId xmlns:a16="http://schemas.microsoft.com/office/drawing/2014/main" id="{282A7FE5-7CF4-4D59-B0EB-7CC0243C92FE}"/>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1472</xdr:row>
      <xdr:rowOff>44823</xdr:rowOff>
    </xdr:from>
    <xdr:ext cx="1783314" cy="701175"/>
    <xdr:pic>
      <xdr:nvPicPr>
        <xdr:cNvPr id="37" name="Resim 36">
          <a:extLst>
            <a:ext uri="{FF2B5EF4-FFF2-40B4-BE49-F238E27FC236}">
              <a16:creationId xmlns:a16="http://schemas.microsoft.com/office/drawing/2014/main" id="{6E87F90F-BAEF-4BA6-848B-73ACD95F2A0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1480</xdr:row>
      <xdr:rowOff>156884</xdr:rowOff>
    </xdr:from>
    <xdr:ext cx="1623392" cy="560294"/>
    <xdr:pic>
      <xdr:nvPicPr>
        <xdr:cNvPr id="38" name="Resim 37">
          <a:extLst>
            <a:ext uri="{FF2B5EF4-FFF2-40B4-BE49-F238E27FC236}">
              <a16:creationId xmlns:a16="http://schemas.microsoft.com/office/drawing/2014/main" id="{E54185F9-CB50-4B12-AE51-61C4F6EFDA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1480</xdr:row>
      <xdr:rowOff>44823</xdr:rowOff>
    </xdr:from>
    <xdr:ext cx="1783314" cy="701175"/>
    <xdr:pic>
      <xdr:nvPicPr>
        <xdr:cNvPr id="39" name="Resim 38">
          <a:extLst>
            <a:ext uri="{FF2B5EF4-FFF2-40B4-BE49-F238E27FC236}">
              <a16:creationId xmlns:a16="http://schemas.microsoft.com/office/drawing/2014/main" id="{539EFCD8-E8FF-450A-9B30-B00FFBE18B95}"/>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1488</xdr:row>
      <xdr:rowOff>156884</xdr:rowOff>
    </xdr:from>
    <xdr:ext cx="1623392" cy="560294"/>
    <xdr:pic>
      <xdr:nvPicPr>
        <xdr:cNvPr id="40" name="Resim 39">
          <a:extLst>
            <a:ext uri="{FF2B5EF4-FFF2-40B4-BE49-F238E27FC236}">
              <a16:creationId xmlns:a16="http://schemas.microsoft.com/office/drawing/2014/main" id="{BA3AC785-2244-46FB-AE74-DACEC177E1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1488</xdr:row>
      <xdr:rowOff>44823</xdr:rowOff>
    </xdr:from>
    <xdr:ext cx="1783314" cy="701175"/>
    <xdr:pic>
      <xdr:nvPicPr>
        <xdr:cNvPr id="41" name="Resim 40">
          <a:extLst>
            <a:ext uri="{FF2B5EF4-FFF2-40B4-BE49-F238E27FC236}">
              <a16:creationId xmlns:a16="http://schemas.microsoft.com/office/drawing/2014/main" id="{0DA38BFA-2CA7-42BE-8AE1-893FC2058C7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1496</xdr:row>
      <xdr:rowOff>156884</xdr:rowOff>
    </xdr:from>
    <xdr:ext cx="1623392" cy="560294"/>
    <xdr:pic>
      <xdr:nvPicPr>
        <xdr:cNvPr id="42" name="Resim 41">
          <a:extLst>
            <a:ext uri="{FF2B5EF4-FFF2-40B4-BE49-F238E27FC236}">
              <a16:creationId xmlns:a16="http://schemas.microsoft.com/office/drawing/2014/main" id="{17EAB972-E6DD-4013-9466-3D199104166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1496</xdr:row>
      <xdr:rowOff>44823</xdr:rowOff>
    </xdr:from>
    <xdr:ext cx="1783314" cy="701175"/>
    <xdr:pic>
      <xdr:nvPicPr>
        <xdr:cNvPr id="43" name="Resim 42">
          <a:extLst>
            <a:ext uri="{FF2B5EF4-FFF2-40B4-BE49-F238E27FC236}">
              <a16:creationId xmlns:a16="http://schemas.microsoft.com/office/drawing/2014/main" id="{5CCD7094-D18D-41D1-BD20-D4B15974142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1504</xdr:row>
      <xdr:rowOff>156884</xdr:rowOff>
    </xdr:from>
    <xdr:ext cx="1623392" cy="560294"/>
    <xdr:pic>
      <xdr:nvPicPr>
        <xdr:cNvPr id="44" name="Resim 43">
          <a:extLst>
            <a:ext uri="{FF2B5EF4-FFF2-40B4-BE49-F238E27FC236}">
              <a16:creationId xmlns:a16="http://schemas.microsoft.com/office/drawing/2014/main" id="{C720965A-3B4F-4D0D-95D6-50C234A118D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1504</xdr:row>
      <xdr:rowOff>44823</xdr:rowOff>
    </xdr:from>
    <xdr:ext cx="1783314" cy="701175"/>
    <xdr:pic>
      <xdr:nvPicPr>
        <xdr:cNvPr id="45" name="Resim 44">
          <a:extLst>
            <a:ext uri="{FF2B5EF4-FFF2-40B4-BE49-F238E27FC236}">
              <a16:creationId xmlns:a16="http://schemas.microsoft.com/office/drawing/2014/main" id="{57CFB4A8-F13F-4F5C-9826-A7E652797B0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1512</xdr:row>
      <xdr:rowOff>156884</xdr:rowOff>
    </xdr:from>
    <xdr:ext cx="1623392" cy="560294"/>
    <xdr:pic>
      <xdr:nvPicPr>
        <xdr:cNvPr id="46" name="Resim 45">
          <a:extLst>
            <a:ext uri="{FF2B5EF4-FFF2-40B4-BE49-F238E27FC236}">
              <a16:creationId xmlns:a16="http://schemas.microsoft.com/office/drawing/2014/main" id="{524944F7-230B-4912-B622-29506683EEE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1512</xdr:row>
      <xdr:rowOff>44823</xdr:rowOff>
    </xdr:from>
    <xdr:ext cx="1783314" cy="701175"/>
    <xdr:pic>
      <xdr:nvPicPr>
        <xdr:cNvPr id="47" name="Resim 46">
          <a:extLst>
            <a:ext uri="{FF2B5EF4-FFF2-40B4-BE49-F238E27FC236}">
              <a16:creationId xmlns:a16="http://schemas.microsoft.com/office/drawing/2014/main" id="{F46A480E-9C5E-443D-9D27-30820F24AAC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1520</xdr:row>
      <xdr:rowOff>156884</xdr:rowOff>
    </xdr:from>
    <xdr:ext cx="1623392" cy="560294"/>
    <xdr:pic>
      <xdr:nvPicPr>
        <xdr:cNvPr id="48" name="Resim 47">
          <a:extLst>
            <a:ext uri="{FF2B5EF4-FFF2-40B4-BE49-F238E27FC236}">
              <a16:creationId xmlns:a16="http://schemas.microsoft.com/office/drawing/2014/main" id="{87DB83E9-5DFE-45C4-9223-2EC57DEB179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1520</xdr:row>
      <xdr:rowOff>44823</xdr:rowOff>
    </xdr:from>
    <xdr:ext cx="1783314" cy="701175"/>
    <xdr:pic>
      <xdr:nvPicPr>
        <xdr:cNvPr id="49" name="Resim 48">
          <a:extLst>
            <a:ext uri="{FF2B5EF4-FFF2-40B4-BE49-F238E27FC236}">
              <a16:creationId xmlns:a16="http://schemas.microsoft.com/office/drawing/2014/main" id="{D198EB18-EEDF-4D90-BB92-C5AC632884F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1528</xdr:row>
      <xdr:rowOff>156884</xdr:rowOff>
    </xdr:from>
    <xdr:ext cx="1623392" cy="560294"/>
    <xdr:pic>
      <xdr:nvPicPr>
        <xdr:cNvPr id="50" name="Resim 49">
          <a:extLst>
            <a:ext uri="{FF2B5EF4-FFF2-40B4-BE49-F238E27FC236}">
              <a16:creationId xmlns:a16="http://schemas.microsoft.com/office/drawing/2014/main" id="{3A17FDAF-C74A-4BBC-A3C0-F2239040DF1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1528</xdr:row>
      <xdr:rowOff>44823</xdr:rowOff>
    </xdr:from>
    <xdr:ext cx="1783314" cy="701175"/>
    <xdr:pic>
      <xdr:nvPicPr>
        <xdr:cNvPr id="51" name="Resim 50">
          <a:extLst>
            <a:ext uri="{FF2B5EF4-FFF2-40B4-BE49-F238E27FC236}">
              <a16:creationId xmlns:a16="http://schemas.microsoft.com/office/drawing/2014/main" id="{D671977B-02DB-453B-A61B-819CC6DC08F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1536</xdr:row>
      <xdr:rowOff>156884</xdr:rowOff>
    </xdr:from>
    <xdr:ext cx="1623392" cy="560294"/>
    <xdr:pic>
      <xdr:nvPicPr>
        <xdr:cNvPr id="52" name="Resim 51">
          <a:extLst>
            <a:ext uri="{FF2B5EF4-FFF2-40B4-BE49-F238E27FC236}">
              <a16:creationId xmlns:a16="http://schemas.microsoft.com/office/drawing/2014/main" id="{7178A11A-5617-434D-8466-674F8957F704}"/>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1536</xdr:row>
      <xdr:rowOff>44823</xdr:rowOff>
    </xdr:from>
    <xdr:ext cx="1783314" cy="701175"/>
    <xdr:pic>
      <xdr:nvPicPr>
        <xdr:cNvPr id="53" name="Resim 52">
          <a:extLst>
            <a:ext uri="{FF2B5EF4-FFF2-40B4-BE49-F238E27FC236}">
              <a16:creationId xmlns:a16="http://schemas.microsoft.com/office/drawing/2014/main" id="{3B32E894-B969-429E-A087-A9732E371C6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1544</xdr:row>
      <xdr:rowOff>156884</xdr:rowOff>
    </xdr:from>
    <xdr:ext cx="1623392" cy="560294"/>
    <xdr:pic>
      <xdr:nvPicPr>
        <xdr:cNvPr id="54" name="Resim 53">
          <a:extLst>
            <a:ext uri="{FF2B5EF4-FFF2-40B4-BE49-F238E27FC236}">
              <a16:creationId xmlns:a16="http://schemas.microsoft.com/office/drawing/2014/main" id="{FF109F66-B512-4389-9857-416EDF258E0A}"/>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1544</xdr:row>
      <xdr:rowOff>44823</xdr:rowOff>
    </xdr:from>
    <xdr:ext cx="1783314" cy="701175"/>
    <xdr:pic>
      <xdr:nvPicPr>
        <xdr:cNvPr id="55" name="Resim 54">
          <a:extLst>
            <a:ext uri="{FF2B5EF4-FFF2-40B4-BE49-F238E27FC236}">
              <a16:creationId xmlns:a16="http://schemas.microsoft.com/office/drawing/2014/main" id="{4324439F-12B2-42B5-AABB-EF0180A639C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1552</xdr:row>
      <xdr:rowOff>156884</xdr:rowOff>
    </xdr:from>
    <xdr:ext cx="1623392" cy="560294"/>
    <xdr:pic>
      <xdr:nvPicPr>
        <xdr:cNvPr id="56" name="Resim 55">
          <a:extLst>
            <a:ext uri="{FF2B5EF4-FFF2-40B4-BE49-F238E27FC236}">
              <a16:creationId xmlns:a16="http://schemas.microsoft.com/office/drawing/2014/main" id="{DD57ACC1-992E-47F9-9C0C-6717BC82B38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1552</xdr:row>
      <xdr:rowOff>44823</xdr:rowOff>
    </xdr:from>
    <xdr:ext cx="1783314" cy="701175"/>
    <xdr:pic>
      <xdr:nvPicPr>
        <xdr:cNvPr id="57" name="Resim 56">
          <a:extLst>
            <a:ext uri="{FF2B5EF4-FFF2-40B4-BE49-F238E27FC236}">
              <a16:creationId xmlns:a16="http://schemas.microsoft.com/office/drawing/2014/main" id="{9E6CD1F2-3E1A-4E75-A15B-CE8C10C1F46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1560</xdr:row>
      <xdr:rowOff>156884</xdr:rowOff>
    </xdr:from>
    <xdr:ext cx="1623392" cy="560294"/>
    <xdr:pic>
      <xdr:nvPicPr>
        <xdr:cNvPr id="58" name="Resim 57">
          <a:extLst>
            <a:ext uri="{FF2B5EF4-FFF2-40B4-BE49-F238E27FC236}">
              <a16:creationId xmlns:a16="http://schemas.microsoft.com/office/drawing/2014/main" id="{6B9CF8B8-5169-40B7-A1F3-B9DA7BB5E89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1560</xdr:row>
      <xdr:rowOff>44823</xdr:rowOff>
    </xdr:from>
    <xdr:ext cx="1783314" cy="701175"/>
    <xdr:pic>
      <xdr:nvPicPr>
        <xdr:cNvPr id="59" name="Resim 58">
          <a:extLst>
            <a:ext uri="{FF2B5EF4-FFF2-40B4-BE49-F238E27FC236}">
              <a16:creationId xmlns:a16="http://schemas.microsoft.com/office/drawing/2014/main" id="{F3AD3F74-D6DA-4D87-BCA4-CAF44C58E23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1568</xdr:row>
      <xdr:rowOff>156884</xdr:rowOff>
    </xdr:from>
    <xdr:ext cx="1623392" cy="560294"/>
    <xdr:pic>
      <xdr:nvPicPr>
        <xdr:cNvPr id="60" name="Resim 59">
          <a:extLst>
            <a:ext uri="{FF2B5EF4-FFF2-40B4-BE49-F238E27FC236}">
              <a16:creationId xmlns:a16="http://schemas.microsoft.com/office/drawing/2014/main" id="{284EF42E-359E-46D0-A043-71797E50A85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1568</xdr:row>
      <xdr:rowOff>44823</xdr:rowOff>
    </xdr:from>
    <xdr:ext cx="1783314" cy="701175"/>
    <xdr:pic>
      <xdr:nvPicPr>
        <xdr:cNvPr id="61" name="Resim 60">
          <a:extLst>
            <a:ext uri="{FF2B5EF4-FFF2-40B4-BE49-F238E27FC236}">
              <a16:creationId xmlns:a16="http://schemas.microsoft.com/office/drawing/2014/main" id="{1F7A93E5-5AFD-4727-8AB7-EF9527E86A5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1576</xdr:row>
      <xdr:rowOff>156884</xdr:rowOff>
    </xdr:from>
    <xdr:ext cx="1623392" cy="560294"/>
    <xdr:pic>
      <xdr:nvPicPr>
        <xdr:cNvPr id="62" name="Resim 61">
          <a:extLst>
            <a:ext uri="{FF2B5EF4-FFF2-40B4-BE49-F238E27FC236}">
              <a16:creationId xmlns:a16="http://schemas.microsoft.com/office/drawing/2014/main" id="{B2C6359C-BBB3-4F79-87CD-BA715EE54FE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1576</xdr:row>
      <xdr:rowOff>44823</xdr:rowOff>
    </xdr:from>
    <xdr:ext cx="1783314" cy="701175"/>
    <xdr:pic>
      <xdr:nvPicPr>
        <xdr:cNvPr id="63" name="Resim 62">
          <a:extLst>
            <a:ext uri="{FF2B5EF4-FFF2-40B4-BE49-F238E27FC236}">
              <a16:creationId xmlns:a16="http://schemas.microsoft.com/office/drawing/2014/main" id="{6A8DB426-D5C0-4D2B-81AC-E1B104EA507B}"/>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1584</xdr:row>
      <xdr:rowOff>156884</xdr:rowOff>
    </xdr:from>
    <xdr:ext cx="1623392" cy="560294"/>
    <xdr:pic>
      <xdr:nvPicPr>
        <xdr:cNvPr id="320" name="Resim 319">
          <a:extLst>
            <a:ext uri="{FF2B5EF4-FFF2-40B4-BE49-F238E27FC236}">
              <a16:creationId xmlns:a16="http://schemas.microsoft.com/office/drawing/2014/main" id="{2D0405E2-8215-4E47-934A-9E274B67AAD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1584</xdr:row>
      <xdr:rowOff>44823</xdr:rowOff>
    </xdr:from>
    <xdr:ext cx="1783314" cy="701175"/>
    <xdr:pic>
      <xdr:nvPicPr>
        <xdr:cNvPr id="321" name="Resim 320">
          <a:extLst>
            <a:ext uri="{FF2B5EF4-FFF2-40B4-BE49-F238E27FC236}">
              <a16:creationId xmlns:a16="http://schemas.microsoft.com/office/drawing/2014/main" id="{95D4FC6B-2316-4102-8A23-171A9D1714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1592</xdr:row>
      <xdr:rowOff>156884</xdr:rowOff>
    </xdr:from>
    <xdr:ext cx="1623392" cy="560294"/>
    <xdr:pic>
      <xdr:nvPicPr>
        <xdr:cNvPr id="322" name="Resim 321">
          <a:extLst>
            <a:ext uri="{FF2B5EF4-FFF2-40B4-BE49-F238E27FC236}">
              <a16:creationId xmlns:a16="http://schemas.microsoft.com/office/drawing/2014/main" id="{49C6B362-E796-434B-BAFF-6CCDC695123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1592</xdr:row>
      <xdr:rowOff>44823</xdr:rowOff>
    </xdr:from>
    <xdr:ext cx="1783314" cy="701175"/>
    <xdr:pic>
      <xdr:nvPicPr>
        <xdr:cNvPr id="323" name="Resim 322">
          <a:extLst>
            <a:ext uri="{FF2B5EF4-FFF2-40B4-BE49-F238E27FC236}">
              <a16:creationId xmlns:a16="http://schemas.microsoft.com/office/drawing/2014/main" id="{110480F9-E194-41BA-9DCE-703E9F52B81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 name="Resim 1">
          <a:extLst>
            <a:ext uri="{FF2B5EF4-FFF2-40B4-BE49-F238E27FC236}">
              <a16:creationId xmlns:a16="http://schemas.microsoft.com/office/drawing/2014/main" id="{36BFF876-27EA-4CF3-8615-EA0152EA34B8}"/>
            </a:ext>
          </a:extLst>
        </xdr:cNvPr>
        <xdr:cNvPicPr>
          <a:picLocks noChangeAspect="1"/>
        </xdr:cNvPicPr>
      </xdr:nvPicPr>
      <xdr:blipFill>
        <a:blip xmlns:r="http://schemas.openxmlformats.org/officeDocument/2006/relationships" r:embed="rId1"/>
        <a:stretch>
          <a:fillRect/>
        </a:stretch>
      </xdr:blipFill>
      <xdr:spPr>
        <a:xfrm>
          <a:off x="186764" y="3833534"/>
          <a:ext cx="1623392" cy="560294"/>
        </a:xfrm>
        <a:prstGeom prst="rect">
          <a:avLst/>
        </a:prstGeom>
      </xdr:spPr>
    </xdr:pic>
    <xdr:clientData/>
  </xdr:oneCellAnchor>
  <xdr:oneCellAnchor>
    <xdr:from>
      <xdr:col>1</xdr:col>
      <xdr:colOff>74705</xdr:colOff>
      <xdr:row>0</xdr:row>
      <xdr:rowOff>194236</xdr:rowOff>
    </xdr:from>
    <xdr:ext cx="1665941" cy="560294"/>
    <xdr:pic>
      <xdr:nvPicPr>
        <xdr:cNvPr id="3" name="Resim 2">
          <a:extLst>
            <a:ext uri="{FF2B5EF4-FFF2-40B4-BE49-F238E27FC236}">
              <a16:creationId xmlns:a16="http://schemas.microsoft.com/office/drawing/2014/main" id="{3D96562B-6B02-46B7-91DB-5A1FD0B29F05}"/>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4" name="Resim 3">
          <a:extLst>
            <a:ext uri="{FF2B5EF4-FFF2-40B4-BE49-F238E27FC236}">
              <a16:creationId xmlns:a16="http://schemas.microsoft.com/office/drawing/2014/main" id="{32412FDF-CC35-4AF2-8E25-620ABC3BF829}"/>
            </a:ext>
          </a:extLst>
        </xdr:cNvPr>
        <xdr:cNvPicPr>
          <a:picLocks noChangeAspect="1"/>
        </xdr:cNvPicPr>
      </xdr:nvPicPr>
      <xdr:blipFill>
        <a:blip xmlns:r="http://schemas.openxmlformats.org/officeDocument/2006/relationships" r:embed="rId2"/>
        <a:stretch>
          <a:fillRect/>
        </a:stretch>
      </xdr:blipFill>
      <xdr:spPr>
        <a:xfrm>
          <a:off x="3136900" y="3721473"/>
          <a:ext cx="1783314" cy="701175"/>
        </a:xfrm>
        <a:prstGeom prst="rect">
          <a:avLst/>
        </a:prstGeom>
      </xdr:spPr>
    </xdr:pic>
    <xdr:clientData/>
  </xdr:oneCellAnchor>
  <xdr:oneCellAnchor>
    <xdr:from>
      <xdr:col>4</xdr:col>
      <xdr:colOff>784411</xdr:colOff>
      <xdr:row>0</xdr:row>
      <xdr:rowOff>56029</xdr:rowOff>
    </xdr:from>
    <xdr:ext cx="1783314" cy="701175"/>
    <xdr:pic>
      <xdr:nvPicPr>
        <xdr:cNvPr id="5" name="Resim 4">
          <a:extLst>
            <a:ext uri="{FF2B5EF4-FFF2-40B4-BE49-F238E27FC236}">
              <a16:creationId xmlns:a16="http://schemas.microsoft.com/office/drawing/2014/main" id="{596045E6-F804-40F9-8E36-8AC6DDF5BBCC}"/>
            </a:ext>
          </a:extLst>
        </xdr:cNvPr>
        <xdr:cNvPicPr>
          <a:picLocks noChangeAspect="1"/>
        </xdr:cNvPicPr>
      </xdr:nvPicPr>
      <xdr:blipFill>
        <a:blip xmlns:r="http://schemas.openxmlformats.org/officeDocument/2006/relationships" r:embed="rId2"/>
        <a:stretch>
          <a:fillRect/>
        </a:stretch>
      </xdr:blipFill>
      <xdr:spPr>
        <a:xfrm>
          <a:off x="3159311" y="5602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6" name="Resim 5">
          <a:extLst>
            <a:ext uri="{FF2B5EF4-FFF2-40B4-BE49-F238E27FC236}">
              <a16:creationId xmlns:a16="http://schemas.microsoft.com/office/drawing/2014/main" id="{EC16B925-C18D-41A2-8D19-7119D65FB94E}"/>
            </a:ext>
          </a:extLst>
        </xdr:cNvPr>
        <xdr:cNvPicPr>
          <a:picLocks noChangeAspect="1"/>
        </xdr:cNvPicPr>
      </xdr:nvPicPr>
      <xdr:blipFill>
        <a:blip xmlns:r="http://schemas.openxmlformats.org/officeDocument/2006/relationships" r:embed="rId1"/>
        <a:stretch>
          <a:fillRect/>
        </a:stretch>
      </xdr:blipFill>
      <xdr:spPr>
        <a:xfrm>
          <a:off x="186764" y="7510184"/>
          <a:ext cx="1623392" cy="560294"/>
        </a:xfrm>
        <a:prstGeom prst="rect">
          <a:avLst/>
        </a:prstGeom>
      </xdr:spPr>
    </xdr:pic>
    <xdr:clientData/>
  </xdr:oneCellAnchor>
  <xdr:oneCellAnchor>
    <xdr:from>
      <xdr:col>4</xdr:col>
      <xdr:colOff>762000</xdr:colOff>
      <xdr:row>16</xdr:row>
      <xdr:rowOff>44823</xdr:rowOff>
    </xdr:from>
    <xdr:ext cx="1783314" cy="701175"/>
    <xdr:pic>
      <xdr:nvPicPr>
        <xdr:cNvPr id="7" name="Resim 6">
          <a:extLst>
            <a:ext uri="{FF2B5EF4-FFF2-40B4-BE49-F238E27FC236}">
              <a16:creationId xmlns:a16="http://schemas.microsoft.com/office/drawing/2014/main" id="{43B84433-43D9-4B55-B715-E7D7AF75007B}"/>
            </a:ext>
          </a:extLst>
        </xdr:cNvPr>
        <xdr:cNvPicPr>
          <a:picLocks noChangeAspect="1"/>
        </xdr:cNvPicPr>
      </xdr:nvPicPr>
      <xdr:blipFill>
        <a:blip xmlns:r="http://schemas.openxmlformats.org/officeDocument/2006/relationships" r:embed="rId2"/>
        <a:stretch>
          <a:fillRect/>
        </a:stretch>
      </xdr:blipFill>
      <xdr:spPr>
        <a:xfrm>
          <a:off x="3136900" y="7398123"/>
          <a:ext cx="1783314" cy="701175"/>
        </a:xfrm>
        <a:prstGeom prst="rect">
          <a:avLst/>
        </a:prstGeom>
      </xdr:spPr>
    </xdr:pic>
    <xdr:clientData/>
  </xdr:oneCellAnchor>
  <xdr:oneCellAnchor>
    <xdr:from>
      <xdr:col>1</xdr:col>
      <xdr:colOff>59764</xdr:colOff>
      <xdr:row>24</xdr:row>
      <xdr:rowOff>156884</xdr:rowOff>
    </xdr:from>
    <xdr:ext cx="1623392" cy="560294"/>
    <xdr:pic>
      <xdr:nvPicPr>
        <xdr:cNvPr id="8" name="Resim 7">
          <a:extLst>
            <a:ext uri="{FF2B5EF4-FFF2-40B4-BE49-F238E27FC236}">
              <a16:creationId xmlns:a16="http://schemas.microsoft.com/office/drawing/2014/main" id="{3FE67449-ADE6-4254-9620-4E68DAD37021}"/>
            </a:ext>
          </a:extLst>
        </xdr:cNvPr>
        <xdr:cNvPicPr>
          <a:picLocks noChangeAspect="1"/>
        </xdr:cNvPicPr>
      </xdr:nvPicPr>
      <xdr:blipFill>
        <a:blip xmlns:r="http://schemas.openxmlformats.org/officeDocument/2006/relationships" r:embed="rId1"/>
        <a:stretch>
          <a:fillRect/>
        </a:stretch>
      </xdr:blipFill>
      <xdr:spPr>
        <a:xfrm>
          <a:off x="186764" y="11186834"/>
          <a:ext cx="1623392" cy="560294"/>
        </a:xfrm>
        <a:prstGeom prst="rect">
          <a:avLst/>
        </a:prstGeom>
      </xdr:spPr>
    </xdr:pic>
    <xdr:clientData/>
  </xdr:oneCellAnchor>
  <xdr:oneCellAnchor>
    <xdr:from>
      <xdr:col>4</xdr:col>
      <xdr:colOff>762000</xdr:colOff>
      <xdr:row>24</xdr:row>
      <xdr:rowOff>44823</xdr:rowOff>
    </xdr:from>
    <xdr:ext cx="1783314" cy="701175"/>
    <xdr:pic>
      <xdr:nvPicPr>
        <xdr:cNvPr id="9" name="Resim 8">
          <a:extLst>
            <a:ext uri="{FF2B5EF4-FFF2-40B4-BE49-F238E27FC236}">
              <a16:creationId xmlns:a16="http://schemas.microsoft.com/office/drawing/2014/main" id="{BE47E2C2-418D-4603-BD02-EF23700C0356}"/>
            </a:ext>
          </a:extLst>
        </xdr:cNvPr>
        <xdr:cNvPicPr>
          <a:picLocks noChangeAspect="1"/>
        </xdr:cNvPicPr>
      </xdr:nvPicPr>
      <xdr:blipFill>
        <a:blip xmlns:r="http://schemas.openxmlformats.org/officeDocument/2006/relationships" r:embed="rId2"/>
        <a:stretch>
          <a:fillRect/>
        </a:stretch>
      </xdr:blipFill>
      <xdr:spPr>
        <a:xfrm>
          <a:off x="3136900" y="11074773"/>
          <a:ext cx="1783314" cy="701175"/>
        </a:xfrm>
        <a:prstGeom prst="rect">
          <a:avLst/>
        </a:prstGeom>
      </xdr:spPr>
    </xdr:pic>
    <xdr:clientData/>
  </xdr:oneCellAnchor>
  <xdr:oneCellAnchor>
    <xdr:from>
      <xdr:col>1</xdr:col>
      <xdr:colOff>59764</xdr:colOff>
      <xdr:row>32</xdr:row>
      <xdr:rowOff>156884</xdr:rowOff>
    </xdr:from>
    <xdr:ext cx="1623392" cy="560294"/>
    <xdr:pic>
      <xdr:nvPicPr>
        <xdr:cNvPr id="10" name="Resim 9">
          <a:extLst>
            <a:ext uri="{FF2B5EF4-FFF2-40B4-BE49-F238E27FC236}">
              <a16:creationId xmlns:a16="http://schemas.microsoft.com/office/drawing/2014/main" id="{8CB816D3-C01C-487A-B3C2-E2C22CDD430D}"/>
            </a:ext>
          </a:extLst>
        </xdr:cNvPr>
        <xdr:cNvPicPr>
          <a:picLocks noChangeAspect="1"/>
        </xdr:cNvPicPr>
      </xdr:nvPicPr>
      <xdr:blipFill>
        <a:blip xmlns:r="http://schemas.openxmlformats.org/officeDocument/2006/relationships" r:embed="rId1"/>
        <a:stretch>
          <a:fillRect/>
        </a:stretch>
      </xdr:blipFill>
      <xdr:spPr>
        <a:xfrm>
          <a:off x="186764" y="14863484"/>
          <a:ext cx="1623392" cy="560294"/>
        </a:xfrm>
        <a:prstGeom prst="rect">
          <a:avLst/>
        </a:prstGeom>
      </xdr:spPr>
    </xdr:pic>
    <xdr:clientData/>
  </xdr:oneCellAnchor>
  <xdr:oneCellAnchor>
    <xdr:from>
      <xdr:col>4</xdr:col>
      <xdr:colOff>762000</xdr:colOff>
      <xdr:row>32</xdr:row>
      <xdr:rowOff>44823</xdr:rowOff>
    </xdr:from>
    <xdr:ext cx="1783314" cy="701175"/>
    <xdr:pic>
      <xdr:nvPicPr>
        <xdr:cNvPr id="11" name="Resim 10">
          <a:extLst>
            <a:ext uri="{FF2B5EF4-FFF2-40B4-BE49-F238E27FC236}">
              <a16:creationId xmlns:a16="http://schemas.microsoft.com/office/drawing/2014/main" id="{CE356ABC-F62B-4F60-B893-424DC8746743}"/>
            </a:ext>
          </a:extLst>
        </xdr:cNvPr>
        <xdr:cNvPicPr>
          <a:picLocks noChangeAspect="1"/>
        </xdr:cNvPicPr>
      </xdr:nvPicPr>
      <xdr:blipFill>
        <a:blip xmlns:r="http://schemas.openxmlformats.org/officeDocument/2006/relationships" r:embed="rId2"/>
        <a:stretch>
          <a:fillRect/>
        </a:stretch>
      </xdr:blipFill>
      <xdr:spPr>
        <a:xfrm>
          <a:off x="3136900" y="14751423"/>
          <a:ext cx="1783314" cy="701175"/>
        </a:xfrm>
        <a:prstGeom prst="rect">
          <a:avLst/>
        </a:prstGeom>
      </xdr:spPr>
    </xdr:pic>
    <xdr:clientData/>
  </xdr:oneCellAnchor>
  <xdr:oneCellAnchor>
    <xdr:from>
      <xdr:col>1</xdr:col>
      <xdr:colOff>59764</xdr:colOff>
      <xdr:row>40</xdr:row>
      <xdr:rowOff>156884</xdr:rowOff>
    </xdr:from>
    <xdr:ext cx="1623392" cy="560294"/>
    <xdr:pic>
      <xdr:nvPicPr>
        <xdr:cNvPr id="12" name="Resim 11">
          <a:extLst>
            <a:ext uri="{FF2B5EF4-FFF2-40B4-BE49-F238E27FC236}">
              <a16:creationId xmlns:a16="http://schemas.microsoft.com/office/drawing/2014/main" id="{FCA2825D-2318-4F05-971E-E501698D1026}"/>
            </a:ext>
          </a:extLst>
        </xdr:cNvPr>
        <xdr:cNvPicPr>
          <a:picLocks noChangeAspect="1"/>
        </xdr:cNvPicPr>
      </xdr:nvPicPr>
      <xdr:blipFill>
        <a:blip xmlns:r="http://schemas.openxmlformats.org/officeDocument/2006/relationships" r:embed="rId1"/>
        <a:stretch>
          <a:fillRect/>
        </a:stretch>
      </xdr:blipFill>
      <xdr:spPr>
        <a:xfrm>
          <a:off x="186764" y="18540134"/>
          <a:ext cx="1623392" cy="560294"/>
        </a:xfrm>
        <a:prstGeom prst="rect">
          <a:avLst/>
        </a:prstGeom>
      </xdr:spPr>
    </xdr:pic>
    <xdr:clientData/>
  </xdr:oneCellAnchor>
  <xdr:oneCellAnchor>
    <xdr:from>
      <xdr:col>4</xdr:col>
      <xdr:colOff>762000</xdr:colOff>
      <xdr:row>40</xdr:row>
      <xdr:rowOff>44823</xdr:rowOff>
    </xdr:from>
    <xdr:ext cx="1783314" cy="701175"/>
    <xdr:pic>
      <xdr:nvPicPr>
        <xdr:cNvPr id="13" name="Resim 12">
          <a:extLst>
            <a:ext uri="{FF2B5EF4-FFF2-40B4-BE49-F238E27FC236}">
              <a16:creationId xmlns:a16="http://schemas.microsoft.com/office/drawing/2014/main" id="{5826EEC7-6AA1-4E3D-BCA0-672964AFB0FF}"/>
            </a:ext>
          </a:extLst>
        </xdr:cNvPr>
        <xdr:cNvPicPr>
          <a:picLocks noChangeAspect="1"/>
        </xdr:cNvPicPr>
      </xdr:nvPicPr>
      <xdr:blipFill>
        <a:blip xmlns:r="http://schemas.openxmlformats.org/officeDocument/2006/relationships" r:embed="rId2"/>
        <a:stretch>
          <a:fillRect/>
        </a:stretch>
      </xdr:blipFill>
      <xdr:spPr>
        <a:xfrm>
          <a:off x="3136900" y="18428073"/>
          <a:ext cx="1783314" cy="701175"/>
        </a:xfrm>
        <a:prstGeom prst="rect">
          <a:avLst/>
        </a:prstGeom>
      </xdr:spPr>
    </xdr:pic>
    <xdr:clientData/>
  </xdr:oneCellAnchor>
  <xdr:oneCellAnchor>
    <xdr:from>
      <xdr:col>1</xdr:col>
      <xdr:colOff>59764</xdr:colOff>
      <xdr:row>48</xdr:row>
      <xdr:rowOff>156884</xdr:rowOff>
    </xdr:from>
    <xdr:ext cx="1623392" cy="560294"/>
    <xdr:pic>
      <xdr:nvPicPr>
        <xdr:cNvPr id="14" name="Resim 13">
          <a:extLst>
            <a:ext uri="{FF2B5EF4-FFF2-40B4-BE49-F238E27FC236}">
              <a16:creationId xmlns:a16="http://schemas.microsoft.com/office/drawing/2014/main" id="{CA2E6A55-1A47-4811-8D0E-3CD931DD96D7}"/>
            </a:ext>
          </a:extLst>
        </xdr:cNvPr>
        <xdr:cNvPicPr>
          <a:picLocks noChangeAspect="1"/>
        </xdr:cNvPicPr>
      </xdr:nvPicPr>
      <xdr:blipFill>
        <a:blip xmlns:r="http://schemas.openxmlformats.org/officeDocument/2006/relationships" r:embed="rId1"/>
        <a:stretch>
          <a:fillRect/>
        </a:stretch>
      </xdr:blipFill>
      <xdr:spPr>
        <a:xfrm>
          <a:off x="186764" y="22216784"/>
          <a:ext cx="1623392" cy="560294"/>
        </a:xfrm>
        <a:prstGeom prst="rect">
          <a:avLst/>
        </a:prstGeom>
      </xdr:spPr>
    </xdr:pic>
    <xdr:clientData/>
  </xdr:oneCellAnchor>
  <xdr:oneCellAnchor>
    <xdr:from>
      <xdr:col>4</xdr:col>
      <xdr:colOff>762000</xdr:colOff>
      <xdr:row>48</xdr:row>
      <xdr:rowOff>44823</xdr:rowOff>
    </xdr:from>
    <xdr:ext cx="1783314" cy="701175"/>
    <xdr:pic>
      <xdr:nvPicPr>
        <xdr:cNvPr id="15" name="Resim 14">
          <a:extLst>
            <a:ext uri="{FF2B5EF4-FFF2-40B4-BE49-F238E27FC236}">
              <a16:creationId xmlns:a16="http://schemas.microsoft.com/office/drawing/2014/main" id="{70E8F877-D945-49A0-AEC4-5464BD9AD250}"/>
            </a:ext>
          </a:extLst>
        </xdr:cNvPr>
        <xdr:cNvPicPr>
          <a:picLocks noChangeAspect="1"/>
        </xdr:cNvPicPr>
      </xdr:nvPicPr>
      <xdr:blipFill>
        <a:blip xmlns:r="http://schemas.openxmlformats.org/officeDocument/2006/relationships" r:embed="rId2"/>
        <a:stretch>
          <a:fillRect/>
        </a:stretch>
      </xdr:blipFill>
      <xdr:spPr>
        <a:xfrm>
          <a:off x="3136900" y="22104723"/>
          <a:ext cx="1783314" cy="701175"/>
        </a:xfrm>
        <a:prstGeom prst="rect">
          <a:avLst/>
        </a:prstGeom>
      </xdr:spPr>
    </xdr:pic>
    <xdr:clientData/>
  </xdr:oneCellAnchor>
  <xdr:oneCellAnchor>
    <xdr:from>
      <xdr:col>1</xdr:col>
      <xdr:colOff>59764</xdr:colOff>
      <xdr:row>56</xdr:row>
      <xdr:rowOff>156884</xdr:rowOff>
    </xdr:from>
    <xdr:ext cx="1623392" cy="560294"/>
    <xdr:pic>
      <xdr:nvPicPr>
        <xdr:cNvPr id="16" name="Resim 15">
          <a:extLst>
            <a:ext uri="{FF2B5EF4-FFF2-40B4-BE49-F238E27FC236}">
              <a16:creationId xmlns:a16="http://schemas.microsoft.com/office/drawing/2014/main" id="{986C2575-2376-4A6C-8F2E-DDA3CA4CF0E5}"/>
            </a:ext>
          </a:extLst>
        </xdr:cNvPr>
        <xdr:cNvPicPr>
          <a:picLocks noChangeAspect="1"/>
        </xdr:cNvPicPr>
      </xdr:nvPicPr>
      <xdr:blipFill>
        <a:blip xmlns:r="http://schemas.openxmlformats.org/officeDocument/2006/relationships" r:embed="rId1"/>
        <a:stretch>
          <a:fillRect/>
        </a:stretch>
      </xdr:blipFill>
      <xdr:spPr>
        <a:xfrm>
          <a:off x="186764" y="25893434"/>
          <a:ext cx="1623392" cy="560294"/>
        </a:xfrm>
        <a:prstGeom prst="rect">
          <a:avLst/>
        </a:prstGeom>
      </xdr:spPr>
    </xdr:pic>
    <xdr:clientData/>
  </xdr:oneCellAnchor>
  <xdr:oneCellAnchor>
    <xdr:from>
      <xdr:col>4</xdr:col>
      <xdr:colOff>762000</xdr:colOff>
      <xdr:row>56</xdr:row>
      <xdr:rowOff>44823</xdr:rowOff>
    </xdr:from>
    <xdr:ext cx="1783314" cy="701175"/>
    <xdr:pic>
      <xdr:nvPicPr>
        <xdr:cNvPr id="17" name="Resim 16">
          <a:extLst>
            <a:ext uri="{FF2B5EF4-FFF2-40B4-BE49-F238E27FC236}">
              <a16:creationId xmlns:a16="http://schemas.microsoft.com/office/drawing/2014/main" id="{DF0F47FB-BE33-4FC2-AD96-D579D28C038F}"/>
            </a:ext>
          </a:extLst>
        </xdr:cNvPr>
        <xdr:cNvPicPr>
          <a:picLocks noChangeAspect="1"/>
        </xdr:cNvPicPr>
      </xdr:nvPicPr>
      <xdr:blipFill>
        <a:blip xmlns:r="http://schemas.openxmlformats.org/officeDocument/2006/relationships" r:embed="rId2"/>
        <a:stretch>
          <a:fillRect/>
        </a:stretch>
      </xdr:blipFill>
      <xdr:spPr>
        <a:xfrm>
          <a:off x="3136900" y="25781373"/>
          <a:ext cx="1783314" cy="701175"/>
        </a:xfrm>
        <a:prstGeom prst="rect">
          <a:avLst/>
        </a:prstGeom>
      </xdr:spPr>
    </xdr:pic>
    <xdr:clientData/>
  </xdr:oneCellAnchor>
  <xdr:oneCellAnchor>
    <xdr:from>
      <xdr:col>1</xdr:col>
      <xdr:colOff>59764</xdr:colOff>
      <xdr:row>64</xdr:row>
      <xdr:rowOff>156884</xdr:rowOff>
    </xdr:from>
    <xdr:ext cx="1623392" cy="560294"/>
    <xdr:pic>
      <xdr:nvPicPr>
        <xdr:cNvPr id="18" name="Resim 17">
          <a:extLst>
            <a:ext uri="{FF2B5EF4-FFF2-40B4-BE49-F238E27FC236}">
              <a16:creationId xmlns:a16="http://schemas.microsoft.com/office/drawing/2014/main" id="{B4A35C9F-5B49-4308-B21F-2B6A3B7B9961}"/>
            </a:ext>
          </a:extLst>
        </xdr:cNvPr>
        <xdr:cNvPicPr>
          <a:picLocks noChangeAspect="1"/>
        </xdr:cNvPicPr>
      </xdr:nvPicPr>
      <xdr:blipFill>
        <a:blip xmlns:r="http://schemas.openxmlformats.org/officeDocument/2006/relationships" r:embed="rId1"/>
        <a:stretch>
          <a:fillRect/>
        </a:stretch>
      </xdr:blipFill>
      <xdr:spPr>
        <a:xfrm>
          <a:off x="186764" y="29570084"/>
          <a:ext cx="1623392" cy="560294"/>
        </a:xfrm>
        <a:prstGeom prst="rect">
          <a:avLst/>
        </a:prstGeom>
      </xdr:spPr>
    </xdr:pic>
    <xdr:clientData/>
  </xdr:oneCellAnchor>
  <xdr:oneCellAnchor>
    <xdr:from>
      <xdr:col>4</xdr:col>
      <xdr:colOff>762000</xdr:colOff>
      <xdr:row>64</xdr:row>
      <xdr:rowOff>44823</xdr:rowOff>
    </xdr:from>
    <xdr:ext cx="1783314" cy="701175"/>
    <xdr:pic>
      <xdr:nvPicPr>
        <xdr:cNvPr id="19" name="Resim 18">
          <a:extLst>
            <a:ext uri="{FF2B5EF4-FFF2-40B4-BE49-F238E27FC236}">
              <a16:creationId xmlns:a16="http://schemas.microsoft.com/office/drawing/2014/main" id="{4D118C9E-543A-42A1-ACE2-16F5A9D2B5C0}"/>
            </a:ext>
          </a:extLst>
        </xdr:cNvPr>
        <xdr:cNvPicPr>
          <a:picLocks noChangeAspect="1"/>
        </xdr:cNvPicPr>
      </xdr:nvPicPr>
      <xdr:blipFill>
        <a:blip xmlns:r="http://schemas.openxmlformats.org/officeDocument/2006/relationships" r:embed="rId2"/>
        <a:stretch>
          <a:fillRect/>
        </a:stretch>
      </xdr:blipFill>
      <xdr:spPr>
        <a:xfrm>
          <a:off x="3136900" y="29458023"/>
          <a:ext cx="1783314" cy="701175"/>
        </a:xfrm>
        <a:prstGeom prst="rect">
          <a:avLst/>
        </a:prstGeom>
      </xdr:spPr>
    </xdr:pic>
    <xdr:clientData/>
  </xdr:oneCellAnchor>
  <xdr:oneCellAnchor>
    <xdr:from>
      <xdr:col>1</xdr:col>
      <xdr:colOff>59764</xdr:colOff>
      <xdr:row>72</xdr:row>
      <xdr:rowOff>156884</xdr:rowOff>
    </xdr:from>
    <xdr:ext cx="1623392" cy="560294"/>
    <xdr:pic>
      <xdr:nvPicPr>
        <xdr:cNvPr id="20" name="Resim 19">
          <a:extLst>
            <a:ext uri="{FF2B5EF4-FFF2-40B4-BE49-F238E27FC236}">
              <a16:creationId xmlns:a16="http://schemas.microsoft.com/office/drawing/2014/main" id="{A41E30F1-9D30-48F4-A884-B81BE2313F57}"/>
            </a:ext>
          </a:extLst>
        </xdr:cNvPr>
        <xdr:cNvPicPr>
          <a:picLocks noChangeAspect="1"/>
        </xdr:cNvPicPr>
      </xdr:nvPicPr>
      <xdr:blipFill>
        <a:blip xmlns:r="http://schemas.openxmlformats.org/officeDocument/2006/relationships" r:embed="rId1"/>
        <a:stretch>
          <a:fillRect/>
        </a:stretch>
      </xdr:blipFill>
      <xdr:spPr>
        <a:xfrm>
          <a:off x="186764" y="33246734"/>
          <a:ext cx="1623392" cy="560294"/>
        </a:xfrm>
        <a:prstGeom prst="rect">
          <a:avLst/>
        </a:prstGeom>
      </xdr:spPr>
    </xdr:pic>
    <xdr:clientData/>
  </xdr:oneCellAnchor>
  <xdr:oneCellAnchor>
    <xdr:from>
      <xdr:col>4</xdr:col>
      <xdr:colOff>762000</xdr:colOff>
      <xdr:row>72</xdr:row>
      <xdr:rowOff>44823</xdr:rowOff>
    </xdr:from>
    <xdr:ext cx="1783314" cy="701175"/>
    <xdr:pic>
      <xdr:nvPicPr>
        <xdr:cNvPr id="21" name="Resim 20">
          <a:extLst>
            <a:ext uri="{FF2B5EF4-FFF2-40B4-BE49-F238E27FC236}">
              <a16:creationId xmlns:a16="http://schemas.microsoft.com/office/drawing/2014/main" id="{F4B54148-5730-4F0B-9DEC-2D9F180A1281}"/>
            </a:ext>
          </a:extLst>
        </xdr:cNvPr>
        <xdr:cNvPicPr>
          <a:picLocks noChangeAspect="1"/>
        </xdr:cNvPicPr>
      </xdr:nvPicPr>
      <xdr:blipFill>
        <a:blip xmlns:r="http://schemas.openxmlformats.org/officeDocument/2006/relationships" r:embed="rId2"/>
        <a:stretch>
          <a:fillRect/>
        </a:stretch>
      </xdr:blipFill>
      <xdr:spPr>
        <a:xfrm>
          <a:off x="3136900" y="33134673"/>
          <a:ext cx="1783314" cy="701175"/>
        </a:xfrm>
        <a:prstGeom prst="rect">
          <a:avLst/>
        </a:prstGeom>
      </xdr:spPr>
    </xdr:pic>
    <xdr:clientData/>
  </xdr:oneCellAnchor>
  <xdr:oneCellAnchor>
    <xdr:from>
      <xdr:col>1</xdr:col>
      <xdr:colOff>59764</xdr:colOff>
      <xdr:row>80</xdr:row>
      <xdr:rowOff>156884</xdr:rowOff>
    </xdr:from>
    <xdr:ext cx="1623392" cy="560294"/>
    <xdr:pic>
      <xdr:nvPicPr>
        <xdr:cNvPr id="22" name="Resim 21">
          <a:extLst>
            <a:ext uri="{FF2B5EF4-FFF2-40B4-BE49-F238E27FC236}">
              <a16:creationId xmlns:a16="http://schemas.microsoft.com/office/drawing/2014/main" id="{AC3233B2-A35B-4645-8A3F-7F0AE2775AFE}"/>
            </a:ext>
          </a:extLst>
        </xdr:cNvPr>
        <xdr:cNvPicPr>
          <a:picLocks noChangeAspect="1"/>
        </xdr:cNvPicPr>
      </xdr:nvPicPr>
      <xdr:blipFill>
        <a:blip xmlns:r="http://schemas.openxmlformats.org/officeDocument/2006/relationships" r:embed="rId1"/>
        <a:stretch>
          <a:fillRect/>
        </a:stretch>
      </xdr:blipFill>
      <xdr:spPr>
        <a:xfrm>
          <a:off x="186764" y="36923384"/>
          <a:ext cx="1623392" cy="560294"/>
        </a:xfrm>
        <a:prstGeom prst="rect">
          <a:avLst/>
        </a:prstGeom>
      </xdr:spPr>
    </xdr:pic>
    <xdr:clientData/>
  </xdr:oneCellAnchor>
  <xdr:oneCellAnchor>
    <xdr:from>
      <xdr:col>4</xdr:col>
      <xdr:colOff>762000</xdr:colOff>
      <xdr:row>80</xdr:row>
      <xdr:rowOff>44823</xdr:rowOff>
    </xdr:from>
    <xdr:ext cx="1783314" cy="701175"/>
    <xdr:pic>
      <xdr:nvPicPr>
        <xdr:cNvPr id="23" name="Resim 22">
          <a:extLst>
            <a:ext uri="{FF2B5EF4-FFF2-40B4-BE49-F238E27FC236}">
              <a16:creationId xmlns:a16="http://schemas.microsoft.com/office/drawing/2014/main" id="{E0ED30AA-D2E2-4A01-B5AA-65F322FFFF66}"/>
            </a:ext>
          </a:extLst>
        </xdr:cNvPr>
        <xdr:cNvPicPr>
          <a:picLocks noChangeAspect="1"/>
        </xdr:cNvPicPr>
      </xdr:nvPicPr>
      <xdr:blipFill>
        <a:blip xmlns:r="http://schemas.openxmlformats.org/officeDocument/2006/relationships" r:embed="rId2"/>
        <a:stretch>
          <a:fillRect/>
        </a:stretch>
      </xdr:blipFill>
      <xdr:spPr>
        <a:xfrm>
          <a:off x="3136900" y="36811323"/>
          <a:ext cx="1783314" cy="701175"/>
        </a:xfrm>
        <a:prstGeom prst="rect">
          <a:avLst/>
        </a:prstGeom>
      </xdr:spPr>
    </xdr:pic>
    <xdr:clientData/>
  </xdr:oneCellAnchor>
  <xdr:oneCellAnchor>
    <xdr:from>
      <xdr:col>1</xdr:col>
      <xdr:colOff>59764</xdr:colOff>
      <xdr:row>88</xdr:row>
      <xdr:rowOff>156884</xdr:rowOff>
    </xdr:from>
    <xdr:ext cx="1623392" cy="560294"/>
    <xdr:pic>
      <xdr:nvPicPr>
        <xdr:cNvPr id="24" name="Resim 23">
          <a:extLst>
            <a:ext uri="{FF2B5EF4-FFF2-40B4-BE49-F238E27FC236}">
              <a16:creationId xmlns:a16="http://schemas.microsoft.com/office/drawing/2014/main" id="{CEC6EFB9-DC6B-4252-8C7D-C1F9752BBC5A}"/>
            </a:ext>
          </a:extLst>
        </xdr:cNvPr>
        <xdr:cNvPicPr>
          <a:picLocks noChangeAspect="1"/>
        </xdr:cNvPicPr>
      </xdr:nvPicPr>
      <xdr:blipFill>
        <a:blip xmlns:r="http://schemas.openxmlformats.org/officeDocument/2006/relationships" r:embed="rId1"/>
        <a:stretch>
          <a:fillRect/>
        </a:stretch>
      </xdr:blipFill>
      <xdr:spPr>
        <a:xfrm>
          <a:off x="186764" y="40600034"/>
          <a:ext cx="1623392" cy="560294"/>
        </a:xfrm>
        <a:prstGeom prst="rect">
          <a:avLst/>
        </a:prstGeom>
      </xdr:spPr>
    </xdr:pic>
    <xdr:clientData/>
  </xdr:oneCellAnchor>
  <xdr:oneCellAnchor>
    <xdr:from>
      <xdr:col>4</xdr:col>
      <xdr:colOff>762000</xdr:colOff>
      <xdr:row>88</xdr:row>
      <xdr:rowOff>44823</xdr:rowOff>
    </xdr:from>
    <xdr:ext cx="1783314" cy="701175"/>
    <xdr:pic>
      <xdr:nvPicPr>
        <xdr:cNvPr id="25" name="Resim 24">
          <a:extLst>
            <a:ext uri="{FF2B5EF4-FFF2-40B4-BE49-F238E27FC236}">
              <a16:creationId xmlns:a16="http://schemas.microsoft.com/office/drawing/2014/main" id="{6D8468F7-90C1-4772-B89F-A55EAA46BA94}"/>
            </a:ext>
          </a:extLst>
        </xdr:cNvPr>
        <xdr:cNvPicPr>
          <a:picLocks noChangeAspect="1"/>
        </xdr:cNvPicPr>
      </xdr:nvPicPr>
      <xdr:blipFill>
        <a:blip xmlns:r="http://schemas.openxmlformats.org/officeDocument/2006/relationships" r:embed="rId2"/>
        <a:stretch>
          <a:fillRect/>
        </a:stretch>
      </xdr:blipFill>
      <xdr:spPr>
        <a:xfrm>
          <a:off x="3136900" y="40487973"/>
          <a:ext cx="1783314" cy="701175"/>
        </a:xfrm>
        <a:prstGeom prst="rect">
          <a:avLst/>
        </a:prstGeom>
      </xdr:spPr>
    </xdr:pic>
    <xdr:clientData/>
  </xdr:oneCellAnchor>
  <xdr:oneCellAnchor>
    <xdr:from>
      <xdr:col>1</xdr:col>
      <xdr:colOff>59764</xdr:colOff>
      <xdr:row>96</xdr:row>
      <xdr:rowOff>156884</xdr:rowOff>
    </xdr:from>
    <xdr:ext cx="1623392" cy="560294"/>
    <xdr:pic>
      <xdr:nvPicPr>
        <xdr:cNvPr id="26" name="Resim 25">
          <a:extLst>
            <a:ext uri="{FF2B5EF4-FFF2-40B4-BE49-F238E27FC236}">
              <a16:creationId xmlns:a16="http://schemas.microsoft.com/office/drawing/2014/main" id="{48999AE0-4DAA-43E9-9B55-F4882EB4CD2B}"/>
            </a:ext>
          </a:extLst>
        </xdr:cNvPr>
        <xdr:cNvPicPr>
          <a:picLocks noChangeAspect="1"/>
        </xdr:cNvPicPr>
      </xdr:nvPicPr>
      <xdr:blipFill>
        <a:blip xmlns:r="http://schemas.openxmlformats.org/officeDocument/2006/relationships" r:embed="rId1"/>
        <a:stretch>
          <a:fillRect/>
        </a:stretch>
      </xdr:blipFill>
      <xdr:spPr>
        <a:xfrm>
          <a:off x="186764" y="44276684"/>
          <a:ext cx="1623392" cy="560294"/>
        </a:xfrm>
        <a:prstGeom prst="rect">
          <a:avLst/>
        </a:prstGeom>
      </xdr:spPr>
    </xdr:pic>
    <xdr:clientData/>
  </xdr:oneCellAnchor>
  <xdr:oneCellAnchor>
    <xdr:from>
      <xdr:col>4</xdr:col>
      <xdr:colOff>762000</xdr:colOff>
      <xdr:row>96</xdr:row>
      <xdr:rowOff>44823</xdr:rowOff>
    </xdr:from>
    <xdr:ext cx="1783314" cy="701175"/>
    <xdr:pic>
      <xdr:nvPicPr>
        <xdr:cNvPr id="27" name="Resim 26">
          <a:extLst>
            <a:ext uri="{FF2B5EF4-FFF2-40B4-BE49-F238E27FC236}">
              <a16:creationId xmlns:a16="http://schemas.microsoft.com/office/drawing/2014/main" id="{1939081F-EA1F-4440-99CF-48387C681793}"/>
            </a:ext>
          </a:extLst>
        </xdr:cNvPr>
        <xdr:cNvPicPr>
          <a:picLocks noChangeAspect="1"/>
        </xdr:cNvPicPr>
      </xdr:nvPicPr>
      <xdr:blipFill>
        <a:blip xmlns:r="http://schemas.openxmlformats.org/officeDocument/2006/relationships" r:embed="rId2"/>
        <a:stretch>
          <a:fillRect/>
        </a:stretch>
      </xdr:blipFill>
      <xdr:spPr>
        <a:xfrm>
          <a:off x="3136900" y="44164623"/>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28" name="Resim 27">
          <a:extLst>
            <a:ext uri="{FF2B5EF4-FFF2-40B4-BE49-F238E27FC236}">
              <a16:creationId xmlns:a16="http://schemas.microsoft.com/office/drawing/2014/main" id="{D0D0627B-8B6E-4AB3-AC91-5EB7F025D32D}"/>
            </a:ext>
          </a:extLst>
        </xdr:cNvPr>
        <xdr:cNvPicPr>
          <a:picLocks noChangeAspect="1"/>
        </xdr:cNvPicPr>
      </xdr:nvPicPr>
      <xdr:blipFill>
        <a:blip xmlns:r="http://schemas.openxmlformats.org/officeDocument/2006/relationships" r:embed="rId1"/>
        <a:stretch>
          <a:fillRect/>
        </a:stretch>
      </xdr:blipFill>
      <xdr:spPr>
        <a:xfrm>
          <a:off x="186764" y="47953334"/>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29" name="Resim 28">
          <a:extLst>
            <a:ext uri="{FF2B5EF4-FFF2-40B4-BE49-F238E27FC236}">
              <a16:creationId xmlns:a16="http://schemas.microsoft.com/office/drawing/2014/main" id="{8318157C-1B1F-4E89-B0A5-77D26928DD66}"/>
            </a:ext>
          </a:extLst>
        </xdr:cNvPr>
        <xdr:cNvPicPr>
          <a:picLocks noChangeAspect="1"/>
        </xdr:cNvPicPr>
      </xdr:nvPicPr>
      <xdr:blipFill>
        <a:blip xmlns:r="http://schemas.openxmlformats.org/officeDocument/2006/relationships" r:embed="rId2"/>
        <a:stretch>
          <a:fillRect/>
        </a:stretch>
      </xdr:blipFill>
      <xdr:spPr>
        <a:xfrm>
          <a:off x="3136900" y="47841273"/>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0" name="Resim 29">
          <a:extLst>
            <a:ext uri="{FF2B5EF4-FFF2-40B4-BE49-F238E27FC236}">
              <a16:creationId xmlns:a16="http://schemas.microsoft.com/office/drawing/2014/main" id="{E66057D9-8E07-4571-8EC1-FF89B7B5DE2C}"/>
            </a:ext>
          </a:extLst>
        </xdr:cNvPr>
        <xdr:cNvPicPr>
          <a:picLocks noChangeAspect="1"/>
        </xdr:cNvPicPr>
      </xdr:nvPicPr>
      <xdr:blipFill>
        <a:blip xmlns:r="http://schemas.openxmlformats.org/officeDocument/2006/relationships" r:embed="rId1"/>
        <a:stretch>
          <a:fillRect/>
        </a:stretch>
      </xdr:blipFill>
      <xdr:spPr>
        <a:xfrm>
          <a:off x="186764" y="51629984"/>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1" name="Resim 30">
          <a:extLst>
            <a:ext uri="{FF2B5EF4-FFF2-40B4-BE49-F238E27FC236}">
              <a16:creationId xmlns:a16="http://schemas.microsoft.com/office/drawing/2014/main" id="{D8AE4D0E-B345-4E5A-9486-F121F16E05A6}"/>
            </a:ext>
          </a:extLst>
        </xdr:cNvPr>
        <xdr:cNvPicPr>
          <a:picLocks noChangeAspect="1"/>
        </xdr:cNvPicPr>
      </xdr:nvPicPr>
      <xdr:blipFill>
        <a:blip xmlns:r="http://schemas.openxmlformats.org/officeDocument/2006/relationships" r:embed="rId2"/>
        <a:stretch>
          <a:fillRect/>
        </a:stretch>
      </xdr:blipFill>
      <xdr:spPr>
        <a:xfrm>
          <a:off x="3136900" y="51517923"/>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2" name="Resim 31">
          <a:extLst>
            <a:ext uri="{FF2B5EF4-FFF2-40B4-BE49-F238E27FC236}">
              <a16:creationId xmlns:a16="http://schemas.microsoft.com/office/drawing/2014/main" id="{FFC8A973-1244-4F31-8E16-AFB80905DA63}"/>
            </a:ext>
          </a:extLst>
        </xdr:cNvPr>
        <xdr:cNvPicPr>
          <a:picLocks noChangeAspect="1"/>
        </xdr:cNvPicPr>
      </xdr:nvPicPr>
      <xdr:blipFill>
        <a:blip xmlns:r="http://schemas.openxmlformats.org/officeDocument/2006/relationships" r:embed="rId1"/>
        <a:stretch>
          <a:fillRect/>
        </a:stretch>
      </xdr:blipFill>
      <xdr:spPr>
        <a:xfrm>
          <a:off x="186764" y="55306634"/>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3" name="Resim 32">
          <a:extLst>
            <a:ext uri="{FF2B5EF4-FFF2-40B4-BE49-F238E27FC236}">
              <a16:creationId xmlns:a16="http://schemas.microsoft.com/office/drawing/2014/main" id="{6CECC437-751A-4CA3-9CA3-EB0870B14F8C}"/>
            </a:ext>
          </a:extLst>
        </xdr:cNvPr>
        <xdr:cNvPicPr>
          <a:picLocks noChangeAspect="1"/>
        </xdr:cNvPicPr>
      </xdr:nvPicPr>
      <xdr:blipFill>
        <a:blip xmlns:r="http://schemas.openxmlformats.org/officeDocument/2006/relationships" r:embed="rId2"/>
        <a:stretch>
          <a:fillRect/>
        </a:stretch>
      </xdr:blipFill>
      <xdr:spPr>
        <a:xfrm>
          <a:off x="3136900" y="55194573"/>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4" name="Resim 33">
          <a:extLst>
            <a:ext uri="{FF2B5EF4-FFF2-40B4-BE49-F238E27FC236}">
              <a16:creationId xmlns:a16="http://schemas.microsoft.com/office/drawing/2014/main" id="{2E1B09A5-7FB9-4A2F-8E2D-EFF1F5C2A547}"/>
            </a:ext>
          </a:extLst>
        </xdr:cNvPr>
        <xdr:cNvPicPr>
          <a:picLocks noChangeAspect="1"/>
        </xdr:cNvPicPr>
      </xdr:nvPicPr>
      <xdr:blipFill>
        <a:blip xmlns:r="http://schemas.openxmlformats.org/officeDocument/2006/relationships" r:embed="rId1"/>
        <a:stretch>
          <a:fillRect/>
        </a:stretch>
      </xdr:blipFill>
      <xdr:spPr>
        <a:xfrm>
          <a:off x="186764" y="58983284"/>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5" name="Resim 34">
          <a:extLst>
            <a:ext uri="{FF2B5EF4-FFF2-40B4-BE49-F238E27FC236}">
              <a16:creationId xmlns:a16="http://schemas.microsoft.com/office/drawing/2014/main" id="{E8C98DEB-C150-48AB-B436-DE04DCC60270}"/>
            </a:ext>
          </a:extLst>
        </xdr:cNvPr>
        <xdr:cNvPicPr>
          <a:picLocks noChangeAspect="1"/>
        </xdr:cNvPicPr>
      </xdr:nvPicPr>
      <xdr:blipFill>
        <a:blip xmlns:r="http://schemas.openxmlformats.org/officeDocument/2006/relationships" r:embed="rId2"/>
        <a:stretch>
          <a:fillRect/>
        </a:stretch>
      </xdr:blipFill>
      <xdr:spPr>
        <a:xfrm>
          <a:off x="3136900" y="58871223"/>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6" name="Resim 35">
          <a:extLst>
            <a:ext uri="{FF2B5EF4-FFF2-40B4-BE49-F238E27FC236}">
              <a16:creationId xmlns:a16="http://schemas.microsoft.com/office/drawing/2014/main" id="{F325A305-3B67-4177-8B74-A48D8E4A74EE}"/>
            </a:ext>
          </a:extLst>
        </xdr:cNvPr>
        <xdr:cNvPicPr>
          <a:picLocks noChangeAspect="1"/>
        </xdr:cNvPicPr>
      </xdr:nvPicPr>
      <xdr:blipFill>
        <a:blip xmlns:r="http://schemas.openxmlformats.org/officeDocument/2006/relationships" r:embed="rId1"/>
        <a:stretch>
          <a:fillRect/>
        </a:stretch>
      </xdr:blipFill>
      <xdr:spPr>
        <a:xfrm>
          <a:off x="186764" y="62659934"/>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7" name="Resim 36">
          <a:extLst>
            <a:ext uri="{FF2B5EF4-FFF2-40B4-BE49-F238E27FC236}">
              <a16:creationId xmlns:a16="http://schemas.microsoft.com/office/drawing/2014/main" id="{2C8E1126-77EC-4535-B330-17590037AB10}"/>
            </a:ext>
          </a:extLst>
        </xdr:cNvPr>
        <xdr:cNvPicPr>
          <a:picLocks noChangeAspect="1"/>
        </xdr:cNvPicPr>
      </xdr:nvPicPr>
      <xdr:blipFill>
        <a:blip xmlns:r="http://schemas.openxmlformats.org/officeDocument/2006/relationships" r:embed="rId2"/>
        <a:stretch>
          <a:fillRect/>
        </a:stretch>
      </xdr:blipFill>
      <xdr:spPr>
        <a:xfrm>
          <a:off x="3136900" y="62547873"/>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8" name="Resim 37">
          <a:extLst>
            <a:ext uri="{FF2B5EF4-FFF2-40B4-BE49-F238E27FC236}">
              <a16:creationId xmlns:a16="http://schemas.microsoft.com/office/drawing/2014/main" id="{36F08498-29C0-45E0-BAF4-6C3E78E7C6C3}"/>
            </a:ext>
          </a:extLst>
        </xdr:cNvPr>
        <xdr:cNvPicPr>
          <a:picLocks noChangeAspect="1"/>
        </xdr:cNvPicPr>
      </xdr:nvPicPr>
      <xdr:blipFill>
        <a:blip xmlns:r="http://schemas.openxmlformats.org/officeDocument/2006/relationships" r:embed="rId1"/>
        <a:stretch>
          <a:fillRect/>
        </a:stretch>
      </xdr:blipFill>
      <xdr:spPr>
        <a:xfrm>
          <a:off x="186764" y="66336584"/>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 name="Resim 38">
          <a:extLst>
            <a:ext uri="{FF2B5EF4-FFF2-40B4-BE49-F238E27FC236}">
              <a16:creationId xmlns:a16="http://schemas.microsoft.com/office/drawing/2014/main" id="{B87B231E-D24B-442C-8E44-832BA4CF4F23}"/>
            </a:ext>
          </a:extLst>
        </xdr:cNvPr>
        <xdr:cNvPicPr>
          <a:picLocks noChangeAspect="1"/>
        </xdr:cNvPicPr>
      </xdr:nvPicPr>
      <xdr:blipFill>
        <a:blip xmlns:r="http://schemas.openxmlformats.org/officeDocument/2006/relationships" r:embed="rId2"/>
        <a:stretch>
          <a:fillRect/>
        </a:stretch>
      </xdr:blipFill>
      <xdr:spPr>
        <a:xfrm>
          <a:off x="3136900" y="66224523"/>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40" name="Resim 39">
          <a:extLst>
            <a:ext uri="{FF2B5EF4-FFF2-40B4-BE49-F238E27FC236}">
              <a16:creationId xmlns:a16="http://schemas.microsoft.com/office/drawing/2014/main" id="{AA7D23FE-E839-4A79-A925-F37E5FE2A694}"/>
            </a:ext>
          </a:extLst>
        </xdr:cNvPr>
        <xdr:cNvPicPr>
          <a:picLocks noChangeAspect="1"/>
        </xdr:cNvPicPr>
      </xdr:nvPicPr>
      <xdr:blipFill>
        <a:blip xmlns:r="http://schemas.openxmlformats.org/officeDocument/2006/relationships" r:embed="rId1"/>
        <a:stretch>
          <a:fillRect/>
        </a:stretch>
      </xdr:blipFill>
      <xdr:spPr>
        <a:xfrm>
          <a:off x="186764" y="70013234"/>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41" name="Resim 40">
          <a:extLst>
            <a:ext uri="{FF2B5EF4-FFF2-40B4-BE49-F238E27FC236}">
              <a16:creationId xmlns:a16="http://schemas.microsoft.com/office/drawing/2014/main" id="{0EE90030-024A-42BA-9CED-7160B5647152}"/>
            </a:ext>
          </a:extLst>
        </xdr:cNvPr>
        <xdr:cNvPicPr>
          <a:picLocks noChangeAspect="1"/>
        </xdr:cNvPicPr>
      </xdr:nvPicPr>
      <xdr:blipFill>
        <a:blip xmlns:r="http://schemas.openxmlformats.org/officeDocument/2006/relationships" r:embed="rId2"/>
        <a:stretch>
          <a:fillRect/>
        </a:stretch>
      </xdr:blipFill>
      <xdr:spPr>
        <a:xfrm>
          <a:off x="3136900" y="69901173"/>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42" name="Resim 41">
          <a:extLst>
            <a:ext uri="{FF2B5EF4-FFF2-40B4-BE49-F238E27FC236}">
              <a16:creationId xmlns:a16="http://schemas.microsoft.com/office/drawing/2014/main" id="{D35EC218-32C9-406D-B468-6C60C24DBACC}"/>
            </a:ext>
          </a:extLst>
        </xdr:cNvPr>
        <xdr:cNvPicPr>
          <a:picLocks noChangeAspect="1"/>
        </xdr:cNvPicPr>
      </xdr:nvPicPr>
      <xdr:blipFill>
        <a:blip xmlns:r="http://schemas.openxmlformats.org/officeDocument/2006/relationships" r:embed="rId1"/>
        <a:stretch>
          <a:fillRect/>
        </a:stretch>
      </xdr:blipFill>
      <xdr:spPr>
        <a:xfrm>
          <a:off x="186764" y="73689884"/>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43" name="Resim 42">
          <a:extLst>
            <a:ext uri="{FF2B5EF4-FFF2-40B4-BE49-F238E27FC236}">
              <a16:creationId xmlns:a16="http://schemas.microsoft.com/office/drawing/2014/main" id="{272AF667-A259-43B9-9B2D-02D6C5A84209}"/>
            </a:ext>
          </a:extLst>
        </xdr:cNvPr>
        <xdr:cNvPicPr>
          <a:picLocks noChangeAspect="1"/>
        </xdr:cNvPicPr>
      </xdr:nvPicPr>
      <xdr:blipFill>
        <a:blip xmlns:r="http://schemas.openxmlformats.org/officeDocument/2006/relationships" r:embed="rId2"/>
        <a:stretch>
          <a:fillRect/>
        </a:stretch>
      </xdr:blipFill>
      <xdr:spPr>
        <a:xfrm>
          <a:off x="3136900" y="73577823"/>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4" name="Resim 43">
          <a:extLst>
            <a:ext uri="{FF2B5EF4-FFF2-40B4-BE49-F238E27FC236}">
              <a16:creationId xmlns:a16="http://schemas.microsoft.com/office/drawing/2014/main" id="{8C1D7708-8D66-42F7-9AE8-703FC2722EAC}"/>
            </a:ext>
          </a:extLst>
        </xdr:cNvPr>
        <xdr:cNvPicPr>
          <a:picLocks noChangeAspect="1"/>
        </xdr:cNvPicPr>
      </xdr:nvPicPr>
      <xdr:blipFill>
        <a:blip xmlns:r="http://schemas.openxmlformats.org/officeDocument/2006/relationships" r:embed="rId1"/>
        <a:stretch>
          <a:fillRect/>
        </a:stretch>
      </xdr:blipFill>
      <xdr:spPr>
        <a:xfrm>
          <a:off x="186764" y="77366534"/>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5" name="Resim 44">
          <a:extLst>
            <a:ext uri="{FF2B5EF4-FFF2-40B4-BE49-F238E27FC236}">
              <a16:creationId xmlns:a16="http://schemas.microsoft.com/office/drawing/2014/main" id="{397095D1-B0A9-44BD-9B90-87BA5301FA0E}"/>
            </a:ext>
          </a:extLst>
        </xdr:cNvPr>
        <xdr:cNvPicPr>
          <a:picLocks noChangeAspect="1"/>
        </xdr:cNvPicPr>
      </xdr:nvPicPr>
      <xdr:blipFill>
        <a:blip xmlns:r="http://schemas.openxmlformats.org/officeDocument/2006/relationships" r:embed="rId2"/>
        <a:stretch>
          <a:fillRect/>
        </a:stretch>
      </xdr:blipFill>
      <xdr:spPr>
        <a:xfrm>
          <a:off x="3136900" y="77254473"/>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6" name="Resim 45">
          <a:extLst>
            <a:ext uri="{FF2B5EF4-FFF2-40B4-BE49-F238E27FC236}">
              <a16:creationId xmlns:a16="http://schemas.microsoft.com/office/drawing/2014/main" id="{76A7E8E7-9254-4D63-B083-4F6C2E6FBBF8}"/>
            </a:ext>
          </a:extLst>
        </xdr:cNvPr>
        <xdr:cNvPicPr>
          <a:picLocks noChangeAspect="1"/>
        </xdr:cNvPicPr>
      </xdr:nvPicPr>
      <xdr:blipFill>
        <a:blip xmlns:r="http://schemas.openxmlformats.org/officeDocument/2006/relationships" r:embed="rId1"/>
        <a:stretch>
          <a:fillRect/>
        </a:stretch>
      </xdr:blipFill>
      <xdr:spPr>
        <a:xfrm>
          <a:off x="186764" y="81043184"/>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7" name="Resim 46">
          <a:extLst>
            <a:ext uri="{FF2B5EF4-FFF2-40B4-BE49-F238E27FC236}">
              <a16:creationId xmlns:a16="http://schemas.microsoft.com/office/drawing/2014/main" id="{3A446F4A-488C-4407-9931-CB2980262C2B}"/>
            </a:ext>
          </a:extLst>
        </xdr:cNvPr>
        <xdr:cNvPicPr>
          <a:picLocks noChangeAspect="1"/>
        </xdr:cNvPicPr>
      </xdr:nvPicPr>
      <xdr:blipFill>
        <a:blip xmlns:r="http://schemas.openxmlformats.org/officeDocument/2006/relationships" r:embed="rId2"/>
        <a:stretch>
          <a:fillRect/>
        </a:stretch>
      </xdr:blipFill>
      <xdr:spPr>
        <a:xfrm>
          <a:off x="3136900" y="80931123"/>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8" name="Resim 47">
          <a:extLst>
            <a:ext uri="{FF2B5EF4-FFF2-40B4-BE49-F238E27FC236}">
              <a16:creationId xmlns:a16="http://schemas.microsoft.com/office/drawing/2014/main" id="{AA340BCA-916B-4835-9129-18F98543B77F}"/>
            </a:ext>
          </a:extLst>
        </xdr:cNvPr>
        <xdr:cNvPicPr>
          <a:picLocks noChangeAspect="1"/>
        </xdr:cNvPicPr>
      </xdr:nvPicPr>
      <xdr:blipFill>
        <a:blip xmlns:r="http://schemas.openxmlformats.org/officeDocument/2006/relationships" r:embed="rId1"/>
        <a:stretch>
          <a:fillRect/>
        </a:stretch>
      </xdr:blipFill>
      <xdr:spPr>
        <a:xfrm>
          <a:off x="186764" y="84719834"/>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9" name="Resim 48">
          <a:extLst>
            <a:ext uri="{FF2B5EF4-FFF2-40B4-BE49-F238E27FC236}">
              <a16:creationId xmlns:a16="http://schemas.microsoft.com/office/drawing/2014/main" id="{5CA19923-0B49-4DF0-9C9D-DE1B67814F8F}"/>
            </a:ext>
          </a:extLst>
        </xdr:cNvPr>
        <xdr:cNvPicPr>
          <a:picLocks noChangeAspect="1"/>
        </xdr:cNvPicPr>
      </xdr:nvPicPr>
      <xdr:blipFill>
        <a:blip xmlns:r="http://schemas.openxmlformats.org/officeDocument/2006/relationships" r:embed="rId2"/>
        <a:stretch>
          <a:fillRect/>
        </a:stretch>
      </xdr:blipFill>
      <xdr:spPr>
        <a:xfrm>
          <a:off x="3136900" y="84607773"/>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50" name="Resim 49">
          <a:extLst>
            <a:ext uri="{FF2B5EF4-FFF2-40B4-BE49-F238E27FC236}">
              <a16:creationId xmlns:a16="http://schemas.microsoft.com/office/drawing/2014/main" id="{0042FA37-BE6E-42C2-8A69-B050DBC9A91F}"/>
            </a:ext>
          </a:extLst>
        </xdr:cNvPr>
        <xdr:cNvPicPr>
          <a:picLocks noChangeAspect="1"/>
        </xdr:cNvPicPr>
      </xdr:nvPicPr>
      <xdr:blipFill>
        <a:blip xmlns:r="http://schemas.openxmlformats.org/officeDocument/2006/relationships" r:embed="rId1"/>
        <a:stretch>
          <a:fillRect/>
        </a:stretch>
      </xdr:blipFill>
      <xdr:spPr>
        <a:xfrm>
          <a:off x="186764" y="88396484"/>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51" name="Resim 50">
          <a:extLst>
            <a:ext uri="{FF2B5EF4-FFF2-40B4-BE49-F238E27FC236}">
              <a16:creationId xmlns:a16="http://schemas.microsoft.com/office/drawing/2014/main" id="{331992F7-68EE-40C1-AEC4-28BACEA27300}"/>
            </a:ext>
          </a:extLst>
        </xdr:cNvPr>
        <xdr:cNvPicPr>
          <a:picLocks noChangeAspect="1"/>
        </xdr:cNvPicPr>
      </xdr:nvPicPr>
      <xdr:blipFill>
        <a:blip xmlns:r="http://schemas.openxmlformats.org/officeDocument/2006/relationships" r:embed="rId2"/>
        <a:stretch>
          <a:fillRect/>
        </a:stretch>
      </xdr:blipFill>
      <xdr:spPr>
        <a:xfrm>
          <a:off x="3136900" y="88284423"/>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52" name="Resim 51">
          <a:extLst>
            <a:ext uri="{FF2B5EF4-FFF2-40B4-BE49-F238E27FC236}">
              <a16:creationId xmlns:a16="http://schemas.microsoft.com/office/drawing/2014/main" id="{91BB0658-84C9-4E6A-B9CF-E0FD519190B5}"/>
            </a:ext>
          </a:extLst>
        </xdr:cNvPr>
        <xdr:cNvPicPr>
          <a:picLocks noChangeAspect="1"/>
        </xdr:cNvPicPr>
      </xdr:nvPicPr>
      <xdr:blipFill>
        <a:blip xmlns:r="http://schemas.openxmlformats.org/officeDocument/2006/relationships" r:embed="rId1"/>
        <a:stretch>
          <a:fillRect/>
        </a:stretch>
      </xdr:blipFill>
      <xdr:spPr>
        <a:xfrm>
          <a:off x="186764" y="92073134"/>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53" name="Resim 52">
          <a:extLst>
            <a:ext uri="{FF2B5EF4-FFF2-40B4-BE49-F238E27FC236}">
              <a16:creationId xmlns:a16="http://schemas.microsoft.com/office/drawing/2014/main" id="{6CE33FF7-FD92-4313-BB9F-6A2A91F001CC}"/>
            </a:ext>
          </a:extLst>
        </xdr:cNvPr>
        <xdr:cNvPicPr>
          <a:picLocks noChangeAspect="1"/>
        </xdr:cNvPicPr>
      </xdr:nvPicPr>
      <xdr:blipFill>
        <a:blip xmlns:r="http://schemas.openxmlformats.org/officeDocument/2006/relationships" r:embed="rId2"/>
        <a:stretch>
          <a:fillRect/>
        </a:stretch>
      </xdr:blipFill>
      <xdr:spPr>
        <a:xfrm>
          <a:off x="3136900" y="91961073"/>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54" name="Resim 53">
          <a:extLst>
            <a:ext uri="{FF2B5EF4-FFF2-40B4-BE49-F238E27FC236}">
              <a16:creationId xmlns:a16="http://schemas.microsoft.com/office/drawing/2014/main" id="{5FB24C82-CDA5-476F-A626-8ED0DE6553CB}"/>
            </a:ext>
          </a:extLst>
        </xdr:cNvPr>
        <xdr:cNvPicPr>
          <a:picLocks noChangeAspect="1"/>
        </xdr:cNvPicPr>
      </xdr:nvPicPr>
      <xdr:blipFill>
        <a:blip xmlns:r="http://schemas.openxmlformats.org/officeDocument/2006/relationships" r:embed="rId1"/>
        <a:stretch>
          <a:fillRect/>
        </a:stretch>
      </xdr:blipFill>
      <xdr:spPr>
        <a:xfrm>
          <a:off x="186764" y="95749784"/>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55" name="Resim 54">
          <a:extLst>
            <a:ext uri="{FF2B5EF4-FFF2-40B4-BE49-F238E27FC236}">
              <a16:creationId xmlns:a16="http://schemas.microsoft.com/office/drawing/2014/main" id="{02385A03-A0B6-4D68-8DDD-9DED1DB7F286}"/>
            </a:ext>
          </a:extLst>
        </xdr:cNvPr>
        <xdr:cNvPicPr>
          <a:picLocks noChangeAspect="1"/>
        </xdr:cNvPicPr>
      </xdr:nvPicPr>
      <xdr:blipFill>
        <a:blip xmlns:r="http://schemas.openxmlformats.org/officeDocument/2006/relationships" r:embed="rId2"/>
        <a:stretch>
          <a:fillRect/>
        </a:stretch>
      </xdr:blipFill>
      <xdr:spPr>
        <a:xfrm>
          <a:off x="3136900" y="95637723"/>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56" name="Resim 55">
          <a:extLst>
            <a:ext uri="{FF2B5EF4-FFF2-40B4-BE49-F238E27FC236}">
              <a16:creationId xmlns:a16="http://schemas.microsoft.com/office/drawing/2014/main" id="{CB8B1A9D-92C6-4003-9A6F-9D77DF18059C}"/>
            </a:ext>
          </a:extLst>
        </xdr:cNvPr>
        <xdr:cNvPicPr>
          <a:picLocks noChangeAspect="1"/>
        </xdr:cNvPicPr>
      </xdr:nvPicPr>
      <xdr:blipFill>
        <a:blip xmlns:r="http://schemas.openxmlformats.org/officeDocument/2006/relationships" r:embed="rId1"/>
        <a:stretch>
          <a:fillRect/>
        </a:stretch>
      </xdr:blipFill>
      <xdr:spPr>
        <a:xfrm>
          <a:off x="186764" y="99426434"/>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57" name="Resim 56">
          <a:extLst>
            <a:ext uri="{FF2B5EF4-FFF2-40B4-BE49-F238E27FC236}">
              <a16:creationId xmlns:a16="http://schemas.microsoft.com/office/drawing/2014/main" id="{A2F0BE22-497D-4516-AF4B-D153E0E5BB15}"/>
            </a:ext>
          </a:extLst>
        </xdr:cNvPr>
        <xdr:cNvPicPr>
          <a:picLocks noChangeAspect="1"/>
        </xdr:cNvPicPr>
      </xdr:nvPicPr>
      <xdr:blipFill>
        <a:blip xmlns:r="http://schemas.openxmlformats.org/officeDocument/2006/relationships" r:embed="rId2"/>
        <a:stretch>
          <a:fillRect/>
        </a:stretch>
      </xdr:blipFill>
      <xdr:spPr>
        <a:xfrm>
          <a:off x="3136900" y="99314373"/>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58" name="Resim 57">
          <a:extLst>
            <a:ext uri="{FF2B5EF4-FFF2-40B4-BE49-F238E27FC236}">
              <a16:creationId xmlns:a16="http://schemas.microsoft.com/office/drawing/2014/main" id="{59FA9A57-129F-44EF-95F6-A4E225122ADE}"/>
            </a:ext>
          </a:extLst>
        </xdr:cNvPr>
        <xdr:cNvPicPr>
          <a:picLocks noChangeAspect="1"/>
        </xdr:cNvPicPr>
      </xdr:nvPicPr>
      <xdr:blipFill>
        <a:blip xmlns:r="http://schemas.openxmlformats.org/officeDocument/2006/relationships" r:embed="rId1"/>
        <a:stretch>
          <a:fillRect/>
        </a:stretch>
      </xdr:blipFill>
      <xdr:spPr>
        <a:xfrm>
          <a:off x="186764" y="103103084"/>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59" name="Resim 58">
          <a:extLst>
            <a:ext uri="{FF2B5EF4-FFF2-40B4-BE49-F238E27FC236}">
              <a16:creationId xmlns:a16="http://schemas.microsoft.com/office/drawing/2014/main" id="{766D1928-1C24-4930-AAE2-8167655A3BEF}"/>
            </a:ext>
          </a:extLst>
        </xdr:cNvPr>
        <xdr:cNvPicPr>
          <a:picLocks noChangeAspect="1"/>
        </xdr:cNvPicPr>
      </xdr:nvPicPr>
      <xdr:blipFill>
        <a:blip xmlns:r="http://schemas.openxmlformats.org/officeDocument/2006/relationships" r:embed="rId2"/>
        <a:stretch>
          <a:fillRect/>
        </a:stretch>
      </xdr:blipFill>
      <xdr:spPr>
        <a:xfrm>
          <a:off x="3136900" y="102991023"/>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60" name="Resim 59">
          <a:extLst>
            <a:ext uri="{FF2B5EF4-FFF2-40B4-BE49-F238E27FC236}">
              <a16:creationId xmlns:a16="http://schemas.microsoft.com/office/drawing/2014/main" id="{F71ACE22-100C-4143-9D22-F54BCA3197D0}"/>
            </a:ext>
          </a:extLst>
        </xdr:cNvPr>
        <xdr:cNvPicPr>
          <a:picLocks noChangeAspect="1"/>
        </xdr:cNvPicPr>
      </xdr:nvPicPr>
      <xdr:blipFill>
        <a:blip xmlns:r="http://schemas.openxmlformats.org/officeDocument/2006/relationships" r:embed="rId1"/>
        <a:stretch>
          <a:fillRect/>
        </a:stretch>
      </xdr:blipFill>
      <xdr:spPr>
        <a:xfrm>
          <a:off x="186764" y="106779734"/>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61" name="Resim 60">
          <a:extLst>
            <a:ext uri="{FF2B5EF4-FFF2-40B4-BE49-F238E27FC236}">
              <a16:creationId xmlns:a16="http://schemas.microsoft.com/office/drawing/2014/main" id="{1E2C9AC0-FFED-4EAA-AE89-747CCBC70C9B}"/>
            </a:ext>
          </a:extLst>
        </xdr:cNvPr>
        <xdr:cNvPicPr>
          <a:picLocks noChangeAspect="1"/>
        </xdr:cNvPicPr>
      </xdr:nvPicPr>
      <xdr:blipFill>
        <a:blip xmlns:r="http://schemas.openxmlformats.org/officeDocument/2006/relationships" r:embed="rId2"/>
        <a:stretch>
          <a:fillRect/>
        </a:stretch>
      </xdr:blipFill>
      <xdr:spPr>
        <a:xfrm>
          <a:off x="3136900" y="106667673"/>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62" name="Resim 61">
          <a:extLst>
            <a:ext uri="{FF2B5EF4-FFF2-40B4-BE49-F238E27FC236}">
              <a16:creationId xmlns:a16="http://schemas.microsoft.com/office/drawing/2014/main" id="{B3DF3478-2AEF-42FD-B9F0-9648D912F081}"/>
            </a:ext>
          </a:extLst>
        </xdr:cNvPr>
        <xdr:cNvPicPr>
          <a:picLocks noChangeAspect="1"/>
        </xdr:cNvPicPr>
      </xdr:nvPicPr>
      <xdr:blipFill>
        <a:blip xmlns:r="http://schemas.openxmlformats.org/officeDocument/2006/relationships" r:embed="rId1"/>
        <a:stretch>
          <a:fillRect/>
        </a:stretch>
      </xdr:blipFill>
      <xdr:spPr>
        <a:xfrm>
          <a:off x="186764" y="110456384"/>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63" name="Resim 62">
          <a:extLst>
            <a:ext uri="{FF2B5EF4-FFF2-40B4-BE49-F238E27FC236}">
              <a16:creationId xmlns:a16="http://schemas.microsoft.com/office/drawing/2014/main" id="{94738817-87CB-4554-A93E-7A0898DD76A0}"/>
            </a:ext>
          </a:extLst>
        </xdr:cNvPr>
        <xdr:cNvPicPr>
          <a:picLocks noChangeAspect="1"/>
        </xdr:cNvPicPr>
      </xdr:nvPicPr>
      <xdr:blipFill>
        <a:blip xmlns:r="http://schemas.openxmlformats.org/officeDocument/2006/relationships" r:embed="rId2"/>
        <a:stretch>
          <a:fillRect/>
        </a:stretch>
      </xdr:blipFill>
      <xdr:spPr>
        <a:xfrm>
          <a:off x="3136900" y="110344323"/>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64" name="Resim 63">
          <a:extLst>
            <a:ext uri="{FF2B5EF4-FFF2-40B4-BE49-F238E27FC236}">
              <a16:creationId xmlns:a16="http://schemas.microsoft.com/office/drawing/2014/main" id="{92208D4C-A380-4F96-9392-44E9A2DE2758}"/>
            </a:ext>
          </a:extLst>
        </xdr:cNvPr>
        <xdr:cNvPicPr>
          <a:picLocks noChangeAspect="1"/>
        </xdr:cNvPicPr>
      </xdr:nvPicPr>
      <xdr:blipFill>
        <a:blip xmlns:r="http://schemas.openxmlformats.org/officeDocument/2006/relationships" r:embed="rId1"/>
        <a:stretch>
          <a:fillRect/>
        </a:stretch>
      </xdr:blipFill>
      <xdr:spPr>
        <a:xfrm>
          <a:off x="186764" y="114133034"/>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65" name="Resim 64">
          <a:extLst>
            <a:ext uri="{FF2B5EF4-FFF2-40B4-BE49-F238E27FC236}">
              <a16:creationId xmlns:a16="http://schemas.microsoft.com/office/drawing/2014/main" id="{813A227E-8650-4205-B97C-31E8ACF23D6B}"/>
            </a:ext>
          </a:extLst>
        </xdr:cNvPr>
        <xdr:cNvPicPr>
          <a:picLocks noChangeAspect="1"/>
        </xdr:cNvPicPr>
      </xdr:nvPicPr>
      <xdr:blipFill>
        <a:blip xmlns:r="http://schemas.openxmlformats.org/officeDocument/2006/relationships" r:embed="rId2"/>
        <a:stretch>
          <a:fillRect/>
        </a:stretch>
      </xdr:blipFill>
      <xdr:spPr>
        <a:xfrm>
          <a:off x="3136900" y="114020973"/>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66" name="Resim 65">
          <a:extLst>
            <a:ext uri="{FF2B5EF4-FFF2-40B4-BE49-F238E27FC236}">
              <a16:creationId xmlns:a16="http://schemas.microsoft.com/office/drawing/2014/main" id="{32BB06D3-86EE-45BE-97FE-72C0DC42DEDC}"/>
            </a:ext>
          </a:extLst>
        </xdr:cNvPr>
        <xdr:cNvPicPr>
          <a:picLocks noChangeAspect="1"/>
        </xdr:cNvPicPr>
      </xdr:nvPicPr>
      <xdr:blipFill>
        <a:blip xmlns:r="http://schemas.openxmlformats.org/officeDocument/2006/relationships" r:embed="rId1"/>
        <a:stretch>
          <a:fillRect/>
        </a:stretch>
      </xdr:blipFill>
      <xdr:spPr>
        <a:xfrm>
          <a:off x="186764" y="117809684"/>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67" name="Resim 66">
          <a:extLst>
            <a:ext uri="{FF2B5EF4-FFF2-40B4-BE49-F238E27FC236}">
              <a16:creationId xmlns:a16="http://schemas.microsoft.com/office/drawing/2014/main" id="{2DBBDD90-9B26-4FFF-A376-682591ABECD3}"/>
            </a:ext>
          </a:extLst>
        </xdr:cNvPr>
        <xdr:cNvPicPr>
          <a:picLocks noChangeAspect="1"/>
        </xdr:cNvPicPr>
      </xdr:nvPicPr>
      <xdr:blipFill>
        <a:blip xmlns:r="http://schemas.openxmlformats.org/officeDocument/2006/relationships" r:embed="rId2"/>
        <a:stretch>
          <a:fillRect/>
        </a:stretch>
      </xdr:blipFill>
      <xdr:spPr>
        <a:xfrm>
          <a:off x="3136900" y="117697623"/>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68" name="Resim 67">
          <a:extLst>
            <a:ext uri="{FF2B5EF4-FFF2-40B4-BE49-F238E27FC236}">
              <a16:creationId xmlns:a16="http://schemas.microsoft.com/office/drawing/2014/main" id="{88E0D665-E1D9-4D40-AD4B-E2BBA1C740AF}"/>
            </a:ext>
          </a:extLst>
        </xdr:cNvPr>
        <xdr:cNvPicPr>
          <a:picLocks noChangeAspect="1"/>
        </xdr:cNvPicPr>
      </xdr:nvPicPr>
      <xdr:blipFill>
        <a:blip xmlns:r="http://schemas.openxmlformats.org/officeDocument/2006/relationships" r:embed="rId1"/>
        <a:stretch>
          <a:fillRect/>
        </a:stretch>
      </xdr:blipFill>
      <xdr:spPr>
        <a:xfrm>
          <a:off x="186764" y="121486334"/>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69" name="Resim 68">
          <a:extLst>
            <a:ext uri="{FF2B5EF4-FFF2-40B4-BE49-F238E27FC236}">
              <a16:creationId xmlns:a16="http://schemas.microsoft.com/office/drawing/2014/main" id="{97B9C275-8B00-4F6F-8EA3-ECE188A99619}"/>
            </a:ext>
          </a:extLst>
        </xdr:cNvPr>
        <xdr:cNvPicPr>
          <a:picLocks noChangeAspect="1"/>
        </xdr:cNvPicPr>
      </xdr:nvPicPr>
      <xdr:blipFill>
        <a:blip xmlns:r="http://schemas.openxmlformats.org/officeDocument/2006/relationships" r:embed="rId2"/>
        <a:stretch>
          <a:fillRect/>
        </a:stretch>
      </xdr:blipFill>
      <xdr:spPr>
        <a:xfrm>
          <a:off x="3136900" y="121374273"/>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70" name="Resim 69">
          <a:extLst>
            <a:ext uri="{FF2B5EF4-FFF2-40B4-BE49-F238E27FC236}">
              <a16:creationId xmlns:a16="http://schemas.microsoft.com/office/drawing/2014/main" id="{CBC0843B-39C0-4FBE-BC5A-3FADF41D5D53}"/>
            </a:ext>
          </a:extLst>
        </xdr:cNvPr>
        <xdr:cNvPicPr>
          <a:picLocks noChangeAspect="1"/>
        </xdr:cNvPicPr>
      </xdr:nvPicPr>
      <xdr:blipFill>
        <a:blip xmlns:r="http://schemas.openxmlformats.org/officeDocument/2006/relationships" r:embed="rId1"/>
        <a:stretch>
          <a:fillRect/>
        </a:stretch>
      </xdr:blipFill>
      <xdr:spPr>
        <a:xfrm>
          <a:off x="186764" y="125162984"/>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71" name="Resim 70">
          <a:extLst>
            <a:ext uri="{FF2B5EF4-FFF2-40B4-BE49-F238E27FC236}">
              <a16:creationId xmlns:a16="http://schemas.microsoft.com/office/drawing/2014/main" id="{29ED667B-4EF2-4EA4-867B-09187BD68552}"/>
            </a:ext>
          </a:extLst>
        </xdr:cNvPr>
        <xdr:cNvPicPr>
          <a:picLocks noChangeAspect="1"/>
        </xdr:cNvPicPr>
      </xdr:nvPicPr>
      <xdr:blipFill>
        <a:blip xmlns:r="http://schemas.openxmlformats.org/officeDocument/2006/relationships" r:embed="rId2"/>
        <a:stretch>
          <a:fillRect/>
        </a:stretch>
      </xdr:blipFill>
      <xdr:spPr>
        <a:xfrm>
          <a:off x="3136900" y="125050923"/>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72" name="Resim 71">
          <a:extLst>
            <a:ext uri="{FF2B5EF4-FFF2-40B4-BE49-F238E27FC236}">
              <a16:creationId xmlns:a16="http://schemas.microsoft.com/office/drawing/2014/main" id="{E44CAB3F-DDA1-4D06-8320-101A3133BD6A}"/>
            </a:ext>
          </a:extLst>
        </xdr:cNvPr>
        <xdr:cNvPicPr>
          <a:picLocks noChangeAspect="1"/>
        </xdr:cNvPicPr>
      </xdr:nvPicPr>
      <xdr:blipFill>
        <a:blip xmlns:r="http://schemas.openxmlformats.org/officeDocument/2006/relationships" r:embed="rId1"/>
        <a:stretch>
          <a:fillRect/>
        </a:stretch>
      </xdr:blipFill>
      <xdr:spPr>
        <a:xfrm>
          <a:off x="186764" y="128839634"/>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73" name="Resim 72">
          <a:extLst>
            <a:ext uri="{FF2B5EF4-FFF2-40B4-BE49-F238E27FC236}">
              <a16:creationId xmlns:a16="http://schemas.microsoft.com/office/drawing/2014/main" id="{8B4A9B55-1899-414D-825E-7C5A3ADE4830}"/>
            </a:ext>
          </a:extLst>
        </xdr:cNvPr>
        <xdr:cNvPicPr>
          <a:picLocks noChangeAspect="1"/>
        </xdr:cNvPicPr>
      </xdr:nvPicPr>
      <xdr:blipFill>
        <a:blip xmlns:r="http://schemas.openxmlformats.org/officeDocument/2006/relationships" r:embed="rId2"/>
        <a:stretch>
          <a:fillRect/>
        </a:stretch>
      </xdr:blipFill>
      <xdr:spPr>
        <a:xfrm>
          <a:off x="3136900" y="128727573"/>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74" name="Resim 73">
          <a:extLst>
            <a:ext uri="{FF2B5EF4-FFF2-40B4-BE49-F238E27FC236}">
              <a16:creationId xmlns:a16="http://schemas.microsoft.com/office/drawing/2014/main" id="{1C959195-6F56-40D9-AEB8-ED601C4E967F}"/>
            </a:ext>
          </a:extLst>
        </xdr:cNvPr>
        <xdr:cNvPicPr>
          <a:picLocks noChangeAspect="1"/>
        </xdr:cNvPicPr>
      </xdr:nvPicPr>
      <xdr:blipFill>
        <a:blip xmlns:r="http://schemas.openxmlformats.org/officeDocument/2006/relationships" r:embed="rId1"/>
        <a:stretch>
          <a:fillRect/>
        </a:stretch>
      </xdr:blipFill>
      <xdr:spPr>
        <a:xfrm>
          <a:off x="186764" y="132516284"/>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75" name="Resim 74">
          <a:extLst>
            <a:ext uri="{FF2B5EF4-FFF2-40B4-BE49-F238E27FC236}">
              <a16:creationId xmlns:a16="http://schemas.microsoft.com/office/drawing/2014/main" id="{F6E3A644-87FB-41D9-AF21-21C323646C4A}"/>
            </a:ext>
          </a:extLst>
        </xdr:cNvPr>
        <xdr:cNvPicPr>
          <a:picLocks noChangeAspect="1"/>
        </xdr:cNvPicPr>
      </xdr:nvPicPr>
      <xdr:blipFill>
        <a:blip xmlns:r="http://schemas.openxmlformats.org/officeDocument/2006/relationships" r:embed="rId2"/>
        <a:stretch>
          <a:fillRect/>
        </a:stretch>
      </xdr:blipFill>
      <xdr:spPr>
        <a:xfrm>
          <a:off x="3136900" y="132404223"/>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76" name="Resim 75">
          <a:extLst>
            <a:ext uri="{FF2B5EF4-FFF2-40B4-BE49-F238E27FC236}">
              <a16:creationId xmlns:a16="http://schemas.microsoft.com/office/drawing/2014/main" id="{82EB8ED2-4DE5-4294-A8EB-29F3ADC1D41F}"/>
            </a:ext>
          </a:extLst>
        </xdr:cNvPr>
        <xdr:cNvPicPr>
          <a:picLocks noChangeAspect="1"/>
        </xdr:cNvPicPr>
      </xdr:nvPicPr>
      <xdr:blipFill>
        <a:blip xmlns:r="http://schemas.openxmlformats.org/officeDocument/2006/relationships" r:embed="rId1"/>
        <a:stretch>
          <a:fillRect/>
        </a:stretch>
      </xdr:blipFill>
      <xdr:spPr>
        <a:xfrm>
          <a:off x="186764" y="136192934"/>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77" name="Resim 76">
          <a:extLst>
            <a:ext uri="{FF2B5EF4-FFF2-40B4-BE49-F238E27FC236}">
              <a16:creationId xmlns:a16="http://schemas.microsoft.com/office/drawing/2014/main" id="{B1806916-2540-42E1-BED0-E2A5B3081D6B}"/>
            </a:ext>
          </a:extLst>
        </xdr:cNvPr>
        <xdr:cNvPicPr>
          <a:picLocks noChangeAspect="1"/>
        </xdr:cNvPicPr>
      </xdr:nvPicPr>
      <xdr:blipFill>
        <a:blip xmlns:r="http://schemas.openxmlformats.org/officeDocument/2006/relationships" r:embed="rId2"/>
        <a:stretch>
          <a:fillRect/>
        </a:stretch>
      </xdr:blipFill>
      <xdr:spPr>
        <a:xfrm>
          <a:off x="3136900" y="136080873"/>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78" name="Resim 77">
          <a:extLst>
            <a:ext uri="{FF2B5EF4-FFF2-40B4-BE49-F238E27FC236}">
              <a16:creationId xmlns:a16="http://schemas.microsoft.com/office/drawing/2014/main" id="{6F83CD68-878C-428D-BC01-225169A8E96F}"/>
            </a:ext>
          </a:extLst>
        </xdr:cNvPr>
        <xdr:cNvPicPr>
          <a:picLocks noChangeAspect="1"/>
        </xdr:cNvPicPr>
      </xdr:nvPicPr>
      <xdr:blipFill>
        <a:blip xmlns:r="http://schemas.openxmlformats.org/officeDocument/2006/relationships" r:embed="rId1"/>
        <a:stretch>
          <a:fillRect/>
        </a:stretch>
      </xdr:blipFill>
      <xdr:spPr>
        <a:xfrm>
          <a:off x="186764" y="139869584"/>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79" name="Resim 78">
          <a:extLst>
            <a:ext uri="{FF2B5EF4-FFF2-40B4-BE49-F238E27FC236}">
              <a16:creationId xmlns:a16="http://schemas.microsoft.com/office/drawing/2014/main" id="{DEB98CC6-2953-4ABE-8BA2-73720C0814C6}"/>
            </a:ext>
          </a:extLst>
        </xdr:cNvPr>
        <xdr:cNvPicPr>
          <a:picLocks noChangeAspect="1"/>
        </xdr:cNvPicPr>
      </xdr:nvPicPr>
      <xdr:blipFill>
        <a:blip xmlns:r="http://schemas.openxmlformats.org/officeDocument/2006/relationships" r:embed="rId2"/>
        <a:stretch>
          <a:fillRect/>
        </a:stretch>
      </xdr:blipFill>
      <xdr:spPr>
        <a:xfrm>
          <a:off x="3136900" y="139757523"/>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80" name="Resim 79">
          <a:extLst>
            <a:ext uri="{FF2B5EF4-FFF2-40B4-BE49-F238E27FC236}">
              <a16:creationId xmlns:a16="http://schemas.microsoft.com/office/drawing/2014/main" id="{47EF3937-0B64-46CF-A2CC-D97D6E4F1331}"/>
            </a:ext>
          </a:extLst>
        </xdr:cNvPr>
        <xdr:cNvPicPr>
          <a:picLocks noChangeAspect="1"/>
        </xdr:cNvPicPr>
      </xdr:nvPicPr>
      <xdr:blipFill>
        <a:blip xmlns:r="http://schemas.openxmlformats.org/officeDocument/2006/relationships" r:embed="rId1"/>
        <a:stretch>
          <a:fillRect/>
        </a:stretch>
      </xdr:blipFill>
      <xdr:spPr>
        <a:xfrm>
          <a:off x="186764" y="143546234"/>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81" name="Resim 80">
          <a:extLst>
            <a:ext uri="{FF2B5EF4-FFF2-40B4-BE49-F238E27FC236}">
              <a16:creationId xmlns:a16="http://schemas.microsoft.com/office/drawing/2014/main" id="{058A51E0-7A83-4E74-8DD6-B14045A07062}"/>
            </a:ext>
          </a:extLst>
        </xdr:cNvPr>
        <xdr:cNvPicPr>
          <a:picLocks noChangeAspect="1"/>
        </xdr:cNvPicPr>
      </xdr:nvPicPr>
      <xdr:blipFill>
        <a:blip xmlns:r="http://schemas.openxmlformats.org/officeDocument/2006/relationships" r:embed="rId2"/>
        <a:stretch>
          <a:fillRect/>
        </a:stretch>
      </xdr:blipFill>
      <xdr:spPr>
        <a:xfrm>
          <a:off x="3136900" y="143434173"/>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82" name="Resim 81">
          <a:extLst>
            <a:ext uri="{FF2B5EF4-FFF2-40B4-BE49-F238E27FC236}">
              <a16:creationId xmlns:a16="http://schemas.microsoft.com/office/drawing/2014/main" id="{DB19E998-7EBC-4162-AEA5-C434247B8BD3}"/>
            </a:ext>
          </a:extLst>
        </xdr:cNvPr>
        <xdr:cNvPicPr>
          <a:picLocks noChangeAspect="1"/>
        </xdr:cNvPicPr>
      </xdr:nvPicPr>
      <xdr:blipFill>
        <a:blip xmlns:r="http://schemas.openxmlformats.org/officeDocument/2006/relationships" r:embed="rId1"/>
        <a:stretch>
          <a:fillRect/>
        </a:stretch>
      </xdr:blipFill>
      <xdr:spPr>
        <a:xfrm>
          <a:off x="186764" y="147222884"/>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83" name="Resim 82">
          <a:extLst>
            <a:ext uri="{FF2B5EF4-FFF2-40B4-BE49-F238E27FC236}">
              <a16:creationId xmlns:a16="http://schemas.microsoft.com/office/drawing/2014/main" id="{E5F33A5D-29C8-45C5-90AB-2BEA98429702}"/>
            </a:ext>
          </a:extLst>
        </xdr:cNvPr>
        <xdr:cNvPicPr>
          <a:picLocks noChangeAspect="1"/>
        </xdr:cNvPicPr>
      </xdr:nvPicPr>
      <xdr:blipFill>
        <a:blip xmlns:r="http://schemas.openxmlformats.org/officeDocument/2006/relationships" r:embed="rId2"/>
        <a:stretch>
          <a:fillRect/>
        </a:stretch>
      </xdr:blipFill>
      <xdr:spPr>
        <a:xfrm>
          <a:off x="3136900" y="147110823"/>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84" name="Resim 83">
          <a:extLst>
            <a:ext uri="{FF2B5EF4-FFF2-40B4-BE49-F238E27FC236}">
              <a16:creationId xmlns:a16="http://schemas.microsoft.com/office/drawing/2014/main" id="{6B4CBA75-8A51-49C4-A39F-DCA338BDAF62}"/>
            </a:ext>
          </a:extLst>
        </xdr:cNvPr>
        <xdr:cNvPicPr>
          <a:picLocks noChangeAspect="1"/>
        </xdr:cNvPicPr>
      </xdr:nvPicPr>
      <xdr:blipFill>
        <a:blip xmlns:r="http://schemas.openxmlformats.org/officeDocument/2006/relationships" r:embed="rId1"/>
        <a:stretch>
          <a:fillRect/>
        </a:stretch>
      </xdr:blipFill>
      <xdr:spPr>
        <a:xfrm>
          <a:off x="186764" y="150899534"/>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85" name="Resim 84">
          <a:extLst>
            <a:ext uri="{FF2B5EF4-FFF2-40B4-BE49-F238E27FC236}">
              <a16:creationId xmlns:a16="http://schemas.microsoft.com/office/drawing/2014/main" id="{575153EC-E68F-4905-BBA3-3793AECA3389}"/>
            </a:ext>
          </a:extLst>
        </xdr:cNvPr>
        <xdr:cNvPicPr>
          <a:picLocks noChangeAspect="1"/>
        </xdr:cNvPicPr>
      </xdr:nvPicPr>
      <xdr:blipFill>
        <a:blip xmlns:r="http://schemas.openxmlformats.org/officeDocument/2006/relationships" r:embed="rId2"/>
        <a:stretch>
          <a:fillRect/>
        </a:stretch>
      </xdr:blipFill>
      <xdr:spPr>
        <a:xfrm>
          <a:off x="3136900" y="150787473"/>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86" name="Resim 85">
          <a:extLst>
            <a:ext uri="{FF2B5EF4-FFF2-40B4-BE49-F238E27FC236}">
              <a16:creationId xmlns:a16="http://schemas.microsoft.com/office/drawing/2014/main" id="{6C77853A-CEDE-466F-8502-A172C23165F7}"/>
            </a:ext>
          </a:extLst>
        </xdr:cNvPr>
        <xdr:cNvPicPr>
          <a:picLocks noChangeAspect="1"/>
        </xdr:cNvPicPr>
      </xdr:nvPicPr>
      <xdr:blipFill>
        <a:blip xmlns:r="http://schemas.openxmlformats.org/officeDocument/2006/relationships" r:embed="rId1"/>
        <a:stretch>
          <a:fillRect/>
        </a:stretch>
      </xdr:blipFill>
      <xdr:spPr>
        <a:xfrm>
          <a:off x="186764" y="154576184"/>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87" name="Resim 86">
          <a:extLst>
            <a:ext uri="{FF2B5EF4-FFF2-40B4-BE49-F238E27FC236}">
              <a16:creationId xmlns:a16="http://schemas.microsoft.com/office/drawing/2014/main" id="{A3785C40-FC4F-457B-811D-762C4770708D}"/>
            </a:ext>
          </a:extLst>
        </xdr:cNvPr>
        <xdr:cNvPicPr>
          <a:picLocks noChangeAspect="1"/>
        </xdr:cNvPicPr>
      </xdr:nvPicPr>
      <xdr:blipFill>
        <a:blip xmlns:r="http://schemas.openxmlformats.org/officeDocument/2006/relationships" r:embed="rId2"/>
        <a:stretch>
          <a:fillRect/>
        </a:stretch>
      </xdr:blipFill>
      <xdr:spPr>
        <a:xfrm>
          <a:off x="3136900" y="154464123"/>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88" name="Resim 87">
          <a:extLst>
            <a:ext uri="{FF2B5EF4-FFF2-40B4-BE49-F238E27FC236}">
              <a16:creationId xmlns:a16="http://schemas.microsoft.com/office/drawing/2014/main" id="{722CE94B-B1E9-4DCB-AA28-5B8B80BBA9CD}"/>
            </a:ext>
          </a:extLst>
        </xdr:cNvPr>
        <xdr:cNvPicPr>
          <a:picLocks noChangeAspect="1"/>
        </xdr:cNvPicPr>
      </xdr:nvPicPr>
      <xdr:blipFill>
        <a:blip xmlns:r="http://schemas.openxmlformats.org/officeDocument/2006/relationships" r:embed="rId1"/>
        <a:stretch>
          <a:fillRect/>
        </a:stretch>
      </xdr:blipFill>
      <xdr:spPr>
        <a:xfrm>
          <a:off x="186764" y="158252834"/>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89" name="Resim 88">
          <a:extLst>
            <a:ext uri="{FF2B5EF4-FFF2-40B4-BE49-F238E27FC236}">
              <a16:creationId xmlns:a16="http://schemas.microsoft.com/office/drawing/2014/main" id="{16AD2602-8F92-4BAB-9F72-D37308ABB85C}"/>
            </a:ext>
          </a:extLst>
        </xdr:cNvPr>
        <xdr:cNvPicPr>
          <a:picLocks noChangeAspect="1"/>
        </xdr:cNvPicPr>
      </xdr:nvPicPr>
      <xdr:blipFill>
        <a:blip xmlns:r="http://schemas.openxmlformats.org/officeDocument/2006/relationships" r:embed="rId2"/>
        <a:stretch>
          <a:fillRect/>
        </a:stretch>
      </xdr:blipFill>
      <xdr:spPr>
        <a:xfrm>
          <a:off x="3136900" y="158140773"/>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90" name="Resim 89">
          <a:extLst>
            <a:ext uri="{FF2B5EF4-FFF2-40B4-BE49-F238E27FC236}">
              <a16:creationId xmlns:a16="http://schemas.microsoft.com/office/drawing/2014/main" id="{3FF2B27A-5422-44B1-A284-1A2474D63C67}"/>
            </a:ext>
          </a:extLst>
        </xdr:cNvPr>
        <xdr:cNvPicPr>
          <a:picLocks noChangeAspect="1"/>
        </xdr:cNvPicPr>
      </xdr:nvPicPr>
      <xdr:blipFill>
        <a:blip xmlns:r="http://schemas.openxmlformats.org/officeDocument/2006/relationships" r:embed="rId1"/>
        <a:stretch>
          <a:fillRect/>
        </a:stretch>
      </xdr:blipFill>
      <xdr:spPr>
        <a:xfrm>
          <a:off x="186764" y="161929484"/>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91" name="Resim 90">
          <a:extLst>
            <a:ext uri="{FF2B5EF4-FFF2-40B4-BE49-F238E27FC236}">
              <a16:creationId xmlns:a16="http://schemas.microsoft.com/office/drawing/2014/main" id="{8D04E183-7AED-4E73-A142-6420A09082F3}"/>
            </a:ext>
          </a:extLst>
        </xdr:cNvPr>
        <xdr:cNvPicPr>
          <a:picLocks noChangeAspect="1"/>
        </xdr:cNvPicPr>
      </xdr:nvPicPr>
      <xdr:blipFill>
        <a:blip xmlns:r="http://schemas.openxmlformats.org/officeDocument/2006/relationships" r:embed="rId2"/>
        <a:stretch>
          <a:fillRect/>
        </a:stretch>
      </xdr:blipFill>
      <xdr:spPr>
        <a:xfrm>
          <a:off x="3136900" y="161817423"/>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92" name="Resim 91">
          <a:extLst>
            <a:ext uri="{FF2B5EF4-FFF2-40B4-BE49-F238E27FC236}">
              <a16:creationId xmlns:a16="http://schemas.microsoft.com/office/drawing/2014/main" id="{A8519832-8D1C-4A98-961A-5297B8C5A3F7}"/>
            </a:ext>
          </a:extLst>
        </xdr:cNvPr>
        <xdr:cNvPicPr>
          <a:picLocks noChangeAspect="1"/>
        </xdr:cNvPicPr>
      </xdr:nvPicPr>
      <xdr:blipFill>
        <a:blip xmlns:r="http://schemas.openxmlformats.org/officeDocument/2006/relationships" r:embed="rId1"/>
        <a:stretch>
          <a:fillRect/>
        </a:stretch>
      </xdr:blipFill>
      <xdr:spPr>
        <a:xfrm>
          <a:off x="186764" y="165606134"/>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93" name="Resim 92">
          <a:extLst>
            <a:ext uri="{FF2B5EF4-FFF2-40B4-BE49-F238E27FC236}">
              <a16:creationId xmlns:a16="http://schemas.microsoft.com/office/drawing/2014/main" id="{8A19A45F-6A39-4C24-A30E-7567E12C2FDE}"/>
            </a:ext>
          </a:extLst>
        </xdr:cNvPr>
        <xdr:cNvPicPr>
          <a:picLocks noChangeAspect="1"/>
        </xdr:cNvPicPr>
      </xdr:nvPicPr>
      <xdr:blipFill>
        <a:blip xmlns:r="http://schemas.openxmlformats.org/officeDocument/2006/relationships" r:embed="rId2"/>
        <a:stretch>
          <a:fillRect/>
        </a:stretch>
      </xdr:blipFill>
      <xdr:spPr>
        <a:xfrm>
          <a:off x="3136900" y="165494073"/>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94" name="Resim 93">
          <a:extLst>
            <a:ext uri="{FF2B5EF4-FFF2-40B4-BE49-F238E27FC236}">
              <a16:creationId xmlns:a16="http://schemas.microsoft.com/office/drawing/2014/main" id="{3CFA1008-8322-4D4D-84D2-65CCAFDA4D10}"/>
            </a:ext>
          </a:extLst>
        </xdr:cNvPr>
        <xdr:cNvPicPr>
          <a:picLocks noChangeAspect="1"/>
        </xdr:cNvPicPr>
      </xdr:nvPicPr>
      <xdr:blipFill>
        <a:blip xmlns:r="http://schemas.openxmlformats.org/officeDocument/2006/relationships" r:embed="rId1"/>
        <a:stretch>
          <a:fillRect/>
        </a:stretch>
      </xdr:blipFill>
      <xdr:spPr>
        <a:xfrm>
          <a:off x="186764" y="169282784"/>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95" name="Resim 94">
          <a:extLst>
            <a:ext uri="{FF2B5EF4-FFF2-40B4-BE49-F238E27FC236}">
              <a16:creationId xmlns:a16="http://schemas.microsoft.com/office/drawing/2014/main" id="{D20DBBAB-0689-45AC-AE36-1D4864D966B5}"/>
            </a:ext>
          </a:extLst>
        </xdr:cNvPr>
        <xdr:cNvPicPr>
          <a:picLocks noChangeAspect="1"/>
        </xdr:cNvPicPr>
      </xdr:nvPicPr>
      <xdr:blipFill>
        <a:blip xmlns:r="http://schemas.openxmlformats.org/officeDocument/2006/relationships" r:embed="rId2"/>
        <a:stretch>
          <a:fillRect/>
        </a:stretch>
      </xdr:blipFill>
      <xdr:spPr>
        <a:xfrm>
          <a:off x="3136900" y="169170723"/>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96" name="Resim 95">
          <a:extLst>
            <a:ext uri="{FF2B5EF4-FFF2-40B4-BE49-F238E27FC236}">
              <a16:creationId xmlns:a16="http://schemas.microsoft.com/office/drawing/2014/main" id="{AE0B0582-BF98-4BB3-A6A8-3A1BA2BC5321}"/>
            </a:ext>
          </a:extLst>
        </xdr:cNvPr>
        <xdr:cNvPicPr>
          <a:picLocks noChangeAspect="1"/>
        </xdr:cNvPicPr>
      </xdr:nvPicPr>
      <xdr:blipFill>
        <a:blip xmlns:r="http://schemas.openxmlformats.org/officeDocument/2006/relationships" r:embed="rId1"/>
        <a:stretch>
          <a:fillRect/>
        </a:stretch>
      </xdr:blipFill>
      <xdr:spPr>
        <a:xfrm>
          <a:off x="186764" y="172959434"/>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97" name="Resim 96">
          <a:extLst>
            <a:ext uri="{FF2B5EF4-FFF2-40B4-BE49-F238E27FC236}">
              <a16:creationId xmlns:a16="http://schemas.microsoft.com/office/drawing/2014/main" id="{17D2D4DB-226C-4DCC-8725-FF4917BE3E9B}"/>
            </a:ext>
          </a:extLst>
        </xdr:cNvPr>
        <xdr:cNvPicPr>
          <a:picLocks noChangeAspect="1"/>
        </xdr:cNvPicPr>
      </xdr:nvPicPr>
      <xdr:blipFill>
        <a:blip xmlns:r="http://schemas.openxmlformats.org/officeDocument/2006/relationships" r:embed="rId2"/>
        <a:stretch>
          <a:fillRect/>
        </a:stretch>
      </xdr:blipFill>
      <xdr:spPr>
        <a:xfrm>
          <a:off x="3136900" y="172847373"/>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98" name="Resim 97">
          <a:extLst>
            <a:ext uri="{FF2B5EF4-FFF2-40B4-BE49-F238E27FC236}">
              <a16:creationId xmlns:a16="http://schemas.microsoft.com/office/drawing/2014/main" id="{B06F3848-9DEB-4D79-9211-C562292BD944}"/>
            </a:ext>
          </a:extLst>
        </xdr:cNvPr>
        <xdr:cNvPicPr>
          <a:picLocks noChangeAspect="1"/>
        </xdr:cNvPicPr>
      </xdr:nvPicPr>
      <xdr:blipFill>
        <a:blip xmlns:r="http://schemas.openxmlformats.org/officeDocument/2006/relationships" r:embed="rId1"/>
        <a:stretch>
          <a:fillRect/>
        </a:stretch>
      </xdr:blipFill>
      <xdr:spPr>
        <a:xfrm>
          <a:off x="186764" y="176636084"/>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99" name="Resim 98">
          <a:extLst>
            <a:ext uri="{FF2B5EF4-FFF2-40B4-BE49-F238E27FC236}">
              <a16:creationId xmlns:a16="http://schemas.microsoft.com/office/drawing/2014/main" id="{6195CC01-0502-495F-8D9B-57E9C544563C}"/>
            </a:ext>
          </a:extLst>
        </xdr:cNvPr>
        <xdr:cNvPicPr>
          <a:picLocks noChangeAspect="1"/>
        </xdr:cNvPicPr>
      </xdr:nvPicPr>
      <xdr:blipFill>
        <a:blip xmlns:r="http://schemas.openxmlformats.org/officeDocument/2006/relationships" r:embed="rId2"/>
        <a:stretch>
          <a:fillRect/>
        </a:stretch>
      </xdr:blipFill>
      <xdr:spPr>
        <a:xfrm>
          <a:off x="3136900" y="176524023"/>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100" name="Resim 99">
          <a:extLst>
            <a:ext uri="{FF2B5EF4-FFF2-40B4-BE49-F238E27FC236}">
              <a16:creationId xmlns:a16="http://schemas.microsoft.com/office/drawing/2014/main" id="{07C09D79-5175-4094-A787-47329244C716}"/>
            </a:ext>
          </a:extLst>
        </xdr:cNvPr>
        <xdr:cNvPicPr>
          <a:picLocks noChangeAspect="1"/>
        </xdr:cNvPicPr>
      </xdr:nvPicPr>
      <xdr:blipFill>
        <a:blip xmlns:r="http://schemas.openxmlformats.org/officeDocument/2006/relationships" r:embed="rId1"/>
        <a:stretch>
          <a:fillRect/>
        </a:stretch>
      </xdr:blipFill>
      <xdr:spPr>
        <a:xfrm>
          <a:off x="186764" y="180312734"/>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101" name="Resim 100">
          <a:extLst>
            <a:ext uri="{FF2B5EF4-FFF2-40B4-BE49-F238E27FC236}">
              <a16:creationId xmlns:a16="http://schemas.microsoft.com/office/drawing/2014/main" id="{C7BAEA43-E534-4666-AF66-A9B2C0EF09C0}"/>
            </a:ext>
          </a:extLst>
        </xdr:cNvPr>
        <xdr:cNvPicPr>
          <a:picLocks noChangeAspect="1"/>
        </xdr:cNvPicPr>
      </xdr:nvPicPr>
      <xdr:blipFill>
        <a:blip xmlns:r="http://schemas.openxmlformats.org/officeDocument/2006/relationships" r:embed="rId2"/>
        <a:stretch>
          <a:fillRect/>
        </a:stretch>
      </xdr:blipFill>
      <xdr:spPr>
        <a:xfrm>
          <a:off x="3136900" y="180200673"/>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102" name="Resim 101">
          <a:extLst>
            <a:ext uri="{FF2B5EF4-FFF2-40B4-BE49-F238E27FC236}">
              <a16:creationId xmlns:a16="http://schemas.microsoft.com/office/drawing/2014/main" id="{C74A12A7-361C-4AE3-ACB7-11B93FF784B4}"/>
            </a:ext>
          </a:extLst>
        </xdr:cNvPr>
        <xdr:cNvPicPr>
          <a:picLocks noChangeAspect="1"/>
        </xdr:cNvPicPr>
      </xdr:nvPicPr>
      <xdr:blipFill>
        <a:blip xmlns:r="http://schemas.openxmlformats.org/officeDocument/2006/relationships" r:embed="rId1"/>
        <a:stretch>
          <a:fillRect/>
        </a:stretch>
      </xdr:blipFill>
      <xdr:spPr>
        <a:xfrm>
          <a:off x="186764" y="183989384"/>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103" name="Resim 102">
          <a:extLst>
            <a:ext uri="{FF2B5EF4-FFF2-40B4-BE49-F238E27FC236}">
              <a16:creationId xmlns:a16="http://schemas.microsoft.com/office/drawing/2014/main" id="{6CBA5D18-F953-4901-8BD3-031DD09D7847}"/>
            </a:ext>
          </a:extLst>
        </xdr:cNvPr>
        <xdr:cNvPicPr>
          <a:picLocks noChangeAspect="1"/>
        </xdr:cNvPicPr>
      </xdr:nvPicPr>
      <xdr:blipFill>
        <a:blip xmlns:r="http://schemas.openxmlformats.org/officeDocument/2006/relationships" r:embed="rId2"/>
        <a:stretch>
          <a:fillRect/>
        </a:stretch>
      </xdr:blipFill>
      <xdr:spPr>
        <a:xfrm>
          <a:off x="3136900" y="183877323"/>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104" name="Resim 103">
          <a:extLst>
            <a:ext uri="{FF2B5EF4-FFF2-40B4-BE49-F238E27FC236}">
              <a16:creationId xmlns:a16="http://schemas.microsoft.com/office/drawing/2014/main" id="{B547C417-3C8C-4292-ADE7-23022582382C}"/>
            </a:ext>
          </a:extLst>
        </xdr:cNvPr>
        <xdr:cNvPicPr>
          <a:picLocks noChangeAspect="1"/>
        </xdr:cNvPicPr>
      </xdr:nvPicPr>
      <xdr:blipFill>
        <a:blip xmlns:r="http://schemas.openxmlformats.org/officeDocument/2006/relationships" r:embed="rId1"/>
        <a:stretch>
          <a:fillRect/>
        </a:stretch>
      </xdr:blipFill>
      <xdr:spPr>
        <a:xfrm>
          <a:off x="186764" y="187666034"/>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105" name="Resim 104">
          <a:extLst>
            <a:ext uri="{FF2B5EF4-FFF2-40B4-BE49-F238E27FC236}">
              <a16:creationId xmlns:a16="http://schemas.microsoft.com/office/drawing/2014/main" id="{D7D36943-F298-4203-9610-C349458BECFB}"/>
            </a:ext>
          </a:extLst>
        </xdr:cNvPr>
        <xdr:cNvPicPr>
          <a:picLocks noChangeAspect="1"/>
        </xdr:cNvPicPr>
      </xdr:nvPicPr>
      <xdr:blipFill>
        <a:blip xmlns:r="http://schemas.openxmlformats.org/officeDocument/2006/relationships" r:embed="rId2"/>
        <a:stretch>
          <a:fillRect/>
        </a:stretch>
      </xdr:blipFill>
      <xdr:spPr>
        <a:xfrm>
          <a:off x="3136900" y="187553973"/>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106" name="Resim 105">
          <a:extLst>
            <a:ext uri="{FF2B5EF4-FFF2-40B4-BE49-F238E27FC236}">
              <a16:creationId xmlns:a16="http://schemas.microsoft.com/office/drawing/2014/main" id="{F84B5D10-EEBA-4773-9CB2-EFE95C7693FF}"/>
            </a:ext>
          </a:extLst>
        </xdr:cNvPr>
        <xdr:cNvPicPr>
          <a:picLocks noChangeAspect="1"/>
        </xdr:cNvPicPr>
      </xdr:nvPicPr>
      <xdr:blipFill>
        <a:blip xmlns:r="http://schemas.openxmlformats.org/officeDocument/2006/relationships" r:embed="rId1"/>
        <a:stretch>
          <a:fillRect/>
        </a:stretch>
      </xdr:blipFill>
      <xdr:spPr>
        <a:xfrm>
          <a:off x="186764" y="191342684"/>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107" name="Resim 106">
          <a:extLst>
            <a:ext uri="{FF2B5EF4-FFF2-40B4-BE49-F238E27FC236}">
              <a16:creationId xmlns:a16="http://schemas.microsoft.com/office/drawing/2014/main" id="{E1C930F0-17F6-4C43-BD7F-B10696439916}"/>
            </a:ext>
          </a:extLst>
        </xdr:cNvPr>
        <xdr:cNvPicPr>
          <a:picLocks noChangeAspect="1"/>
        </xdr:cNvPicPr>
      </xdr:nvPicPr>
      <xdr:blipFill>
        <a:blip xmlns:r="http://schemas.openxmlformats.org/officeDocument/2006/relationships" r:embed="rId2"/>
        <a:stretch>
          <a:fillRect/>
        </a:stretch>
      </xdr:blipFill>
      <xdr:spPr>
        <a:xfrm>
          <a:off x="3136900" y="191230623"/>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108" name="Resim 107">
          <a:extLst>
            <a:ext uri="{FF2B5EF4-FFF2-40B4-BE49-F238E27FC236}">
              <a16:creationId xmlns:a16="http://schemas.microsoft.com/office/drawing/2014/main" id="{AB3BF5C1-5EA4-46A9-86BA-FB12F8D928AD}"/>
            </a:ext>
          </a:extLst>
        </xdr:cNvPr>
        <xdr:cNvPicPr>
          <a:picLocks noChangeAspect="1"/>
        </xdr:cNvPicPr>
      </xdr:nvPicPr>
      <xdr:blipFill>
        <a:blip xmlns:r="http://schemas.openxmlformats.org/officeDocument/2006/relationships" r:embed="rId1"/>
        <a:stretch>
          <a:fillRect/>
        </a:stretch>
      </xdr:blipFill>
      <xdr:spPr>
        <a:xfrm>
          <a:off x="186764" y="195019334"/>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109" name="Resim 108">
          <a:extLst>
            <a:ext uri="{FF2B5EF4-FFF2-40B4-BE49-F238E27FC236}">
              <a16:creationId xmlns:a16="http://schemas.microsoft.com/office/drawing/2014/main" id="{818E940B-3A97-4DED-B9CB-9ECA06EB928A}"/>
            </a:ext>
          </a:extLst>
        </xdr:cNvPr>
        <xdr:cNvPicPr>
          <a:picLocks noChangeAspect="1"/>
        </xdr:cNvPicPr>
      </xdr:nvPicPr>
      <xdr:blipFill>
        <a:blip xmlns:r="http://schemas.openxmlformats.org/officeDocument/2006/relationships" r:embed="rId2"/>
        <a:stretch>
          <a:fillRect/>
        </a:stretch>
      </xdr:blipFill>
      <xdr:spPr>
        <a:xfrm>
          <a:off x="3136900" y="194907273"/>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110" name="Resim 109">
          <a:extLst>
            <a:ext uri="{FF2B5EF4-FFF2-40B4-BE49-F238E27FC236}">
              <a16:creationId xmlns:a16="http://schemas.microsoft.com/office/drawing/2014/main" id="{DD310B04-6481-4ABA-B21F-DD573582ED22}"/>
            </a:ext>
          </a:extLst>
        </xdr:cNvPr>
        <xdr:cNvPicPr>
          <a:picLocks noChangeAspect="1"/>
        </xdr:cNvPicPr>
      </xdr:nvPicPr>
      <xdr:blipFill>
        <a:blip xmlns:r="http://schemas.openxmlformats.org/officeDocument/2006/relationships" r:embed="rId1"/>
        <a:stretch>
          <a:fillRect/>
        </a:stretch>
      </xdr:blipFill>
      <xdr:spPr>
        <a:xfrm>
          <a:off x="186764" y="198695984"/>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111" name="Resim 110">
          <a:extLst>
            <a:ext uri="{FF2B5EF4-FFF2-40B4-BE49-F238E27FC236}">
              <a16:creationId xmlns:a16="http://schemas.microsoft.com/office/drawing/2014/main" id="{B2BCADBE-5A47-4806-B577-87DAF845D2EC}"/>
            </a:ext>
          </a:extLst>
        </xdr:cNvPr>
        <xdr:cNvPicPr>
          <a:picLocks noChangeAspect="1"/>
        </xdr:cNvPicPr>
      </xdr:nvPicPr>
      <xdr:blipFill>
        <a:blip xmlns:r="http://schemas.openxmlformats.org/officeDocument/2006/relationships" r:embed="rId2"/>
        <a:stretch>
          <a:fillRect/>
        </a:stretch>
      </xdr:blipFill>
      <xdr:spPr>
        <a:xfrm>
          <a:off x="3136900" y="198583923"/>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112" name="Resim 111">
          <a:extLst>
            <a:ext uri="{FF2B5EF4-FFF2-40B4-BE49-F238E27FC236}">
              <a16:creationId xmlns:a16="http://schemas.microsoft.com/office/drawing/2014/main" id="{ECA8C31D-1E88-4A4D-9493-5D1917CBAE2E}"/>
            </a:ext>
          </a:extLst>
        </xdr:cNvPr>
        <xdr:cNvPicPr>
          <a:picLocks noChangeAspect="1"/>
        </xdr:cNvPicPr>
      </xdr:nvPicPr>
      <xdr:blipFill>
        <a:blip xmlns:r="http://schemas.openxmlformats.org/officeDocument/2006/relationships" r:embed="rId1"/>
        <a:stretch>
          <a:fillRect/>
        </a:stretch>
      </xdr:blipFill>
      <xdr:spPr>
        <a:xfrm>
          <a:off x="186764" y="202372634"/>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113" name="Resim 112">
          <a:extLst>
            <a:ext uri="{FF2B5EF4-FFF2-40B4-BE49-F238E27FC236}">
              <a16:creationId xmlns:a16="http://schemas.microsoft.com/office/drawing/2014/main" id="{287F45E0-088F-44B3-899E-5D11482AC1FF}"/>
            </a:ext>
          </a:extLst>
        </xdr:cNvPr>
        <xdr:cNvPicPr>
          <a:picLocks noChangeAspect="1"/>
        </xdr:cNvPicPr>
      </xdr:nvPicPr>
      <xdr:blipFill>
        <a:blip xmlns:r="http://schemas.openxmlformats.org/officeDocument/2006/relationships" r:embed="rId2"/>
        <a:stretch>
          <a:fillRect/>
        </a:stretch>
      </xdr:blipFill>
      <xdr:spPr>
        <a:xfrm>
          <a:off x="3136900" y="202260573"/>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114" name="Resim 113">
          <a:extLst>
            <a:ext uri="{FF2B5EF4-FFF2-40B4-BE49-F238E27FC236}">
              <a16:creationId xmlns:a16="http://schemas.microsoft.com/office/drawing/2014/main" id="{3215047D-CE24-4B8F-A65D-899218A6EAD6}"/>
            </a:ext>
          </a:extLst>
        </xdr:cNvPr>
        <xdr:cNvPicPr>
          <a:picLocks noChangeAspect="1"/>
        </xdr:cNvPicPr>
      </xdr:nvPicPr>
      <xdr:blipFill>
        <a:blip xmlns:r="http://schemas.openxmlformats.org/officeDocument/2006/relationships" r:embed="rId1"/>
        <a:stretch>
          <a:fillRect/>
        </a:stretch>
      </xdr:blipFill>
      <xdr:spPr>
        <a:xfrm>
          <a:off x="186764" y="206049284"/>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115" name="Resim 114">
          <a:extLst>
            <a:ext uri="{FF2B5EF4-FFF2-40B4-BE49-F238E27FC236}">
              <a16:creationId xmlns:a16="http://schemas.microsoft.com/office/drawing/2014/main" id="{5919A603-C947-4275-9948-24E094CC3713}"/>
            </a:ext>
          </a:extLst>
        </xdr:cNvPr>
        <xdr:cNvPicPr>
          <a:picLocks noChangeAspect="1"/>
        </xdr:cNvPicPr>
      </xdr:nvPicPr>
      <xdr:blipFill>
        <a:blip xmlns:r="http://schemas.openxmlformats.org/officeDocument/2006/relationships" r:embed="rId2"/>
        <a:stretch>
          <a:fillRect/>
        </a:stretch>
      </xdr:blipFill>
      <xdr:spPr>
        <a:xfrm>
          <a:off x="3136900" y="205937223"/>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116" name="Resim 115">
          <a:extLst>
            <a:ext uri="{FF2B5EF4-FFF2-40B4-BE49-F238E27FC236}">
              <a16:creationId xmlns:a16="http://schemas.microsoft.com/office/drawing/2014/main" id="{B1A5572B-99FE-4E24-8C45-ADD450C31A8B}"/>
            </a:ext>
          </a:extLst>
        </xdr:cNvPr>
        <xdr:cNvPicPr>
          <a:picLocks noChangeAspect="1"/>
        </xdr:cNvPicPr>
      </xdr:nvPicPr>
      <xdr:blipFill>
        <a:blip xmlns:r="http://schemas.openxmlformats.org/officeDocument/2006/relationships" r:embed="rId1"/>
        <a:stretch>
          <a:fillRect/>
        </a:stretch>
      </xdr:blipFill>
      <xdr:spPr>
        <a:xfrm>
          <a:off x="186764" y="209725934"/>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117" name="Resim 116">
          <a:extLst>
            <a:ext uri="{FF2B5EF4-FFF2-40B4-BE49-F238E27FC236}">
              <a16:creationId xmlns:a16="http://schemas.microsoft.com/office/drawing/2014/main" id="{13F11437-9451-49B5-A4DA-16D34DA356E9}"/>
            </a:ext>
          </a:extLst>
        </xdr:cNvPr>
        <xdr:cNvPicPr>
          <a:picLocks noChangeAspect="1"/>
        </xdr:cNvPicPr>
      </xdr:nvPicPr>
      <xdr:blipFill>
        <a:blip xmlns:r="http://schemas.openxmlformats.org/officeDocument/2006/relationships" r:embed="rId2"/>
        <a:stretch>
          <a:fillRect/>
        </a:stretch>
      </xdr:blipFill>
      <xdr:spPr>
        <a:xfrm>
          <a:off x="3136900" y="209613873"/>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118" name="Resim 117">
          <a:extLst>
            <a:ext uri="{FF2B5EF4-FFF2-40B4-BE49-F238E27FC236}">
              <a16:creationId xmlns:a16="http://schemas.microsoft.com/office/drawing/2014/main" id="{0CB1C8C0-D0E1-4381-B627-4C610E3070E3}"/>
            </a:ext>
          </a:extLst>
        </xdr:cNvPr>
        <xdr:cNvPicPr>
          <a:picLocks noChangeAspect="1"/>
        </xdr:cNvPicPr>
      </xdr:nvPicPr>
      <xdr:blipFill>
        <a:blip xmlns:r="http://schemas.openxmlformats.org/officeDocument/2006/relationships" r:embed="rId1"/>
        <a:stretch>
          <a:fillRect/>
        </a:stretch>
      </xdr:blipFill>
      <xdr:spPr>
        <a:xfrm>
          <a:off x="186764" y="213402584"/>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119" name="Resim 118">
          <a:extLst>
            <a:ext uri="{FF2B5EF4-FFF2-40B4-BE49-F238E27FC236}">
              <a16:creationId xmlns:a16="http://schemas.microsoft.com/office/drawing/2014/main" id="{8260EC48-BE6C-41C6-84F7-B32125D3595D}"/>
            </a:ext>
          </a:extLst>
        </xdr:cNvPr>
        <xdr:cNvPicPr>
          <a:picLocks noChangeAspect="1"/>
        </xdr:cNvPicPr>
      </xdr:nvPicPr>
      <xdr:blipFill>
        <a:blip xmlns:r="http://schemas.openxmlformats.org/officeDocument/2006/relationships" r:embed="rId2"/>
        <a:stretch>
          <a:fillRect/>
        </a:stretch>
      </xdr:blipFill>
      <xdr:spPr>
        <a:xfrm>
          <a:off x="3136900" y="213290523"/>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120" name="Resim 119">
          <a:extLst>
            <a:ext uri="{FF2B5EF4-FFF2-40B4-BE49-F238E27FC236}">
              <a16:creationId xmlns:a16="http://schemas.microsoft.com/office/drawing/2014/main" id="{F327D767-72C3-4319-BF9B-77F83E8C599D}"/>
            </a:ext>
          </a:extLst>
        </xdr:cNvPr>
        <xdr:cNvPicPr>
          <a:picLocks noChangeAspect="1"/>
        </xdr:cNvPicPr>
      </xdr:nvPicPr>
      <xdr:blipFill>
        <a:blip xmlns:r="http://schemas.openxmlformats.org/officeDocument/2006/relationships" r:embed="rId1"/>
        <a:stretch>
          <a:fillRect/>
        </a:stretch>
      </xdr:blipFill>
      <xdr:spPr>
        <a:xfrm>
          <a:off x="186764" y="217079234"/>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121" name="Resim 120">
          <a:extLst>
            <a:ext uri="{FF2B5EF4-FFF2-40B4-BE49-F238E27FC236}">
              <a16:creationId xmlns:a16="http://schemas.microsoft.com/office/drawing/2014/main" id="{7AA9B4A8-20FE-4D64-BF37-DFA465BCEE78}"/>
            </a:ext>
          </a:extLst>
        </xdr:cNvPr>
        <xdr:cNvPicPr>
          <a:picLocks noChangeAspect="1"/>
        </xdr:cNvPicPr>
      </xdr:nvPicPr>
      <xdr:blipFill>
        <a:blip xmlns:r="http://schemas.openxmlformats.org/officeDocument/2006/relationships" r:embed="rId2"/>
        <a:stretch>
          <a:fillRect/>
        </a:stretch>
      </xdr:blipFill>
      <xdr:spPr>
        <a:xfrm>
          <a:off x="3136900" y="216967173"/>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122" name="Resim 121">
          <a:extLst>
            <a:ext uri="{FF2B5EF4-FFF2-40B4-BE49-F238E27FC236}">
              <a16:creationId xmlns:a16="http://schemas.microsoft.com/office/drawing/2014/main" id="{A7571CAE-DDF1-400A-AEC7-C803D33C8BB1}"/>
            </a:ext>
          </a:extLst>
        </xdr:cNvPr>
        <xdr:cNvPicPr>
          <a:picLocks noChangeAspect="1"/>
        </xdr:cNvPicPr>
      </xdr:nvPicPr>
      <xdr:blipFill>
        <a:blip xmlns:r="http://schemas.openxmlformats.org/officeDocument/2006/relationships" r:embed="rId1"/>
        <a:stretch>
          <a:fillRect/>
        </a:stretch>
      </xdr:blipFill>
      <xdr:spPr>
        <a:xfrm>
          <a:off x="186764" y="220755884"/>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123" name="Resim 122">
          <a:extLst>
            <a:ext uri="{FF2B5EF4-FFF2-40B4-BE49-F238E27FC236}">
              <a16:creationId xmlns:a16="http://schemas.microsoft.com/office/drawing/2014/main" id="{AFFD3EAB-34CC-4E00-AD32-2D362274E5DD}"/>
            </a:ext>
          </a:extLst>
        </xdr:cNvPr>
        <xdr:cNvPicPr>
          <a:picLocks noChangeAspect="1"/>
        </xdr:cNvPicPr>
      </xdr:nvPicPr>
      <xdr:blipFill>
        <a:blip xmlns:r="http://schemas.openxmlformats.org/officeDocument/2006/relationships" r:embed="rId2"/>
        <a:stretch>
          <a:fillRect/>
        </a:stretch>
      </xdr:blipFill>
      <xdr:spPr>
        <a:xfrm>
          <a:off x="3136900" y="220643823"/>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124" name="Resim 123">
          <a:extLst>
            <a:ext uri="{FF2B5EF4-FFF2-40B4-BE49-F238E27FC236}">
              <a16:creationId xmlns:a16="http://schemas.microsoft.com/office/drawing/2014/main" id="{72BC51B5-E9A4-444D-9754-37A3E0327BEF}"/>
            </a:ext>
          </a:extLst>
        </xdr:cNvPr>
        <xdr:cNvPicPr>
          <a:picLocks noChangeAspect="1"/>
        </xdr:cNvPicPr>
      </xdr:nvPicPr>
      <xdr:blipFill>
        <a:blip xmlns:r="http://schemas.openxmlformats.org/officeDocument/2006/relationships" r:embed="rId1"/>
        <a:stretch>
          <a:fillRect/>
        </a:stretch>
      </xdr:blipFill>
      <xdr:spPr>
        <a:xfrm>
          <a:off x="186764" y="224432534"/>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125" name="Resim 124">
          <a:extLst>
            <a:ext uri="{FF2B5EF4-FFF2-40B4-BE49-F238E27FC236}">
              <a16:creationId xmlns:a16="http://schemas.microsoft.com/office/drawing/2014/main" id="{FFF61B7B-7D62-4196-BF4C-3A02E8026F7B}"/>
            </a:ext>
          </a:extLst>
        </xdr:cNvPr>
        <xdr:cNvPicPr>
          <a:picLocks noChangeAspect="1"/>
        </xdr:cNvPicPr>
      </xdr:nvPicPr>
      <xdr:blipFill>
        <a:blip xmlns:r="http://schemas.openxmlformats.org/officeDocument/2006/relationships" r:embed="rId2"/>
        <a:stretch>
          <a:fillRect/>
        </a:stretch>
      </xdr:blipFill>
      <xdr:spPr>
        <a:xfrm>
          <a:off x="3136900" y="224320473"/>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126" name="Resim 125">
          <a:extLst>
            <a:ext uri="{FF2B5EF4-FFF2-40B4-BE49-F238E27FC236}">
              <a16:creationId xmlns:a16="http://schemas.microsoft.com/office/drawing/2014/main" id="{82ACB561-9C3A-4E39-96F2-113897DECCB6}"/>
            </a:ext>
          </a:extLst>
        </xdr:cNvPr>
        <xdr:cNvPicPr>
          <a:picLocks noChangeAspect="1"/>
        </xdr:cNvPicPr>
      </xdr:nvPicPr>
      <xdr:blipFill>
        <a:blip xmlns:r="http://schemas.openxmlformats.org/officeDocument/2006/relationships" r:embed="rId1"/>
        <a:stretch>
          <a:fillRect/>
        </a:stretch>
      </xdr:blipFill>
      <xdr:spPr>
        <a:xfrm>
          <a:off x="186764" y="228109184"/>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127" name="Resim 126">
          <a:extLst>
            <a:ext uri="{FF2B5EF4-FFF2-40B4-BE49-F238E27FC236}">
              <a16:creationId xmlns:a16="http://schemas.microsoft.com/office/drawing/2014/main" id="{B69A2DD5-804E-4AB7-85BE-0A99AC5E83A5}"/>
            </a:ext>
          </a:extLst>
        </xdr:cNvPr>
        <xdr:cNvPicPr>
          <a:picLocks noChangeAspect="1"/>
        </xdr:cNvPicPr>
      </xdr:nvPicPr>
      <xdr:blipFill>
        <a:blip xmlns:r="http://schemas.openxmlformats.org/officeDocument/2006/relationships" r:embed="rId2"/>
        <a:stretch>
          <a:fillRect/>
        </a:stretch>
      </xdr:blipFill>
      <xdr:spPr>
        <a:xfrm>
          <a:off x="3136900" y="2279971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28" name="Resim 127">
          <a:extLst>
            <a:ext uri="{FF2B5EF4-FFF2-40B4-BE49-F238E27FC236}">
              <a16:creationId xmlns:a16="http://schemas.microsoft.com/office/drawing/2014/main" id="{65457A2E-2223-4A9C-98E7-6257A4E783CE}"/>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29" name="Resim 128">
          <a:extLst>
            <a:ext uri="{FF2B5EF4-FFF2-40B4-BE49-F238E27FC236}">
              <a16:creationId xmlns:a16="http://schemas.microsoft.com/office/drawing/2014/main" id="{87CD6B04-F795-4524-BBD9-371A57EEC6F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0" name="Resim 129">
          <a:extLst>
            <a:ext uri="{FF2B5EF4-FFF2-40B4-BE49-F238E27FC236}">
              <a16:creationId xmlns:a16="http://schemas.microsoft.com/office/drawing/2014/main" id="{4C08AE9C-9701-4A65-B1E9-7CDC303C7645}"/>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1" name="Resim 130">
          <a:extLst>
            <a:ext uri="{FF2B5EF4-FFF2-40B4-BE49-F238E27FC236}">
              <a16:creationId xmlns:a16="http://schemas.microsoft.com/office/drawing/2014/main" id="{68B5C221-BC87-4EC2-893F-AE08A60DB99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32" name="Resim 131">
          <a:extLst>
            <a:ext uri="{FF2B5EF4-FFF2-40B4-BE49-F238E27FC236}">
              <a16:creationId xmlns:a16="http://schemas.microsoft.com/office/drawing/2014/main" id="{5626453E-8084-47EF-8582-201B8927B78C}"/>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33" name="Resim 132">
          <a:extLst>
            <a:ext uri="{FF2B5EF4-FFF2-40B4-BE49-F238E27FC236}">
              <a16:creationId xmlns:a16="http://schemas.microsoft.com/office/drawing/2014/main" id="{6FE1DA47-C43E-4E8B-9B26-F6A72BB8499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4" name="Resim 133">
          <a:extLst>
            <a:ext uri="{FF2B5EF4-FFF2-40B4-BE49-F238E27FC236}">
              <a16:creationId xmlns:a16="http://schemas.microsoft.com/office/drawing/2014/main" id="{FFE92AA2-5FF9-4D95-8346-469801E60659}"/>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5" name="Resim 134">
          <a:extLst>
            <a:ext uri="{FF2B5EF4-FFF2-40B4-BE49-F238E27FC236}">
              <a16:creationId xmlns:a16="http://schemas.microsoft.com/office/drawing/2014/main" id="{4AAB078C-BEBF-4EC9-8A85-1D6EE1C4D57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136" name="Resim 135">
          <a:extLst>
            <a:ext uri="{FF2B5EF4-FFF2-40B4-BE49-F238E27FC236}">
              <a16:creationId xmlns:a16="http://schemas.microsoft.com/office/drawing/2014/main" id="{5A17F7F3-1689-4B31-A531-4C0E3C90AC9A}"/>
            </a:ext>
          </a:extLst>
        </xdr:cNvPr>
        <xdr:cNvPicPr>
          <a:picLocks noChangeAspect="1"/>
        </xdr:cNvPicPr>
      </xdr:nvPicPr>
      <xdr:blipFill>
        <a:blip xmlns:r="http://schemas.openxmlformats.org/officeDocument/2006/relationships" r:embed="rId1"/>
        <a:stretch>
          <a:fillRect/>
        </a:stretch>
      </xdr:blipFill>
      <xdr:spPr>
        <a:xfrm>
          <a:off x="186764" y="239139134"/>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137" name="Resim 136">
          <a:extLst>
            <a:ext uri="{FF2B5EF4-FFF2-40B4-BE49-F238E27FC236}">
              <a16:creationId xmlns:a16="http://schemas.microsoft.com/office/drawing/2014/main" id="{DD36B709-0859-451B-9194-EB4637CBAB4A}"/>
            </a:ext>
          </a:extLst>
        </xdr:cNvPr>
        <xdr:cNvPicPr>
          <a:picLocks noChangeAspect="1"/>
        </xdr:cNvPicPr>
      </xdr:nvPicPr>
      <xdr:blipFill>
        <a:blip xmlns:r="http://schemas.openxmlformats.org/officeDocument/2006/relationships" r:embed="rId2"/>
        <a:stretch>
          <a:fillRect/>
        </a:stretch>
      </xdr:blipFill>
      <xdr:spPr>
        <a:xfrm>
          <a:off x="3136900" y="239027073"/>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138" name="Resim 137">
          <a:extLst>
            <a:ext uri="{FF2B5EF4-FFF2-40B4-BE49-F238E27FC236}">
              <a16:creationId xmlns:a16="http://schemas.microsoft.com/office/drawing/2014/main" id="{4DD7905A-51BA-41ED-931A-D3027EF79F9F}"/>
            </a:ext>
          </a:extLst>
        </xdr:cNvPr>
        <xdr:cNvPicPr>
          <a:picLocks noChangeAspect="1"/>
        </xdr:cNvPicPr>
      </xdr:nvPicPr>
      <xdr:blipFill>
        <a:blip xmlns:r="http://schemas.openxmlformats.org/officeDocument/2006/relationships" r:embed="rId1"/>
        <a:stretch>
          <a:fillRect/>
        </a:stretch>
      </xdr:blipFill>
      <xdr:spPr>
        <a:xfrm>
          <a:off x="186764" y="242815784"/>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139" name="Resim 138">
          <a:extLst>
            <a:ext uri="{FF2B5EF4-FFF2-40B4-BE49-F238E27FC236}">
              <a16:creationId xmlns:a16="http://schemas.microsoft.com/office/drawing/2014/main" id="{90D6B4EB-B9B6-4A81-A129-C165B4BF2F4F}"/>
            </a:ext>
          </a:extLst>
        </xdr:cNvPr>
        <xdr:cNvPicPr>
          <a:picLocks noChangeAspect="1"/>
        </xdr:cNvPicPr>
      </xdr:nvPicPr>
      <xdr:blipFill>
        <a:blip xmlns:r="http://schemas.openxmlformats.org/officeDocument/2006/relationships" r:embed="rId2"/>
        <a:stretch>
          <a:fillRect/>
        </a:stretch>
      </xdr:blipFill>
      <xdr:spPr>
        <a:xfrm>
          <a:off x="3136900" y="242703723"/>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140" name="Resim 139">
          <a:extLst>
            <a:ext uri="{FF2B5EF4-FFF2-40B4-BE49-F238E27FC236}">
              <a16:creationId xmlns:a16="http://schemas.microsoft.com/office/drawing/2014/main" id="{DF7A0E5A-0400-4C74-A4D7-A23681D17121}"/>
            </a:ext>
          </a:extLst>
        </xdr:cNvPr>
        <xdr:cNvPicPr>
          <a:picLocks noChangeAspect="1"/>
        </xdr:cNvPicPr>
      </xdr:nvPicPr>
      <xdr:blipFill>
        <a:blip xmlns:r="http://schemas.openxmlformats.org/officeDocument/2006/relationships" r:embed="rId1"/>
        <a:stretch>
          <a:fillRect/>
        </a:stretch>
      </xdr:blipFill>
      <xdr:spPr>
        <a:xfrm>
          <a:off x="186764" y="246492434"/>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141" name="Resim 140">
          <a:extLst>
            <a:ext uri="{FF2B5EF4-FFF2-40B4-BE49-F238E27FC236}">
              <a16:creationId xmlns:a16="http://schemas.microsoft.com/office/drawing/2014/main" id="{080B0A70-6B7B-412C-835B-965F5C1134EA}"/>
            </a:ext>
          </a:extLst>
        </xdr:cNvPr>
        <xdr:cNvPicPr>
          <a:picLocks noChangeAspect="1"/>
        </xdr:cNvPicPr>
      </xdr:nvPicPr>
      <xdr:blipFill>
        <a:blip xmlns:r="http://schemas.openxmlformats.org/officeDocument/2006/relationships" r:embed="rId2"/>
        <a:stretch>
          <a:fillRect/>
        </a:stretch>
      </xdr:blipFill>
      <xdr:spPr>
        <a:xfrm>
          <a:off x="3136900" y="246380373"/>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142" name="Resim 141">
          <a:extLst>
            <a:ext uri="{FF2B5EF4-FFF2-40B4-BE49-F238E27FC236}">
              <a16:creationId xmlns:a16="http://schemas.microsoft.com/office/drawing/2014/main" id="{FA1F3404-62AE-406C-B41B-C501628DB397}"/>
            </a:ext>
          </a:extLst>
        </xdr:cNvPr>
        <xdr:cNvPicPr>
          <a:picLocks noChangeAspect="1"/>
        </xdr:cNvPicPr>
      </xdr:nvPicPr>
      <xdr:blipFill>
        <a:blip xmlns:r="http://schemas.openxmlformats.org/officeDocument/2006/relationships" r:embed="rId1"/>
        <a:stretch>
          <a:fillRect/>
        </a:stretch>
      </xdr:blipFill>
      <xdr:spPr>
        <a:xfrm>
          <a:off x="186764" y="250169084"/>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143" name="Resim 142">
          <a:extLst>
            <a:ext uri="{FF2B5EF4-FFF2-40B4-BE49-F238E27FC236}">
              <a16:creationId xmlns:a16="http://schemas.microsoft.com/office/drawing/2014/main" id="{90BAF020-C6E9-465D-9455-16BC17F29B5D}"/>
            </a:ext>
          </a:extLst>
        </xdr:cNvPr>
        <xdr:cNvPicPr>
          <a:picLocks noChangeAspect="1"/>
        </xdr:cNvPicPr>
      </xdr:nvPicPr>
      <xdr:blipFill>
        <a:blip xmlns:r="http://schemas.openxmlformats.org/officeDocument/2006/relationships" r:embed="rId2"/>
        <a:stretch>
          <a:fillRect/>
        </a:stretch>
      </xdr:blipFill>
      <xdr:spPr>
        <a:xfrm>
          <a:off x="3136900" y="250057023"/>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144" name="Resim 143">
          <a:extLst>
            <a:ext uri="{FF2B5EF4-FFF2-40B4-BE49-F238E27FC236}">
              <a16:creationId xmlns:a16="http://schemas.microsoft.com/office/drawing/2014/main" id="{ED3B5553-1402-429E-BEEC-CF64E5A55557}"/>
            </a:ext>
          </a:extLst>
        </xdr:cNvPr>
        <xdr:cNvPicPr>
          <a:picLocks noChangeAspect="1"/>
        </xdr:cNvPicPr>
      </xdr:nvPicPr>
      <xdr:blipFill>
        <a:blip xmlns:r="http://schemas.openxmlformats.org/officeDocument/2006/relationships" r:embed="rId1"/>
        <a:stretch>
          <a:fillRect/>
        </a:stretch>
      </xdr:blipFill>
      <xdr:spPr>
        <a:xfrm>
          <a:off x="186764" y="253845734"/>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145" name="Resim 144">
          <a:extLst>
            <a:ext uri="{FF2B5EF4-FFF2-40B4-BE49-F238E27FC236}">
              <a16:creationId xmlns:a16="http://schemas.microsoft.com/office/drawing/2014/main" id="{6E52EF46-9A80-4431-A996-F61C12CC782C}"/>
            </a:ext>
          </a:extLst>
        </xdr:cNvPr>
        <xdr:cNvPicPr>
          <a:picLocks noChangeAspect="1"/>
        </xdr:cNvPicPr>
      </xdr:nvPicPr>
      <xdr:blipFill>
        <a:blip xmlns:r="http://schemas.openxmlformats.org/officeDocument/2006/relationships" r:embed="rId2"/>
        <a:stretch>
          <a:fillRect/>
        </a:stretch>
      </xdr:blipFill>
      <xdr:spPr>
        <a:xfrm>
          <a:off x="3136900" y="253733673"/>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146" name="Resim 145">
          <a:extLst>
            <a:ext uri="{FF2B5EF4-FFF2-40B4-BE49-F238E27FC236}">
              <a16:creationId xmlns:a16="http://schemas.microsoft.com/office/drawing/2014/main" id="{98D74C87-CC4A-4933-A21A-EF6084CC5B9F}"/>
            </a:ext>
          </a:extLst>
        </xdr:cNvPr>
        <xdr:cNvPicPr>
          <a:picLocks noChangeAspect="1"/>
        </xdr:cNvPicPr>
      </xdr:nvPicPr>
      <xdr:blipFill>
        <a:blip xmlns:r="http://schemas.openxmlformats.org/officeDocument/2006/relationships" r:embed="rId1"/>
        <a:stretch>
          <a:fillRect/>
        </a:stretch>
      </xdr:blipFill>
      <xdr:spPr>
        <a:xfrm>
          <a:off x="186764" y="257522384"/>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147" name="Resim 146">
          <a:extLst>
            <a:ext uri="{FF2B5EF4-FFF2-40B4-BE49-F238E27FC236}">
              <a16:creationId xmlns:a16="http://schemas.microsoft.com/office/drawing/2014/main" id="{1EC1A4AC-3697-4391-BF06-B53D08B128B1}"/>
            </a:ext>
          </a:extLst>
        </xdr:cNvPr>
        <xdr:cNvPicPr>
          <a:picLocks noChangeAspect="1"/>
        </xdr:cNvPicPr>
      </xdr:nvPicPr>
      <xdr:blipFill>
        <a:blip xmlns:r="http://schemas.openxmlformats.org/officeDocument/2006/relationships" r:embed="rId2"/>
        <a:stretch>
          <a:fillRect/>
        </a:stretch>
      </xdr:blipFill>
      <xdr:spPr>
        <a:xfrm>
          <a:off x="3136900" y="257410323"/>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148" name="Resim 147">
          <a:extLst>
            <a:ext uri="{FF2B5EF4-FFF2-40B4-BE49-F238E27FC236}">
              <a16:creationId xmlns:a16="http://schemas.microsoft.com/office/drawing/2014/main" id="{1734D052-E768-4449-BF0E-BC9AA512448F}"/>
            </a:ext>
          </a:extLst>
        </xdr:cNvPr>
        <xdr:cNvPicPr>
          <a:picLocks noChangeAspect="1"/>
        </xdr:cNvPicPr>
      </xdr:nvPicPr>
      <xdr:blipFill>
        <a:blip xmlns:r="http://schemas.openxmlformats.org/officeDocument/2006/relationships" r:embed="rId1"/>
        <a:stretch>
          <a:fillRect/>
        </a:stretch>
      </xdr:blipFill>
      <xdr:spPr>
        <a:xfrm>
          <a:off x="186764" y="261199034"/>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149" name="Resim 148">
          <a:extLst>
            <a:ext uri="{FF2B5EF4-FFF2-40B4-BE49-F238E27FC236}">
              <a16:creationId xmlns:a16="http://schemas.microsoft.com/office/drawing/2014/main" id="{8D540101-0DB9-4541-999B-CCE7D765B80C}"/>
            </a:ext>
          </a:extLst>
        </xdr:cNvPr>
        <xdr:cNvPicPr>
          <a:picLocks noChangeAspect="1"/>
        </xdr:cNvPicPr>
      </xdr:nvPicPr>
      <xdr:blipFill>
        <a:blip xmlns:r="http://schemas.openxmlformats.org/officeDocument/2006/relationships" r:embed="rId2"/>
        <a:stretch>
          <a:fillRect/>
        </a:stretch>
      </xdr:blipFill>
      <xdr:spPr>
        <a:xfrm>
          <a:off x="3136900" y="261086973"/>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150" name="Resim 149">
          <a:extLst>
            <a:ext uri="{FF2B5EF4-FFF2-40B4-BE49-F238E27FC236}">
              <a16:creationId xmlns:a16="http://schemas.microsoft.com/office/drawing/2014/main" id="{C701D0EC-187B-43E3-91A1-4F2342240B21}"/>
            </a:ext>
          </a:extLst>
        </xdr:cNvPr>
        <xdr:cNvPicPr>
          <a:picLocks noChangeAspect="1"/>
        </xdr:cNvPicPr>
      </xdr:nvPicPr>
      <xdr:blipFill>
        <a:blip xmlns:r="http://schemas.openxmlformats.org/officeDocument/2006/relationships" r:embed="rId1"/>
        <a:stretch>
          <a:fillRect/>
        </a:stretch>
      </xdr:blipFill>
      <xdr:spPr>
        <a:xfrm>
          <a:off x="186764" y="264875684"/>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151" name="Resim 150">
          <a:extLst>
            <a:ext uri="{FF2B5EF4-FFF2-40B4-BE49-F238E27FC236}">
              <a16:creationId xmlns:a16="http://schemas.microsoft.com/office/drawing/2014/main" id="{38309ACA-92ED-433A-9480-4F2BBF7987FB}"/>
            </a:ext>
          </a:extLst>
        </xdr:cNvPr>
        <xdr:cNvPicPr>
          <a:picLocks noChangeAspect="1"/>
        </xdr:cNvPicPr>
      </xdr:nvPicPr>
      <xdr:blipFill>
        <a:blip xmlns:r="http://schemas.openxmlformats.org/officeDocument/2006/relationships" r:embed="rId2"/>
        <a:stretch>
          <a:fillRect/>
        </a:stretch>
      </xdr:blipFill>
      <xdr:spPr>
        <a:xfrm>
          <a:off x="3136900" y="264763623"/>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152" name="Resim 151">
          <a:extLst>
            <a:ext uri="{FF2B5EF4-FFF2-40B4-BE49-F238E27FC236}">
              <a16:creationId xmlns:a16="http://schemas.microsoft.com/office/drawing/2014/main" id="{728D64DC-77A8-4244-8A36-4B8A98E7CA5C}"/>
            </a:ext>
          </a:extLst>
        </xdr:cNvPr>
        <xdr:cNvPicPr>
          <a:picLocks noChangeAspect="1"/>
        </xdr:cNvPicPr>
      </xdr:nvPicPr>
      <xdr:blipFill>
        <a:blip xmlns:r="http://schemas.openxmlformats.org/officeDocument/2006/relationships" r:embed="rId1"/>
        <a:stretch>
          <a:fillRect/>
        </a:stretch>
      </xdr:blipFill>
      <xdr:spPr>
        <a:xfrm>
          <a:off x="186764" y="268552334"/>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153" name="Resim 152">
          <a:extLst>
            <a:ext uri="{FF2B5EF4-FFF2-40B4-BE49-F238E27FC236}">
              <a16:creationId xmlns:a16="http://schemas.microsoft.com/office/drawing/2014/main" id="{3DC9E40D-C3D5-422A-B351-D33AF11B08C7}"/>
            </a:ext>
          </a:extLst>
        </xdr:cNvPr>
        <xdr:cNvPicPr>
          <a:picLocks noChangeAspect="1"/>
        </xdr:cNvPicPr>
      </xdr:nvPicPr>
      <xdr:blipFill>
        <a:blip xmlns:r="http://schemas.openxmlformats.org/officeDocument/2006/relationships" r:embed="rId2"/>
        <a:stretch>
          <a:fillRect/>
        </a:stretch>
      </xdr:blipFill>
      <xdr:spPr>
        <a:xfrm>
          <a:off x="3136900" y="268440273"/>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154" name="Resim 153">
          <a:extLst>
            <a:ext uri="{FF2B5EF4-FFF2-40B4-BE49-F238E27FC236}">
              <a16:creationId xmlns:a16="http://schemas.microsoft.com/office/drawing/2014/main" id="{5D3DC79F-47F9-4AED-9114-59AAEDA64FFA}"/>
            </a:ext>
          </a:extLst>
        </xdr:cNvPr>
        <xdr:cNvPicPr>
          <a:picLocks noChangeAspect="1"/>
        </xdr:cNvPicPr>
      </xdr:nvPicPr>
      <xdr:blipFill>
        <a:blip xmlns:r="http://schemas.openxmlformats.org/officeDocument/2006/relationships" r:embed="rId1"/>
        <a:stretch>
          <a:fillRect/>
        </a:stretch>
      </xdr:blipFill>
      <xdr:spPr>
        <a:xfrm>
          <a:off x="186764" y="272228984"/>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155" name="Resim 154">
          <a:extLst>
            <a:ext uri="{FF2B5EF4-FFF2-40B4-BE49-F238E27FC236}">
              <a16:creationId xmlns:a16="http://schemas.microsoft.com/office/drawing/2014/main" id="{47C324EC-8118-4EF8-B272-070E1EE6B33A}"/>
            </a:ext>
          </a:extLst>
        </xdr:cNvPr>
        <xdr:cNvPicPr>
          <a:picLocks noChangeAspect="1"/>
        </xdr:cNvPicPr>
      </xdr:nvPicPr>
      <xdr:blipFill>
        <a:blip xmlns:r="http://schemas.openxmlformats.org/officeDocument/2006/relationships" r:embed="rId2"/>
        <a:stretch>
          <a:fillRect/>
        </a:stretch>
      </xdr:blipFill>
      <xdr:spPr>
        <a:xfrm>
          <a:off x="3136900" y="272116923"/>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156" name="Resim 155">
          <a:extLst>
            <a:ext uri="{FF2B5EF4-FFF2-40B4-BE49-F238E27FC236}">
              <a16:creationId xmlns:a16="http://schemas.microsoft.com/office/drawing/2014/main" id="{C35620FE-24C0-45B5-87EA-6D2618B2A0CE}"/>
            </a:ext>
          </a:extLst>
        </xdr:cNvPr>
        <xdr:cNvPicPr>
          <a:picLocks noChangeAspect="1"/>
        </xdr:cNvPicPr>
      </xdr:nvPicPr>
      <xdr:blipFill>
        <a:blip xmlns:r="http://schemas.openxmlformats.org/officeDocument/2006/relationships" r:embed="rId1"/>
        <a:stretch>
          <a:fillRect/>
        </a:stretch>
      </xdr:blipFill>
      <xdr:spPr>
        <a:xfrm>
          <a:off x="186764" y="275905634"/>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157" name="Resim 156">
          <a:extLst>
            <a:ext uri="{FF2B5EF4-FFF2-40B4-BE49-F238E27FC236}">
              <a16:creationId xmlns:a16="http://schemas.microsoft.com/office/drawing/2014/main" id="{79CF141D-29F3-4F32-951A-483785443887}"/>
            </a:ext>
          </a:extLst>
        </xdr:cNvPr>
        <xdr:cNvPicPr>
          <a:picLocks noChangeAspect="1"/>
        </xdr:cNvPicPr>
      </xdr:nvPicPr>
      <xdr:blipFill>
        <a:blip xmlns:r="http://schemas.openxmlformats.org/officeDocument/2006/relationships" r:embed="rId2"/>
        <a:stretch>
          <a:fillRect/>
        </a:stretch>
      </xdr:blipFill>
      <xdr:spPr>
        <a:xfrm>
          <a:off x="3136900" y="275793573"/>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158" name="Resim 157">
          <a:extLst>
            <a:ext uri="{FF2B5EF4-FFF2-40B4-BE49-F238E27FC236}">
              <a16:creationId xmlns:a16="http://schemas.microsoft.com/office/drawing/2014/main" id="{3B9A8BCA-40BA-4DE3-B4D7-EBBF85F6483D}"/>
            </a:ext>
          </a:extLst>
        </xdr:cNvPr>
        <xdr:cNvPicPr>
          <a:picLocks noChangeAspect="1"/>
        </xdr:cNvPicPr>
      </xdr:nvPicPr>
      <xdr:blipFill>
        <a:blip xmlns:r="http://schemas.openxmlformats.org/officeDocument/2006/relationships" r:embed="rId1"/>
        <a:stretch>
          <a:fillRect/>
        </a:stretch>
      </xdr:blipFill>
      <xdr:spPr>
        <a:xfrm>
          <a:off x="186764" y="279582284"/>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159" name="Resim 158">
          <a:extLst>
            <a:ext uri="{FF2B5EF4-FFF2-40B4-BE49-F238E27FC236}">
              <a16:creationId xmlns:a16="http://schemas.microsoft.com/office/drawing/2014/main" id="{5A55CF2D-EA93-4EA6-AD04-60989FF859C2}"/>
            </a:ext>
          </a:extLst>
        </xdr:cNvPr>
        <xdr:cNvPicPr>
          <a:picLocks noChangeAspect="1"/>
        </xdr:cNvPicPr>
      </xdr:nvPicPr>
      <xdr:blipFill>
        <a:blip xmlns:r="http://schemas.openxmlformats.org/officeDocument/2006/relationships" r:embed="rId2"/>
        <a:stretch>
          <a:fillRect/>
        </a:stretch>
      </xdr:blipFill>
      <xdr:spPr>
        <a:xfrm>
          <a:off x="3136900" y="279470223"/>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160" name="Resim 159">
          <a:extLst>
            <a:ext uri="{FF2B5EF4-FFF2-40B4-BE49-F238E27FC236}">
              <a16:creationId xmlns:a16="http://schemas.microsoft.com/office/drawing/2014/main" id="{3B172457-3E8B-40D9-90FE-37A4FBD41037}"/>
            </a:ext>
          </a:extLst>
        </xdr:cNvPr>
        <xdr:cNvPicPr>
          <a:picLocks noChangeAspect="1"/>
        </xdr:cNvPicPr>
      </xdr:nvPicPr>
      <xdr:blipFill>
        <a:blip xmlns:r="http://schemas.openxmlformats.org/officeDocument/2006/relationships" r:embed="rId1"/>
        <a:stretch>
          <a:fillRect/>
        </a:stretch>
      </xdr:blipFill>
      <xdr:spPr>
        <a:xfrm>
          <a:off x="186764" y="283258934"/>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161" name="Resim 160">
          <a:extLst>
            <a:ext uri="{FF2B5EF4-FFF2-40B4-BE49-F238E27FC236}">
              <a16:creationId xmlns:a16="http://schemas.microsoft.com/office/drawing/2014/main" id="{48BE0198-89BD-4CB2-A46D-D5BA0847DE07}"/>
            </a:ext>
          </a:extLst>
        </xdr:cNvPr>
        <xdr:cNvPicPr>
          <a:picLocks noChangeAspect="1"/>
        </xdr:cNvPicPr>
      </xdr:nvPicPr>
      <xdr:blipFill>
        <a:blip xmlns:r="http://schemas.openxmlformats.org/officeDocument/2006/relationships" r:embed="rId2"/>
        <a:stretch>
          <a:fillRect/>
        </a:stretch>
      </xdr:blipFill>
      <xdr:spPr>
        <a:xfrm>
          <a:off x="3136900" y="283146873"/>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162" name="Resim 161">
          <a:extLst>
            <a:ext uri="{FF2B5EF4-FFF2-40B4-BE49-F238E27FC236}">
              <a16:creationId xmlns:a16="http://schemas.microsoft.com/office/drawing/2014/main" id="{9B2F86A6-0FFD-41A9-8F35-1EB1FF6EE741}"/>
            </a:ext>
          </a:extLst>
        </xdr:cNvPr>
        <xdr:cNvPicPr>
          <a:picLocks noChangeAspect="1"/>
        </xdr:cNvPicPr>
      </xdr:nvPicPr>
      <xdr:blipFill>
        <a:blip xmlns:r="http://schemas.openxmlformats.org/officeDocument/2006/relationships" r:embed="rId1"/>
        <a:stretch>
          <a:fillRect/>
        </a:stretch>
      </xdr:blipFill>
      <xdr:spPr>
        <a:xfrm>
          <a:off x="186764" y="286935584"/>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163" name="Resim 162">
          <a:extLst>
            <a:ext uri="{FF2B5EF4-FFF2-40B4-BE49-F238E27FC236}">
              <a16:creationId xmlns:a16="http://schemas.microsoft.com/office/drawing/2014/main" id="{348F1267-64B8-4B2C-9473-B9E660B1F5D0}"/>
            </a:ext>
          </a:extLst>
        </xdr:cNvPr>
        <xdr:cNvPicPr>
          <a:picLocks noChangeAspect="1"/>
        </xdr:cNvPicPr>
      </xdr:nvPicPr>
      <xdr:blipFill>
        <a:blip xmlns:r="http://schemas.openxmlformats.org/officeDocument/2006/relationships" r:embed="rId2"/>
        <a:stretch>
          <a:fillRect/>
        </a:stretch>
      </xdr:blipFill>
      <xdr:spPr>
        <a:xfrm>
          <a:off x="3136900" y="286823523"/>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164" name="Resim 163">
          <a:extLst>
            <a:ext uri="{FF2B5EF4-FFF2-40B4-BE49-F238E27FC236}">
              <a16:creationId xmlns:a16="http://schemas.microsoft.com/office/drawing/2014/main" id="{FD182CA1-4F8C-4D19-AE51-05F7C8C904CF}"/>
            </a:ext>
          </a:extLst>
        </xdr:cNvPr>
        <xdr:cNvPicPr>
          <a:picLocks noChangeAspect="1"/>
        </xdr:cNvPicPr>
      </xdr:nvPicPr>
      <xdr:blipFill>
        <a:blip xmlns:r="http://schemas.openxmlformats.org/officeDocument/2006/relationships" r:embed="rId1"/>
        <a:stretch>
          <a:fillRect/>
        </a:stretch>
      </xdr:blipFill>
      <xdr:spPr>
        <a:xfrm>
          <a:off x="186764" y="290612234"/>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165" name="Resim 164">
          <a:extLst>
            <a:ext uri="{FF2B5EF4-FFF2-40B4-BE49-F238E27FC236}">
              <a16:creationId xmlns:a16="http://schemas.microsoft.com/office/drawing/2014/main" id="{83089AE6-5F34-4EEA-A654-42C9011F221A}"/>
            </a:ext>
          </a:extLst>
        </xdr:cNvPr>
        <xdr:cNvPicPr>
          <a:picLocks noChangeAspect="1"/>
        </xdr:cNvPicPr>
      </xdr:nvPicPr>
      <xdr:blipFill>
        <a:blip xmlns:r="http://schemas.openxmlformats.org/officeDocument/2006/relationships" r:embed="rId2"/>
        <a:stretch>
          <a:fillRect/>
        </a:stretch>
      </xdr:blipFill>
      <xdr:spPr>
        <a:xfrm>
          <a:off x="3136900" y="290500173"/>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166" name="Resim 165">
          <a:extLst>
            <a:ext uri="{FF2B5EF4-FFF2-40B4-BE49-F238E27FC236}">
              <a16:creationId xmlns:a16="http://schemas.microsoft.com/office/drawing/2014/main" id="{F281A076-EC6B-484A-A9BC-4E1402A0AFCA}"/>
            </a:ext>
          </a:extLst>
        </xdr:cNvPr>
        <xdr:cNvPicPr>
          <a:picLocks noChangeAspect="1"/>
        </xdr:cNvPicPr>
      </xdr:nvPicPr>
      <xdr:blipFill>
        <a:blip xmlns:r="http://schemas.openxmlformats.org/officeDocument/2006/relationships" r:embed="rId1"/>
        <a:stretch>
          <a:fillRect/>
        </a:stretch>
      </xdr:blipFill>
      <xdr:spPr>
        <a:xfrm>
          <a:off x="186764" y="294288884"/>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167" name="Resim 166">
          <a:extLst>
            <a:ext uri="{FF2B5EF4-FFF2-40B4-BE49-F238E27FC236}">
              <a16:creationId xmlns:a16="http://schemas.microsoft.com/office/drawing/2014/main" id="{2B182F55-4665-442D-9E81-60A14C2F19D5}"/>
            </a:ext>
          </a:extLst>
        </xdr:cNvPr>
        <xdr:cNvPicPr>
          <a:picLocks noChangeAspect="1"/>
        </xdr:cNvPicPr>
      </xdr:nvPicPr>
      <xdr:blipFill>
        <a:blip xmlns:r="http://schemas.openxmlformats.org/officeDocument/2006/relationships" r:embed="rId2"/>
        <a:stretch>
          <a:fillRect/>
        </a:stretch>
      </xdr:blipFill>
      <xdr:spPr>
        <a:xfrm>
          <a:off x="3136900" y="294176823"/>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168" name="Resim 167">
          <a:extLst>
            <a:ext uri="{FF2B5EF4-FFF2-40B4-BE49-F238E27FC236}">
              <a16:creationId xmlns:a16="http://schemas.microsoft.com/office/drawing/2014/main" id="{BFBFD8A4-3BBD-482F-A8B3-19686C1DE8F0}"/>
            </a:ext>
          </a:extLst>
        </xdr:cNvPr>
        <xdr:cNvPicPr>
          <a:picLocks noChangeAspect="1"/>
        </xdr:cNvPicPr>
      </xdr:nvPicPr>
      <xdr:blipFill>
        <a:blip xmlns:r="http://schemas.openxmlformats.org/officeDocument/2006/relationships" r:embed="rId1"/>
        <a:stretch>
          <a:fillRect/>
        </a:stretch>
      </xdr:blipFill>
      <xdr:spPr>
        <a:xfrm>
          <a:off x="186764" y="297965534"/>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169" name="Resim 168">
          <a:extLst>
            <a:ext uri="{FF2B5EF4-FFF2-40B4-BE49-F238E27FC236}">
              <a16:creationId xmlns:a16="http://schemas.microsoft.com/office/drawing/2014/main" id="{BAB4325D-CA4C-4635-BD82-7CAC9EF886BB}"/>
            </a:ext>
          </a:extLst>
        </xdr:cNvPr>
        <xdr:cNvPicPr>
          <a:picLocks noChangeAspect="1"/>
        </xdr:cNvPicPr>
      </xdr:nvPicPr>
      <xdr:blipFill>
        <a:blip xmlns:r="http://schemas.openxmlformats.org/officeDocument/2006/relationships" r:embed="rId2"/>
        <a:stretch>
          <a:fillRect/>
        </a:stretch>
      </xdr:blipFill>
      <xdr:spPr>
        <a:xfrm>
          <a:off x="3136900" y="297853473"/>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170" name="Resim 169">
          <a:extLst>
            <a:ext uri="{FF2B5EF4-FFF2-40B4-BE49-F238E27FC236}">
              <a16:creationId xmlns:a16="http://schemas.microsoft.com/office/drawing/2014/main" id="{DF660F06-6C00-4D62-9F8B-B9D616B488D2}"/>
            </a:ext>
          </a:extLst>
        </xdr:cNvPr>
        <xdr:cNvPicPr>
          <a:picLocks noChangeAspect="1"/>
        </xdr:cNvPicPr>
      </xdr:nvPicPr>
      <xdr:blipFill>
        <a:blip xmlns:r="http://schemas.openxmlformats.org/officeDocument/2006/relationships" r:embed="rId1"/>
        <a:stretch>
          <a:fillRect/>
        </a:stretch>
      </xdr:blipFill>
      <xdr:spPr>
        <a:xfrm>
          <a:off x="186764" y="301642184"/>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171" name="Resim 170">
          <a:extLst>
            <a:ext uri="{FF2B5EF4-FFF2-40B4-BE49-F238E27FC236}">
              <a16:creationId xmlns:a16="http://schemas.microsoft.com/office/drawing/2014/main" id="{BD3B3303-8ACE-4287-9A90-C35738A3C6CE}"/>
            </a:ext>
          </a:extLst>
        </xdr:cNvPr>
        <xdr:cNvPicPr>
          <a:picLocks noChangeAspect="1"/>
        </xdr:cNvPicPr>
      </xdr:nvPicPr>
      <xdr:blipFill>
        <a:blip xmlns:r="http://schemas.openxmlformats.org/officeDocument/2006/relationships" r:embed="rId2"/>
        <a:stretch>
          <a:fillRect/>
        </a:stretch>
      </xdr:blipFill>
      <xdr:spPr>
        <a:xfrm>
          <a:off x="3136900" y="301530123"/>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172" name="Resim 171">
          <a:extLst>
            <a:ext uri="{FF2B5EF4-FFF2-40B4-BE49-F238E27FC236}">
              <a16:creationId xmlns:a16="http://schemas.microsoft.com/office/drawing/2014/main" id="{05EC12B8-8F28-48B7-AD95-688304F4AD79}"/>
            </a:ext>
          </a:extLst>
        </xdr:cNvPr>
        <xdr:cNvPicPr>
          <a:picLocks noChangeAspect="1"/>
        </xdr:cNvPicPr>
      </xdr:nvPicPr>
      <xdr:blipFill>
        <a:blip xmlns:r="http://schemas.openxmlformats.org/officeDocument/2006/relationships" r:embed="rId1"/>
        <a:stretch>
          <a:fillRect/>
        </a:stretch>
      </xdr:blipFill>
      <xdr:spPr>
        <a:xfrm>
          <a:off x="186764" y="305318834"/>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173" name="Resim 172">
          <a:extLst>
            <a:ext uri="{FF2B5EF4-FFF2-40B4-BE49-F238E27FC236}">
              <a16:creationId xmlns:a16="http://schemas.microsoft.com/office/drawing/2014/main" id="{88A54BA2-F047-492A-8D24-6D30EBF22379}"/>
            </a:ext>
          </a:extLst>
        </xdr:cNvPr>
        <xdr:cNvPicPr>
          <a:picLocks noChangeAspect="1"/>
        </xdr:cNvPicPr>
      </xdr:nvPicPr>
      <xdr:blipFill>
        <a:blip xmlns:r="http://schemas.openxmlformats.org/officeDocument/2006/relationships" r:embed="rId2"/>
        <a:stretch>
          <a:fillRect/>
        </a:stretch>
      </xdr:blipFill>
      <xdr:spPr>
        <a:xfrm>
          <a:off x="3136900" y="305206773"/>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174" name="Resim 173">
          <a:extLst>
            <a:ext uri="{FF2B5EF4-FFF2-40B4-BE49-F238E27FC236}">
              <a16:creationId xmlns:a16="http://schemas.microsoft.com/office/drawing/2014/main" id="{398C9FC0-E02E-42B2-A1F3-F20FCFEFC7ED}"/>
            </a:ext>
          </a:extLst>
        </xdr:cNvPr>
        <xdr:cNvPicPr>
          <a:picLocks noChangeAspect="1"/>
        </xdr:cNvPicPr>
      </xdr:nvPicPr>
      <xdr:blipFill>
        <a:blip xmlns:r="http://schemas.openxmlformats.org/officeDocument/2006/relationships" r:embed="rId1"/>
        <a:stretch>
          <a:fillRect/>
        </a:stretch>
      </xdr:blipFill>
      <xdr:spPr>
        <a:xfrm>
          <a:off x="186764" y="308995484"/>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175" name="Resim 174">
          <a:extLst>
            <a:ext uri="{FF2B5EF4-FFF2-40B4-BE49-F238E27FC236}">
              <a16:creationId xmlns:a16="http://schemas.microsoft.com/office/drawing/2014/main" id="{75C642D2-ACF3-482C-9867-CD9186221F0E}"/>
            </a:ext>
          </a:extLst>
        </xdr:cNvPr>
        <xdr:cNvPicPr>
          <a:picLocks noChangeAspect="1"/>
        </xdr:cNvPicPr>
      </xdr:nvPicPr>
      <xdr:blipFill>
        <a:blip xmlns:r="http://schemas.openxmlformats.org/officeDocument/2006/relationships" r:embed="rId2"/>
        <a:stretch>
          <a:fillRect/>
        </a:stretch>
      </xdr:blipFill>
      <xdr:spPr>
        <a:xfrm>
          <a:off x="3136900" y="308883423"/>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176" name="Resim 175">
          <a:extLst>
            <a:ext uri="{FF2B5EF4-FFF2-40B4-BE49-F238E27FC236}">
              <a16:creationId xmlns:a16="http://schemas.microsoft.com/office/drawing/2014/main" id="{6E76BF8C-A417-4EC3-9ADA-008ECF1B512A}"/>
            </a:ext>
          </a:extLst>
        </xdr:cNvPr>
        <xdr:cNvPicPr>
          <a:picLocks noChangeAspect="1"/>
        </xdr:cNvPicPr>
      </xdr:nvPicPr>
      <xdr:blipFill>
        <a:blip xmlns:r="http://schemas.openxmlformats.org/officeDocument/2006/relationships" r:embed="rId1"/>
        <a:stretch>
          <a:fillRect/>
        </a:stretch>
      </xdr:blipFill>
      <xdr:spPr>
        <a:xfrm>
          <a:off x="186764" y="312672134"/>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177" name="Resim 176">
          <a:extLst>
            <a:ext uri="{FF2B5EF4-FFF2-40B4-BE49-F238E27FC236}">
              <a16:creationId xmlns:a16="http://schemas.microsoft.com/office/drawing/2014/main" id="{1722DC5A-C3EC-494E-9670-34461642CC45}"/>
            </a:ext>
          </a:extLst>
        </xdr:cNvPr>
        <xdr:cNvPicPr>
          <a:picLocks noChangeAspect="1"/>
        </xdr:cNvPicPr>
      </xdr:nvPicPr>
      <xdr:blipFill>
        <a:blip xmlns:r="http://schemas.openxmlformats.org/officeDocument/2006/relationships" r:embed="rId2"/>
        <a:stretch>
          <a:fillRect/>
        </a:stretch>
      </xdr:blipFill>
      <xdr:spPr>
        <a:xfrm>
          <a:off x="3136900" y="312560073"/>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178" name="Resim 177">
          <a:extLst>
            <a:ext uri="{FF2B5EF4-FFF2-40B4-BE49-F238E27FC236}">
              <a16:creationId xmlns:a16="http://schemas.microsoft.com/office/drawing/2014/main" id="{5909F318-187F-475A-840A-C85F07F25A3F}"/>
            </a:ext>
          </a:extLst>
        </xdr:cNvPr>
        <xdr:cNvPicPr>
          <a:picLocks noChangeAspect="1"/>
        </xdr:cNvPicPr>
      </xdr:nvPicPr>
      <xdr:blipFill>
        <a:blip xmlns:r="http://schemas.openxmlformats.org/officeDocument/2006/relationships" r:embed="rId1"/>
        <a:stretch>
          <a:fillRect/>
        </a:stretch>
      </xdr:blipFill>
      <xdr:spPr>
        <a:xfrm>
          <a:off x="186764" y="316348784"/>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179" name="Resim 178">
          <a:extLst>
            <a:ext uri="{FF2B5EF4-FFF2-40B4-BE49-F238E27FC236}">
              <a16:creationId xmlns:a16="http://schemas.microsoft.com/office/drawing/2014/main" id="{39AC7D6F-E5A8-4916-A83B-A0478F225D1C}"/>
            </a:ext>
          </a:extLst>
        </xdr:cNvPr>
        <xdr:cNvPicPr>
          <a:picLocks noChangeAspect="1"/>
        </xdr:cNvPicPr>
      </xdr:nvPicPr>
      <xdr:blipFill>
        <a:blip xmlns:r="http://schemas.openxmlformats.org/officeDocument/2006/relationships" r:embed="rId2"/>
        <a:stretch>
          <a:fillRect/>
        </a:stretch>
      </xdr:blipFill>
      <xdr:spPr>
        <a:xfrm>
          <a:off x="3136900" y="316236723"/>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180" name="Resim 179">
          <a:extLst>
            <a:ext uri="{FF2B5EF4-FFF2-40B4-BE49-F238E27FC236}">
              <a16:creationId xmlns:a16="http://schemas.microsoft.com/office/drawing/2014/main" id="{B5E71F00-D085-41A7-9E2F-5074D166A167}"/>
            </a:ext>
          </a:extLst>
        </xdr:cNvPr>
        <xdr:cNvPicPr>
          <a:picLocks noChangeAspect="1"/>
        </xdr:cNvPicPr>
      </xdr:nvPicPr>
      <xdr:blipFill>
        <a:blip xmlns:r="http://schemas.openxmlformats.org/officeDocument/2006/relationships" r:embed="rId1"/>
        <a:stretch>
          <a:fillRect/>
        </a:stretch>
      </xdr:blipFill>
      <xdr:spPr>
        <a:xfrm>
          <a:off x="186764" y="320025434"/>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181" name="Resim 180">
          <a:extLst>
            <a:ext uri="{FF2B5EF4-FFF2-40B4-BE49-F238E27FC236}">
              <a16:creationId xmlns:a16="http://schemas.microsoft.com/office/drawing/2014/main" id="{179656F2-CA83-451E-8DBD-DB3A5546B58A}"/>
            </a:ext>
          </a:extLst>
        </xdr:cNvPr>
        <xdr:cNvPicPr>
          <a:picLocks noChangeAspect="1"/>
        </xdr:cNvPicPr>
      </xdr:nvPicPr>
      <xdr:blipFill>
        <a:blip xmlns:r="http://schemas.openxmlformats.org/officeDocument/2006/relationships" r:embed="rId2"/>
        <a:stretch>
          <a:fillRect/>
        </a:stretch>
      </xdr:blipFill>
      <xdr:spPr>
        <a:xfrm>
          <a:off x="3136900" y="319913373"/>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182" name="Resim 181">
          <a:extLst>
            <a:ext uri="{FF2B5EF4-FFF2-40B4-BE49-F238E27FC236}">
              <a16:creationId xmlns:a16="http://schemas.microsoft.com/office/drawing/2014/main" id="{4755B786-B19C-42B8-B1EC-E95C3F623950}"/>
            </a:ext>
          </a:extLst>
        </xdr:cNvPr>
        <xdr:cNvPicPr>
          <a:picLocks noChangeAspect="1"/>
        </xdr:cNvPicPr>
      </xdr:nvPicPr>
      <xdr:blipFill>
        <a:blip xmlns:r="http://schemas.openxmlformats.org/officeDocument/2006/relationships" r:embed="rId1"/>
        <a:stretch>
          <a:fillRect/>
        </a:stretch>
      </xdr:blipFill>
      <xdr:spPr>
        <a:xfrm>
          <a:off x="186764" y="323702084"/>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183" name="Resim 182">
          <a:extLst>
            <a:ext uri="{FF2B5EF4-FFF2-40B4-BE49-F238E27FC236}">
              <a16:creationId xmlns:a16="http://schemas.microsoft.com/office/drawing/2014/main" id="{4DB85FDD-0D7C-4DAC-9F5C-4A710DFD95DA}"/>
            </a:ext>
          </a:extLst>
        </xdr:cNvPr>
        <xdr:cNvPicPr>
          <a:picLocks noChangeAspect="1"/>
        </xdr:cNvPicPr>
      </xdr:nvPicPr>
      <xdr:blipFill>
        <a:blip xmlns:r="http://schemas.openxmlformats.org/officeDocument/2006/relationships" r:embed="rId2"/>
        <a:stretch>
          <a:fillRect/>
        </a:stretch>
      </xdr:blipFill>
      <xdr:spPr>
        <a:xfrm>
          <a:off x="3136900" y="323590023"/>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184" name="Resim 183">
          <a:extLst>
            <a:ext uri="{FF2B5EF4-FFF2-40B4-BE49-F238E27FC236}">
              <a16:creationId xmlns:a16="http://schemas.microsoft.com/office/drawing/2014/main" id="{4D8A46AE-AE26-4078-B395-40A75BE7DC20}"/>
            </a:ext>
          </a:extLst>
        </xdr:cNvPr>
        <xdr:cNvPicPr>
          <a:picLocks noChangeAspect="1"/>
        </xdr:cNvPicPr>
      </xdr:nvPicPr>
      <xdr:blipFill>
        <a:blip xmlns:r="http://schemas.openxmlformats.org/officeDocument/2006/relationships" r:embed="rId1"/>
        <a:stretch>
          <a:fillRect/>
        </a:stretch>
      </xdr:blipFill>
      <xdr:spPr>
        <a:xfrm>
          <a:off x="186764" y="327378734"/>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185" name="Resim 184">
          <a:extLst>
            <a:ext uri="{FF2B5EF4-FFF2-40B4-BE49-F238E27FC236}">
              <a16:creationId xmlns:a16="http://schemas.microsoft.com/office/drawing/2014/main" id="{55D8A237-05BB-4E4C-8282-C1B3E347CA62}"/>
            </a:ext>
          </a:extLst>
        </xdr:cNvPr>
        <xdr:cNvPicPr>
          <a:picLocks noChangeAspect="1"/>
        </xdr:cNvPicPr>
      </xdr:nvPicPr>
      <xdr:blipFill>
        <a:blip xmlns:r="http://schemas.openxmlformats.org/officeDocument/2006/relationships" r:embed="rId2"/>
        <a:stretch>
          <a:fillRect/>
        </a:stretch>
      </xdr:blipFill>
      <xdr:spPr>
        <a:xfrm>
          <a:off x="3136900" y="327266673"/>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186" name="Resim 185">
          <a:extLst>
            <a:ext uri="{FF2B5EF4-FFF2-40B4-BE49-F238E27FC236}">
              <a16:creationId xmlns:a16="http://schemas.microsoft.com/office/drawing/2014/main" id="{1F50DDC1-EE47-4780-BE64-58BC257DD6D2}"/>
            </a:ext>
          </a:extLst>
        </xdr:cNvPr>
        <xdr:cNvPicPr>
          <a:picLocks noChangeAspect="1"/>
        </xdr:cNvPicPr>
      </xdr:nvPicPr>
      <xdr:blipFill>
        <a:blip xmlns:r="http://schemas.openxmlformats.org/officeDocument/2006/relationships" r:embed="rId1"/>
        <a:stretch>
          <a:fillRect/>
        </a:stretch>
      </xdr:blipFill>
      <xdr:spPr>
        <a:xfrm>
          <a:off x="186764" y="331055384"/>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187" name="Resim 186">
          <a:extLst>
            <a:ext uri="{FF2B5EF4-FFF2-40B4-BE49-F238E27FC236}">
              <a16:creationId xmlns:a16="http://schemas.microsoft.com/office/drawing/2014/main" id="{C2EAD500-B0F9-47C1-906C-75B1B269FEFA}"/>
            </a:ext>
          </a:extLst>
        </xdr:cNvPr>
        <xdr:cNvPicPr>
          <a:picLocks noChangeAspect="1"/>
        </xdr:cNvPicPr>
      </xdr:nvPicPr>
      <xdr:blipFill>
        <a:blip xmlns:r="http://schemas.openxmlformats.org/officeDocument/2006/relationships" r:embed="rId2"/>
        <a:stretch>
          <a:fillRect/>
        </a:stretch>
      </xdr:blipFill>
      <xdr:spPr>
        <a:xfrm>
          <a:off x="3136900" y="330943323"/>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188" name="Resim 187">
          <a:extLst>
            <a:ext uri="{FF2B5EF4-FFF2-40B4-BE49-F238E27FC236}">
              <a16:creationId xmlns:a16="http://schemas.microsoft.com/office/drawing/2014/main" id="{C0216888-F7E6-40BF-B359-C739B5B95153}"/>
            </a:ext>
          </a:extLst>
        </xdr:cNvPr>
        <xdr:cNvPicPr>
          <a:picLocks noChangeAspect="1"/>
        </xdr:cNvPicPr>
      </xdr:nvPicPr>
      <xdr:blipFill>
        <a:blip xmlns:r="http://schemas.openxmlformats.org/officeDocument/2006/relationships" r:embed="rId1"/>
        <a:stretch>
          <a:fillRect/>
        </a:stretch>
      </xdr:blipFill>
      <xdr:spPr>
        <a:xfrm>
          <a:off x="186764" y="33473203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189" name="Resim 188">
          <a:extLst>
            <a:ext uri="{FF2B5EF4-FFF2-40B4-BE49-F238E27FC236}">
              <a16:creationId xmlns:a16="http://schemas.microsoft.com/office/drawing/2014/main" id="{B73C211E-FAA5-45C4-9C9F-B317E3499DA2}"/>
            </a:ext>
          </a:extLst>
        </xdr:cNvPr>
        <xdr:cNvPicPr>
          <a:picLocks noChangeAspect="1"/>
        </xdr:cNvPicPr>
      </xdr:nvPicPr>
      <xdr:blipFill>
        <a:blip xmlns:r="http://schemas.openxmlformats.org/officeDocument/2006/relationships" r:embed="rId2"/>
        <a:stretch>
          <a:fillRect/>
        </a:stretch>
      </xdr:blipFill>
      <xdr:spPr>
        <a:xfrm>
          <a:off x="3136900" y="33461997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190" name="Resim 189">
          <a:extLst>
            <a:ext uri="{FF2B5EF4-FFF2-40B4-BE49-F238E27FC236}">
              <a16:creationId xmlns:a16="http://schemas.microsoft.com/office/drawing/2014/main" id="{4973F84F-53B3-4446-BD5F-D7E9A02416D7}"/>
            </a:ext>
          </a:extLst>
        </xdr:cNvPr>
        <xdr:cNvPicPr>
          <a:picLocks noChangeAspect="1"/>
        </xdr:cNvPicPr>
      </xdr:nvPicPr>
      <xdr:blipFill>
        <a:blip xmlns:r="http://schemas.openxmlformats.org/officeDocument/2006/relationships" r:embed="rId1"/>
        <a:stretch>
          <a:fillRect/>
        </a:stretch>
      </xdr:blipFill>
      <xdr:spPr>
        <a:xfrm>
          <a:off x="186764" y="338408684"/>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191" name="Resim 190">
          <a:extLst>
            <a:ext uri="{FF2B5EF4-FFF2-40B4-BE49-F238E27FC236}">
              <a16:creationId xmlns:a16="http://schemas.microsoft.com/office/drawing/2014/main" id="{7967FDE8-D6A3-4AA7-97CF-EEA267715B99}"/>
            </a:ext>
          </a:extLst>
        </xdr:cNvPr>
        <xdr:cNvPicPr>
          <a:picLocks noChangeAspect="1"/>
        </xdr:cNvPicPr>
      </xdr:nvPicPr>
      <xdr:blipFill>
        <a:blip xmlns:r="http://schemas.openxmlformats.org/officeDocument/2006/relationships" r:embed="rId2"/>
        <a:stretch>
          <a:fillRect/>
        </a:stretch>
      </xdr:blipFill>
      <xdr:spPr>
        <a:xfrm>
          <a:off x="3136900" y="338296623"/>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192" name="Resim 191">
          <a:extLst>
            <a:ext uri="{FF2B5EF4-FFF2-40B4-BE49-F238E27FC236}">
              <a16:creationId xmlns:a16="http://schemas.microsoft.com/office/drawing/2014/main" id="{3D9B6046-39BA-4297-ABB4-F4A9CC2DB57A}"/>
            </a:ext>
          </a:extLst>
        </xdr:cNvPr>
        <xdr:cNvPicPr>
          <a:picLocks noChangeAspect="1"/>
        </xdr:cNvPicPr>
      </xdr:nvPicPr>
      <xdr:blipFill>
        <a:blip xmlns:r="http://schemas.openxmlformats.org/officeDocument/2006/relationships" r:embed="rId1"/>
        <a:stretch>
          <a:fillRect/>
        </a:stretch>
      </xdr:blipFill>
      <xdr:spPr>
        <a:xfrm>
          <a:off x="186764" y="342085334"/>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193" name="Resim 192">
          <a:extLst>
            <a:ext uri="{FF2B5EF4-FFF2-40B4-BE49-F238E27FC236}">
              <a16:creationId xmlns:a16="http://schemas.microsoft.com/office/drawing/2014/main" id="{151E5016-2FA1-4378-853F-863C7F4D2222}"/>
            </a:ext>
          </a:extLst>
        </xdr:cNvPr>
        <xdr:cNvPicPr>
          <a:picLocks noChangeAspect="1"/>
        </xdr:cNvPicPr>
      </xdr:nvPicPr>
      <xdr:blipFill>
        <a:blip xmlns:r="http://schemas.openxmlformats.org/officeDocument/2006/relationships" r:embed="rId2"/>
        <a:stretch>
          <a:fillRect/>
        </a:stretch>
      </xdr:blipFill>
      <xdr:spPr>
        <a:xfrm>
          <a:off x="3136900" y="341973273"/>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194" name="Resim 193">
          <a:extLst>
            <a:ext uri="{FF2B5EF4-FFF2-40B4-BE49-F238E27FC236}">
              <a16:creationId xmlns:a16="http://schemas.microsoft.com/office/drawing/2014/main" id="{596587B1-3C3C-4A47-89D9-E0B697591BB4}"/>
            </a:ext>
          </a:extLst>
        </xdr:cNvPr>
        <xdr:cNvPicPr>
          <a:picLocks noChangeAspect="1"/>
        </xdr:cNvPicPr>
      </xdr:nvPicPr>
      <xdr:blipFill>
        <a:blip xmlns:r="http://schemas.openxmlformats.org/officeDocument/2006/relationships" r:embed="rId1"/>
        <a:stretch>
          <a:fillRect/>
        </a:stretch>
      </xdr:blipFill>
      <xdr:spPr>
        <a:xfrm>
          <a:off x="186764" y="345761984"/>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195" name="Resim 194">
          <a:extLst>
            <a:ext uri="{FF2B5EF4-FFF2-40B4-BE49-F238E27FC236}">
              <a16:creationId xmlns:a16="http://schemas.microsoft.com/office/drawing/2014/main" id="{341F2AC5-8C12-4E8C-ADDB-2B0CB49DB12B}"/>
            </a:ext>
          </a:extLst>
        </xdr:cNvPr>
        <xdr:cNvPicPr>
          <a:picLocks noChangeAspect="1"/>
        </xdr:cNvPicPr>
      </xdr:nvPicPr>
      <xdr:blipFill>
        <a:blip xmlns:r="http://schemas.openxmlformats.org/officeDocument/2006/relationships" r:embed="rId2"/>
        <a:stretch>
          <a:fillRect/>
        </a:stretch>
      </xdr:blipFill>
      <xdr:spPr>
        <a:xfrm>
          <a:off x="3136900" y="345649923"/>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196" name="Resim 195">
          <a:extLst>
            <a:ext uri="{FF2B5EF4-FFF2-40B4-BE49-F238E27FC236}">
              <a16:creationId xmlns:a16="http://schemas.microsoft.com/office/drawing/2014/main" id="{BC5BD659-194F-4C42-92F6-B179183C2477}"/>
            </a:ext>
          </a:extLst>
        </xdr:cNvPr>
        <xdr:cNvPicPr>
          <a:picLocks noChangeAspect="1"/>
        </xdr:cNvPicPr>
      </xdr:nvPicPr>
      <xdr:blipFill>
        <a:blip xmlns:r="http://schemas.openxmlformats.org/officeDocument/2006/relationships" r:embed="rId1"/>
        <a:stretch>
          <a:fillRect/>
        </a:stretch>
      </xdr:blipFill>
      <xdr:spPr>
        <a:xfrm>
          <a:off x="186764" y="349438634"/>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197" name="Resim 196">
          <a:extLst>
            <a:ext uri="{FF2B5EF4-FFF2-40B4-BE49-F238E27FC236}">
              <a16:creationId xmlns:a16="http://schemas.microsoft.com/office/drawing/2014/main" id="{ECE158AA-442C-42E2-BB20-398B8A394052}"/>
            </a:ext>
          </a:extLst>
        </xdr:cNvPr>
        <xdr:cNvPicPr>
          <a:picLocks noChangeAspect="1"/>
        </xdr:cNvPicPr>
      </xdr:nvPicPr>
      <xdr:blipFill>
        <a:blip xmlns:r="http://schemas.openxmlformats.org/officeDocument/2006/relationships" r:embed="rId2"/>
        <a:stretch>
          <a:fillRect/>
        </a:stretch>
      </xdr:blipFill>
      <xdr:spPr>
        <a:xfrm>
          <a:off x="3136900" y="349326573"/>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198" name="Resim 197">
          <a:extLst>
            <a:ext uri="{FF2B5EF4-FFF2-40B4-BE49-F238E27FC236}">
              <a16:creationId xmlns:a16="http://schemas.microsoft.com/office/drawing/2014/main" id="{1D3FFBC0-9EC0-451C-A34B-FACD239F345E}"/>
            </a:ext>
          </a:extLst>
        </xdr:cNvPr>
        <xdr:cNvPicPr>
          <a:picLocks noChangeAspect="1"/>
        </xdr:cNvPicPr>
      </xdr:nvPicPr>
      <xdr:blipFill>
        <a:blip xmlns:r="http://schemas.openxmlformats.org/officeDocument/2006/relationships" r:embed="rId1"/>
        <a:stretch>
          <a:fillRect/>
        </a:stretch>
      </xdr:blipFill>
      <xdr:spPr>
        <a:xfrm>
          <a:off x="186764" y="353115284"/>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199" name="Resim 198">
          <a:extLst>
            <a:ext uri="{FF2B5EF4-FFF2-40B4-BE49-F238E27FC236}">
              <a16:creationId xmlns:a16="http://schemas.microsoft.com/office/drawing/2014/main" id="{957D8EB2-ACEF-4CCB-BE60-FC3BB9EE5979}"/>
            </a:ext>
          </a:extLst>
        </xdr:cNvPr>
        <xdr:cNvPicPr>
          <a:picLocks noChangeAspect="1"/>
        </xdr:cNvPicPr>
      </xdr:nvPicPr>
      <xdr:blipFill>
        <a:blip xmlns:r="http://schemas.openxmlformats.org/officeDocument/2006/relationships" r:embed="rId2"/>
        <a:stretch>
          <a:fillRect/>
        </a:stretch>
      </xdr:blipFill>
      <xdr:spPr>
        <a:xfrm>
          <a:off x="3136900" y="353003223"/>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200" name="Resim 199">
          <a:extLst>
            <a:ext uri="{FF2B5EF4-FFF2-40B4-BE49-F238E27FC236}">
              <a16:creationId xmlns:a16="http://schemas.microsoft.com/office/drawing/2014/main" id="{D30EA2A5-6C83-4E5A-9570-0E21D2A0621F}"/>
            </a:ext>
          </a:extLst>
        </xdr:cNvPr>
        <xdr:cNvPicPr>
          <a:picLocks noChangeAspect="1"/>
        </xdr:cNvPicPr>
      </xdr:nvPicPr>
      <xdr:blipFill>
        <a:blip xmlns:r="http://schemas.openxmlformats.org/officeDocument/2006/relationships" r:embed="rId1"/>
        <a:stretch>
          <a:fillRect/>
        </a:stretch>
      </xdr:blipFill>
      <xdr:spPr>
        <a:xfrm>
          <a:off x="186764" y="356791934"/>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201" name="Resim 200">
          <a:extLst>
            <a:ext uri="{FF2B5EF4-FFF2-40B4-BE49-F238E27FC236}">
              <a16:creationId xmlns:a16="http://schemas.microsoft.com/office/drawing/2014/main" id="{32B4DAC6-CEE4-427F-AB78-F082EE2521C8}"/>
            </a:ext>
          </a:extLst>
        </xdr:cNvPr>
        <xdr:cNvPicPr>
          <a:picLocks noChangeAspect="1"/>
        </xdr:cNvPicPr>
      </xdr:nvPicPr>
      <xdr:blipFill>
        <a:blip xmlns:r="http://schemas.openxmlformats.org/officeDocument/2006/relationships" r:embed="rId2"/>
        <a:stretch>
          <a:fillRect/>
        </a:stretch>
      </xdr:blipFill>
      <xdr:spPr>
        <a:xfrm>
          <a:off x="3136900" y="356679873"/>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202" name="Resim 201">
          <a:extLst>
            <a:ext uri="{FF2B5EF4-FFF2-40B4-BE49-F238E27FC236}">
              <a16:creationId xmlns:a16="http://schemas.microsoft.com/office/drawing/2014/main" id="{6A1AF6BB-AB43-4830-B4D0-898EB7F73DC9}"/>
            </a:ext>
          </a:extLst>
        </xdr:cNvPr>
        <xdr:cNvPicPr>
          <a:picLocks noChangeAspect="1"/>
        </xdr:cNvPicPr>
      </xdr:nvPicPr>
      <xdr:blipFill>
        <a:blip xmlns:r="http://schemas.openxmlformats.org/officeDocument/2006/relationships" r:embed="rId1"/>
        <a:stretch>
          <a:fillRect/>
        </a:stretch>
      </xdr:blipFill>
      <xdr:spPr>
        <a:xfrm>
          <a:off x="186764" y="3604685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203" name="Resim 202">
          <a:extLst>
            <a:ext uri="{FF2B5EF4-FFF2-40B4-BE49-F238E27FC236}">
              <a16:creationId xmlns:a16="http://schemas.microsoft.com/office/drawing/2014/main" id="{E073EEA3-0F11-4335-8AD0-9FABC2C0E16B}"/>
            </a:ext>
          </a:extLst>
        </xdr:cNvPr>
        <xdr:cNvPicPr>
          <a:picLocks noChangeAspect="1"/>
        </xdr:cNvPicPr>
      </xdr:nvPicPr>
      <xdr:blipFill>
        <a:blip xmlns:r="http://schemas.openxmlformats.org/officeDocument/2006/relationships" r:embed="rId2"/>
        <a:stretch>
          <a:fillRect/>
        </a:stretch>
      </xdr:blipFill>
      <xdr:spPr>
        <a:xfrm>
          <a:off x="3136900" y="3603565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204" name="Resim 203">
          <a:extLst>
            <a:ext uri="{FF2B5EF4-FFF2-40B4-BE49-F238E27FC236}">
              <a16:creationId xmlns:a16="http://schemas.microsoft.com/office/drawing/2014/main" id="{B45D9D95-30F1-44BE-93DB-D4D00F7BFD22}"/>
            </a:ext>
          </a:extLst>
        </xdr:cNvPr>
        <xdr:cNvPicPr>
          <a:picLocks noChangeAspect="1"/>
        </xdr:cNvPicPr>
      </xdr:nvPicPr>
      <xdr:blipFill>
        <a:blip xmlns:r="http://schemas.openxmlformats.org/officeDocument/2006/relationships" r:embed="rId1"/>
        <a:stretch>
          <a:fillRect/>
        </a:stretch>
      </xdr:blipFill>
      <xdr:spPr>
        <a:xfrm>
          <a:off x="186764" y="364145234"/>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205" name="Resim 204">
          <a:extLst>
            <a:ext uri="{FF2B5EF4-FFF2-40B4-BE49-F238E27FC236}">
              <a16:creationId xmlns:a16="http://schemas.microsoft.com/office/drawing/2014/main" id="{67DCFA52-4E55-4716-A504-7BDE86FA082B}"/>
            </a:ext>
          </a:extLst>
        </xdr:cNvPr>
        <xdr:cNvPicPr>
          <a:picLocks noChangeAspect="1"/>
        </xdr:cNvPicPr>
      </xdr:nvPicPr>
      <xdr:blipFill>
        <a:blip xmlns:r="http://schemas.openxmlformats.org/officeDocument/2006/relationships" r:embed="rId2"/>
        <a:stretch>
          <a:fillRect/>
        </a:stretch>
      </xdr:blipFill>
      <xdr:spPr>
        <a:xfrm>
          <a:off x="3136900" y="364033173"/>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206" name="Resim 205">
          <a:extLst>
            <a:ext uri="{FF2B5EF4-FFF2-40B4-BE49-F238E27FC236}">
              <a16:creationId xmlns:a16="http://schemas.microsoft.com/office/drawing/2014/main" id="{68A0ECF5-67E5-4C32-9EE3-1C06A02A7326}"/>
            </a:ext>
          </a:extLst>
        </xdr:cNvPr>
        <xdr:cNvPicPr>
          <a:picLocks noChangeAspect="1"/>
        </xdr:cNvPicPr>
      </xdr:nvPicPr>
      <xdr:blipFill>
        <a:blip xmlns:r="http://schemas.openxmlformats.org/officeDocument/2006/relationships" r:embed="rId1"/>
        <a:stretch>
          <a:fillRect/>
        </a:stretch>
      </xdr:blipFill>
      <xdr:spPr>
        <a:xfrm>
          <a:off x="186764" y="367821884"/>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207" name="Resim 206">
          <a:extLst>
            <a:ext uri="{FF2B5EF4-FFF2-40B4-BE49-F238E27FC236}">
              <a16:creationId xmlns:a16="http://schemas.microsoft.com/office/drawing/2014/main" id="{DC3555EF-45BE-4EA0-B623-99CBBF0322EA}"/>
            </a:ext>
          </a:extLst>
        </xdr:cNvPr>
        <xdr:cNvPicPr>
          <a:picLocks noChangeAspect="1"/>
        </xdr:cNvPicPr>
      </xdr:nvPicPr>
      <xdr:blipFill>
        <a:blip xmlns:r="http://schemas.openxmlformats.org/officeDocument/2006/relationships" r:embed="rId2"/>
        <a:stretch>
          <a:fillRect/>
        </a:stretch>
      </xdr:blipFill>
      <xdr:spPr>
        <a:xfrm>
          <a:off x="3136900" y="367709823"/>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208" name="Resim 207">
          <a:extLst>
            <a:ext uri="{FF2B5EF4-FFF2-40B4-BE49-F238E27FC236}">
              <a16:creationId xmlns:a16="http://schemas.microsoft.com/office/drawing/2014/main" id="{A18B144A-8F68-4166-8926-5CEB8AAA5E9B}"/>
            </a:ext>
          </a:extLst>
        </xdr:cNvPr>
        <xdr:cNvPicPr>
          <a:picLocks noChangeAspect="1"/>
        </xdr:cNvPicPr>
      </xdr:nvPicPr>
      <xdr:blipFill>
        <a:blip xmlns:r="http://schemas.openxmlformats.org/officeDocument/2006/relationships" r:embed="rId1"/>
        <a:stretch>
          <a:fillRect/>
        </a:stretch>
      </xdr:blipFill>
      <xdr:spPr>
        <a:xfrm>
          <a:off x="186764" y="371498534"/>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209" name="Resim 208">
          <a:extLst>
            <a:ext uri="{FF2B5EF4-FFF2-40B4-BE49-F238E27FC236}">
              <a16:creationId xmlns:a16="http://schemas.microsoft.com/office/drawing/2014/main" id="{DFADAF0E-30EC-4220-983F-E39870BE6BDF}"/>
            </a:ext>
          </a:extLst>
        </xdr:cNvPr>
        <xdr:cNvPicPr>
          <a:picLocks noChangeAspect="1"/>
        </xdr:cNvPicPr>
      </xdr:nvPicPr>
      <xdr:blipFill>
        <a:blip xmlns:r="http://schemas.openxmlformats.org/officeDocument/2006/relationships" r:embed="rId2"/>
        <a:stretch>
          <a:fillRect/>
        </a:stretch>
      </xdr:blipFill>
      <xdr:spPr>
        <a:xfrm>
          <a:off x="3136900" y="371386473"/>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210" name="Resim 209">
          <a:extLst>
            <a:ext uri="{FF2B5EF4-FFF2-40B4-BE49-F238E27FC236}">
              <a16:creationId xmlns:a16="http://schemas.microsoft.com/office/drawing/2014/main" id="{137DFE03-5F95-4512-9FDA-521162467488}"/>
            </a:ext>
          </a:extLst>
        </xdr:cNvPr>
        <xdr:cNvPicPr>
          <a:picLocks noChangeAspect="1"/>
        </xdr:cNvPicPr>
      </xdr:nvPicPr>
      <xdr:blipFill>
        <a:blip xmlns:r="http://schemas.openxmlformats.org/officeDocument/2006/relationships" r:embed="rId1"/>
        <a:stretch>
          <a:fillRect/>
        </a:stretch>
      </xdr:blipFill>
      <xdr:spPr>
        <a:xfrm>
          <a:off x="186764" y="375175184"/>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211" name="Resim 210">
          <a:extLst>
            <a:ext uri="{FF2B5EF4-FFF2-40B4-BE49-F238E27FC236}">
              <a16:creationId xmlns:a16="http://schemas.microsoft.com/office/drawing/2014/main" id="{DC5F9315-02D7-469A-B849-BB302C020F60}"/>
            </a:ext>
          </a:extLst>
        </xdr:cNvPr>
        <xdr:cNvPicPr>
          <a:picLocks noChangeAspect="1"/>
        </xdr:cNvPicPr>
      </xdr:nvPicPr>
      <xdr:blipFill>
        <a:blip xmlns:r="http://schemas.openxmlformats.org/officeDocument/2006/relationships" r:embed="rId2"/>
        <a:stretch>
          <a:fillRect/>
        </a:stretch>
      </xdr:blipFill>
      <xdr:spPr>
        <a:xfrm>
          <a:off x="3136900" y="375063123"/>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212" name="Resim 211">
          <a:extLst>
            <a:ext uri="{FF2B5EF4-FFF2-40B4-BE49-F238E27FC236}">
              <a16:creationId xmlns:a16="http://schemas.microsoft.com/office/drawing/2014/main" id="{8F28698C-95AA-499A-ACB1-B90F8464B090}"/>
            </a:ext>
          </a:extLst>
        </xdr:cNvPr>
        <xdr:cNvPicPr>
          <a:picLocks noChangeAspect="1"/>
        </xdr:cNvPicPr>
      </xdr:nvPicPr>
      <xdr:blipFill>
        <a:blip xmlns:r="http://schemas.openxmlformats.org/officeDocument/2006/relationships" r:embed="rId1"/>
        <a:stretch>
          <a:fillRect/>
        </a:stretch>
      </xdr:blipFill>
      <xdr:spPr>
        <a:xfrm>
          <a:off x="186764" y="378851834"/>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213" name="Resim 212">
          <a:extLst>
            <a:ext uri="{FF2B5EF4-FFF2-40B4-BE49-F238E27FC236}">
              <a16:creationId xmlns:a16="http://schemas.microsoft.com/office/drawing/2014/main" id="{C16C2B4A-4976-4A1B-91D6-529F09BECB00}"/>
            </a:ext>
          </a:extLst>
        </xdr:cNvPr>
        <xdr:cNvPicPr>
          <a:picLocks noChangeAspect="1"/>
        </xdr:cNvPicPr>
      </xdr:nvPicPr>
      <xdr:blipFill>
        <a:blip xmlns:r="http://schemas.openxmlformats.org/officeDocument/2006/relationships" r:embed="rId2"/>
        <a:stretch>
          <a:fillRect/>
        </a:stretch>
      </xdr:blipFill>
      <xdr:spPr>
        <a:xfrm>
          <a:off x="3136900" y="378739773"/>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214" name="Resim 213">
          <a:extLst>
            <a:ext uri="{FF2B5EF4-FFF2-40B4-BE49-F238E27FC236}">
              <a16:creationId xmlns:a16="http://schemas.microsoft.com/office/drawing/2014/main" id="{AFB0E31F-4E2E-440C-A35D-3DBD1834C274}"/>
            </a:ext>
          </a:extLst>
        </xdr:cNvPr>
        <xdr:cNvPicPr>
          <a:picLocks noChangeAspect="1"/>
        </xdr:cNvPicPr>
      </xdr:nvPicPr>
      <xdr:blipFill>
        <a:blip xmlns:r="http://schemas.openxmlformats.org/officeDocument/2006/relationships" r:embed="rId1"/>
        <a:stretch>
          <a:fillRect/>
        </a:stretch>
      </xdr:blipFill>
      <xdr:spPr>
        <a:xfrm>
          <a:off x="186764" y="382528484"/>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215" name="Resim 214">
          <a:extLst>
            <a:ext uri="{FF2B5EF4-FFF2-40B4-BE49-F238E27FC236}">
              <a16:creationId xmlns:a16="http://schemas.microsoft.com/office/drawing/2014/main" id="{5EAC9988-16E2-4C9C-8747-4FF28173AE52}"/>
            </a:ext>
          </a:extLst>
        </xdr:cNvPr>
        <xdr:cNvPicPr>
          <a:picLocks noChangeAspect="1"/>
        </xdr:cNvPicPr>
      </xdr:nvPicPr>
      <xdr:blipFill>
        <a:blip xmlns:r="http://schemas.openxmlformats.org/officeDocument/2006/relationships" r:embed="rId2"/>
        <a:stretch>
          <a:fillRect/>
        </a:stretch>
      </xdr:blipFill>
      <xdr:spPr>
        <a:xfrm>
          <a:off x="3136900" y="382416423"/>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216" name="Resim 215">
          <a:extLst>
            <a:ext uri="{FF2B5EF4-FFF2-40B4-BE49-F238E27FC236}">
              <a16:creationId xmlns:a16="http://schemas.microsoft.com/office/drawing/2014/main" id="{F45604C8-CBC8-4EBB-B1A5-BC63C63C675C}"/>
            </a:ext>
          </a:extLst>
        </xdr:cNvPr>
        <xdr:cNvPicPr>
          <a:picLocks noChangeAspect="1"/>
        </xdr:cNvPicPr>
      </xdr:nvPicPr>
      <xdr:blipFill>
        <a:blip xmlns:r="http://schemas.openxmlformats.org/officeDocument/2006/relationships" r:embed="rId1"/>
        <a:stretch>
          <a:fillRect/>
        </a:stretch>
      </xdr:blipFill>
      <xdr:spPr>
        <a:xfrm>
          <a:off x="186764" y="38620513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217" name="Resim 216">
          <a:extLst>
            <a:ext uri="{FF2B5EF4-FFF2-40B4-BE49-F238E27FC236}">
              <a16:creationId xmlns:a16="http://schemas.microsoft.com/office/drawing/2014/main" id="{E73359BC-7A4D-4024-873A-184A7B3AEBBD}"/>
            </a:ext>
          </a:extLst>
        </xdr:cNvPr>
        <xdr:cNvPicPr>
          <a:picLocks noChangeAspect="1"/>
        </xdr:cNvPicPr>
      </xdr:nvPicPr>
      <xdr:blipFill>
        <a:blip xmlns:r="http://schemas.openxmlformats.org/officeDocument/2006/relationships" r:embed="rId2"/>
        <a:stretch>
          <a:fillRect/>
        </a:stretch>
      </xdr:blipFill>
      <xdr:spPr>
        <a:xfrm>
          <a:off x="3136900" y="38609307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218" name="Resim 217">
          <a:extLst>
            <a:ext uri="{FF2B5EF4-FFF2-40B4-BE49-F238E27FC236}">
              <a16:creationId xmlns:a16="http://schemas.microsoft.com/office/drawing/2014/main" id="{87E1ED3C-2F3D-44DE-8BB0-A068BABB8303}"/>
            </a:ext>
          </a:extLst>
        </xdr:cNvPr>
        <xdr:cNvPicPr>
          <a:picLocks noChangeAspect="1"/>
        </xdr:cNvPicPr>
      </xdr:nvPicPr>
      <xdr:blipFill>
        <a:blip xmlns:r="http://schemas.openxmlformats.org/officeDocument/2006/relationships" r:embed="rId1"/>
        <a:stretch>
          <a:fillRect/>
        </a:stretch>
      </xdr:blipFill>
      <xdr:spPr>
        <a:xfrm>
          <a:off x="186764" y="389881784"/>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219" name="Resim 218">
          <a:extLst>
            <a:ext uri="{FF2B5EF4-FFF2-40B4-BE49-F238E27FC236}">
              <a16:creationId xmlns:a16="http://schemas.microsoft.com/office/drawing/2014/main" id="{98C871F9-F29A-46D7-A59B-4884514765D4}"/>
            </a:ext>
          </a:extLst>
        </xdr:cNvPr>
        <xdr:cNvPicPr>
          <a:picLocks noChangeAspect="1"/>
        </xdr:cNvPicPr>
      </xdr:nvPicPr>
      <xdr:blipFill>
        <a:blip xmlns:r="http://schemas.openxmlformats.org/officeDocument/2006/relationships" r:embed="rId2"/>
        <a:stretch>
          <a:fillRect/>
        </a:stretch>
      </xdr:blipFill>
      <xdr:spPr>
        <a:xfrm>
          <a:off x="3136900" y="389769723"/>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220" name="Resim 219">
          <a:extLst>
            <a:ext uri="{FF2B5EF4-FFF2-40B4-BE49-F238E27FC236}">
              <a16:creationId xmlns:a16="http://schemas.microsoft.com/office/drawing/2014/main" id="{ECC84CC7-538F-48D8-81E8-63E476893E7B}"/>
            </a:ext>
          </a:extLst>
        </xdr:cNvPr>
        <xdr:cNvPicPr>
          <a:picLocks noChangeAspect="1"/>
        </xdr:cNvPicPr>
      </xdr:nvPicPr>
      <xdr:blipFill>
        <a:blip xmlns:r="http://schemas.openxmlformats.org/officeDocument/2006/relationships" r:embed="rId1"/>
        <a:stretch>
          <a:fillRect/>
        </a:stretch>
      </xdr:blipFill>
      <xdr:spPr>
        <a:xfrm>
          <a:off x="186764" y="393558434"/>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221" name="Resim 220">
          <a:extLst>
            <a:ext uri="{FF2B5EF4-FFF2-40B4-BE49-F238E27FC236}">
              <a16:creationId xmlns:a16="http://schemas.microsoft.com/office/drawing/2014/main" id="{9B38BF16-FD41-467E-B0DE-06278E970CE2}"/>
            </a:ext>
          </a:extLst>
        </xdr:cNvPr>
        <xdr:cNvPicPr>
          <a:picLocks noChangeAspect="1"/>
        </xdr:cNvPicPr>
      </xdr:nvPicPr>
      <xdr:blipFill>
        <a:blip xmlns:r="http://schemas.openxmlformats.org/officeDocument/2006/relationships" r:embed="rId2"/>
        <a:stretch>
          <a:fillRect/>
        </a:stretch>
      </xdr:blipFill>
      <xdr:spPr>
        <a:xfrm>
          <a:off x="3136900" y="393446373"/>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222" name="Resim 221">
          <a:extLst>
            <a:ext uri="{FF2B5EF4-FFF2-40B4-BE49-F238E27FC236}">
              <a16:creationId xmlns:a16="http://schemas.microsoft.com/office/drawing/2014/main" id="{93344765-E5C4-498C-8C07-4D6007F156B7}"/>
            </a:ext>
          </a:extLst>
        </xdr:cNvPr>
        <xdr:cNvPicPr>
          <a:picLocks noChangeAspect="1"/>
        </xdr:cNvPicPr>
      </xdr:nvPicPr>
      <xdr:blipFill>
        <a:blip xmlns:r="http://schemas.openxmlformats.org/officeDocument/2006/relationships" r:embed="rId1"/>
        <a:stretch>
          <a:fillRect/>
        </a:stretch>
      </xdr:blipFill>
      <xdr:spPr>
        <a:xfrm>
          <a:off x="186764" y="397235084"/>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223" name="Resim 222">
          <a:extLst>
            <a:ext uri="{FF2B5EF4-FFF2-40B4-BE49-F238E27FC236}">
              <a16:creationId xmlns:a16="http://schemas.microsoft.com/office/drawing/2014/main" id="{4902F72E-B035-46CB-9E73-54EBBB2CB956}"/>
            </a:ext>
          </a:extLst>
        </xdr:cNvPr>
        <xdr:cNvPicPr>
          <a:picLocks noChangeAspect="1"/>
        </xdr:cNvPicPr>
      </xdr:nvPicPr>
      <xdr:blipFill>
        <a:blip xmlns:r="http://schemas.openxmlformats.org/officeDocument/2006/relationships" r:embed="rId2"/>
        <a:stretch>
          <a:fillRect/>
        </a:stretch>
      </xdr:blipFill>
      <xdr:spPr>
        <a:xfrm>
          <a:off x="3136900" y="397123023"/>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224" name="Resim 223">
          <a:extLst>
            <a:ext uri="{FF2B5EF4-FFF2-40B4-BE49-F238E27FC236}">
              <a16:creationId xmlns:a16="http://schemas.microsoft.com/office/drawing/2014/main" id="{6DEB78D0-3883-45EE-AC8A-80E024AD4EA2}"/>
            </a:ext>
          </a:extLst>
        </xdr:cNvPr>
        <xdr:cNvPicPr>
          <a:picLocks noChangeAspect="1"/>
        </xdr:cNvPicPr>
      </xdr:nvPicPr>
      <xdr:blipFill>
        <a:blip xmlns:r="http://schemas.openxmlformats.org/officeDocument/2006/relationships" r:embed="rId1"/>
        <a:stretch>
          <a:fillRect/>
        </a:stretch>
      </xdr:blipFill>
      <xdr:spPr>
        <a:xfrm>
          <a:off x="186764" y="400911734"/>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225" name="Resim 224">
          <a:extLst>
            <a:ext uri="{FF2B5EF4-FFF2-40B4-BE49-F238E27FC236}">
              <a16:creationId xmlns:a16="http://schemas.microsoft.com/office/drawing/2014/main" id="{6B464242-F107-4DA4-A60B-5D20D139F06F}"/>
            </a:ext>
          </a:extLst>
        </xdr:cNvPr>
        <xdr:cNvPicPr>
          <a:picLocks noChangeAspect="1"/>
        </xdr:cNvPicPr>
      </xdr:nvPicPr>
      <xdr:blipFill>
        <a:blip xmlns:r="http://schemas.openxmlformats.org/officeDocument/2006/relationships" r:embed="rId2"/>
        <a:stretch>
          <a:fillRect/>
        </a:stretch>
      </xdr:blipFill>
      <xdr:spPr>
        <a:xfrm>
          <a:off x="3136900" y="400799673"/>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226" name="Resim 225">
          <a:extLst>
            <a:ext uri="{FF2B5EF4-FFF2-40B4-BE49-F238E27FC236}">
              <a16:creationId xmlns:a16="http://schemas.microsoft.com/office/drawing/2014/main" id="{84827D28-574C-446F-9129-F1D4384D057C}"/>
            </a:ext>
          </a:extLst>
        </xdr:cNvPr>
        <xdr:cNvPicPr>
          <a:picLocks noChangeAspect="1"/>
        </xdr:cNvPicPr>
      </xdr:nvPicPr>
      <xdr:blipFill>
        <a:blip xmlns:r="http://schemas.openxmlformats.org/officeDocument/2006/relationships" r:embed="rId1"/>
        <a:stretch>
          <a:fillRect/>
        </a:stretch>
      </xdr:blipFill>
      <xdr:spPr>
        <a:xfrm>
          <a:off x="186764" y="404588384"/>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227" name="Resim 226">
          <a:extLst>
            <a:ext uri="{FF2B5EF4-FFF2-40B4-BE49-F238E27FC236}">
              <a16:creationId xmlns:a16="http://schemas.microsoft.com/office/drawing/2014/main" id="{1D349606-24D1-4A53-9D03-0CA38F2266DF}"/>
            </a:ext>
          </a:extLst>
        </xdr:cNvPr>
        <xdr:cNvPicPr>
          <a:picLocks noChangeAspect="1"/>
        </xdr:cNvPicPr>
      </xdr:nvPicPr>
      <xdr:blipFill>
        <a:blip xmlns:r="http://schemas.openxmlformats.org/officeDocument/2006/relationships" r:embed="rId2"/>
        <a:stretch>
          <a:fillRect/>
        </a:stretch>
      </xdr:blipFill>
      <xdr:spPr>
        <a:xfrm>
          <a:off x="3136900" y="404476323"/>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228" name="Resim 227">
          <a:extLst>
            <a:ext uri="{FF2B5EF4-FFF2-40B4-BE49-F238E27FC236}">
              <a16:creationId xmlns:a16="http://schemas.microsoft.com/office/drawing/2014/main" id="{A53F1967-17C8-4E7C-BE5D-6E27D2240161}"/>
            </a:ext>
          </a:extLst>
        </xdr:cNvPr>
        <xdr:cNvPicPr>
          <a:picLocks noChangeAspect="1"/>
        </xdr:cNvPicPr>
      </xdr:nvPicPr>
      <xdr:blipFill>
        <a:blip xmlns:r="http://schemas.openxmlformats.org/officeDocument/2006/relationships" r:embed="rId1"/>
        <a:stretch>
          <a:fillRect/>
        </a:stretch>
      </xdr:blipFill>
      <xdr:spPr>
        <a:xfrm>
          <a:off x="186764" y="408265034"/>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229" name="Resim 228">
          <a:extLst>
            <a:ext uri="{FF2B5EF4-FFF2-40B4-BE49-F238E27FC236}">
              <a16:creationId xmlns:a16="http://schemas.microsoft.com/office/drawing/2014/main" id="{C45B81F7-EC4D-4955-A8CC-1C8AF8FD7E76}"/>
            </a:ext>
          </a:extLst>
        </xdr:cNvPr>
        <xdr:cNvPicPr>
          <a:picLocks noChangeAspect="1"/>
        </xdr:cNvPicPr>
      </xdr:nvPicPr>
      <xdr:blipFill>
        <a:blip xmlns:r="http://schemas.openxmlformats.org/officeDocument/2006/relationships" r:embed="rId2"/>
        <a:stretch>
          <a:fillRect/>
        </a:stretch>
      </xdr:blipFill>
      <xdr:spPr>
        <a:xfrm>
          <a:off x="3136900" y="408152973"/>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230" name="Resim 229">
          <a:extLst>
            <a:ext uri="{FF2B5EF4-FFF2-40B4-BE49-F238E27FC236}">
              <a16:creationId xmlns:a16="http://schemas.microsoft.com/office/drawing/2014/main" id="{8F7650B9-19EB-4B29-B04B-D0B40E3FD950}"/>
            </a:ext>
          </a:extLst>
        </xdr:cNvPr>
        <xdr:cNvPicPr>
          <a:picLocks noChangeAspect="1"/>
        </xdr:cNvPicPr>
      </xdr:nvPicPr>
      <xdr:blipFill>
        <a:blip xmlns:r="http://schemas.openxmlformats.org/officeDocument/2006/relationships" r:embed="rId1"/>
        <a:stretch>
          <a:fillRect/>
        </a:stretch>
      </xdr:blipFill>
      <xdr:spPr>
        <a:xfrm>
          <a:off x="186764" y="4119416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231" name="Resim 230">
          <a:extLst>
            <a:ext uri="{FF2B5EF4-FFF2-40B4-BE49-F238E27FC236}">
              <a16:creationId xmlns:a16="http://schemas.microsoft.com/office/drawing/2014/main" id="{8787EF10-9601-41C4-9E29-22BAB0B58EA9}"/>
            </a:ext>
          </a:extLst>
        </xdr:cNvPr>
        <xdr:cNvPicPr>
          <a:picLocks noChangeAspect="1"/>
        </xdr:cNvPicPr>
      </xdr:nvPicPr>
      <xdr:blipFill>
        <a:blip xmlns:r="http://schemas.openxmlformats.org/officeDocument/2006/relationships" r:embed="rId2"/>
        <a:stretch>
          <a:fillRect/>
        </a:stretch>
      </xdr:blipFill>
      <xdr:spPr>
        <a:xfrm>
          <a:off x="3136900" y="4118296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232" name="Resim 231">
          <a:extLst>
            <a:ext uri="{FF2B5EF4-FFF2-40B4-BE49-F238E27FC236}">
              <a16:creationId xmlns:a16="http://schemas.microsoft.com/office/drawing/2014/main" id="{15062E30-81F2-4C59-A64D-F7DC8DA527F6}"/>
            </a:ext>
          </a:extLst>
        </xdr:cNvPr>
        <xdr:cNvPicPr>
          <a:picLocks noChangeAspect="1"/>
        </xdr:cNvPicPr>
      </xdr:nvPicPr>
      <xdr:blipFill>
        <a:blip xmlns:r="http://schemas.openxmlformats.org/officeDocument/2006/relationships" r:embed="rId1"/>
        <a:stretch>
          <a:fillRect/>
        </a:stretch>
      </xdr:blipFill>
      <xdr:spPr>
        <a:xfrm>
          <a:off x="186764" y="415618334"/>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233" name="Resim 232">
          <a:extLst>
            <a:ext uri="{FF2B5EF4-FFF2-40B4-BE49-F238E27FC236}">
              <a16:creationId xmlns:a16="http://schemas.microsoft.com/office/drawing/2014/main" id="{DFD24D36-265C-460B-80BA-0621AAB42164}"/>
            </a:ext>
          </a:extLst>
        </xdr:cNvPr>
        <xdr:cNvPicPr>
          <a:picLocks noChangeAspect="1"/>
        </xdr:cNvPicPr>
      </xdr:nvPicPr>
      <xdr:blipFill>
        <a:blip xmlns:r="http://schemas.openxmlformats.org/officeDocument/2006/relationships" r:embed="rId2"/>
        <a:stretch>
          <a:fillRect/>
        </a:stretch>
      </xdr:blipFill>
      <xdr:spPr>
        <a:xfrm>
          <a:off x="3136900" y="415506273"/>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234" name="Resim 233">
          <a:extLst>
            <a:ext uri="{FF2B5EF4-FFF2-40B4-BE49-F238E27FC236}">
              <a16:creationId xmlns:a16="http://schemas.microsoft.com/office/drawing/2014/main" id="{97091D35-3609-4206-AA07-A4DA88EB0D98}"/>
            </a:ext>
          </a:extLst>
        </xdr:cNvPr>
        <xdr:cNvPicPr>
          <a:picLocks noChangeAspect="1"/>
        </xdr:cNvPicPr>
      </xdr:nvPicPr>
      <xdr:blipFill>
        <a:blip xmlns:r="http://schemas.openxmlformats.org/officeDocument/2006/relationships" r:embed="rId1"/>
        <a:stretch>
          <a:fillRect/>
        </a:stretch>
      </xdr:blipFill>
      <xdr:spPr>
        <a:xfrm>
          <a:off x="186764" y="419294984"/>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235" name="Resim 234">
          <a:extLst>
            <a:ext uri="{FF2B5EF4-FFF2-40B4-BE49-F238E27FC236}">
              <a16:creationId xmlns:a16="http://schemas.microsoft.com/office/drawing/2014/main" id="{A4CEBB2C-36DC-4190-9B10-D498E4B16760}"/>
            </a:ext>
          </a:extLst>
        </xdr:cNvPr>
        <xdr:cNvPicPr>
          <a:picLocks noChangeAspect="1"/>
        </xdr:cNvPicPr>
      </xdr:nvPicPr>
      <xdr:blipFill>
        <a:blip xmlns:r="http://schemas.openxmlformats.org/officeDocument/2006/relationships" r:embed="rId2"/>
        <a:stretch>
          <a:fillRect/>
        </a:stretch>
      </xdr:blipFill>
      <xdr:spPr>
        <a:xfrm>
          <a:off x="3136900" y="419182923"/>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236" name="Resim 235">
          <a:extLst>
            <a:ext uri="{FF2B5EF4-FFF2-40B4-BE49-F238E27FC236}">
              <a16:creationId xmlns:a16="http://schemas.microsoft.com/office/drawing/2014/main" id="{BD140718-FE32-4C9C-A88F-D6CFEE8F7CD2}"/>
            </a:ext>
          </a:extLst>
        </xdr:cNvPr>
        <xdr:cNvPicPr>
          <a:picLocks noChangeAspect="1"/>
        </xdr:cNvPicPr>
      </xdr:nvPicPr>
      <xdr:blipFill>
        <a:blip xmlns:r="http://schemas.openxmlformats.org/officeDocument/2006/relationships" r:embed="rId1"/>
        <a:stretch>
          <a:fillRect/>
        </a:stretch>
      </xdr:blipFill>
      <xdr:spPr>
        <a:xfrm>
          <a:off x="186764" y="422971634"/>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237" name="Resim 236">
          <a:extLst>
            <a:ext uri="{FF2B5EF4-FFF2-40B4-BE49-F238E27FC236}">
              <a16:creationId xmlns:a16="http://schemas.microsoft.com/office/drawing/2014/main" id="{A98D9953-86EB-497B-8D53-4BC9535DC04B}"/>
            </a:ext>
          </a:extLst>
        </xdr:cNvPr>
        <xdr:cNvPicPr>
          <a:picLocks noChangeAspect="1"/>
        </xdr:cNvPicPr>
      </xdr:nvPicPr>
      <xdr:blipFill>
        <a:blip xmlns:r="http://schemas.openxmlformats.org/officeDocument/2006/relationships" r:embed="rId2"/>
        <a:stretch>
          <a:fillRect/>
        </a:stretch>
      </xdr:blipFill>
      <xdr:spPr>
        <a:xfrm>
          <a:off x="3136900" y="422859573"/>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238" name="Resim 237">
          <a:extLst>
            <a:ext uri="{FF2B5EF4-FFF2-40B4-BE49-F238E27FC236}">
              <a16:creationId xmlns:a16="http://schemas.microsoft.com/office/drawing/2014/main" id="{87642DA7-ACA5-4C90-8CEE-058935C1804F}"/>
            </a:ext>
          </a:extLst>
        </xdr:cNvPr>
        <xdr:cNvPicPr>
          <a:picLocks noChangeAspect="1"/>
        </xdr:cNvPicPr>
      </xdr:nvPicPr>
      <xdr:blipFill>
        <a:blip xmlns:r="http://schemas.openxmlformats.org/officeDocument/2006/relationships" r:embed="rId1"/>
        <a:stretch>
          <a:fillRect/>
        </a:stretch>
      </xdr:blipFill>
      <xdr:spPr>
        <a:xfrm>
          <a:off x="186764" y="426648284"/>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239" name="Resim 238">
          <a:extLst>
            <a:ext uri="{FF2B5EF4-FFF2-40B4-BE49-F238E27FC236}">
              <a16:creationId xmlns:a16="http://schemas.microsoft.com/office/drawing/2014/main" id="{D28B1D48-81CB-41D8-8F78-2282398AD70E}"/>
            </a:ext>
          </a:extLst>
        </xdr:cNvPr>
        <xdr:cNvPicPr>
          <a:picLocks noChangeAspect="1"/>
        </xdr:cNvPicPr>
      </xdr:nvPicPr>
      <xdr:blipFill>
        <a:blip xmlns:r="http://schemas.openxmlformats.org/officeDocument/2006/relationships" r:embed="rId2"/>
        <a:stretch>
          <a:fillRect/>
        </a:stretch>
      </xdr:blipFill>
      <xdr:spPr>
        <a:xfrm>
          <a:off x="3136900" y="426536223"/>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240" name="Resim 239">
          <a:extLst>
            <a:ext uri="{FF2B5EF4-FFF2-40B4-BE49-F238E27FC236}">
              <a16:creationId xmlns:a16="http://schemas.microsoft.com/office/drawing/2014/main" id="{E86E7B91-7C87-49D7-B32D-A598ECABDEC6}"/>
            </a:ext>
          </a:extLst>
        </xdr:cNvPr>
        <xdr:cNvPicPr>
          <a:picLocks noChangeAspect="1"/>
        </xdr:cNvPicPr>
      </xdr:nvPicPr>
      <xdr:blipFill>
        <a:blip xmlns:r="http://schemas.openxmlformats.org/officeDocument/2006/relationships" r:embed="rId1"/>
        <a:stretch>
          <a:fillRect/>
        </a:stretch>
      </xdr:blipFill>
      <xdr:spPr>
        <a:xfrm>
          <a:off x="186764" y="430324934"/>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241" name="Resim 240">
          <a:extLst>
            <a:ext uri="{FF2B5EF4-FFF2-40B4-BE49-F238E27FC236}">
              <a16:creationId xmlns:a16="http://schemas.microsoft.com/office/drawing/2014/main" id="{A518DE74-145E-4BF6-8E4D-C8AC4DA2AEE3}"/>
            </a:ext>
          </a:extLst>
        </xdr:cNvPr>
        <xdr:cNvPicPr>
          <a:picLocks noChangeAspect="1"/>
        </xdr:cNvPicPr>
      </xdr:nvPicPr>
      <xdr:blipFill>
        <a:blip xmlns:r="http://schemas.openxmlformats.org/officeDocument/2006/relationships" r:embed="rId2"/>
        <a:stretch>
          <a:fillRect/>
        </a:stretch>
      </xdr:blipFill>
      <xdr:spPr>
        <a:xfrm>
          <a:off x="3136900" y="430212873"/>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242" name="Resim 241">
          <a:extLst>
            <a:ext uri="{FF2B5EF4-FFF2-40B4-BE49-F238E27FC236}">
              <a16:creationId xmlns:a16="http://schemas.microsoft.com/office/drawing/2014/main" id="{8F12780B-D9F5-47B7-B70E-9872E72BB0CF}"/>
            </a:ext>
          </a:extLst>
        </xdr:cNvPr>
        <xdr:cNvPicPr>
          <a:picLocks noChangeAspect="1"/>
        </xdr:cNvPicPr>
      </xdr:nvPicPr>
      <xdr:blipFill>
        <a:blip xmlns:r="http://schemas.openxmlformats.org/officeDocument/2006/relationships" r:embed="rId1"/>
        <a:stretch>
          <a:fillRect/>
        </a:stretch>
      </xdr:blipFill>
      <xdr:spPr>
        <a:xfrm>
          <a:off x="186764" y="434001584"/>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243" name="Resim 242">
          <a:extLst>
            <a:ext uri="{FF2B5EF4-FFF2-40B4-BE49-F238E27FC236}">
              <a16:creationId xmlns:a16="http://schemas.microsoft.com/office/drawing/2014/main" id="{97E41076-F8BD-48FC-BF80-393D1E162A7A}"/>
            </a:ext>
          </a:extLst>
        </xdr:cNvPr>
        <xdr:cNvPicPr>
          <a:picLocks noChangeAspect="1"/>
        </xdr:cNvPicPr>
      </xdr:nvPicPr>
      <xdr:blipFill>
        <a:blip xmlns:r="http://schemas.openxmlformats.org/officeDocument/2006/relationships" r:embed="rId2"/>
        <a:stretch>
          <a:fillRect/>
        </a:stretch>
      </xdr:blipFill>
      <xdr:spPr>
        <a:xfrm>
          <a:off x="3136900" y="433889523"/>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244" name="Resim 243">
          <a:extLst>
            <a:ext uri="{FF2B5EF4-FFF2-40B4-BE49-F238E27FC236}">
              <a16:creationId xmlns:a16="http://schemas.microsoft.com/office/drawing/2014/main" id="{DA016AD8-C2CB-4F18-AEE4-C4B4643EF1C4}"/>
            </a:ext>
          </a:extLst>
        </xdr:cNvPr>
        <xdr:cNvPicPr>
          <a:picLocks noChangeAspect="1"/>
        </xdr:cNvPicPr>
      </xdr:nvPicPr>
      <xdr:blipFill>
        <a:blip xmlns:r="http://schemas.openxmlformats.org/officeDocument/2006/relationships" r:embed="rId1"/>
        <a:stretch>
          <a:fillRect/>
        </a:stretch>
      </xdr:blipFill>
      <xdr:spPr>
        <a:xfrm>
          <a:off x="186764" y="43767823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245" name="Resim 244">
          <a:extLst>
            <a:ext uri="{FF2B5EF4-FFF2-40B4-BE49-F238E27FC236}">
              <a16:creationId xmlns:a16="http://schemas.microsoft.com/office/drawing/2014/main" id="{B0078225-D04F-431D-971B-9E26F78A5D75}"/>
            </a:ext>
          </a:extLst>
        </xdr:cNvPr>
        <xdr:cNvPicPr>
          <a:picLocks noChangeAspect="1"/>
        </xdr:cNvPicPr>
      </xdr:nvPicPr>
      <xdr:blipFill>
        <a:blip xmlns:r="http://schemas.openxmlformats.org/officeDocument/2006/relationships" r:embed="rId2"/>
        <a:stretch>
          <a:fillRect/>
        </a:stretch>
      </xdr:blipFill>
      <xdr:spPr>
        <a:xfrm>
          <a:off x="3136900" y="43756617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246" name="Resim 245">
          <a:extLst>
            <a:ext uri="{FF2B5EF4-FFF2-40B4-BE49-F238E27FC236}">
              <a16:creationId xmlns:a16="http://schemas.microsoft.com/office/drawing/2014/main" id="{A2E08569-BE85-4051-B03C-57E1FF0189EC}"/>
            </a:ext>
          </a:extLst>
        </xdr:cNvPr>
        <xdr:cNvPicPr>
          <a:picLocks noChangeAspect="1"/>
        </xdr:cNvPicPr>
      </xdr:nvPicPr>
      <xdr:blipFill>
        <a:blip xmlns:r="http://schemas.openxmlformats.org/officeDocument/2006/relationships" r:embed="rId1"/>
        <a:stretch>
          <a:fillRect/>
        </a:stretch>
      </xdr:blipFill>
      <xdr:spPr>
        <a:xfrm>
          <a:off x="186764" y="441354884"/>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247" name="Resim 246">
          <a:extLst>
            <a:ext uri="{FF2B5EF4-FFF2-40B4-BE49-F238E27FC236}">
              <a16:creationId xmlns:a16="http://schemas.microsoft.com/office/drawing/2014/main" id="{CD3039FE-A61B-46E6-8360-4E5BEF4D30AF}"/>
            </a:ext>
          </a:extLst>
        </xdr:cNvPr>
        <xdr:cNvPicPr>
          <a:picLocks noChangeAspect="1"/>
        </xdr:cNvPicPr>
      </xdr:nvPicPr>
      <xdr:blipFill>
        <a:blip xmlns:r="http://schemas.openxmlformats.org/officeDocument/2006/relationships" r:embed="rId2"/>
        <a:stretch>
          <a:fillRect/>
        </a:stretch>
      </xdr:blipFill>
      <xdr:spPr>
        <a:xfrm>
          <a:off x="3136900" y="441242823"/>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248" name="Resim 247">
          <a:extLst>
            <a:ext uri="{FF2B5EF4-FFF2-40B4-BE49-F238E27FC236}">
              <a16:creationId xmlns:a16="http://schemas.microsoft.com/office/drawing/2014/main" id="{C63FE4CE-479A-4548-B74B-0EDD852B7529}"/>
            </a:ext>
          </a:extLst>
        </xdr:cNvPr>
        <xdr:cNvPicPr>
          <a:picLocks noChangeAspect="1"/>
        </xdr:cNvPicPr>
      </xdr:nvPicPr>
      <xdr:blipFill>
        <a:blip xmlns:r="http://schemas.openxmlformats.org/officeDocument/2006/relationships" r:embed="rId1"/>
        <a:stretch>
          <a:fillRect/>
        </a:stretch>
      </xdr:blipFill>
      <xdr:spPr>
        <a:xfrm>
          <a:off x="186764" y="445031534"/>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249" name="Resim 248">
          <a:extLst>
            <a:ext uri="{FF2B5EF4-FFF2-40B4-BE49-F238E27FC236}">
              <a16:creationId xmlns:a16="http://schemas.microsoft.com/office/drawing/2014/main" id="{468039C6-D23C-4C9E-A7A9-105EDA2CB034}"/>
            </a:ext>
          </a:extLst>
        </xdr:cNvPr>
        <xdr:cNvPicPr>
          <a:picLocks noChangeAspect="1"/>
        </xdr:cNvPicPr>
      </xdr:nvPicPr>
      <xdr:blipFill>
        <a:blip xmlns:r="http://schemas.openxmlformats.org/officeDocument/2006/relationships" r:embed="rId2"/>
        <a:stretch>
          <a:fillRect/>
        </a:stretch>
      </xdr:blipFill>
      <xdr:spPr>
        <a:xfrm>
          <a:off x="3136900" y="444919473"/>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250" name="Resim 249">
          <a:extLst>
            <a:ext uri="{FF2B5EF4-FFF2-40B4-BE49-F238E27FC236}">
              <a16:creationId xmlns:a16="http://schemas.microsoft.com/office/drawing/2014/main" id="{C06A2F69-F50D-4DA2-AA80-B6CB12982422}"/>
            </a:ext>
          </a:extLst>
        </xdr:cNvPr>
        <xdr:cNvPicPr>
          <a:picLocks noChangeAspect="1"/>
        </xdr:cNvPicPr>
      </xdr:nvPicPr>
      <xdr:blipFill>
        <a:blip xmlns:r="http://schemas.openxmlformats.org/officeDocument/2006/relationships" r:embed="rId1"/>
        <a:stretch>
          <a:fillRect/>
        </a:stretch>
      </xdr:blipFill>
      <xdr:spPr>
        <a:xfrm>
          <a:off x="186764" y="448708184"/>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251" name="Resim 250">
          <a:extLst>
            <a:ext uri="{FF2B5EF4-FFF2-40B4-BE49-F238E27FC236}">
              <a16:creationId xmlns:a16="http://schemas.microsoft.com/office/drawing/2014/main" id="{C6265D32-BC21-4B78-9BC4-16106C493C95}"/>
            </a:ext>
          </a:extLst>
        </xdr:cNvPr>
        <xdr:cNvPicPr>
          <a:picLocks noChangeAspect="1"/>
        </xdr:cNvPicPr>
      </xdr:nvPicPr>
      <xdr:blipFill>
        <a:blip xmlns:r="http://schemas.openxmlformats.org/officeDocument/2006/relationships" r:embed="rId2"/>
        <a:stretch>
          <a:fillRect/>
        </a:stretch>
      </xdr:blipFill>
      <xdr:spPr>
        <a:xfrm>
          <a:off x="3136900" y="448596123"/>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252" name="Resim 251">
          <a:extLst>
            <a:ext uri="{FF2B5EF4-FFF2-40B4-BE49-F238E27FC236}">
              <a16:creationId xmlns:a16="http://schemas.microsoft.com/office/drawing/2014/main" id="{D5A0B759-0F59-4078-BC57-F901ADC2E00A}"/>
            </a:ext>
          </a:extLst>
        </xdr:cNvPr>
        <xdr:cNvPicPr>
          <a:picLocks noChangeAspect="1"/>
        </xdr:cNvPicPr>
      </xdr:nvPicPr>
      <xdr:blipFill>
        <a:blip xmlns:r="http://schemas.openxmlformats.org/officeDocument/2006/relationships" r:embed="rId1"/>
        <a:stretch>
          <a:fillRect/>
        </a:stretch>
      </xdr:blipFill>
      <xdr:spPr>
        <a:xfrm>
          <a:off x="186764" y="452384834"/>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253" name="Resim 252">
          <a:extLst>
            <a:ext uri="{FF2B5EF4-FFF2-40B4-BE49-F238E27FC236}">
              <a16:creationId xmlns:a16="http://schemas.microsoft.com/office/drawing/2014/main" id="{613CCD08-5962-493B-8069-EAF268BE7F9E}"/>
            </a:ext>
          </a:extLst>
        </xdr:cNvPr>
        <xdr:cNvPicPr>
          <a:picLocks noChangeAspect="1"/>
        </xdr:cNvPicPr>
      </xdr:nvPicPr>
      <xdr:blipFill>
        <a:blip xmlns:r="http://schemas.openxmlformats.org/officeDocument/2006/relationships" r:embed="rId2"/>
        <a:stretch>
          <a:fillRect/>
        </a:stretch>
      </xdr:blipFill>
      <xdr:spPr>
        <a:xfrm>
          <a:off x="3136900" y="452272773"/>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254" name="Resim 253">
          <a:extLst>
            <a:ext uri="{FF2B5EF4-FFF2-40B4-BE49-F238E27FC236}">
              <a16:creationId xmlns:a16="http://schemas.microsoft.com/office/drawing/2014/main" id="{192E25F7-500E-49F7-AA4E-E6CF457B9701}"/>
            </a:ext>
          </a:extLst>
        </xdr:cNvPr>
        <xdr:cNvPicPr>
          <a:picLocks noChangeAspect="1"/>
        </xdr:cNvPicPr>
      </xdr:nvPicPr>
      <xdr:blipFill>
        <a:blip xmlns:r="http://schemas.openxmlformats.org/officeDocument/2006/relationships" r:embed="rId1"/>
        <a:stretch>
          <a:fillRect/>
        </a:stretch>
      </xdr:blipFill>
      <xdr:spPr>
        <a:xfrm>
          <a:off x="186764" y="456061484"/>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255" name="Resim 254">
          <a:extLst>
            <a:ext uri="{FF2B5EF4-FFF2-40B4-BE49-F238E27FC236}">
              <a16:creationId xmlns:a16="http://schemas.microsoft.com/office/drawing/2014/main" id="{419D8D88-A40D-4E51-BE7A-E45E19C544B3}"/>
            </a:ext>
          </a:extLst>
        </xdr:cNvPr>
        <xdr:cNvPicPr>
          <a:picLocks noChangeAspect="1"/>
        </xdr:cNvPicPr>
      </xdr:nvPicPr>
      <xdr:blipFill>
        <a:blip xmlns:r="http://schemas.openxmlformats.org/officeDocument/2006/relationships" r:embed="rId2"/>
        <a:stretch>
          <a:fillRect/>
        </a:stretch>
      </xdr:blipFill>
      <xdr:spPr>
        <a:xfrm>
          <a:off x="3136900" y="455949423"/>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256" name="Resim 255">
          <a:extLst>
            <a:ext uri="{FF2B5EF4-FFF2-40B4-BE49-F238E27FC236}">
              <a16:creationId xmlns:a16="http://schemas.microsoft.com/office/drawing/2014/main" id="{E5D6A9E5-7B90-4D85-87EB-EB45381AFFA5}"/>
            </a:ext>
          </a:extLst>
        </xdr:cNvPr>
        <xdr:cNvPicPr>
          <a:picLocks noChangeAspect="1"/>
        </xdr:cNvPicPr>
      </xdr:nvPicPr>
      <xdr:blipFill>
        <a:blip xmlns:r="http://schemas.openxmlformats.org/officeDocument/2006/relationships" r:embed="rId1"/>
        <a:stretch>
          <a:fillRect/>
        </a:stretch>
      </xdr:blipFill>
      <xdr:spPr>
        <a:xfrm>
          <a:off x="186764" y="459738134"/>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257" name="Resim 256">
          <a:extLst>
            <a:ext uri="{FF2B5EF4-FFF2-40B4-BE49-F238E27FC236}">
              <a16:creationId xmlns:a16="http://schemas.microsoft.com/office/drawing/2014/main" id="{3CA1A791-1A62-4E71-9358-D246D0255C85}"/>
            </a:ext>
          </a:extLst>
        </xdr:cNvPr>
        <xdr:cNvPicPr>
          <a:picLocks noChangeAspect="1"/>
        </xdr:cNvPicPr>
      </xdr:nvPicPr>
      <xdr:blipFill>
        <a:blip xmlns:r="http://schemas.openxmlformats.org/officeDocument/2006/relationships" r:embed="rId2"/>
        <a:stretch>
          <a:fillRect/>
        </a:stretch>
      </xdr:blipFill>
      <xdr:spPr>
        <a:xfrm>
          <a:off x="3136900" y="459626073"/>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258" name="Resim 257">
          <a:extLst>
            <a:ext uri="{FF2B5EF4-FFF2-40B4-BE49-F238E27FC236}">
              <a16:creationId xmlns:a16="http://schemas.microsoft.com/office/drawing/2014/main" id="{B5FF0B7B-F8F0-4512-B3C4-379C1A123667}"/>
            </a:ext>
          </a:extLst>
        </xdr:cNvPr>
        <xdr:cNvPicPr>
          <a:picLocks noChangeAspect="1"/>
        </xdr:cNvPicPr>
      </xdr:nvPicPr>
      <xdr:blipFill>
        <a:blip xmlns:r="http://schemas.openxmlformats.org/officeDocument/2006/relationships" r:embed="rId1"/>
        <a:stretch>
          <a:fillRect/>
        </a:stretch>
      </xdr:blipFill>
      <xdr:spPr>
        <a:xfrm>
          <a:off x="186764" y="4634147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259" name="Resim 258">
          <a:extLst>
            <a:ext uri="{FF2B5EF4-FFF2-40B4-BE49-F238E27FC236}">
              <a16:creationId xmlns:a16="http://schemas.microsoft.com/office/drawing/2014/main" id="{487AF465-C0E6-416D-8441-1601BC1716CB}"/>
            </a:ext>
          </a:extLst>
        </xdr:cNvPr>
        <xdr:cNvPicPr>
          <a:picLocks noChangeAspect="1"/>
        </xdr:cNvPicPr>
      </xdr:nvPicPr>
      <xdr:blipFill>
        <a:blip xmlns:r="http://schemas.openxmlformats.org/officeDocument/2006/relationships" r:embed="rId2"/>
        <a:stretch>
          <a:fillRect/>
        </a:stretch>
      </xdr:blipFill>
      <xdr:spPr>
        <a:xfrm>
          <a:off x="3136900" y="4633027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260" name="Resim 259">
          <a:extLst>
            <a:ext uri="{FF2B5EF4-FFF2-40B4-BE49-F238E27FC236}">
              <a16:creationId xmlns:a16="http://schemas.microsoft.com/office/drawing/2014/main" id="{DF84D262-6F21-4C30-B988-A34CCFD43B52}"/>
            </a:ext>
          </a:extLst>
        </xdr:cNvPr>
        <xdr:cNvPicPr>
          <a:picLocks noChangeAspect="1"/>
        </xdr:cNvPicPr>
      </xdr:nvPicPr>
      <xdr:blipFill>
        <a:blip xmlns:r="http://schemas.openxmlformats.org/officeDocument/2006/relationships" r:embed="rId1"/>
        <a:stretch>
          <a:fillRect/>
        </a:stretch>
      </xdr:blipFill>
      <xdr:spPr>
        <a:xfrm>
          <a:off x="186764" y="467091434"/>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261" name="Resim 260">
          <a:extLst>
            <a:ext uri="{FF2B5EF4-FFF2-40B4-BE49-F238E27FC236}">
              <a16:creationId xmlns:a16="http://schemas.microsoft.com/office/drawing/2014/main" id="{FE3666A9-3F71-475F-B323-ACE7E00DA382}"/>
            </a:ext>
          </a:extLst>
        </xdr:cNvPr>
        <xdr:cNvPicPr>
          <a:picLocks noChangeAspect="1"/>
        </xdr:cNvPicPr>
      </xdr:nvPicPr>
      <xdr:blipFill>
        <a:blip xmlns:r="http://schemas.openxmlformats.org/officeDocument/2006/relationships" r:embed="rId2"/>
        <a:stretch>
          <a:fillRect/>
        </a:stretch>
      </xdr:blipFill>
      <xdr:spPr>
        <a:xfrm>
          <a:off x="3136900" y="466979373"/>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262" name="Resim 261">
          <a:extLst>
            <a:ext uri="{FF2B5EF4-FFF2-40B4-BE49-F238E27FC236}">
              <a16:creationId xmlns:a16="http://schemas.microsoft.com/office/drawing/2014/main" id="{CC7F4ACD-56B0-4D96-BA74-150AD61A7DF9}"/>
            </a:ext>
          </a:extLst>
        </xdr:cNvPr>
        <xdr:cNvPicPr>
          <a:picLocks noChangeAspect="1"/>
        </xdr:cNvPicPr>
      </xdr:nvPicPr>
      <xdr:blipFill>
        <a:blip xmlns:r="http://schemas.openxmlformats.org/officeDocument/2006/relationships" r:embed="rId1"/>
        <a:stretch>
          <a:fillRect/>
        </a:stretch>
      </xdr:blipFill>
      <xdr:spPr>
        <a:xfrm>
          <a:off x="186764" y="470768084"/>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263" name="Resim 262">
          <a:extLst>
            <a:ext uri="{FF2B5EF4-FFF2-40B4-BE49-F238E27FC236}">
              <a16:creationId xmlns:a16="http://schemas.microsoft.com/office/drawing/2014/main" id="{2D00984D-648F-41E5-A327-EEA17415945A}"/>
            </a:ext>
          </a:extLst>
        </xdr:cNvPr>
        <xdr:cNvPicPr>
          <a:picLocks noChangeAspect="1"/>
        </xdr:cNvPicPr>
      </xdr:nvPicPr>
      <xdr:blipFill>
        <a:blip xmlns:r="http://schemas.openxmlformats.org/officeDocument/2006/relationships" r:embed="rId2"/>
        <a:stretch>
          <a:fillRect/>
        </a:stretch>
      </xdr:blipFill>
      <xdr:spPr>
        <a:xfrm>
          <a:off x="3136900" y="470656023"/>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264" name="Resim 263">
          <a:extLst>
            <a:ext uri="{FF2B5EF4-FFF2-40B4-BE49-F238E27FC236}">
              <a16:creationId xmlns:a16="http://schemas.microsoft.com/office/drawing/2014/main" id="{A2A66342-440D-449F-9BFE-80972D3B71D3}"/>
            </a:ext>
          </a:extLst>
        </xdr:cNvPr>
        <xdr:cNvPicPr>
          <a:picLocks noChangeAspect="1"/>
        </xdr:cNvPicPr>
      </xdr:nvPicPr>
      <xdr:blipFill>
        <a:blip xmlns:r="http://schemas.openxmlformats.org/officeDocument/2006/relationships" r:embed="rId1"/>
        <a:stretch>
          <a:fillRect/>
        </a:stretch>
      </xdr:blipFill>
      <xdr:spPr>
        <a:xfrm>
          <a:off x="186764" y="474444734"/>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265" name="Resim 264">
          <a:extLst>
            <a:ext uri="{FF2B5EF4-FFF2-40B4-BE49-F238E27FC236}">
              <a16:creationId xmlns:a16="http://schemas.microsoft.com/office/drawing/2014/main" id="{7FD69863-8581-4EE9-8621-7FCE6146EE09}"/>
            </a:ext>
          </a:extLst>
        </xdr:cNvPr>
        <xdr:cNvPicPr>
          <a:picLocks noChangeAspect="1"/>
        </xdr:cNvPicPr>
      </xdr:nvPicPr>
      <xdr:blipFill>
        <a:blip xmlns:r="http://schemas.openxmlformats.org/officeDocument/2006/relationships" r:embed="rId2"/>
        <a:stretch>
          <a:fillRect/>
        </a:stretch>
      </xdr:blipFill>
      <xdr:spPr>
        <a:xfrm>
          <a:off x="3136900" y="474332673"/>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266" name="Resim 265">
          <a:extLst>
            <a:ext uri="{FF2B5EF4-FFF2-40B4-BE49-F238E27FC236}">
              <a16:creationId xmlns:a16="http://schemas.microsoft.com/office/drawing/2014/main" id="{C0F924EA-1BD0-490C-B250-CCE1B7C5E3BB}"/>
            </a:ext>
          </a:extLst>
        </xdr:cNvPr>
        <xdr:cNvPicPr>
          <a:picLocks noChangeAspect="1"/>
        </xdr:cNvPicPr>
      </xdr:nvPicPr>
      <xdr:blipFill>
        <a:blip xmlns:r="http://schemas.openxmlformats.org/officeDocument/2006/relationships" r:embed="rId1"/>
        <a:stretch>
          <a:fillRect/>
        </a:stretch>
      </xdr:blipFill>
      <xdr:spPr>
        <a:xfrm>
          <a:off x="186764" y="478121384"/>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267" name="Resim 266">
          <a:extLst>
            <a:ext uri="{FF2B5EF4-FFF2-40B4-BE49-F238E27FC236}">
              <a16:creationId xmlns:a16="http://schemas.microsoft.com/office/drawing/2014/main" id="{C5D26497-B6B8-4AA0-9AC2-8B80265D88F5}"/>
            </a:ext>
          </a:extLst>
        </xdr:cNvPr>
        <xdr:cNvPicPr>
          <a:picLocks noChangeAspect="1"/>
        </xdr:cNvPicPr>
      </xdr:nvPicPr>
      <xdr:blipFill>
        <a:blip xmlns:r="http://schemas.openxmlformats.org/officeDocument/2006/relationships" r:embed="rId2"/>
        <a:stretch>
          <a:fillRect/>
        </a:stretch>
      </xdr:blipFill>
      <xdr:spPr>
        <a:xfrm>
          <a:off x="3136900" y="478009323"/>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268" name="Resim 267">
          <a:extLst>
            <a:ext uri="{FF2B5EF4-FFF2-40B4-BE49-F238E27FC236}">
              <a16:creationId xmlns:a16="http://schemas.microsoft.com/office/drawing/2014/main" id="{6F10F71C-144D-4173-ADAC-DFA82FE4249D}"/>
            </a:ext>
          </a:extLst>
        </xdr:cNvPr>
        <xdr:cNvPicPr>
          <a:picLocks noChangeAspect="1"/>
        </xdr:cNvPicPr>
      </xdr:nvPicPr>
      <xdr:blipFill>
        <a:blip xmlns:r="http://schemas.openxmlformats.org/officeDocument/2006/relationships" r:embed="rId1"/>
        <a:stretch>
          <a:fillRect/>
        </a:stretch>
      </xdr:blipFill>
      <xdr:spPr>
        <a:xfrm>
          <a:off x="186764" y="481798034"/>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269" name="Resim 268">
          <a:extLst>
            <a:ext uri="{FF2B5EF4-FFF2-40B4-BE49-F238E27FC236}">
              <a16:creationId xmlns:a16="http://schemas.microsoft.com/office/drawing/2014/main" id="{CD14E2C2-82A8-42BF-B614-3D20D1C1C958}"/>
            </a:ext>
          </a:extLst>
        </xdr:cNvPr>
        <xdr:cNvPicPr>
          <a:picLocks noChangeAspect="1"/>
        </xdr:cNvPicPr>
      </xdr:nvPicPr>
      <xdr:blipFill>
        <a:blip xmlns:r="http://schemas.openxmlformats.org/officeDocument/2006/relationships" r:embed="rId2"/>
        <a:stretch>
          <a:fillRect/>
        </a:stretch>
      </xdr:blipFill>
      <xdr:spPr>
        <a:xfrm>
          <a:off x="3136900" y="481685973"/>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270" name="Resim 269">
          <a:extLst>
            <a:ext uri="{FF2B5EF4-FFF2-40B4-BE49-F238E27FC236}">
              <a16:creationId xmlns:a16="http://schemas.microsoft.com/office/drawing/2014/main" id="{8FC61C76-672D-422A-8C36-593544E4691F}"/>
            </a:ext>
          </a:extLst>
        </xdr:cNvPr>
        <xdr:cNvPicPr>
          <a:picLocks noChangeAspect="1"/>
        </xdr:cNvPicPr>
      </xdr:nvPicPr>
      <xdr:blipFill>
        <a:blip xmlns:r="http://schemas.openxmlformats.org/officeDocument/2006/relationships" r:embed="rId1"/>
        <a:stretch>
          <a:fillRect/>
        </a:stretch>
      </xdr:blipFill>
      <xdr:spPr>
        <a:xfrm>
          <a:off x="186764" y="485474684"/>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271" name="Resim 270">
          <a:extLst>
            <a:ext uri="{FF2B5EF4-FFF2-40B4-BE49-F238E27FC236}">
              <a16:creationId xmlns:a16="http://schemas.microsoft.com/office/drawing/2014/main" id="{2B9E83BC-5033-4AEC-8C18-55E1C10B7FAB}"/>
            </a:ext>
          </a:extLst>
        </xdr:cNvPr>
        <xdr:cNvPicPr>
          <a:picLocks noChangeAspect="1"/>
        </xdr:cNvPicPr>
      </xdr:nvPicPr>
      <xdr:blipFill>
        <a:blip xmlns:r="http://schemas.openxmlformats.org/officeDocument/2006/relationships" r:embed="rId2"/>
        <a:stretch>
          <a:fillRect/>
        </a:stretch>
      </xdr:blipFill>
      <xdr:spPr>
        <a:xfrm>
          <a:off x="3136900" y="485362623"/>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272" name="Resim 271">
          <a:extLst>
            <a:ext uri="{FF2B5EF4-FFF2-40B4-BE49-F238E27FC236}">
              <a16:creationId xmlns:a16="http://schemas.microsoft.com/office/drawing/2014/main" id="{0187CED9-1F3A-4845-849D-77EF0881F82F}"/>
            </a:ext>
          </a:extLst>
        </xdr:cNvPr>
        <xdr:cNvPicPr>
          <a:picLocks noChangeAspect="1"/>
        </xdr:cNvPicPr>
      </xdr:nvPicPr>
      <xdr:blipFill>
        <a:blip xmlns:r="http://schemas.openxmlformats.org/officeDocument/2006/relationships" r:embed="rId1"/>
        <a:stretch>
          <a:fillRect/>
        </a:stretch>
      </xdr:blipFill>
      <xdr:spPr>
        <a:xfrm>
          <a:off x="186764" y="48915133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273" name="Resim 272">
          <a:extLst>
            <a:ext uri="{FF2B5EF4-FFF2-40B4-BE49-F238E27FC236}">
              <a16:creationId xmlns:a16="http://schemas.microsoft.com/office/drawing/2014/main" id="{4759A90E-491C-4495-B05D-93B87C855FB8}"/>
            </a:ext>
          </a:extLst>
        </xdr:cNvPr>
        <xdr:cNvPicPr>
          <a:picLocks noChangeAspect="1"/>
        </xdr:cNvPicPr>
      </xdr:nvPicPr>
      <xdr:blipFill>
        <a:blip xmlns:r="http://schemas.openxmlformats.org/officeDocument/2006/relationships" r:embed="rId2"/>
        <a:stretch>
          <a:fillRect/>
        </a:stretch>
      </xdr:blipFill>
      <xdr:spPr>
        <a:xfrm>
          <a:off x="3136900" y="48903927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274" name="Resim 273">
          <a:extLst>
            <a:ext uri="{FF2B5EF4-FFF2-40B4-BE49-F238E27FC236}">
              <a16:creationId xmlns:a16="http://schemas.microsoft.com/office/drawing/2014/main" id="{75A21153-2F77-4672-8B4A-A00015F6B79A}"/>
            </a:ext>
          </a:extLst>
        </xdr:cNvPr>
        <xdr:cNvPicPr>
          <a:picLocks noChangeAspect="1"/>
        </xdr:cNvPicPr>
      </xdr:nvPicPr>
      <xdr:blipFill>
        <a:blip xmlns:r="http://schemas.openxmlformats.org/officeDocument/2006/relationships" r:embed="rId1"/>
        <a:stretch>
          <a:fillRect/>
        </a:stretch>
      </xdr:blipFill>
      <xdr:spPr>
        <a:xfrm>
          <a:off x="186764" y="492827984"/>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275" name="Resim 274">
          <a:extLst>
            <a:ext uri="{FF2B5EF4-FFF2-40B4-BE49-F238E27FC236}">
              <a16:creationId xmlns:a16="http://schemas.microsoft.com/office/drawing/2014/main" id="{86860BA6-E874-4E86-9BF4-51E895FB34A6}"/>
            </a:ext>
          </a:extLst>
        </xdr:cNvPr>
        <xdr:cNvPicPr>
          <a:picLocks noChangeAspect="1"/>
        </xdr:cNvPicPr>
      </xdr:nvPicPr>
      <xdr:blipFill>
        <a:blip xmlns:r="http://schemas.openxmlformats.org/officeDocument/2006/relationships" r:embed="rId2"/>
        <a:stretch>
          <a:fillRect/>
        </a:stretch>
      </xdr:blipFill>
      <xdr:spPr>
        <a:xfrm>
          <a:off x="3136900" y="492715923"/>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276" name="Resim 275">
          <a:extLst>
            <a:ext uri="{FF2B5EF4-FFF2-40B4-BE49-F238E27FC236}">
              <a16:creationId xmlns:a16="http://schemas.microsoft.com/office/drawing/2014/main" id="{C03DFD8C-F08C-4287-9397-AC174B0F23A9}"/>
            </a:ext>
          </a:extLst>
        </xdr:cNvPr>
        <xdr:cNvPicPr>
          <a:picLocks noChangeAspect="1"/>
        </xdr:cNvPicPr>
      </xdr:nvPicPr>
      <xdr:blipFill>
        <a:blip xmlns:r="http://schemas.openxmlformats.org/officeDocument/2006/relationships" r:embed="rId1"/>
        <a:stretch>
          <a:fillRect/>
        </a:stretch>
      </xdr:blipFill>
      <xdr:spPr>
        <a:xfrm>
          <a:off x="186764" y="496504634"/>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277" name="Resim 276">
          <a:extLst>
            <a:ext uri="{FF2B5EF4-FFF2-40B4-BE49-F238E27FC236}">
              <a16:creationId xmlns:a16="http://schemas.microsoft.com/office/drawing/2014/main" id="{BB1ED030-93DC-4D72-8F6A-42026D7A4804}"/>
            </a:ext>
          </a:extLst>
        </xdr:cNvPr>
        <xdr:cNvPicPr>
          <a:picLocks noChangeAspect="1"/>
        </xdr:cNvPicPr>
      </xdr:nvPicPr>
      <xdr:blipFill>
        <a:blip xmlns:r="http://schemas.openxmlformats.org/officeDocument/2006/relationships" r:embed="rId2"/>
        <a:stretch>
          <a:fillRect/>
        </a:stretch>
      </xdr:blipFill>
      <xdr:spPr>
        <a:xfrm>
          <a:off x="3136900" y="496392573"/>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278" name="Resim 277">
          <a:extLst>
            <a:ext uri="{FF2B5EF4-FFF2-40B4-BE49-F238E27FC236}">
              <a16:creationId xmlns:a16="http://schemas.microsoft.com/office/drawing/2014/main" id="{64205AA0-4C9D-47A3-9E57-30B30F0A3B18}"/>
            </a:ext>
          </a:extLst>
        </xdr:cNvPr>
        <xdr:cNvPicPr>
          <a:picLocks noChangeAspect="1"/>
        </xdr:cNvPicPr>
      </xdr:nvPicPr>
      <xdr:blipFill>
        <a:blip xmlns:r="http://schemas.openxmlformats.org/officeDocument/2006/relationships" r:embed="rId1"/>
        <a:stretch>
          <a:fillRect/>
        </a:stretch>
      </xdr:blipFill>
      <xdr:spPr>
        <a:xfrm>
          <a:off x="186764" y="500181284"/>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279" name="Resim 278">
          <a:extLst>
            <a:ext uri="{FF2B5EF4-FFF2-40B4-BE49-F238E27FC236}">
              <a16:creationId xmlns:a16="http://schemas.microsoft.com/office/drawing/2014/main" id="{B5689156-A584-4196-A388-0017392131EC}"/>
            </a:ext>
          </a:extLst>
        </xdr:cNvPr>
        <xdr:cNvPicPr>
          <a:picLocks noChangeAspect="1"/>
        </xdr:cNvPicPr>
      </xdr:nvPicPr>
      <xdr:blipFill>
        <a:blip xmlns:r="http://schemas.openxmlformats.org/officeDocument/2006/relationships" r:embed="rId2"/>
        <a:stretch>
          <a:fillRect/>
        </a:stretch>
      </xdr:blipFill>
      <xdr:spPr>
        <a:xfrm>
          <a:off x="3136900" y="500069223"/>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280" name="Resim 279">
          <a:extLst>
            <a:ext uri="{FF2B5EF4-FFF2-40B4-BE49-F238E27FC236}">
              <a16:creationId xmlns:a16="http://schemas.microsoft.com/office/drawing/2014/main" id="{A2B17005-C04F-444E-A992-1C09F2CA24F8}"/>
            </a:ext>
          </a:extLst>
        </xdr:cNvPr>
        <xdr:cNvPicPr>
          <a:picLocks noChangeAspect="1"/>
        </xdr:cNvPicPr>
      </xdr:nvPicPr>
      <xdr:blipFill>
        <a:blip xmlns:r="http://schemas.openxmlformats.org/officeDocument/2006/relationships" r:embed="rId1"/>
        <a:stretch>
          <a:fillRect/>
        </a:stretch>
      </xdr:blipFill>
      <xdr:spPr>
        <a:xfrm>
          <a:off x="186764" y="503857934"/>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281" name="Resim 280">
          <a:extLst>
            <a:ext uri="{FF2B5EF4-FFF2-40B4-BE49-F238E27FC236}">
              <a16:creationId xmlns:a16="http://schemas.microsoft.com/office/drawing/2014/main" id="{68C5889F-E025-4BE7-99FD-E46602E68C4D}"/>
            </a:ext>
          </a:extLst>
        </xdr:cNvPr>
        <xdr:cNvPicPr>
          <a:picLocks noChangeAspect="1"/>
        </xdr:cNvPicPr>
      </xdr:nvPicPr>
      <xdr:blipFill>
        <a:blip xmlns:r="http://schemas.openxmlformats.org/officeDocument/2006/relationships" r:embed="rId2"/>
        <a:stretch>
          <a:fillRect/>
        </a:stretch>
      </xdr:blipFill>
      <xdr:spPr>
        <a:xfrm>
          <a:off x="3136900" y="503745873"/>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282" name="Resim 281">
          <a:extLst>
            <a:ext uri="{FF2B5EF4-FFF2-40B4-BE49-F238E27FC236}">
              <a16:creationId xmlns:a16="http://schemas.microsoft.com/office/drawing/2014/main" id="{75AC6A9A-713D-48B0-B27F-26E790DD6A86}"/>
            </a:ext>
          </a:extLst>
        </xdr:cNvPr>
        <xdr:cNvPicPr>
          <a:picLocks noChangeAspect="1"/>
        </xdr:cNvPicPr>
      </xdr:nvPicPr>
      <xdr:blipFill>
        <a:blip xmlns:r="http://schemas.openxmlformats.org/officeDocument/2006/relationships" r:embed="rId1"/>
        <a:stretch>
          <a:fillRect/>
        </a:stretch>
      </xdr:blipFill>
      <xdr:spPr>
        <a:xfrm>
          <a:off x="186764" y="507534584"/>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283" name="Resim 282">
          <a:extLst>
            <a:ext uri="{FF2B5EF4-FFF2-40B4-BE49-F238E27FC236}">
              <a16:creationId xmlns:a16="http://schemas.microsoft.com/office/drawing/2014/main" id="{10D1CAA7-FCD7-4855-8D11-28BAACCAA2EF}"/>
            </a:ext>
          </a:extLst>
        </xdr:cNvPr>
        <xdr:cNvPicPr>
          <a:picLocks noChangeAspect="1"/>
        </xdr:cNvPicPr>
      </xdr:nvPicPr>
      <xdr:blipFill>
        <a:blip xmlns:r="http://schemas.openxmlformats.org/officeDocument/2006/relationships" r:embed="rId2"/>
        <a:stretch>
          <a:fillRect/>
        </a:stretch>
      </xdr:blipFill>
      <xdr:spPr>
        <a:xfrm>
          <a:off x="3136900" y="507422523"/>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284" name="Resim 283">
          <a:extLst>
            <a:ext uri="{FF2B5EF4-FFF2-40B4-BE49-F238E27FC236}">
              <a16:creationId xmlns:a16="http://schemas.microsoft.com/office/drawing/2014/main" id="{EE4C6685-2392-4FE0-987F-95033DC38AFD}"/>
            </a:ext>
          </a:extLst>
        </xdr:cNvPr>
        <xdr:cNvPicPr>
          <a:picLocks noChangeAspect="1"/>
        </xdr:cNvPicPr>
      </xdr:nvPicPr>
      <xdr:blipFill>
        <a:blip xmlns:r="http://schemas.openxmlformats.org/officeDocument/2006/relationships" r:embed="rId1"/>
        <a:stretch>
          <a:fillRect/>
        </a:stretch>
      </xdr:blipFill>
      <xdr:spPr>
        <a:xfrm>
          <a:off x="186764" y="511211234"/>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285" name="Resim 284">
          <a:extLst>
            <a:ext uri="{FF2B5EF4-FFF2-40B4-BE49-F238E27FC236}">
              <a16:creationId xmlns:a16="http://schemas.microsoft.com/office/drawing/2014/main" id="{DB56F043-C4B7-4785-B787-D65BCC7B1CD4}"/>
            </a:ext>
          </a:extLst>
        </xdr:cNvPr>
        <xdr:cNvPicPr>
          <a:picLocks noChangeAspect="1"/>
        </xdr:cNvPicPr>
      </xdr:nvPicPr>
      <xdr:blipFill>
        <a:blip xmlns:r="http://schemas.openxmlformats.org/officeDocument/2006/relationships" r:embed="rId2"/>
        <a:stretch>
          <a:fillRect/>
        </a:stretch>
      </xdr:blipFill>
      <xdr:spPr>
        <a:xfrm>
          <a:off x="3136900" y="511099173"/>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286" name="Resim 285">
          <a:extLst>
            <a:ext uri="{FF2B5EF4-FFF2-40B4-BE49-F238E27FC236}">
              <a16:creationId xmlns:a16="http://schemas.microsoft.com/office/drawing/2014/main" id="{D3D15CF9-7317-4BEF-9B7E-C84CA38A5DB7}"/>
            </a:ext>
          </a:extLst>
        </xdr:cNvPr>
        <xdr:cNvPicPr>
          <a:picLocks noChangeAspect="1"/>
        </xdr:cNvPicPr>
      </xdr:nvPicPr>
      <xdr:blipFill>
        <a:blip xmlns:r="http://schemas.openxmlformats.org/officeDocument/2006/relationships" r:embed="rId1"/>
        <a:stretch>
          <a:fillRect/>
        </a:stretch>
      </xdr:blipFill>
      <xdr:spPr>
        <a:xfrm>
          <a:off x="186764" y="514887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287" name="Resim 286">
          <a:extLst>
            <a:ext uri="{FF2B5EF4-FFF2-40B4-BE49-F238E27FC236}">
              <a16:creationId xmlns:a16="http://schemas.microsoft.com/office/drawing/2014/main" id="{C0A88F32-3452-4580-82B5-6F9F815D1A13}"/>
            </a:ext>
          </a:extLst>
        </xdr:cNvPr>
        <xdr:cNvPicPr>
          <a:picLocks noChangeAspect="1"/>
        </xdr:cNvPicPr>
      </xdr:nvPicPr>
      <xdr:blipFill>
        <a:blip xmlns:r="http://schemas.openxmlformats.org/officeDocument/2006/relationships" r:embed="rId2"/>
        <a:stretch>
          <a:fillRect/>
        </a:stretch>
      </xdr:blipFill>
      <xdr:spPr>
        <a:xfrm>
          <a:off x="3136900" y="514775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288" name="Resim 287">
          <a:extLst>
            <a:ext uri="{FF2B5EF4-FFF2-40B4-BE49-F238E27FC236}">
              <a16:creationId xmlns:a16="http://schemas.microsoft.com/office/drawing/2014/main" id="{46EE0FD9-B2ED-4E96-A069-A334C45E23D5}"/>
            </a:ext>
          </a:extLst>
        </xdr:cNvPr>
        <xdr:cNvPicPr>
          <a:picLocks noChangeAspect="1"/>
        </xdr:cNvPicPr>
      </xdr:nvPicPr>
      <xdr:blipFill>
        <a:blip xmlns:r="http://schemas.openxmlformats.org/officeDocument/2006/relationships" r:embed="rId1"/>
        <a:stretch>
          <a:fillRect/>
        </a:stretch>
      </xdr:blipFill>
      <xdr:spPr>
        <a:xfrm>
          <a:off x="186764" y="518564534"/>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289" name="Resim 288">
          <a:extLst>
            <a:ext uri="{FF2B5EF4-FFF2-40B4-BE49-F238E27FC236}">
              <a16:creationId xmlns:a16="http://schemas.microsoft.com/office/drawing/2014/main" id="{9DF7DB2C-1562-4A1B-81B7-835BC0A672FB}"/>
            </a:ext>
          </a:extLst>
        </xdr:cNvPr>
        <xdr:cNvPicPr>
          <a:picLocks noChangeAspect="1"/>
        </xdr:cNvPicPr>
      </xdr:nvPicPr>
      <xdr:blipFill>
        <a:blip xmlns:r="http://schemas.openxmlformats.org/officeDocument/2006/relationships" r:embed="rId2"/>
        <a:stretch>
          <a:fillRect/>
        </a:stretch>
      </xdr:blipFill>
      <xdr:spPr>
        <a:xfrm>
          <a:off x="3136900" y="518452473"/>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290" name="Resim 289">
          <a:extLst>
            <a:ext uri="{FF2B5EF4-FFF2-40B4-BE49-F238E27FC236}">
              <a16:creationId xmlns:a16="http://schemas.microsoft.com/office/drawing/2014/main" id="{A2588820-4A7A-4E87-B67D-32F6F6B1C588}"/>
            </a:ext>
          </a:extLst>
        </xdr:cNvPr>
        <xdr:cNvPicPr>
          <a:picLocks noChangeAspect="1"/>
        </xdr:cNvPicPr>
      </xdr:nvPicPr>
      <xdr:blipFill>
        <a:blip xmlns:r="http://schemas.openxmlformats.org/officeDocument/2006/relationships" r:embed="rId1"/>
        <a:stretch>
          <a:fillRect/>
        </a:stretch>
      </xdr:blipFill>
      <xdr:spPr>
        <a:xfrm>
          <a:off x="186764" y="522241184"/>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291" name="Resim 290">
          <a:extLst>
            <a:ext uri="{FF2B5EF4-FFF2-40B4-BE49-F238E27FC236}">
              <a16:creationId xmlns:a16="http://schemas.microsoft.com/office/drawing/2014/main" id="{F37FEF21-BCF8-4F53-8050-5A9EC377EFEB}"/>
            </a:ext>
          </a:extLst>
        </xdr:cNvPr>
        <xdr:cNvPicPr>
          <a:picLocks noChangeAspect="1"/>
        </xdr:cNvPicPr>
      </xdr:nvPicPr>
      <xdr:blipFill>
        <a:blip xmlns:r="http://schemas.openxmlformats.org/officeDocument/2006/relationships" r:embed="rId2"/>
        <a:stretch>
          <a:fillRect/>
        </a:stretch>
      </xdr:blipFill>
      <xdr:spPr>
        <a:xfrm>
          <a:off x="3136900" y="522129123"/>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292" name="Resim 291">
          <a:extLst>
            <a:ext uri="{FF2B5EF4-FFF2-40B4-BE49-F238E27FC236}">
              <a16:creationId xmlns:a16="http://schemas.microsoft.com/office/drawing/2014/main" id="{36C6B760-ED38-464E-8338-004ABA612E12}"/>
            </a:ext>
          </a:extLst>
        </xdr:cNvPr>
        <xdr:cNvPicPr>
          <a:picLocks noChangeAspect="1"/>
        </xdr:cNvPicPr>
      </xdr:nvPicPr>
      <xdr:blipFill>
        <a:blip xmlns:r="http://schemas.openxmlformats.org/officeDocument/2006/relationships" r:embed="rId1"/>
        <a:stretch>
          <a:fillRect/>
        </a:stretch>
      </xdr:blipFill>
      <xdr:spPr>
        <a:xfrm>
          <a:off x="186764" y="525917834"/>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293" name="Resim 292">
          <a:extLst>
            <a:ext uri="{FF2B5EF4-FFF2-40B4-BE49-F238E27FC236}">
              <a16:creationId xmlns:a16="http://schemas.microsoft.com/office/drawing/2014/main" id="{5D2A0402-23F3-431D-9467-E2C9C86156C6}"/>
            </a:ext>
          </a:extLst>
        </xdr:cNvPr>
        <xdr:cNvPicPr>
          <a:picLocks noChangeAspect="1"/>
        </xdr:cNvPicPr>
      </xdr:nvPicPr>
      <xdr:blipFill>
        <a:blip xmlns:r="http://schemas.openxmlformats.org/officeDocument/2006/relationships" r:embed="rId2"/>
        <a:stretch>
          <a:fillRect/>
        </a:stretch>
      </xdr:blipFill>
      <xdr:spPr>
        <a:xfrm>
          <a:off x="3136900" y="525805773"/>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294" name="Resim 293">
          <a:extLst>
            <a:ext uri="{FF2B5EF4-FFF2-40B4-BE49-F238E27FC236}">
              <a16:creationId xmlns:a16="http://schemas.microsoft.com/office/drawing/2014/main" id="{54B985C7-8FDA-46FF-B528-9D280E9027F7}"/>
            </a:ext>
          </a:extLst>
        </xdr:cNvPr>
        <xdr:cNvPicPr>
          <a:picLocks noChangeAspect="1"/>
        </xdr:cNvPicPr>
      </xdr:nvPicPr>
      <xdr:blipFill>
        <a:blip xmlns:r="http://schemas.openxmlformats.org/officeDocument/2006/relationships" r:embed="rId1"/>
        <a:stretch>
          <a:fillRect/>
        </a:stretch>
      </xdr:blipFill>
      <xdr:spPr>
        <a:xfrm>
          <a:off x="186764" y="529594484"/>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295" name="Resim 294">
          <a:extLst>
            <a:ext uri="{FF2B5EF4-FFF2-40B4-BE49-F238E27FC236}">
              <a16:creationId xmlns:a16="http://schemas.microsoft.com/office/drawing/2014/main" id="{47F9581E-8D0A-4182-AB5B-467448856A64}"/>
            </a:ext>
          </a:extLst>
        </xdr:cNvPr>
        <xdr:cNvPicPr>
          <a:picLocks noChangeAspect="1"/>
        </xdr:cNvPicPr>
      </xdr:nvPicPr>
      <xdr:blipFill>
        <a:blip xmlns:r="http://schemas.openxmlformats.org/officeDocument/2006/relationships" r:embed="rId2"/>
        <a:stretch>
          <a:fillRect/>
        </a:stretch>
      </xdr:blipFill>
      <xdr:spPr>
        <a:xfrm>
          <a:off x="3136900" y="529482423"/>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296" name="Resim 295">
          <a:extLst>
            <a:ext uri="{FF2B5EF4-FFF2-40B4-BE49-F238E27FC236}">
              <a16:creationId xmlns:a16="http://schemas.microsoft.com/office/drawing/2014/main" id="{A8410732-2D62-4498-A0E0-3F372B55EDD0}"/>
            </a:ext>
          </a:extLst>
        </xdr:cNvPr>
        <xdr:cNvPicPr>
          <a:picLocks noChangeAspect="1"/>
        </xdr:cNvPicPr>
      </xdr:nvPicPr>
      <xdr:blipFill>
        <a:blip xmlns:r="http://schemas.openxmlformats.org/officeDocument/2006/relationships" r:embed="rId1"/>
        <a:stretch>
          <a:fillRect/>
        </a:stretch>
      </xdr:blipFill>
      <xdr:spPr>
        <a:xfrm>
          <a:off x="186764" y="533271134"/>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297" name="Resim 296">
          <a:extLst>
            <a:ext uri="{FF2B5EF4-FFF2-40B4-BE49-F238E27FC236}">
              <a16:creationId xmlns:a16="http://schemas.microsoft.com/office/drawing/2014/main" id="{BD279E87-D293-44CD-900E-168ECBDF1090}"/>
            </a:ext>
          </a:extLst>
        </xdr:cNvPr>
        <xdr:cNvPicPr>
          <a:picLocks noChangeAspect="1"/>
        </xdr:cNvPicPr>
      </xdr:nvPicPr>
      <xdr:blipFill>
        <a:blip xmlns:r="http://schemas.openxmlformats.org/officeDocument/2006/relationships" r:embed="rId2"/>
        <a:stretch>
          <a:fillRect/>
        </a:stretch>
      </xdr:blipFill>
      <xdr:spPr>
        <a:xfrm>
          <a:off x="3136900" y="533159073"/>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298" name="Resim 297">
          <a:extLst>
            <a:ext uri="{FF2B5EF4-FFF2-40B4-BE49-F238E27FC236}">
              <a16:creationId xmlns:a16="http://schemas.microsoft.com/office/drawing/2014/main" id="{6FBFB9F4-8ECB-43C7-81A6-AD3892496B5A}"/>
            </a:ext>
          </a:extLst>
        </xdr:cNvPr>
        <xdr:cNvPicPr>
          <a:picLocks noChangeAspect="1"/>
        </xdr:cNvPicPr>
      </xdr:nvPicPr>
      <xdr:blipFill>
        <a:blip xmlns:r="http://schemas.openxmlformats.org/officeDocument/2006/relationships" r:embed="rId1"/>
        <a:stretch>
          <a:fillRect/>
        </a:stretch>
      </xdr:blipFill>
      <xdr:spPr>
        <a:xfrm>
          <a:off x="186764" y="536947784"/>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299" name="Resim 298">
          <a:extLst>
            <a:ext uri="{FF2B5EF4-FFF2-40B4-BE49-F238E27FC236}">
              <a16:creationId xmlns:a16="http://schemas.microsoft.com/office/drawing/2014/main" id="{B8D6B61F-94E7-4213-8565-A599FA412124}"/>
            </a:ext>
          </a:extLst>
        </xdr:cNvPr>
        <xdr:cNvPicPr>
          <a:picLocks noChangeAspect="1"/>
        </xdr:cNvPicPr>
      </xdr:nvPicPr>
      <xdr:blipFill>
        <a:blip xmlns:r="http://schemas.openxmlformats.org/officeDocument/2006/relationships" r:embed="rId2"/>
        <a:stretch>
          <a:fillRect/>
        </a:stretch>
      </xdr:blipFill>
      <xdr:spPr>
        <a:xfrm>
          <a:off x="3136900" y="5368357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0" name="Resim 299">
          <a:extLst>
            <a:ext uri="{FF2B5EF4-FFF2-40B4-BE49-F238E27FC236}">
              <a16:creationId xmlns:a16="http://schemas.microsoft.com/office/drawing/2014/main" id="{025BB163-6FC9-40DA-9BDE-2820923B253D}"/>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1" name="Resim 300">
          <a:extLst>
            <a:ext uri="{FF2B5EF4-FFF2-40B4-BE49-F238E27FC236}">
              <a16:creationId xmlns:a16="http://schemas.microsoft.com/office/drawing/2014/main" id="{9E4653B7-9921-46A8-B012-CCAFC91A1EF4}"/>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2" name="Resim 301">
          <a:extLst>
            <a:ext uri="{FF2B5EF4-FFF2-40B4-BE49-F238E27FC236}">
              <a16:creationId xmlns:a16="http://schemas.microsoft.com/office/drawing/2014/main" id="{9572742D-6707-4DE8-B0D3-018EF25378EF}"/>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3" name="Resim 302">
          <a:extLst>
            <a:ext uri="{FF2B5EF4-FFF2-40B4-BE49-F238E27FC236}">
              <a16:creationId xmlns:a16="http://schemas.microsoft.com/office/drawing/2014/main" id="{EBB2284B-2ABE-4A97-BD31-EFAA47D9A1F0}"/>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4" name="Resim 303">
          <a:extLst>
            <a:ext uri="{FF2B5EF4-FFF2-40B4-BE49-F238E27FC236}">
              <a16:creationId xmlns:a16="http://schemas.microsoft.com/office/drawing/2014/main" id="{22D9923F-04E3-41FB-8055-7F055B799DF8}"/>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5" name="Resim 304">
          <a:extLst>
            <a:ext uri="{FF2B5EF4-FFF2-40B4-BE49-F238E27FC236}">
              <a16:creationId xmlns:a16="http://schemas.microsoft.com/office/drawing/2014/main" id="{E2D03C79-7967-4A22-A2BD-1E9C1CEA7E11}"/>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6" name="Resim 305">
          <a:extLst>
            <a:ext uri="{FF2B5EF4-FFF2-40B4-BE49-F238E27FC236}">
              <a16:creationId xmlns:a16="http://schemas.microsoft.com/office/drawing/2014/main" id="{6F2EC823-A562-46BB-98E5-0BBD17DE483E}"/>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7" name="Resim 306">
          <a:extLst>
            <a:ext uri="{FF2B5EF4-FFF2-40B4-BE49-F238E27FC236}">
              <a16:creationId xmlns:a16="http://schemas.microsoft.com/office/drawing/2014/main" id="{FBBFBCDB-1104-4C3F-AE69-2892C8186766}"/>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308" name="Resim 307">
          <a:extLst>
            <a:ext uri="{FF2B5EF4-FFF2-40B4-BE49-F238E27FC236}">
              <a16:creationId xmlns:a16="http://schemas.microsoft.com/office/drawing/2014/main" id="{45AC2785-9AB2-43B5-BD3B-952A046B7A2B}"/>
            </a:ext>
          </a:extLst>
        </xdr:cNvPr>
        <xdr:cNvPicPr>
          <a:picLocks noChangeAspect="1"/>
        </xdr:cNvPicPr>
      </xdr:nvPicPr>
      <xdr:blipFill>
        <a:blip xmlns:r="http://schemas.openxmlformats.org/officeDocument/2006/relationships" r:embed="rId1"/>
        <a:stretch>
          <a:fillRect/>
        </a:stretch>
      </xdr:blipFill>
      <xdr:spPr>
        <a:xfrm>
          <a:off x="186764" y="547977734"/>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309" name="Resim 308">
          <a:extLst>
            <a:ext uri="{FF2B5EF4-FFF2-40B4-BE49-F238E27FC236}">
              <a16:creationId xmlns:a16="http://schemas.microsoft.com/office/drawing/2014/main" id="{F3787CE5-3D11-4031-BF2B-3799E9C66D60}"/>
            </a:ext>
          </a:extLst>
        </xdr:cNvPr>
        <xdr:cNvPicPr>
          <a:picLocks noChangeAspect="1"/>
        </xdr:cNvPicPr>
      </xdr:nvPicPr>
      <xdr:blipFill>
        <a:blip xmlns:r="http://schemas.openxmlformats.org/officeDocument/2006/relationships" r:embed="rId2"/>
        <a:stretch>
          <a:fillRect/>
        </a:stretch>
      </xdr:blipFill>
      <xdr:spPr>
        <a:xfrm>
          <a:off x="3136900" y="547865673"/>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310" name="Resim 309">
          <a:extLst>
            <a:ext uri="{FF2B5EF4-FFF2-40B4-BE49-F238E27FC236}">
              <a16:creationId xmlns:a16="http://schemas.microsoft.com/office/drawing/2014/main" id="{1B711746-E777-4421-8363-85B0575FFB0E}"/>
            </a:ext>
          </a:extLst>
        </xdr:cNvPr>
        <xdr:cNvPicPr>
          <a:picLocks noChangeAspect="1"/>
        </xdr:cNvPicPr>
      </xdr:nvPicPr>
      <xdr:blipFill>
        <a:blip xmlns:r="http://schemas.openxmlformats.org/officeDocument/2006/relationships" r:embed="rId1"/>
        <a:stretch>
          <a:fillRect/>
        </a:stretch>
      </xdr:blipFill>
      <xdr:spPr>
        <a:xfrm>
          <a:off x="186764" y="551654384"/>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311" name="Resim 310">
          <a:extLst>
            <a:ext uri="{FF2B5EF4-FFF2-40B4-BE49-F238E27FC236}">
              <a16:creationId xmlns:a16="http://schemas.microsoft.com/office/drawing/2014/main" id="{5FD41991-CB67-495A-A758-B262BF1DC489}"/>
            </a:ext>
          </a:extLst>
        </xdr:cNvPr>
        <xdr:cNvPicPr>
          <a:picLocks noChangeAspect="1"/>
        </xdr:cNvPicPr>
      </xdr:nvPicPr>
      <xdr:blipFill>
        <a:blip xmlns:r="http://schemas.openxmlformats.org/officeDocument/2006/relationships" r:embed="rId2"/>
        <a:stretch>
          <a:fillRect/>
        </a:stretch>
      </xdr:blipFill>
      <xdr:spPr>
        <a:xfrm>
          <a:off x="3136900" y="551542323"/>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312" name="Resim 311">
          <a:extLst>
            <a:ext uri="{FF2B5EF4-FFF2-40B4-BE49-F238E27FC236}">
              <a16:creationId xmlns:a16="http://schemas.microsoft.com/office/drawing/2014/main" id="{829B4C7D-CBA2-494E-BBAD-37A87C59D3DD}"/>
            </a:ext>
          </a:extLst>
        </xdr:cNvPr>
        <xdr:cNvPicPr>
          <a:picLocks noChangeAspect="1"/>
        </xdr:cNvPicPr>
      </xdr:nvPicPr>
      <xdr:blipFill>
        <a:blip xmlns:r="http://schemas.openxmlformats.org/officeDocument/2006/relationships" r:embed="rId1"/>
        <a:stretch>
          <a:fillRect/>
        </a:stretch>
      </xdr:blipFill>
      <xdr:spPr>
        <a:xfrm>
          <a:off x="186764" y="555331034"/>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313" name="Resim 312">
          <a:extLst>
            <a:ext uri="{FF2B5EF4-FFF2-40B4-BE49-F238E27FC236}">
              <a16:creationId xmlns:a16="http://schemas.microsoft.com/office/drawing/2014/main" id="{5F7D6A79-EBAB-48DE-9123-693A2697A548}"/>
            </a:ext>
          </a:extLst>
        </xdr:cNvPr>
        <xdr:cNvPicPr>
          <a:picLocks noChangeAspect="1"/>
        </xdr:cNvPicPr>
      </xdr:nvPicPr>
      <xdr:blipFill>
        <a:blip xmlns:r="http://schemas.openxmlformats.org/officeDocument/2006/relationships" r:embed="rId2"/>
        <a:stretch>
          <a:fillRect/>
        </a:stretch>
      </xdr:blipFill>
      <xdr:spPr>
        <a:xfrm>
          <a:off x="3136900" y="555218973"/>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314" name="Resim 313">
          <a:extLst>
            <a:ext uri="{FF2B5EF4-FFF2-40B4-BE49-F238E27FC236}">
              <a16:creationId xmlns:a16="http://schemas.microsoft.com/office/drawing/2014/main" id="{D2ABA7BF-9828-400F-AE16-09E88CC6615E}"/>
            </a:ext>
          </a:extLst>
        </xdr:cNvPr>
        <xdr:cNvPicPr>
          <a:picLocks noChangeAspect="1"/>
        </xdr:cNvPicPr>
      </xdr:nvPicPr>
      <xdr:blipFill>
        <a:blip xmlns:r="http://schemas.openxmlformats.org/officeDocument/2006/relationships" r:embed="rId1"/>
        <a:stretch>
          <a:fillRect/>
        </a:stretch>
      </xdr:blipFill>
      <xdr:spPr>
        <a:xfrm>
          <a:off x="186764" y="559007684"/>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315" name="Resim 314">
          <a:extLst>
            <a:ext uri="{FF2B5EF4-FFF2-40B4-BE49-F238E27FC236}">
              <a16:creationId xmlns:a16="http://schemas.microsoft.com/office/drawing/2014/main" id="{A10B106A-FFCB-4F94-9ED0-6E0DA10440EE}"/>
            </a:ext>
          </a:extLst>
        </xdr:cNvPr>
        <xdr:cNvPicPr>
          <a:picLocks noChangeAspect="1"/>
        </xdr:cNvPicPr>
      </xdr:nvPicPr>
      <xdr:blipFill>
        <a:blip xmlns:r="http://schemas.openxmlformats.org/officeDocument/2006/relationships" r:embed="rId2"/>
        <a:stretch>
          <a:fillRect/>
        </a:stretch>
      </xdr:blipFill>
      <xdr:spPr>
        <a:xfrm>
          <a:off x="3136900" y="558895623"/>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316" name="Resim 315">
          <a:extLst>
            <a:ext uri="{FF2B5EF4-FFF2-40B4-BE49-F238E27FC236}">
              <a16:creationId xmlns:a16="http://schemas.microsoft.com/office/drawing/2014/main" id="{763F56B2-C31F-41E7-9231-422B914A338E}"/>
            </a:ext>
          </a:extLst>
        </xdr:cNvPr>
        <xdr:cNvPicPr>
          <a:picLocks noChangeAspect="1"/>
        </xdr:cNvPicPr>
      </xdr:nvPicPr>
      <xdr:blipFill>
        <a:blip xmlns:r="http://schemas.openxmlformats.org/officeDocument/2006/relationships" r:embed="rId1"/>
        <a:stretch>
          <a:fillRect/>
        </a:stretch>
      </xdr:blipFill>
      <xdr:spPr>
        <a:xfrm>
          <a:off x="186764" y="562684334"/>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317" name="Resim 316">
          <a:extLst>
            <a:ext uri="{FF2B5EF4-FFF2-40B4-BE49-F238E27FC236}">
              <a16:creationId xmlns:a16="http://schemas.microsoft.com/office/drawing/2014/main" id="{4B2E4F76-5A54-4386-AFDE-F1790302100C}"/>
            </a:ext>
          </a:extLst>
        </xdr:cNvPr>
        <xdr:cNvPicPr>
          <a:picLocks noChangeAspect="1"/>
        </xdr:cNvPicPr>
      </xdr:nvPicPr>
      <xdr:blipFill>
        <a:blip xmlns:r="http://schemas.openxmlformats.org/officeDocument/2006/relationships" r:embed="rId2"/>
        <a:stretch>
          <a:fillRect/>
        </a:stretch>
      </xdr:blipFill>
      <xdr:spPr>
        <a:xfrm>
          <a:off x="3136900" y="562572273"/>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318" name="Resim 317">
          <a:extLst>
            <a:ext uri="{FF2B5EF4-FFF2-40B4-BE49-F238E27FC236}">
              <a16:creationId xmlns:a16="http://schemas.microsoft.com/office/drawing/2014/main" id="{97DB5278-60E6-4B93-A056-093ACD322605}"/>
            </a:ext>
          </a:extLst>
        </xdr:cNvPr>
        <xdr:cNvPicPr>
          <a:picLocks noChangeAspect="1"/>
        </xdr:cNvPicPr>
      </xdr:nvPicPr>
      <xdr:blipFill>
        <a:blip xmlns:r="http://schemas.openxmlformats.org/officeDocument/2006/relationships" r:embed="rId1"/>
        <a:stretch>
          <a:fillRect/>
        </a:stretch>
      </xdr:blipFill>
      <xdr:spPr>
        <a:xfrm>
          <a:off x="186764" y="5663609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319" name="Resim 318">
          <a:extLst>
            <a:ext uri="{FF2B5EF4-FFF2-40B4-BE49-F238E27FC236}">
              <a16:creationId xmlns:a16="http://schemas.microsoft.com/office/drawing/2014/main" id="{8049B0C2-BBC9-481F-A1DE-79575F860C51}"/>
            </a:ext>
          </a:extLst>
        </xdr:cNvPr>
        <xdr:cNvPicPr>
          <a:picLocks noChangeAspect="1"/>
        </xdr:cNvPicPr>
      </xdr:nvPicPr>
      <xdr:blipFill>
        <a:blip xmlns:r="http://schemas.openxmlformats.org/officeDocument/2006/relationships" r:embed="rId2"/>
        <a:stretch>
          <a:fillRect/>
        </a:stretch>
      </xdr:blipFill>
      <xdr:spPr>
        <a:xfrm>
          <a:off x="3136900" y="5662489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320" name="Resim 319">
          <a:extLst>
            <a:ext uri="{FF2B5EF4-FFF2-40B4-BE49-F238E27FC236}">
              <a16:creationId xmlns:a16="http://schemas.microsoft.com/office/drawing/2014/main" id="{F4179B5D-2151-4F55-B0F9-01267EBA58FC}"/>
            </a:ext>
          </a:extLst>
        </xdr:cNvPr>
        <xdr:cNvPicPr>
          <a:picLocks noChangeAspect="1"/>
        </xdr:cNvPicPr>
      </xdr:nvPicPr>
      <xdr:blipFill>
        <a:blip xmlns:r="http://schemas.openxmlformats.org/officeDocument/2006/relationships" r:embed="rId1"/>
        <a:stretch>
          <a:fillRect/>
        </a:stretch>
      </xdr:blipFill>
      <xdr:spPr>
        <a:xfrm>
          <a:off x="186764" y="570037634"/>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321" name="Resim 320">
          <a:extLst>
            <a:ext uri="{FF2B5EF4-FFF2-40B4-BE49-F238E27FC236}">
              <a16:creationId xmlns:a16="http://schemas.microsoft.com/office/drawing/2014/main" id="{96EAE9D6-6133-4001-9C1D-1A35F8793ED1}"/>
            </a:ext>
          </a:extLst>
        </xdr:cNvPr>
        <xdr:cNvPicPr>
          <a:picLocks noChangeAspect="1"/>
        </xdr:cNvPicPr>
      </xdr:nvPicPr>
      <xdr:blipFill>
        <a:blip xmlns:r="http://schemas.openxmlformats.org/officeDocument/2006/relationships" r:embed="rId2"/>
        <a:stretch>
          <a:fillRect/>
        </a:stretch>
      </xdr:blipFill>
      <xdr:spPr>
        <a:xfrm>
          <a:off x="3136900" y="569925573"/>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322" name="Resim 321">
          <a:extLst>
            <a:ext uri="{FF2B5EF4-FFF2-40B4-BE49-F238E27FC236}">
              <a16:creationId xmlns:a16="http://schemas.microsoft.com/office/drawing/2014/main" id="{818249D9-327D-4F26-BD9A-90529AA74211}"/>
            </a:ext>
          </a:extLst>
        </xdr:cNvPr>
        <xdr:cNvPicPr>
          <a:picLocks noChangeAspect="1"/>
        </xdr:cNvPicPr>
      </xdr:nvPicPr>
      <xdr:blipFill>
        <a:blip xmlns:r="http://schemas.openxmlformats.org/officeDocument/2006/relationships" r:embed="rId1"/>
        <a:stretch>
          <a:fillRect/>
        </a:stretch>
      </xdr:blipFill>
      <xdr:spPr>
        <a:xfrm>
          <a:off x="186764" y="573714284"/>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323" name="Resim 322">
          <a:extLst>
            <a:ext uri="{FF2B5EF4-FFF2-40B4-BE49-F238E27FC236}">
              <a16:creationId xmlns:a16="http://schemas.microsoft.com/office/drawing/2014/main" id="{31B9DBA2-99D3-4A3A-A658-0C8908AB5CFD}"/>
            </a:ext>
          </a:extLst>
        </xdr:cNvPr>
        <xdr:cNvPicPr>
          <a:picLocks noChangeAspect="1"/>
        </xdr:cNvPicPr>
      </xdr:nvPicPr>
      <xdr:blipFill>
        <a:blip xmlns:r="http://schemas.openxmlformats.org/officeDocument/2006/relationships" r:embed="rId2"/>
        <a:stretch>
          <a:fillRect/>
        </a:stretch>
      </xdr:blipFill>
      <xdr:spPr>
        <a:xfrm>
          <a:off x="3136900" y="573602223"/>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324" name="Resim 323">
          <a:extLst>
            <a:ext uri="{FF2B5EF4-FFF2-40B4-BE49-F238E27FC236}">
              <a16:creationId xmlns:a16="http://schemas.microsoft.com/office/drawing/2014/main" id="{0AC8752C-3F79-470A-A263-EF414A66C663}"/>
            </a:ext>
          </a:extLst>
        </xdr:cNvPr>
        <xdr:cNvPicPr>
          <a:picLocks noChangeAspect="1"/>
        </xdr:cNvPicPr>
      </xdr:nvPicPr>
      <xdr:blipFill>
        <a:blip xmlns:r="http://schemas.openxmlformats.org/officeDocument/2006/relationships" r:embed="rId1"/>
        <a:stretch>
          <a:fillRect/>
        </a:stretch>
      </xdr:blipFill>
      <xdr:spPr>
        <a:xfrm>
          <a:off x="186764" y="577390934"/>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325" name="Resim 324">
          <a:extLst>
            <a:ext uri="{FF2B5EF4-FFF2-40B4-BE49-F238E27FC236}">
              <a16:creationId xmlns:a16="http://schemas.microsoft.com/office/drawing/2014/main" id="{7C7586F8-92E8-4E5B-8EAD-6433A3D50757}"/>
            </a:ext>
          </a:extLst>
        </xdr:cNvPr>
        <xdr:cNvPicPr>
          <a:picLocks noChangeAspect="1"/>
        </xdr:cNvPicPr>
      </xdr:nvPicPr>
      <xdr:blipFill>
        <a:blip xmlns:r="http://schemas.openxmlformats.org/officeDocument/2006/relationships" r:embed="rId2"/>
        <a:stretch>
          <a:fillRect/>
        </a:stretch>
      </xdr:blipFill>
      <xdr:spPr>
        <a:xfrm>
          <a:off x="3136900" y="577278873"/>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326" name="Resim 325">
          <a:extLst>
            <a:ext uri="{FF2B5EF4-FFF2-40B4-BE49-F238E27FC236}">
              <a16:creationId xmlns:a16="http://schemas.microsoft.com/office/drawing/2014/main" id="{610FD0A6-E332-452B-93F6-235083FE1487}"/>
            </a:ext>
          </a:extLst>
        </xdr:cNvPr>
        <xdr:cNvPicPr>
          <a:picLocks noChangeAspect="1"/>
        </xdr:cNvPicPr>
      </xdr:nvPicPr>
      <xdr:blipFill>
        <a:blip xmlns:r="http://schemas.openxmlformats.org/officeDocument/2006/relationships" r:embed="rId1"/>
        <a:stretch>
          <a:fillRect/>
        </a:stretch>
      </xdr:blipFill>
      <xdr:spPr>
        <a:xfrm>
          <a:off x="186764" y="581067584"/>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327" name="Resim 326">
          <a:extLst>
            <a:ext uri="{FF2B5EF4-FFF2-40B4-BE49-F238E27FC236}">
              <a16:creationId xmlns:a16="http://schemas.microsoft.com/office/drawing/2014/main" id="{1D7C6E80-76CE-4D41-B098-06536F9E5C15}"/>
            </a:ext>
          </a:extLst>
        </xdr:cNvPr>
        <xdr:cNvPicPr>
          <a:picLocks noChangeAspect="1"/>
        </xdr:cNvPicPr>
      </xdr:nvPicPr>
      <xdr:blipFill>
        <a:blip xmlns:r="http://schemas.openxmlformats.org/officeDocument/2006/relationships" r:embed="rId2"/>
        <a:stretch>
          <a:fillRect/>
        </a:stretch>
      </xdr:blipFill>
      <xdr:spPr>
        <a:xfrm>
          <a:off x="3136900" y="580955523"/>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328" name="Resim 327">
          <a:extLst>
            <a:ext uri="{FF2B5EF4-FFF2-40B4-BE49-F238E27FC236}">
              <a16:creationId xmlns:a16="http://schemas.microsoft.com/office/drawing/2014/main" id="{B71B87C8-A034-4472-926D-51279F85A42D}"/>
            </a:ext>
          </a:extLst>
        </xdr:cNvPr>
        <xdr:cNvPicPr>
          <a:picLocks noChangeAspect="1"/>
        </xdr:cNvPicPr>
      </xdr:nvPicPr>
      <xdr:blipFill>
        <a:blip xmlns:r="http://schemas.openxmlformats.org/officeDocument/2006/relationships" r:embed="rId1"/>
        <a:stretch>
          <a:fillRect/>
        </a:stretch>
      </xdr:blipFill>
      <xdr:spPr>
        <a:xfrm>
          <a:off x="186764" y="584744234"/>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329" name="Resim 328">
          <a:extLst>
            <a:ext uri="{FF2B5EF4-FFF2-40B4-BE49-F238E27FC236}">
              <a16:creationId xmlns:a16="http://schemas.microsoft.com/office/drawing/2014/main" id="{44C1DF38-1AFA-48B2-9905-0B148C2D0FFC}"/>
            </a:ext>
          </a:extLst>
        </xdr:cNvPr>
        <xdr:cNvPicPr>
          <a:picLocks noChangeAspect="1"/>
        </xdr:cNvPicPr>
      </xdr:nvPicPr>
      <xdr:blipFill>
        <a:blip xmlns:r="http://schemas.openxmlformats.org/officeDocument/2006/relationships" r:embed="rId2"/>
        <a:stretch>
          <a:fillRect/>
        </a:stretch>
      </xdr:blipFill>
      <xdr:spPr>
        <a:xfrm>
          <a:off x="3136900" y="584632173"/>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330" name="Resim 329">
          <a:extLst>
            <a:ext uri="{FF2B5EF4-FFF2-40B4-BE49-F238E27FC236}">
              <a16:creationId xmlns:a16="http://schemas.microsoft.com/office/drawing/2014/main" id="{A8B12A26-C737-4BF2-AFF2-5B1AB27E0077}"/>
            </a:ext>
          </a:extLst>
        </xdr:cNvPr>
        <xdr:cNvPicPr>
          <a:picLocks noChangeAspect="1"/>
        </xdr:cNvPicPr>
      </xdr:nvPicPr>
      <xdr:blipFill>
        <a:blip xmlns:r="http://schemas.openxmlformats.org/officeDocument/2006/relationships" r:embed="rId1"/>
        <a:stretch>
          <a:fillRect/>
        </a:stretch>
      </xdr:blipFill>
      <xdr:spPr>
        <a:xfrm>
          <a:off x="186764" y="588420884"/>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331" name="Resim 330">
          <a:extLst>
            <a:ext uri="{FF2B5EF4-FFF2-40B4-BE49-F238E27FC236}">
              <a16:creationId xmlns:a16="http://schemas.microsoft.com/office/drawing/2014/main" id="{236362AF-7C85-4235-B8C9-1DA2D6A064D9}"/>
            </a:ext>
          </a:extLst>
        </xdr:cNvPr>
        <xdr:cNvPicPr>
          <a:picLocks noChangeAspect="1"/>
        </xdr:cNvPicPr>
      </xdr:nvPicPr>
      <xdr:blipFill>
        <a:blip xmlns:r="http://schemas.openxmlformats.org/officeDocument/2006/relationships" r:embed="rId2"/>
        <a:stretch>
          <a:fillRect/>
        </a:stretch>
      </xdr:blipFill>
      <xdr:spPr>
        <a:xfrm>
          <a:off x="3136900" y="588308823"/>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332" name="Resim 331">
          <a:extLst>
            <a:ext uri="{FF2B5EF4-FFF2-40B4-BE49-F238E27FC236}">
              <a16:creationId xmlns:a16="http://schemas.microsoft.com/office/drawing/2014/main" id="{95A88AE7-214B-435E-A272-014197EB9F3D}"/>
            </a:ext>
          </a:extLst>
        </xdr:cNvPr>
        <xdr:cNvPicPr>
          <a:picLocks noChangeAspect="1"/>
        </xdr:cNvPicPr>
      </xdr:nvPicPr>
      <xdr:blipFill>
        <a:blip xmlns:r="http://schemas.openxmlformats.org/officeDocument/2006/relationships" r:embed="rId1"/>
        <a:stretch>
          <a:fillRect/>
        </a:stretch>
      </xdr:blipFill>
      <xdr:spPr>
        <a:xfrm>
          <a:off x="186764" y="59209753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333" name="Resim 332">
          <a:extLst>
            <a:ext uri="{FF2B5EF4-FFF2-40B4-BE49-F238E27FC236}">
              <a16:creationId xmlns:a16="http://schemas.microsoft.com/office/drawing/2014/main" id="{CE326974-18E6-4696-A2FE-657457E5D8A7}"/>
            </a:ext>
          </a:extLst>
        </xdr:cNvPr>
        <xdr:cNvPicPr>
          <a:picLocks noChangeAspect="1"/>
        </xdr:cNvPicPr>
      </xdr:nvPicPr>
      <xdr:blipFill>
        <a:blip xmlns:r="http://schemas.openxmlformats.org/officeDocument/2006/relationships" r:embed="rId2"/>
        <a:stretch>
          <a:fillRect/>
        </a:stretch>
      </xdr:blipFill>
      <xdr:spPr>
        <a:xfrm>
          <a:off x="3136900" y="59198547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334" name="Resim 333">
          <a:extLst>
            <a:ext uri="{FF2B5EF4-FFF2-40B4-BE49-F238E27FC236}">
              <a16:creationId xmlns:a16="http://schemas.microsoft.com/office/drawing/2014/main" id="{995FC652-44F7-47E1-9B15-800EBEAD447B}"/>
            </a:ext>
          </a:extLst>
        </xdr:cNvPr>
        <xdr:cNvPicPr>
          <a:picLocks noChangeAspect="1"/>
        </xdr:cNvPicPr>
      </xdr:nvPicPr>
      <xdr:blipFill>
        <a:blip xmlns:r="http://schemas.openxmlformats.org/officeDocument/2006/relationships" r:embed="rId1"/>
        <a:stretch>
          <a:fillRect/>
        </a:stretch>
      </xdr:blipFill>
      <xdr:spPr>
        <a:xfrm>
          <a:off x="186764" y="595774184"/>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335" name="Resim 334">
          <a:extLst>
            <a:ext uri="{FF2B5EF4-FFF2-40B4-BE49-F238E27FC236}">
              <a16:creationId xmlns:a16="http://schemas.microsoft.com/office/drawing/2014/main" id="{C1463C56-2123-4D31-9BD3-7DB992B70302}"/>
            </a:ext>
          </a:extLst>
        </xdr:cNvPr>
        <xdr:cNvPicPr>
          <a:picLocks noChangeAspect="1"/>
        </xdr:cNvPicPr>
      </xdr:nvPicPr>
      <xdr:blipFill>
        <a:blip xmlns:r="http://schemas.openxmlformats.org/officeDocument/2006/relationships" r:embed="rId2"/>
        <a:stretch>
          <a:fillRect/>
        </a:stretch>
      </xdr:blipFill>
      <xdr:spPr>
        <a:xfrm>
          <a:off x="3136900" y="595662123"/>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336" name="Resim 335">
          <a:extLst>
            <a:ext uri="{FF2B5EF4-FFF2-40B4-BE49-F238E27FC236}">
              <a16:creationId xmlns:a16="http://schemas.microsoft.com/office/drawing/2014/main" id="{2A674AFB-E049-4D7A-9FCB-C0DFBC4419AF}"/>
            </a:ext>
          </a:extLst>
        </xdr:cNvPr>
        <xdr:cNvPicPr>
          <a:picLocks noChangeAspect="1"/>
        </xdr:cNvPicPr>
      </xdr:nvPicPr>
      <xdr:blipFill>
        <a:blip xmlns:r="http://schemas.openxmlformats.org/officeDocument/2006/relationships" r:embed="rId1"/>
        <a:stretch>
          <a:fillRect/>
        </a:stretch>
      </xdr:blipFill>
      <xdr:spPr>
        <a:xfrm>
          <a:off x="186764" y="599450834"/>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337" name="Resim 336">
          <a:extLst>
            <a:ext uri="{FF2B5EF4-FFF2-40B4-BE49-F238E27FC236}">
              <a16:creationId xmlns:a16="http://schemas.microsoft.com/office/drawing/2014/main" id="{F5D4543A-7EE6-4891-818B-7806D4A1177A}"/>
            </a:ext>
          </a:extLst>
        </xdr:cNvPr>
        <xdr:cNvPicPr>
          <a:picLocks noChangeAspect="1"/>
        </xdr:cNvPicPr>
      </xdr:nvPicPr>
      <xdr:blipFill>
        <a:blip xmlns:r="http://schemas.openxmlformats.org/officeDocument/2006/relationships" r:embed="rId2"/>
        <a:stretch>
          <a:fillRect/>
        </a:stretch>
      </xdr:blipFill>
      <xdr:spPr>
        <a:xfrm>
          <a:off x="3136900" y="599338773"/>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338" name="Resim 337">
          <a:extLst>
            <a:ext uri="{FF2B5EF4-FFF2-40B4-BE49-F238E27FC236}">
              <a16:creationId xmlns:a16="http://schemas.microsoft.com/office/drawing/2014/main" id="{C8A72EBD-29FF-4931-8D73-0F657BE2C952}"/>
            </a:ext>
          </a:extLst>
        </xdr:cNvPr>
        <xdr:cNvPicPr>
          <a:picLocks noChangeAspect="1"/>
        </xdr:cNvPicPr>
      </xdr:nvPicPr>
      <xdr:blipFill>
        <a:blip xmlns:r="http://schemas.openxmlformats.org/officeDocument/2006/relationships" r:embed="rId1"/>
        <a:stretch>
          <a:fillRect/>
        </a:stretch>
      </xdr:blipFill>
      <xdr:spPr>
        <a:xfrm>
          <a:off x="186764" y="603127484"/>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339" name="Resim 338">
          <a:extLst>
            <a:ext uri="{FF2B5EF4-FFF2-40B4-BE49-F238E27FC236}">
              <a16:creationId xmlns:a16="http://schemas.microsoft.com/office/drawing/2014/main" id="{76313DAF-9FD8-44C4-8B8D-9EED06796484}"/>
            </a:ext>
          </a:extLst>
        </xdr:cNvPr>
        <xdr:cNvPicPr>
          <a:picLocks noChangeAspect="1"/>
        </xdr:cNvPicPr>
      </xdr:nvPicPr>
      <xdr:blipFill>
        <a:blip xmlns:r="http://schemas.openxmlformats.org/officeDocument/2006/relationships" r:embed="rId2"/>
        <a:stretch>
          <a:fillRect/>
        </a:stretch>
      </xdr:blipFill>
      <xdr:spPr>
        <a:xfrm>
          <a:off x="3136900" y="603015423"/>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340" name="Resim 339">
          <a:extLst>
            <a:ext uri="{FF2B5EF4-FFF2-40B4-BE49-F238E27FC236}">
              <a16:creationId xmlns:a16="http://schemas.microsoft.com/office/drawing/2014/main" id="{6B7D690D-2FEE-4B03-9D02-21113E14B011}"/>
            </a:ext>
          </a:extLst>
        </xdr:cNvPr>
        <xdr:cNvPicPr>
          <a:picLocks noChangeAspect="1"/>
        </xdr:cNvPicPr>
      </xdr:nvPicPr>
      <xdr:blipFill>
        <a:blip xmlns:r="http://schemas.openxmlformats.org/officeDocument/2006/relationships" r:embed="rId1"/>
        <a:stretch>
          <a:fillRect/>
        </a:stretch>
      </xdr:blipFill>
      <xdr:spPr>
        <a:xfrm>
          <a:off x="186764" y="606804134"/>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341" name="Resim 340">
          <a:extLst>
            <a:ext uri="{FF2B5EF4-FFF2-40B4-BE49-F238E27FC236}">
              <a16:creationId xmlns:a16="http://schemas.microsoft.com/office/drawing/2014/main" id="{2216D2A4-204E-4891-8C15-5B23D2F37798}"/>
            </a:ext>
          </a:extLst>
        </xdr:cNvPr>
        <xdr:cNvPicPr>
          <a:picLocks noChangeAspect="1"/>
        </xdr:cNvPicPr>
      </xdr:nvPicPr>
      <xdr:blipFill>
        <a:blip xmlns:r="http://schemas.openxmlformats.org/officeDocument/2006/relationships" r:embed="rId2"/>
        <a:stretch>
          <a:fillRect/>
        </a:stretch>
      </xdr:blipFill>
      <xdr:spPr>
        <a:xfrm>
          <a:off x="3136900" y="606692073"/>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342" name="Resim 341">
          <a:extLst>
            <a:ext uri="{FF2B5EF4-FFF2-40B4-BE49-F238E27FC236}">
              <a16:creationId xmlns:a16="http://schemas.microsoft.com/office/drawing/2014/main" id="{87C91B79-87E2-4A62-BBFA-06039A275423}"/>
            </a:ext>
          </a:extLst>
        </xdr:cNvPr>
        <xdr:cNvPicPr>
          <a:picLocks noChangeAspect="1"/>
        </xdr:cNvPicPr>
      </xdr:nvPicPr>
      <xdr:blipFill>
        <a:blip xmlns:r="http://schemas.openxmlformats.org/officeDocument/2006/relationships" r:embed="rId1"/>
        <a:stretch>
          <a:fillRect/>
        </a:stretch>
      </xdr:blipFill>
      <xdr:spPr>
        <a:xfrm>
          <a:off x="186764" y="610480784"/>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343" name="Resim 342">
          <a:extLst>
            <a:ext uri="{FF2B5EF4-FFF2-40B4-BE49-F238E27FC236}">
              <a16:creationId xmlns:a16="http://schemas.microsoft.com/office/drawing/2014/main" id="{86E8BC0E-CE7E-4447-8528-EC2353A0445C}"/>
            </a:ext>
          </a:extLst>
        </xdr:cNvPr>
        <xdr:cNvPicPr>
          <a:picLocks noChangeAspect="1"/>
        </xdr:cNvPicPr>
      </xdr:nvPicPr>
      <xdr:blipFill>
        <a:blip xmlns:r="http://schemas.openxmlformats.org/officeDocument/2006/relationships" r:embed="rId2"/>
        <a:stretch>
          <a:fillRect/>
        </a:stretch>
      </xdr:blipFill>
      <xdr:spPr>
        <a:xfrm>
          <a:off x="3136900" y="610368723"/>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344" name="Resim 343">
          <a:extLst>
            <a:ext uri="{FF2B5EF4-FFF2-40B4-BE49-F238E27FC236}">
              <a16:creationId xmlns:a16="http://schemas.microsoft.com/office/drawing/2014/main" id="{CCBF98AE-6973-45B6-8CFF-39FBE17E6DEA}"/>
            </a:ext>
          </a:extLst>
        </xdr:cNvPr>
        <xdr:cNvPicPr>
          <a:picLocks noChangeAspect="1"/>
        </xdr:cNvPicPr>
      </xdr:nvPicPr>
      <xdr:blipFill>
        <a:blip xmlns:r="http://schemas.openxmlformats.org/officeDocument/2006/relationships" r:embed="rId1"/>
        <a:stretch>
          <a:fillRect/>
        </a:stretch>
      </xdr:blipFill>
      <xdr:spPr>
        <a:xfrm>
          <a:off x="186764" y="614157434"/>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345" name="Resim 344">
          <a:extLst>
            <a:ext uri="{FF2B5EF4-FFF2-40B4-BE49-F238E27FC236}">
              <a16:creationId xmlns:a16="http://schemas.microsoft.com/office/drawing/2014/main" id="{C42194B6-55EF-4BBA-97B4-8FB8A125D17B}"/>
            </a:ext>
          </a:extLst>
        </xdr:cNvPr>
        <xdr:cNvPicPr>
          <a:picLocks noChangeAspect="1"/>
        </xdr:cNvPicPr>
      </xdr:nvPicPr>
      <xdr:blipFill>
        <a:blip xmlns:r="http://schemas.openxmlformats.org/officeDocument/2006/relationships" r:embed="rId2"/>
        <a:stretch>
          <a:fillRect/>
        </a:stretch>
      </xdr:blipFill>
      <xdr:spPr>
        <a:xfrm>
          <a:off x="3136900" y="614045373"/>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346" name="Resim 345">
          <a:extLst>
            <a:ext uri="{FF2B5EF4-FFF2-40B4-BE49-F238E27FC236}">
              <a16:creationId xmlns:a16="http://schemas.microsoft.com/office/drawing/2014/main" id="{46385F73-4650-4433-9CC2-A750948780EA}"/>
            </a:ext>
          </a:extLst>
        </xdr:cNvPr>
        <xdr:cNvPicPr>
          <a:picLocks noChangeAspect="1"/>
        </xdr:cNvPicPr>
      </xdr:nvPicPr>
      <xdr:blipFill>
        <a:blip xmlns:r="http://schemas.openxmlformats.org/officeDocument/2006/relationships" r:embed="rId1"/>
        <a:stretch>
          <a:fillRect/>
        </a:stretch>
      </xdr:blipFill>
      <xdr:spPr>
        <a:xfrm>
          <a:off x="186764" y="6178340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347" name="Resim 346">
          <a:extLst>
            <a:ext uri="{FF2B5EF4-FFF2-40B4-BE49-F238E27FC236}">
              <a16:creationId xmlns:a16="http://schemas.microsoft.com/office/drawing/2014/main" id="{E25A72F3-BEF9-4795-8271-A66753B3BC23}"/>
            </a:ext>
          </a:extLst>
        </xdr:cNvPr>
        <xdr:cNvPicPr>
          <a:picLocks noChangeAspect="1"/>
        </xdr:cNvPicPr>
      </xdr:nvPicPr>
      <xdr:blipFill>
        <a:blip xmlns:r="http://schemas.openxmlformats.org/officeDocument/2006/relationships" r:embed="rId2"/>
        <a:stretch>
          <a:fillRect/>
        </a:stretch>
      </xdr:blipFill>
      <xdr:spPr>
        <a:xfrm>
          <a:off x="3136900" y="617722023"/>
          <a:ext cx="1783314" cy="701175"/>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riniziya" refreshedDate="45708.418457060186" createdVersion="8" refreshedVersion="8" minRefreshableVersion="3" recordCount="818" xr:uid="{213FA294-CA3E-44F0-AB34-C37D8C301A0F}">
  <cacheSource type="worksheet">
    <worksheetSource ref="A2:H820" sheet="Poz Reçete"/>
  </cacheSource>
  <cacheFields count="8">
    <cacheField name="PARÇA ADI" numFmtId="0">
      <sharedItems containsMixedTypes="1" containsNumber="1" containsInteger="1" minValue="0" maxValue="0" count="52">
        <s v="SOLTİS_92"/>
        <s v="MOTOR"/>
        <s v="ZİPSKY KASA PROFİLİ"/>
        <s v="ZİPSKY KASA KAPAK PROFİLİ"/>
        <s v="ZİPSKY ETEK PROFİLİ"/>
        <s v="ZİPSKY ETEK KAPAK PROFİLİ"/>
        <s v="ZİPSKY DİKME PROFİLİ"/>
        <s v="100 MM GALVANİZ ÇELİK BORU"/>
        <s v="plastimak PVC FERMUAR ÇITASI"/>
        <s v="KASA KAPAĞI TAKIMI"/>
        <s v="DİKME KAPAĞI TAKIMI"/>
        <s v="PİMLİ BORU BAŞI"/>
        <s v="PİMSİZ BORU BAŞI"/>
        <s v="DİKME KAPAĞI TAKIMI ( 1 AD.SAĞ-SOL,2AD. MAKARA,2 AD. PİM)"/>
        <s v="RULMAN"/>
        <s v="YAY TUTUCU"/>
        <s v="FERMUAR"/>
        <s v="MOTOR TUTUCU"/>
        <s v="MOTOR BRAKETİ"/>
        <s v="PVC YAY"/>
        <s v="PVC FİTİL"/>
        <s v="YAY"/>
        <s v="VİDA SETİ"/>
        <s v="KALDIRAÇ"/>
        <s v="MONTAJ AYAĞI TEKLİ"/>
        <s v="TEK MAKARA(1 SİSTEMDE 2 AD. KULLANILIR)_x000a_"/>
        <s v="ÇİFT MAKARA_x000a_"/>
        <s v="RULMAN YATAĞI"/>
        <s v="KUMAŞ TUTUCU(1 SİSTEMDE 2 ADET KULLANILIR.)"/>
        <s v="İP KİLİDİ (1 SİSTEMDE 2 ADET KULLANILIR.)"/>
        <s v="İP "/>
        <n v="0"/>
        <s v="POZ 2"/>
        <s v="PARÇA ADI"/>
        <s v="POZ 3"/>
        <s v="POZ 4"/>
        <s v="POZ 5"/>
        <s v="POZ 6"/>
        <s v="POZ 7"/>
        <s v="POZ 8"/>
        <s v="POZ 9"/>
        <s v="POZ 10"/>
        <s v="POZ 11"/>
        <s v="POZ 12"/>
        <s v="POZ 13"/>
        <s v="POZ 14"/>
        <s v="POZ 15"/>
        <s v="POZ 16"/>
        <s v="POZ 17"/>
        <s v="POZ 18"/>
        <s v="POZ 19"/>
        <s v="POZ 20"/>
      </sharedItems>
    </cacheField>
    <cacheField name="EXCEL KODU" numFmtId="0">
      <sharedItems containsBlank="1" containsMixedTypes="1" containsNumber="1" containsInteger="1" minValue="0" maxValue="0"/>
    </cacheField>
    <cacheField name="RENK" numFmtId="0">
      <sharedItems containsBlank="1" containsMixedTypes="1" containsNumber="1" containsInteger="1" minValue="0" maxValue="1" count="6">
        <s v="92_2135_SANDYBEIGE"/>
        <m/>
        <s v="7016 MAT"/>
        <s v=""/>
        <n v="0"/>
        <n v="1" u="1"/>
      </sharedItems>
    </cacheField>
    <cacheField name="MALZEME KODU" numFmtId="0">
      <sharedItems containsMixedTypes="1" containsNumber="1" containsInteger="1" minValue="0" maxValue="9761001" count="34">
        <s v="92_2135_SANDYBEIGE"/>
        <s v="SOMFY IO - 60-40"/>
        <s v="PA14000101"/>
        <s v="PA14000201"/>
        <s v="PA14000301"/>
        <s v="PA14000401"/>
        <s v="PA14000501"/>
        <n v="0"/>
        <s v="DPY00105801"/>
        <s v="EMY14000101R - EMY14000101L"/>
        <s v="EMY14000301R - EMY14000301L"/>
        <s v="EPH07803101"/>
        <s v="EPH07803001"/>
        <s v="EMY14000501R - EMY14000501L"/>
        <s v="DMH00105001"/>
        <s v="DMH14006502"/>
        <s v="DPH00106501"/>
        <s v="EPH00105301"/>
        <s v="EPH07802301"/>
        <s v="EPH00107101"/>
        <s v="PP00106001"/>
        <s v="DMH14005001"/>
        <s v="VİDA1"/>
        <s v="EPH14006701"/>
        <s v="EMY14005901"/>
        <s v="DPH00107801"/>
        <s v="DPH00107701"/>
        <s v="EPH00105101"/>
        <s v="EPH00107601"/>
        <s v="EMY14005201"/>
        <s v="DPH00107901"/>
        <s v="ADET"/>
        <s v="MALZEME KODU"/>
        <n v="9761001" u="1"/>
      </sharedItems>
    </cacheField>
    <cacheField name="bir poz için toplam maliyet " numFmtId="0">
      <sharedItems containsBlank="1" containsMixedTypes="1" containsNumber="1" minValue="0.57999999999999996" maxValue="108.3837564526316"/>
    </cacheField>
    <cacheField name="METRAJ" numFmtId="169">
      <sharedItems containsBlank="1" containsMixedTypes="1" containsNumber="1" minValue="0" maxValue="22"/>
    </cacheField>
    <cacheField name="BR" numFmtId="0">
      <sharedItems containsMixedTypes="1" containsNumber="1" containsInteger="1" minValue="0" maxValue="0" count="7">
        <s v="M²"/>
        <s v="ADET"/>
        <s v="MT"/>
        <s v="TAKIM"/>
        <n v="0"/>
        <s v="TOPLAM MALİYET"/>
        <s v="BR"/>
      </sharedItems>
    </cacheField>
    <cacheField name="TOPLAM FİYAT" numFmtId="0">
      <sharedItems containsBlank="1" containsMixedTypes="1" containsNumber="1" minValue="0" maxValue="108.38375645263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8">
  <r>
    <x v="0"/>
    <m/>
    <x v="0"/>
    <x v="0"/>
    <n v="16.78"/>
    <n v="6.1944480000000004"/>
    <x v="0"/>
    <n v="103.94283744000002"/>
  </r>
  <r>
    <x v="1"/>
    <m/>
    <x v="1"/>
    <x v="1"/>
    <n v="104"/>
    <n v="1"/>
    <x v="1"/>
    <n v="104"/>
  </r>
  <r>
    <x v="2"/>
    <s v="TVN01"/>
    <x v="2"/>
    <x v="2"/>
    <n v="96.679177427368444"/>
    <n v="4.4850000000000003"/>
    <x v="2"/>
    <n v="96.679177427368444"/>
  </r>
  <r>
    <x v="3"/>
    <s v="TVN02"/>
    <x v="2"/>
    <x v="3"/>
    <n v="51.165125494736849"/>
    <n v="4.4850000000000003"/>
    <x v="2"/>
    <n v="51.165125494736849"/>
  </r>
  <r>
    <x v="4"/>
    <s v="TVN03"/>
    <x v="2"/>
    <x v="4"/>
    <n v="108.3837564526316"/>
    <n v="4.3449999999999998"/>
    <x v="2"/>
    <n v="108.3837564526316"/>
  </r>
  <r>
    <x v="5"/>
    <s v="TVN04"/>
    <x v="2"/>
    <x v="5"/>
    <n v="19.531270787368424"/>
    <n v="4.3449999999999998"/>
    <x v="2"/>
    <n v="19.531270787368424"/>
  </r>
  <r>
    <x v="6"/>
    <s v="TVN05"/>
    <x v="2"/>
    <x v="6"/>
    <n v="33.628221052631581"/>
    <n v="1.58"/>
    <x v="2"/>
    <n v="33.628221052631581"/>
  </r>
  <r>
    <x v="7"/>
    <s v="GNL02"/>
    <x v="3"/>
    <x v="7"/>
    <n v="64.754999999999995"/>
    <n v="4.3170000000000002"/>
    <x v="2"/>
    <n v="64.754999999999995"/>
  </r>
  <r>
    <x v="8"/>
    <s v="GNL03"/>
    <x v="3"/>
    <x v="8"/>
    <n v="3.8764200000000004"/>
    <n v="1.59"/>
    <x v="2"/>
    <n v="3.8764200000000004"/>
  </r>
  <r>
    <x v="9"/>
    <s v="TVN06"/>
    <x v="2"/>
    <x v="9"/>
    <n v="29.876936842105266"/>
    <n v="1"/>
    <x v="3"/>
    <n v="29.876936842105266"/>
  </r>
  <r>
    <x v="10"/>
    <s v="TVN07"/>
    <x v="2"/>
    <x v="10"/>
    <n v="29.847926315789476"/>
    <n v="1"/>
    <x v="3"/>
    <n v="29.847926315789476"/>
  </r>
  <r>
    <x v="11"/>
    <s v="TVN08"/>
    <x v="3"/>
    <x v="11"/>
    <n v="5.34"/>
    <n v="1"/>
    <x v="1"/>
    <n v="5.34"/>
  </r>
  <r>
    <x v="12"/>
    <s v="TVN09"/>
    <x v="3"/>
    <x v="12"/>
    <n v="3.65"/>
    <n v="1"/>
    <x v="1"/>
    <n v="3.65"/>
  </r>
  <r>
    <x v="13"/>
    <s v="TVN10"/>
    <x v="2"/>
    <x v="13"/>
    <n v="19.804147368421056"/>
    <n v="1"/>
    <x v="3"/>
    <n v="19.804147368421056"/>
  </r>
  <r>
    <x v="14"/>
    <s v="GNL04"/>
    <x v="3"/>
    <x v="14"/>
    <n v="0.83"/>
    <n v="1"/>
    <x v="1"/>
    <n v="0.83"/>
  </r>
  <r>
    <x v="15"/>
    <s v="TVN10K"/>
    <x v="3"/>
    <x v="15"/>
    <n v="7.84"/>
    <n v="4"/>
    <x v="1"/>
    <n v="7.84"/>
  </r>
  <r>
    <x v="16"/>
    <s v="GNL05"/>
    <x v="3"/>
    <x v="16"/>
    <n v="2.2999999999999998"/>
    <n v="2.2999999999999998"/>
    <x v="2"/>
    <n v="2.2999999999999998"/>
  </r>
  <r>
    <x v="17"/>
    <s v="TVN11"/>
    <x v="3"/>
    <x v="17"/>
    <n v="0.57999999999999996"/>
    <n v="1"/>
    <x v="1"/>
    <n v="0.57999999999999996"/>
  </r>
  <r>
    <x v="18"/>
    <s v="TVN12"/>
    <x v="3"/>
    <x v="18"/>
    <n v="1.61"/>
    <n v="1"/>
    <x v="1"/>
    <n v="1.61"/>
  </r>
  <r>
    <x v="19"/>
    <s v="GNL06"/>
    <x v="3"/>
    <x v="19"/>
    <n v="3.2"/>
    <n v="16"/>
    <x v="1"/>
    <n v="3.2"/>
  </r>
  <r>
    <x v="20"/>
    <s v="GNL07"/>
    <x v="3"/>
    <x v="20"/>
    <n v="0.95282000000000011"/>
    <n v="8.6620000000000008"/>
    <x v="2"/>
    <n v="0.95282000000000011"/>
  </r>
  <r>
    <x v="21"/>
    <s v="TVN13"/>
    <x v="3"/>
    <x v="21"/>
    <n v="19"/>
    <n v="2"/>
    <x v="1"/>
    <n v="19"/>
  </r>
  <r>
    <x v="22"/>
    <s v="GNL08"/>
    <x v="3"/>
    <x v="22"/>
    <n v="1"/>
    <n v="1"/>
    <x v="3"/>
    <n v="1"/>
  </r>
  <r>
    <x v="23"/>
    <s v="TVN14"/>
    <x v="3"/>
    <x v="23"/>
    <n v="4.0999999999999996"/>
    <n v="2"/>
    <x v="1"/>
    <n v="4.0999999999999996"/>
  </r>
  <r>
    <x v="24"/>
    <s v="TVN18"/>
    <x v="2"/>
    <x v="24"/>
    <n v="21.834000000000003"/>
    <n v="4"/>
    <x v="1"/>
    <n v="21.834000000000003"/>
  </r>
  <r>
    <x v="25"/>
    <s v="TVN20"/>
    <x v="3"/>
    <x v="25"/>
    <n v="16.190000000000001"/>
    <n v="2"/>
    <x v="1"/>
    <n v="16.190000000000001"/>
  </r>
  <r>
    <x v="26"/>
    <s v="TVN21"/>
    <x v="3"/>
    <x v="26"/>
    <n v="16.350000000000001"/>
    <n v="1"/>
    <x v="1"/>
    <n v="16.350000000000001"/>
  </r>
  <r>
    <x v="27"/>
    <s v="TVN22"/>
    <x v="3"/>
    <x v="27"/>
    <n v="1.1299999999999999"/>
    <n v="1"/>
    <x v="1"/>
    <n v="1.1299999999999999"/>
  </r>
  <r>
    <x v="28"/>
    <s v="TVN23"/>
    <x v="3"/>
    <x v="28"/>
    <n v="1.62"/>
    <n v="2"/>
    <x v="3"/>
    <n v="1.62"/>
  </r>
  <r>
    <x v="29"/>
    <s v="TVN24"/>
    <x v="3"/>
    <x v="29"/>
    <n v="23.56"/>
    <n v="2"/>
    <x v="3"/>
    <n v="23.56"/>
  </r>
  <r>
    <x v="30"/>
    <s v="TVN25"/>
    <x v="3"/>
    <x v="30"/>
    <n v="6.6"/>
    <n v="22"/>
    <x v="2"/>
    <n v="6.6"/>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3"/>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DE8F7A-2370-433C-B7E7-50F1C04E483E}" name="PivotTable1" cacheId="0" applyNumberFormats="0" applyBorderFormats="0" applyFontFormats="0" applyPatternFormats="0" applyAlignmentFormats="0" applyWidthHeightFormats="1" dataCaption="Değerler" updatedVersion="8" minRefreshableVersion="3" showDrill="0" useAutoFormatting="1" itemPrintTitles="1" createdVersion="8" indent="0" outline="1" outlineData="1" multipleFieldFilters="0">
  <location ref="A1:F35" firstHeaderRow="0" firstDataRow="1" firstDataCol="4"/>
  <pivotFields count="8">
    <pivotField axis="axisRow" outline="0" showAll="0" defaultSubtotal="0">
      <items count="52">
        <item x="31"/>
        <item x="16"/>
        <item x="1"/>
        <item x="18"/>
        <item x="33"/>
        <item x="11"/>
        <item x="41"/>
        <item x="42"/>
        <item x="43"/>
        <item x="44"/>
        <item x="45"/>
        <item x="46"/>
        <item x="47"/>
        <item x="48"/>
        <item x="49"/>
        <item x="50"/>
        <item x="32"/>
        <item x="51"/>
        <item x="34"/>
        <item x="35"/>
        <item x="36"/>
        <item x="37"/>
        <item x="38"/>
        <item x="39"/>
        <item x="40"/>
        <item x="20"/>
        <item x="19"/>
        <item x="14"/>
        <item x="22"/>
        <item x="0"/>
        <item x="2"/>
        <item x="3"/>
        <item x="4"/>
        <item x="5"/>
        <item x="6"/>
        <item x="7"/>
        <item x="8"/>
        <item x="9"/>
        <item x="10"/>
        <item x="12"/>
        <item x="13"/>
        <item x="15"/>
        <item x="17"/>
        <item x="21"/>
        <item x="24"/>
        <item x="25"/>
        <item x="26"/>
        <item x="27"/>
        <item x="28"/>
        <item x="29"/>
        <item x="30"/>
        <item x="23"/>
      </items>
      <extLst>
        <ext xmlns:x14="http://schemas.microsoft.com/office/spreadsheetml/2009/9/main" uri="{2946ED86-A175-432a-8AC1-64E0C546D7DE}">
          <x14:pivotField fillDownLabels="1"/>
        </ext>
      </extLst>
    </pivotField>
    <pivotField showAll="0"/>
    <pivotField axis="axisRow" showAll="0">
      <items count="7">
        <item m="1" x="5"/>
        <item x="1"/>
        <item x="3"/>
        <item x="4"/>
        <item x="2"/>
        <item x="0"/>
        <item t="default"/>
      </items>
    </pivotField>
    <pivotField axis="axisRow" outline="0" showAll="0" sortType="ascending" defaultSubtotal="0">
      <items count="34">
        <item x="7"/>
        <item m="1" x="33"/>
        <item x="0"/>
        <item x="31"/>
        <item x="14"/>
        <item x="21"/>
        <item x="15"/>
        <item x="16"/>
        <item x="26"/>
        <item x="25"/>
        <item x="30"/>
        <item x="8"/>
        <item x="9"/>
        <item x="10"/>
        <item x="13"/>
        <item x="29"/>
        <item x="24"/>
        <item x="27"/>
        <item x="17"/>
        <item x="19"/>
        <item x="28"/>
        <item x="18"/>
        <item x="12"/>
        <item x="11"/>
        <item x="23"/>
        <item x="32"/>
        <item x="2"/>
        <item x="3"/>
        <item x="4"/>
        <item x="5"/>
        <item x="6"/>
        <item x="20"/>
        <item x="1"/>
        <item x="22"/>
      </items>
      <extLst>
        <ext xmlns:x14="http://schemas.microsoft.com/office/spreadsheetml/2009/9/main" uri="{2946ED86-A175-432a-8AC1-64E0C546D7DE}">
          <x14:pivotField fillDownLabels="1"/>
        </ext>
      </extLst>
    </pivotField>
    <pivotField showAll="0"/>
    <pivotField dataField="1" outline="0" showAll="0" defaultSubtotal="0">
      <extLst>
        <ext xmlns:x14="http://schemas.microsoft.com/office/spreadsheetml/2009/9/main" uri="{2946ED86-A175-432a-8AC1-64E0C546D7DE}">
          <x14:pivotField fillDownLabels="1"/>
        </ext>
      </extLst>
    </pivotField>
    <pivotField axis="axisRow" outline="0" showAll="0" sortType="descending" defaultSubtotal="0">
      <items count="7">
        <item x="5"/>
        <item x="3"/>
        <item x="2"/>
        <item x="0"/>
        <item x="6"/>
        <item x="1"/>
        <item x="4"/>
      </items>
      <extLst>
        <ext xmlns:x14="http://schemas.microsoft.com/office/spreadsheetml/2009/9/main" uri="{2946ED86-A175-432a-8AC1-64E0C546D7DE}">
          <x14:pivotField fillDownLabels="1"/>
        </ext>
      </extLst>
    </pivotField>
    <pivotField dataField="1" showAll="0"/>
  </pivotFields>
  <rowFields count="4">
    <field x="3"/>
    <field x="0"/>
    <field x="6"/>
    <field x="2"/>
  </rowFields>
  <rowItems count="34">
    <i>
      <x/>
      <x v="2"/>
      <x v="5"/>
      <x v="1"/>
    </i>
    <i r="1">
      <x v="35"/>
      <x v="2"/>
      <x v="2"/>
    </i>
    <i>
      <x v="2"/>
      <x v="29"/>
      <x v="3"/>
      <x v="5"/>
    </i>
    <i>
      <x v="4"/>
      <x v="27"/>
      <x v="5"/>
      <x v="2"/>
    </i>
    <i>
      <x v="5"/>
      <x v="43"/>
      <x v="5"/>
      <x v="2"/>
    </i>
    <i>
      <x v="6"/>
      <x v="41"/>
      <x v="5"/>
      <x v="2"/>
    </i>
    <i>
      <x v="7"/>
      <x v="1"/>
      <x v="2"/>
      <x v="2"/>
    </i>
    <i>
      <x v="8"/>
      <x v="46"/>
      <x v="5"/>
      <x v="2"/>
    </i>
    <i>
      <x v="9"/>
      <x v="45"/>
      <x v="5"/>
      <x v="2"/>
    </i>
    <i>
      <x v="10"/>
      <x v="50"/>
      <x v="2"/>
      <x v="2"/>
    </i>
    <i>
      <x v="11"/>
      <x v="36"/>
      <x v="2"/>
      <x v="2"/>
    </i>
    <i>
      <x v="12"/>
      <x v="37"/>
      <x v="1"/>
      <x v="4"/>
    </i>
    <i>
      <x v="13"/>
      <x v="38"/>
      <x v="1"/>
      <x v="4"/>
    </i>
    <i>
      <x v="14"/>
      <x v="40"/>
      <x v="1"/>
      <x v="4"/>
    </i>
    <i>
      <x v="15"/>
      <x v="49"/>
      <x v="1"/>
      <x v="2"/>
    </i>
    <i>
      <x v="16"/>
      <x v="44"/>
      <x v="5"/>
      <x v="4"/>
    </i>
    <i>
      <x v="17"/>
      <x v="47"/>
      <x v="5"/>
      <x v="2"/>
    </i>
    <i>
      <x v="18"/>
      <x v="42"/>
      <x v="5"/>
      <x v="2"/>
    </i>
    <i>
      <x v="19"/>
      <x v="26"/>
      <x v="5"/>
      <x v="2"/>
    </i>
    <i>
      <x v="20"/>
      <x v="48"/>
      <x v="1"/>
      <x v="2"/>
    </i>
    <i>
      <x v="21"/>
      <x v="3"/>
      <x v="5"/>
      <x v="2"/>
    </i>
    <i>
      <x v="22"/>
      <x v="39"/>
      <x v="5"/>
      <x v="2"/>
    </i>
    <i>
      <x v="23"/>
      <x v="5"/>
      <x v="5"/>
      <x v="2"/>
    </i>
    <i>
      <x v="24"/>
      <x v="51"/>
      <x v="5"/>
      <x v="2"/>
    </i>
    <i>
      <x v="25"/>
      <x v="4"/>
      <x v="4"/>
      <x v="1"/>
    </i>
    <i>
      <x v="26"/>
      <x v="30"/>
      <x v="2"/>
      <x v="4"/>
    </i>
    <i>
      <x v="27"/>
      <x v="31"/>
      <x v="2"/>
      <x v="4"/>
    </i>
    <i>
      <x v="28"/>
      <x v="32"/>
      <x v="2"/>
      <x v="4"/>
    </i>
    <i>
      <x v="29"/>
      <x v="33"/>
      <x v="2"/>
      <x v="4"/>
    </i>
    <i>
      <x v="30"/>
      <x v="34"/>
      <x v="2"/>
      <x v="4"/>
    </i>
    <i>
      <x v="31"/>
      <x v="25"/>
      <x v="2"/>
      <x v="2"/>
    </i>
    <i>
      <x v="32"/>
      <x v="2"/>
      <x v="5"/>
      <x v="1"/>
    </i>
    <i>
      <x v="33"/>
      <x v="28"/>
      <x v="1"/>
      <x v="2"/>
    </i>
    <i t="grand">
      <x/>
    </i>
  </rowItems>
  <colFields count="1">
    <field x="-2"/>
  </colFields>
  <colItems count="2">
    <i>
      <x/>
    </i>
    <i i="1">
      <x v="1"/>
    </i>
  </colItems>
  <dataFields count="2">
    <dataField name="Toplam METRAJ" fld="5" baseField="5" baseItem="0" numFmtId="2"/>
    <dataField name="Toplam TOPLAM FİYAT" fld="7" baseField="5" baseItem="0" numFmtId="172"/>
  </dataFields>
  <formats count="20">
    <format dxfId="43">
      <pivotArea outline="0" collapsedLevelsAreSubtotals="1" fieldPosition="0">
        <references count="1">
          <reference field="4294967294" count="1" selected="0">
            <x v="1"/>
          </reference>
        </references>
      </pivotArea>
    </format>
    <format dxfId="42">
      <pivotArea dataOnly="0" labelOnly="1" outline="0" fieldPosition="0">
        <references count="1">
          <reference field="4294967294" count="1">
            <x v="1"/>
          </reference>
        </references>
      </pivotArea>
    </format>
    <format dxfId="41">
      <pivotArea outline="0" collapsedLevelsAreSubtotals="1" fieldPosition="0">
        <references count="1">
          <reference field="4294967294" count="1" selected="0">
            <x v="0"/>
          </reference>
        </references>
      </pivotArea>
    </format>
    <format dxfId="40">
      <pivotArea dataOnly="0" labelOnly="1" outline="0" fieldPosition="0">
        <references count="1">
          <reference field="4294967294" count="1">
            <x v="0"/>
          </reference>
        </references>
      </pivotArea>
    </format>
    <format dxfId="39">
      <pivotArea field="3" type="button" dataOnly="0" labelOnly="1" outline="0" axis="axisRow" fieldPosition="0"/>
    </format>
    <format dxfId="38">
      <pivotArea dataOnly="0" labelOnly="1" fieldPosition="0">
        <references count="1">
          <reference field="3" count="2">
            <x v="1"/>
            <x v="25"/>
          </reference>
        </references>
      </pivotArea>
    </format>
    <format dxfId="37">
      <pivotArea dataOnly="0" labelOnly="1" grandRow="1" outline="0" fieldPosition="0"/>
    </format>
    <format dxfId="36">
      <pivotArea field="3" type="button" dataOnly="0" labelOnly="1" outline="0" axis="axisRow" fieldPosition="0"/>
    </format>
    <format dxfId="35">
      <pivotArea dataOnly="0" labelOnly="1" fieldPosition="0">
        <references count="1">
          <reference field="3" count="2">
            <x v="1"/>
            <x v="25"/>
          </reference>
        </references>
      </pivotArea>
    </format>
    <format dxfId="34">
      <pivotArea dataOnly="0" labelOnly="1" grandRow="1" outline="0" fieldPosition="0"/>
    </format>
    <format dxfId="33">
      <pivotArea outline="0" collapsedLevelsAreSubtotals="1" fieldPosition="0">
        <references count="1">
          <reference field="4294967294" count="1" selected="0">
            <x v="0"/>
          </reference>
        </references>
      </pivotArea>
    </format>
    <format dxfId="32">
      <pivotArea dataOnly="0" labelOnly="1" outline="0" fieldPosition="0">
        <references count="1">
          <reference field="4294967294" count="1">
            <x v="0"/>
          </reference>
        </references>
      </pivotArea>
    </format>
    <format dxfId="31">
      <pivotArea outline="0" collapsedLevelsAreSubtotals="1" fieldPosition="0">
        <references count="1">
          <reference field="4294967294" count="1" selected="0">
            <x v="0"/>
          </reference>
        </references>
      </pivotArea>
    </format>
    <format dxfId="30">
      <pivotArea dataOnly="0" labelOnly="1" outline="0" fieldPosition="0">
        <references count="1">
          <reference field="4294967294" count="1">
            <x v="0"/>
          </reference>
        </references>
      </pivotArea>
    </format>
    <format dxfId="29">
      <pivotArea outline="0" collapsedLevelsAreSubtotals="1" fieldPosition="0">
        <references count="1">
          <reference field="4294967294" count="1" selected="0">
            <x v="1"/>
          </reference>
        </references>
      </pivotArea>
    </format>
    <format dxfId="28">
      <pivotArea dataOnly="0" labelOnly="1" outline="0" fieldPosition="0">
        <references count="1">
          <reference field="4294967294" count="1">
            <x v="1"/>
          </reference>
        </references>
      </pivotArea>
    </format>
    <format dxfId="27">
      <pivotArea outline="0" collapsedLevelsAreSubtotals="1" fieldPosition="0">
        <references count="1">
          <reference field="4294967294" count="1" selected="0">
            <x v="1"/>
          </reference>
        </references>
      </pivotArea>
    </format>
    <format dxfId="26">
      <pivotArea dataOnly="0" labelOnly="1" outline="0" fieldPosition="0">
        <references count="1">
          <reference field="4294967294" count="1">
            <x v="1"/>
          </reference>
        </references>
      </pivotArea>
    </format>
    <format dxfId="25">
      <pivotArea outline="0" collapsedLevelsAreSubtotals="1" fieldPosition="0">
        <references count="1">
          <reference field="4294967294" count="1" selected="0">
            <x v="1"/>
          </reference>
        </references>
      </pivotArea>
    </format>
    <format dxfId="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filters count="2">
    <filter fld="0" type="captionNotEqual" evalOrder="-1" id="9" stringValue1="0">
      <autoFilter ref="A1">
        <filterColumn colId="0">
          <customFilters>
            <customFilter operator="notEqual" val="0"/>
          </customFilters>
        </filterColumn>
      </autoFilter>
    </filter>
    <filter fld="3" type="captionNotEqual" evalOrder="-1" id="8" stringValue1="ADET">
      <autoFilter ref="A1">
        <filterColumn colId="0">
          <customFilters>
            <customFilter operator="notEqual" val="ADET"/>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ichValueRels>
</file>

<file path=xl/theme/theme1.xml><?xml version="1.0" encoding="utf-8"?>
<a:theme xmlns:a="http://schemas.openxmlformats.org/drawingml/2006/main" name="Office Teması">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Users/User/ZipProjeler/"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1" Type="http://schemas.openxmlformats.org/officeDocument/2006/relationships/printerSettings" Target="../printerSettings/printerSettings8.bin"/><Relationship Id="rId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721A4-EFF0-4624-BAA6-AF1724C6EBF2}">
  <sheetPr codeName="Sayfa1">
    <tabColor rgb="FFFFC000"/>
    <pageSetUpPr fitToPage="1"/>
  </sheetPr>
  <dimension ref="A1:T27"/>
  <sheetViews>
    <sheetView showGridLines="0" tabSelected="1" topLeftCell="B1" zoomScale="75" zoomScaleNormal="75" workbookViewId="0">
      <selection activeCell="R8" sqref="R8"/>
    </sheetView>
  </sheetViews>
  <sheetFormatPr defaultColWidth="9.125" defaultRowHeight="14.25"/>
  <cols>
    <col min="1" max="1" width="8.75" style="144" customWidth="1"/>
    <col min="2" max="2" width="10.75" style="144" customWidth="1"/>
    <col min="3" max="3" width="20.75" style="144" customWidth="1"/>
    <col min="4" max="7" width="10.75" style="144" customWidth="1"/>
    <col min="8" max="9" width="12.75" style="144" customWidth="1"/>
    <col min="10" max="10" width="10.75" style="144" customWidth="1"/>
    <col min="11" max="14" width="15.75" style="144" customWidth="1"/>
    <col min="15" max="15" width="8.75" style="144" customWidth="1"/>
    <col min="16" max="17" width="10.75" style="144" customWidth="1"/>
    <col min="18" max="18" width="15.75" style="144" customWidth="1"/>
    <col min="19" max="19" width="10.75" style="144" customWidth="1"/>
    <col min="20" max="20" width="15.75" style="144" customWidth="1"/>
    <col min="21" max="16384" width="9.125" style="144"/>
  </cols>
  <sheetData>
    <row r="1" spans="1:20" ht="39.950000000000003" customHeight="1"/>
    <row r="2" spans="1:20" s="146" customFormat="1" ht="45" customHeight="1">
      <c r="B2" s="282" t="s">
        <v>110</v>
      </c>
      <c r="C2" s="284" t="s">
        <v>884</v>
      </c>
      <c r="D2" s="282" t="s">
        <v>111</v>
      </c>
      <c r="E2" s="282" t="s">
        <v>112</v>
      </c>
      <c r="F2" s="282" t="s">
        <v>113</v>
      </c>
      <c r="G2" s="282" t="s">
        <v>114</v>
      </c>
      <c r="H2" s="282" t="s">
        <v>115</v>
      </c>
      <c r="I2" s="282" t="s">
        <v>116</v>
      </c>
      <c r="J2" s="148" t="s">
        <v>824</v>
      </c>
      <c r="K2" s="282" t="s">
        <v>825</v>
      </c>
      <c r="L2" s="131"/>
      <c r="M2" s="283" t="s">
        <v>643</v>
      </c>
      <c r="N2" s="283" t="s">
        <v>681</v>
      </c>
      <c r="O2" s="131"/>
      <c r="P2" s="282" t="s">
        <v>834</v>
      </c>
      <c r="Q2" s="282" t="s">
        <v>835</v>
      </c>
    </row>
    <row r="3" spans="1:20" s="146" customFormat="1" ht="56.1" customHeight="1">
      <c r="B3" s="278">
        <f ca="1">TODAY()</f>
        <v>46024</v>
      </c>
      <c r="C3" s="277" t="s">
        <v>1067</v>
      </c>
      <c r="D3" s="273" t="s">
        <v>1066</v>
      </c>
      <c r="E3" s="273" t="s">
        <v>1068</v>
      </c>
      <c r="F3" s="273" t="s">
        <v>1069</v>
      </c>
      <c r="G3" s="273" t="s">
        <v>1071</v>
      </c>
      <c r="H3" s="273" t="s">
        <v>1070</v>
      </c>
      <c r="I3" s="273"/>
      <c r="J3" s="227">
        <f>'Poz Reçete'!I825*K3</f>
        <v>0</v>
      </c>
      <c r="K3" s="229">
        <v>0</v>
      </c>
      <c r="L3" s="228"/>
      <c r="M3" s="274">
        <v>1.18</v>
      </c>
      <c r="N3" s="275">
        <v>25</v>
      </c>
      <c r="O3" s="276"/>
      <c r="P3" s="275">
        <v>50.8</v>
      </c>
      <c r="Q3" s="275">
        <v>43.1</v>
      </c>
    </row>
    <row r="4" spans="1:20" ht="12.95" customHeight="1">
      <c r="B4" s="143"/>
      <c r="C4" s="147"/>
      <c r="D4" s="143"/>
      <c r="E4" s="143"/>
      <c r="F4" s="143"/>
      <c r="G4" s="143"/>
      <c r="H4" s="143"/>
      <c r="I4" s="143"/>
      <c r="J4" s="143"/>
      <c r="K4" s="143"/>
      <c r="L4" s="143"/>
      <c r="M4" s="143"/>
      <c r="N4" s="143"/>
      <c r="O4" s="143"/>
      <c r="P4" s="143"/>
    </row>
    <row r="5" spans="1:20" ht="35.1" customHeight="1" thickBot="1">
      <c r="B5" s="143"/>
      <c r="C5" s="143"/>
      <c r="D5" s="143"/>
      <c r="E5" s="143"/>
      <c r="F5" s="143"/>
      <c r="G5" s="143"/>
      <c r="H5" s="143"/>
      <c r="I5" s="143"/>
      <c r="J5" s="143"/>
      <c r="K5" s="143"/>
      <c r="L5" s="241" t="s">
        <v>889</v>
      </c>
      <c r="M5" s="143"/>
      <c r="N5" s="143"/>
      <c r="O5" s="143"/>
      <c r="P5" s="143"/>
    </row>
    <row r="6" spans="1:20" ht="50.45" customHeight="1" thickBot="1">
      <c r="B6" s="286" t="s">
        <v>98</v>
      </c>
      <c r="C6" s="285" t="s">
        <v>99</v>
      </c>
      <c r="D6" s="285" t="s">
        <v>100</v>
      </c>
      <c r="E6" s="285" t="s">
        <v>21</v>
      </c>
      <c r="F6" s="285" t="s">
        <v>22</v>
      </c>
      <c r="G6" s="285" t="s">
        <v>101</v>
      </c>
      <c r="H6" s="285" t="s">
        <v>102</v>
      </c>
      <c r="I6" s="285" t="s">
        <v>826</v>
      </c>
      <c r="J6" s="287" t="s">
        <v>828</v>
      </c>
      <c r="K6" s="285" t="s">
        <v>827</v>
      </c>
      <c r="L6" s="285" t="s">
        <v>829</v>
      </c>
      <c r="M6" s="285" t="s">
        <v>106</v>
      </c>
      <c r="N6" s="285" t="s">
        <v>107</v>
      </c>
      <c r="O6" s="285" t="s">
        <v>108</v>
      </c>
      <c r="P6" s="285" t="s">
        <v>830</v>
      </c>
      <c r="Q6" s="231" t="s">
        <v>831</v>
      </c>
      <c r="R6" s="285" t="s">
        <v>670</v>
      </c>
      <c r="S6" s="288" t="s">
        <v>805</v>
      </c>
      <c r="T6" s="235" t="s">
        <v>846</v>
      </c>
    </row>
    <row r="7" spans="1:20" ht="42" customHeight="1" thickTop="1" thickBot="1">
      <c r="A7" s="144" t="s">
        <v>498</v>
      </c>
      <c r="B7" s="247">
        <v>1</v>
      </c>
      <c r="C7" s="226" t="s">
        <v>123</v>
      </c>
      <c r="D7" s="264">
        <v>1</v>
      </c>
      <c r="E7" s="263">
        <v>1200</v>
      </c>
      <c r="F7" s="263">
        <v>2315</v>
      </c>
      <c r="G7" s="265" t="s">
        <v>612</v>
      </c>
      <c r="H7" s="224">
        <v>7016</v>
      </c>
      <c r="I7" s="224" t="s">
        <v>194</v>
      </c>
      <c r="J7" s="280"/>
      <c r="K7" s="224"/>
      <c r="L7" s="232" t="s">
        <v>911</v>
      </c>
      <c r="M7" s="224"/>
      <c r="N7" s="230" t="s">
        <v>214</v>
      </c>
      <c r="O7" s="279">
        <v>1</v>
      </c>
      <c r="P7" s="225"/>
      <c r="Q7" s="281"/>
      <c r="R7" s="262" t="s">
        <v>660</v>
      </c>
      <c r="S7" s="326"/>
      <c r="T7" s="236"/>
    </row>
    <row r="8" spans="1:20" ht="42" customHeight="1" thickTop="1" thickBot="1">
      <c r="A8" s="144" t="s">
        <v>499</v>
      </c>
      <c r="B8" s="245">
        <v>2</v>
      </c>
      <c r="C8" s="226"/>
      <c r="D8" s="264"/>
      <c r="E8" s="263"/>
      <c r="F8" s="263"/>
      <c r="G8" s="265"/>
      <c r="H8" s="224"/>
      <c r="I8" s="224"/>
      <c r="J8" s="280"/>
      <c r="K8" s="224"/>
      <c r="L8" s="233"/>
      <c r="M8" s="224"/>
      <c r="N8" s="230"/>
      <c r="O8" s="279"/>
      <c r="P8" s="225"/>
      <c r="Q8" s="281"/>
      <c r="R8" s="262"/>
      <c r="S8" s="326"/>
      <c r="T8" s="236"/>
    </row>
    <row r="9" spans="1:20" ht="42" customHeight="1" thickTop="1" thickBot="1">
      <c r="A9" s="144" t="s">
        <v>500</v>
      </c>
      <c r="B9" s="245">
        <v>3</v>
      </c>
      <c r="C9" s="226"/>
      <c r="D9" s="264"/>
      <c r="E9" s="263"/>
      <c r="F9" s="263"/>
      <c r="G9" s="265"/>
      <c r="H9" s="224"/>
      <c r="I9" s="224"/>
      <c r="J9" s="280"/>
      <c r="K9" s="224"/>
      <c r="L9" s="233"/>
      <c r="M9" s="224"/>
      <c r="N9" s="230"/>
      <c r="O9" s="279"/>
      <c r="P9" s="225"/>
      <c r="Q9" s="281"/>
      <c r="R9" s="262"/>
      <c r="S9" s="326"/>
      <c r="T9" s="236"/>
    </row>
    <row r="10" spans="1:20" ht="42" customHeight="1" thickTop="1" thickBot="1">
      <c r="A10" s="144" t="s">
        <v>501</v>
      </c>
      <c r="B10" s="245">
        <v>4</v>
      </c>
      <c r="C10" s="226"/>
      <c r="D10" s="264"/>
      <c r="E10" s="263"/>
      <c r="F10" s="263"/>
      <c r="G10" s="265"/>
      <c r="H10" s="224"/>
      <c r="I10" s="224"/>
      <c r="J10" s="280"/>
      <c r="K10" s="224"/>
      <c r="L10" s="233"/>
      <c r="M10" s="224"/>
      <c r="N10" s="298"/>
      <c r="O10" s="279"/>
      <c r="P10" s="225"/>
      <c r="Q10" s="281"/>
      <c r="R10" s="262"/>
      <c r="S10" s="326"/>
      <c r="T10" s="236"/>
    </row>
    <row r="11" spans="1:20" ht="42" customHeight="1" thickTop="1" thickBot="1">
      <c r="A11" s="144" t="s">
        <v>502</v>
      </c>
      <c r="B11" s="245">
        <v>5</v>
      </c>
      <c r="C11" s="226"/>
      <c r="D11" s="264"/>
      <c r="E11" s="263"/>
      <c r="F11" s="263"/>
      <c r="G11" s="265"/>
      <c r="H11" s="224"/>
      <c r="I11" s="224"/>
      <c r="J11" s="280"/>
      <c r="K11" s="224"/>
      <c r="L11" s="233"/>
      <c r="M11" s="224"/>
      <c r="N11" s="298"/>
      <c r="O11" s="279"/>
      <c r="P11" s="225"/>
      <c r="Q11" s="281"/>
      <c r="R11" s="262"/>
      <c r="S11" s="326"/>
      <c r="T11" s="236"/>
    </row>
    <row r="12" spans="1:20" ht="42" customHeight="1" thickTop="1" thickBot="1">
      <c r="A12" s="144" t="s">
        <v>842</v>
      </c>
      <c r="B12" s="245">
        <v>6</v>
      </c>
      <c r="C12" s="226"/>
      <c r="D12" s="264"/>
      <c r="E12" s="263"/>
      <c r="F12" s="263"/>
      <c r="G12" s="265"/>
      <c r="H12" s="224"/>
      <c r="I12" s="224"/>
      <c r="J12" s="280"/>
      <c r="K12" s="224"/>
      <c r="L12" s="233"/>
      <c r="M12" s="224"/>
      <c r="N12" s="298"/>
      <c r="O12" s="279"/>
      <c r="P12" s="225"/>
      <c r="Q12" s="281"/>
      <c r="R12" s="262"/>
      <c r="S12" s="326"/>
      <c r="T12" s="236"/>
    </row>
    <row r="13" spans="1:20" ht="42" customHeight="1" thickTop="1" thickBot="1">
      <c r="A13" s="144" t="s">
        <v>857</v>
      </c>
      <c r="B13" s="245">
        <v>7</v>
      </c>
      <c r="C13" s="226"/>
      <c r="D13" s="264"/>
      <c r="E13" s="263"/>
      <c r="F13" s="263"/>
      <c r="G13" s="265"/>
      <c r="H13" s="224"/>
      <c r="I13" s="224"/>
      <c r="J13" s="280"/>
      <c r="K13" s="224"/>
      <c r="L13" s="233"/>
      <c r="M13" s="224"/>
      <c r="N13" s="298"/>
      <c r="O13" s="279"/>
      <c r="P13" s="225"/>
      <c r="Q13" s="281"/>
      <c r="R13" s="262"/>
      <c r="S13" s="326"/>
      <c r="T13" s="236"/>
    </row>
    <row r="14" spans="1:20" ht="42" customHeight="1" thickTop="1" thickBot="1">
      <c r="A14" s="144" t="s">
        <v>858</v>
      </c>
      <c r="B14" s="245">
        <v>8</v>
      </c>
      <c r="C14" s="226"/>
      <c r="D14" s="264"/>
      <c r="E14" s="263"/>
      <c r="F14" s="263"/>
      <c r="G14" s="265"/>
      <c r="H14" s="224"/>
      <c r="I14" s="224"/>
      <c r="J14" s="280"/>
      <c r="K14" s="224"/>
      <c r="L14" s="233"/>
      <c r="M14" s="224"/>
      <c r="N14" s="298"/>
      <c r="O14" s="279"/>
      <c r="P14" s="225"/>
      <c r="Q14" s="281"/>
      <c r="R14" s="262"/>
      <c r="S14" s="326"/>
      <c r="T14" s="236"/>
    </row>
    <row r="15" spans="1:20" ht="42" customHeight="1" thickTop="1" thickBot="1">
      <c r="A15" s="144" t="s">
        <v>855</v>
      </c>
      <c r="B15" s="245">
        <v>9</v>
      </c>
      <c r="C15" s="226"/>
      <c r="D15" s="264"/>
      <c r="E15" s="263"/>
      <c r="F15" s="263"/>
      <c r="G15" s="265"/>
      <c r="H15" s="224"/>
      <c r="I15" s="224"/>
      <c r="J15" s="280"/>
      <c r="K15" s="224"/>
      <c r="L15" s="233"/>
      <c r="M15" s="224"/>
      <c r="N15" s="298"/>
      <c r="O15" s="279"/>
      <c r="P15" s="225"/>
      <c r="Q15" s="281"/>
      <c r="R15" s="262"/>
      <c r="S15" s="326"/>
      <c r="T15" s="236"/>
    </row>
    <row r="16" spans="1:20" ht="42" customHeight="1" thickTop="1" thickBot="1">
      <c r="A16" s="144" t="s">
        <v>856</v>
      </c>
      <c r="B16" s="245">
        <v>10</v>
      </c>
      <c r="C16" s="226"/>
      <c r="D16" s="264"/>
      <c r="E16" s="263"/>
      <c r="F16" s="263"/>
      <c r="G16" s="265"/>
      <c r="H16" s="224"/>
      <c r="I16" s="224"/>
      <c r="J16" s="280"/>
      <c r="K16" s="224"/>
      <c r="L16" s="233"/>
      <c r="M16" s="224"/>
      <c r="N16" s="298"/>
      <c r="O16" s="279"/>
      <c r="P16" s="225"/>
      <c r="Q16" s="281"/>
      <c r="R16" s="262"/>
      <c r="S16" s="326"/>
      <c r="T16" s="236"/>
    </row>
    <row r="17" spans="1:20" ht="42" customHeight="1" thickTop="1" thickBot="1">
      <c r="A17" s="144" t="s">
        <v>859</v>
      </c>
      <c r="B17" s="245">
        <v>11</v>
      </c>
      <c r="C17" s="226"/>
      <c r="D17" s="264"/>
      <c r="E17" s="263"/>
      <c r="F17" s="263"/>
      <c r="G17" s="265"/>
      <c r="H17" s="224"/>
      <c r="I17" s="224"/>
      <c r="J17" s="280"/>
      <c r="K17" s="224"/>
      <c r="L17" s="233"/>
      <c r="M17" s="224"/>
      <c r="N17" s="298"/>
      <c r="O17" s="279"/>
      <c r="P17" s="225"/>
      <c r="Q17" s="281"/>
      <c r="R17" s="262"/>
      <c r="S17" s="326"/>
      <c r="T17" s="236"/>
    </row>
    <row r="18" spans="1:20" ht="42" customHeight="1" thickTop="1" thickBot="1">
      <c r="A18" s="144" t="s">
        <v>860</v>
      </c>
      <c r="B18" s="245">
        <v>12</v>
      </c>
      <c r="C18" s="226"/>
      <c r="D18" s="264"/>
      <c r="E18" s="263"/>
      <c r="F18" s="263"/>
      <c r="G18" s="265"/>
      <c r="H18" s="224"/>
      <c r="I18" s="224"/>
      <c r="J18" s="280"/>
      <c r="K18" s="224"/>
      <c r="L18" s="233"/>
      <c r="M18" s="224"/>
      <c r="N18" s="298"/>
      <c r="O18" s="279"/>
      <c r="P18" s="225"/>
      <c r="Q18" s="281"/>
      <c r="R18" s="262"/>
      <c r="S18" s="326"/>
      <c r="T18" s="236"/>
    </row>
    <row r="19" spans="1:20" ht="42" customHeight="1" thickTop="1" thickBot="1">
      <c r="A19" s="144" t="s">
        <v>861</v>
      </c>
      <c r="B19" s="245">
        <v>13</v>
      </c>
      <c r="C19" s="226"/>
      <c r="D19" s="264"/>
      <c r="E19" s="263"/>
      <c r="F19" s="263"/>
      <c r="G19" s="265"/>
      <c r="H19" s="224"/>
      <c r="I19" s="224"/>
      <c r="J19" s="280"/>
      <c r="K19" s="224"/>
      <c r="L19" s="233"/>
      <c r="M19" s="224"/>
      <c r="N19" s="298"/>
      <c r="O19" s="279"/>
      <c r="P19" s="225"/>
      <c r="Q19" s="281"/>
      <c r="R19" s="262"/>
      <c r="S19" s="326"/>
      <c r="T19" s="236"/>
    </row>
    <row r="20" spans="1:20" ht="42" customHeight="1" thickTop="1" thickBot="1">
      <c r="A20" s="144" t="s">
        <v>862</v>
      </c>
      <c r="B20" s="245">
        <v>14</v>
      </c>
      <c r="C20" s="226"/>
      <c r="D20" s="264"/>
      <c r="E20" s="263"/>
      <c r="F20" s="263"/>
      <c r="G20" s="265"/>
      <c r="H20" s="224"/>
      <c r="I20" s="224"/>
      <c r="J20" s="280"/>
      <c r="K20" s="224"/>
      <c r="L20" s="233"/>
      <c r="M20" s="224"/>
      <c r="N20" s="298"/>
      <c r="O20" s="279"/>
      <c r="P20" s="225"/>
      <c r="Q20" s="281"/>
      <c r="R20" s="262"/>
      <c r="S20" s="326"/>
      <c r="T20" s="236"/>
    </row>
    <row r="21" spans="1:20" ht="42" customHeight="1" thickTop="1" thickBot="1">
      <c r="A21" s="144" t="s">
        <v>863</v>
      </c>
      <c r="B21" s="245">
        <v>15</v>
      </c>
      <c r="C21" s="226"/>
      <c r="D21" s="264"/>
      <c r="E21" s="263"/>
      <c r="F21" s="263"/>
      <c r="G21" s="265"/>
      <c r="H21" s="224"/>
      <c r="I21" s="224"/>
      <c r="J21" s="280"/>
      <c r="K21" s="224"/>
      <c r="L21" s="233"/>
      <c r="M21" s="224"/>
      <c r="N21" s="298"/>
      <c r="O21" s="279"/>
      <c r="P21" s="225"/>
      <c r="Q21" s="281"/>
      <c r="R21" s="262"/>
      <c r="S21" s="326"/>
      <c r="T21" s="236"/>
    </row>
    <row r="22" spans="1:20" ht="42" customHeight="1" thickTop="1" thickBot="1">
      <c r="A22" s="144" t="s">
        <v>864</v>
      </c>
      <c r="B22" s="245">
        <v>16</v>
      </c>
      <c r="C22" s="226"/>
      <c r="D22" s="264"/>
      <c r="E22" s="263"/>
      <c r="F22" s="263"/>
      <c r="G22" s="265"/>
      <c r="H22" s="224"/>
      <c r="I22" s="224"/>
      <c r="J22" s="280"/>
      <c r="K22" s="224"/>
      <c r="L22" s="233"/>
      <c r="M22" s="224"/>
      <c r="N22" s="298"/>
      <c r="O22" s="279"/>
      <c r="P22" s="225"/>
      <c r="Q22" s="281"/>
      <c r="R22" s="262"/>
      <c r="S22" s="326"/>
      <c r="T22" s="236"/>
    </row>
    <row r="23" spans="1:20" ht="42" customHeight="1" thickTop="1" thickBot="1">
      <c r="A23" s="144" t="s">
        <v>865</v>
      </c>
      <c r="B23" s="245">
        <v>17</v>
      </c>
      <c r="C23" s="226"/>
      <c r="D23" s="264"/>
      <c r="E23" s="263"/>
      <c r="F23" s="263"/>
      <c r="G23" s="265"/>
      <c r="H23" s="224"/>
      <c r="I23" s="224"/>
      <c r="J23" s="280"/>
      <c r="K23" s="224"/>
      <c r="L23" s="233"/>
      <c r="M23" s="224"/>
      <c r="N23" s="298"/>
      <c r="O23" s="279"/>
      <c r="P23" s="225"/>
      <c r="Q23" s="281"/>
      <c r="R23" s="262"/>
      <c r="S23" s="326"/>
      <c r="T23" s="236"/>
    </row>
    <row r="24" spans="1:20" ht="42" customHeight="1" thickTop="1" thickBot="1">
      <c r="A24" s="144" t="s">
        <v>823</v>
      </c>
      <c r="B24" s="245">
        <v>18</v>
      </c>
      <c r="C24" s="226"/>
      <c r="D24" s="264"/>
      <c r="E24" s="263"/>
      <c r="F24" s="263"/>
      <c r="G24" s="265"/>
      <c r="H24" s="224"/>
      <c r="I24" s="224"/>
      <c r="J24" s="280"/>
      <c r="K24" s="224"/>
      <c r="L24" s="233"/>
      <c r="M24" s="224"/>
      <c r="N24" s="298"/>
      <c r="O24" s="279"/>
      <c r="P24" s="225"/>
      <c r="Q24" s="281"/>
      <c r="R24" s="262"/>
      <c r="S24" s="326"/>
      <c r="T24" s="236"/>
    </row>
    <row r="25" spans="1:20" ht="42" customHeight="1" thickTop="1" thickBot="1">
      <c r="A25" s="144" t="s">
        <v>866</v>
      </c>
      <c r="B25" s="245">
        <v>19</v>
      </c>
      <c r="C25" s="226"/>
      <c r="D25" s="264"/>
      <c r="E25" s="263"/>
      <c r="F25" s="263"/>
      <c r="G25" s="265"/>
      <c r="H25" s="224"/>
      <c r="I25" s="224"/>
      <c r="J25" s="280"/>
      <c r="K25" s="224"/>
      <c r="L25" s="233"/>
      <c r="M25" s="224"/>
      <c r="N25" s="298"/>
      <c r="O25" s="279"/>
      <c r="P25" s="225"/>
      <c r="Q25" s="281"/>
      <c r="R25" s="262"/>
      <c r="S25" s="326"/>
      <c r="T25" s="236"/>
    </row>
    <row r="26" spans="1:20" ht="42" customHeight="1" thickTop="1" thickBot="1">
      <c r="A26" s="144" t="s">
        <v>867</v>
      </c>
      <c r="B26" s="245">
        <v>20</v>
      </c>
      <c r="C26" s="226"/>
      <c r="D26" s="264"/>
      <c r="E26" s="263"/>
      <c r="F26" s="263"/>
      <c r="G26" s="265"/>
      <c r="H26" s="224"/>
      <c r="I26" s="224"/>
      <c r="J26" s="280"/>
      <c r="K26" s="224"/>
      <c r="L26" s="234"/>
      <c r="M26" s="224"/>
      <c r="N26" s="298"/>
      <c r="O26" s="279"/>
      <c r="P26" s="225"/>
      <c r="Q26" s="281"/>
      <c r="R26" s="262"/>
      <c r="S26" s="326"/>
      <c r="T26" s="236"/>
    </row>
    <row r="27" spans="1:20">
      <c r="T27" s="143"/>
    </row>
  </sheetData>
  <protectedRanges>
    <protectedRange sqref="C7:S26" name="Aralık1"/>
  </protectedRanges>
  <dataConsolidate/>
  <phoneticPr fontId="8" type="noConversion"/>
  <conditionalFormatting sqref="J3">
    <cfRule type="cellIs" dxfId="120" priority="1" operator="greaterThan">
      <formula>0</formula>
    </cfRule>
  </conditionalFormatting>
  <dataValidations count="3">
    <dataValidation type="list" allowBlank="1" showInputMessage="1" sqref="K7:K26" xr:uid="{5FAE774B-8414-4D47-AFB4-AE60331E52E2}">
      <formula1>INDIRECT(I7)</formula1>
    </dataValidation>
    <dataValidation type="list" allowBlank="1" showInputMessage="1" showErrorMessage="1" sqref="H3" xr:uid="{9C25E611-B3D4-48B3-8C00-B585BBB34B95}">
      <formula1>"SKS, ELATTİN BİTMEZ, ERDOĞAN TOPALOĞLU, BURAK ÖZER, FATİH DURAK, ALTAN AYDINLAR, ALİ SERBEST, NİHAT UYAR, YURTDIŞI EMİN SÖYÜ, EMİN GÖKŞİN, SERKAN AKSOY, ÖZGÜR ÖRSEL"</formula1>
    </dataValidation>
    <dataValidation type="list" allowBlank="1" showInputMessage="1" showErrorMessage="1" sqref="I3 Q27:R27 P7:P26" xr:uid="{A60AAFE8-9B07-4F26-86A0-55675E72E759}">
      <formula1>"VAR,YOK"</formula1>
    </dataValidation>
  </dataValidations>
  <pageMargins left="0.7" right="0.7" top="0.75" bottom="0.75" header="0.3" footer="0.3"/>
  <pageSetup paperSize="9" scale="40" orientation="landscape" r:id="rId1"/>
  <drawing r:id="rId2"/>
  <extLst>
    <ext xmlns:x14="http://schemas.microsoft.com/office/spreadsheetml/2009/9/main" uri="{CCE6A557-97BC-4b89-ADB6-D9C93CAAB3DF}">
      <x14:dataValidations xmlns:xm="http://schemas.microsoft.com/office/excel/2006/main" count="29">
        <x14:dataValidation type="list" allowBlank="1" showInputMessage="1" showErrorMessage="1" xr:uid="{BC10E9D0-0F70-4079-A319-EC0BC716A11C}">
          <x14:formula1>
            <xm:f>'x Açılır Listeler'!$D$2:$D$7</xm:f>
          </x14:formula1>
          <xm:sqref>G7:G26</xm:sqref>
        </x14:dataValidation>
        <x14:dataValidation type="list" allowBlank="1" showInputMessage="1" showErrorMessage="1" xr:uid="{EAB05E3F-35A6-4804-9236-BFBE76BA35FF}">
          <x14:formula1>
            <xm:f>'x Açılır Listeler'!$F$2:$F$11</xm:f>
          </x14:formula1>
          <xm:sqref>I7:I26</xm:sqref>
        </x14:dataValidation>
        <x14:dataValidation type="list" allowBlank="1" showInputMessage="1" showErrorMessage="1" xr:uid="{90665BEE-5BC5-411B-8250-421EFAA1D4CC}">
          <x14:formula1>
            <xm:f>'x Açılır Listeler'!$S$2:$S$5</xm:f>
          </x14:formula1>
          <xm:sqref>M7:M26</xm:sqref>
        </x14:dataValidation>
        <x14:dataValidation type="list" allowBlank="1" showInputMessage="1" showErrorMessage="1" xr:uid="{3AF6580A-9905-48DE-ABFA-7DFF0B9D4BA1}">
          <x14:formula1>
            <xm:f>'x Açılır Listeler'!$AN$2:$AN$15</xm:f>
          </x14:formula1>
          <xm:sqref>L7</xm:sqref>
        </x14:dataValidation>
        <x14:dataValidation type="list" allowBlank="1" showInputMessage="1" showErrorMessage="1" xr:uid="{9599C6C2-F85C-46ED-8CF4-71B10602BF3A}">
          <x14:formula1>
            <xm:f>'x Açılır Listeler'!$AO$2:$AO$15</xm:f>
          </x14:formula1>
          <xm:sqref>L8</xm:sqref>
        </x14:dataValidation>
        <x14:dataValidation type="list" allowBlank="1" showInputMessage="1" showErrorMessage="1" xr:uid="{0E56B0C3-2AF0-4CA0-BBAF-38848AFA2CCF}">
          <x14:formula1>
            <xm:f>'x Açılır Listeler'!$AP$2:$AP$15</xm:f>
          </x14:formula1>
          <xm:sqref>L9</xm:sqref>
        </x14:dataValidation>
        <x14:dataValidation type="list" allowBlank="1" showInputMessage="1" showErrorMessage="1" xr:uid="{8F649D5F-8D13-4ECF-B8E8-DA9E254D7702}">
          <x14:formula1>
            <xm:f>'x Açılır Listeler'!$AQ$2:$AQ$15</xm:f>
          </x14:formula1>
          <xm:sqref>L10</xm:sqref>
        </x14:dataValidation>
        <x14:dataValidation type="list" allowBlank="1" showInputMessage="1" showErrorMessage="1" xr:uid="{5F461192-9A9E-4AEC-A372-6225CE81DDA6}">
          <x14:formula1>
            <xm:f>'x Açılır Listeler'!$AR$2:$AR$15</xm:f>
          </x14:formula1>
          <xm:sqref>L11</xm:sqref>
        </x14:dataValidation>
        <x14:dataValidation type="list" allowBlank="1" showInputMessage="1" showErrorMessage="1" xr:uid="{4B727D17-85F7-4E1E-A8C8-E79732251833}">
          <x14:formula1>
            <xm:f>'x Açılır Listeler'!$AS$2:$AS$15</xm:f>
          </x14:formula1>
          <xm:sqref>L12</xm:sqref>
        </x14:dataValidation>
        <x14:dataValidation type="list" allowBlank="1" showInputMessage="1" showErrorMessage="1" xr:uid="{2BD75C9B-09A3-4CCD-9EF9-776C2EF5E2DE}">
          <x14:formula1>
            <xm:f>'x Açılır Listeler'!$AT$2:$AT$15</xm:f>
          </x14:formula1>
          <xm:sqref>L13</xm:sqref>
        </x14:dataValidation>
        <x14:dataValidation type="list" allowBlank="1" showInputMessage="1" showErrorMessage="1" xr:uid="{DB81C484-F576-426D-AAD5-EB8027AA8F9E}">
          <x14:formula1>
            <xm:f>'x Açılır Listeler'!$AU$2:$AU$15</xm:f>
          </x14:formula1>
          <xm:sqref>L14</xm:sqref>
        </x14:dataValidation>
        <x14:dataValidation type="list" allowBlank="1" showInputMessage="1" showErrorMessage="1" xr:uid="{A981650E-C9BD-404B-B66A-046446BB7DA4}">
          <x14:formula1>
            <xm:f>'x Açılır Listeler'!$AV$2:$AV$15</xm:f>
          </x14:formula1>
          <xm:sqref>L15</xm:sqref>
        </x14:dataValidation>
        <x14:dataValidation type="list" allowBlank="1" showInputMessage="1" showErrorMessage="1" xr:uid="{29AEA34B-63DE-49A9-BB37-E602DB8F6C12}">
          <x14:formula1>
            <xm:f>'x Açılır Listeler'!$AW$2:$AW$15</xm:f>
          </x14:formula1>
          <xm:sqref>L16</xm:sqref>
        </x14:dataValidation>
        <x14:dataValidation type="list" allowBlank="1" showInputMessage="1" showErrorMessage="1" xr:uid="{AC28F466-BCEC-4694-8517-3EC7893AFD83}">
          <x14:formula1>
            <xm:f>'x Açılır Listeler'!$AX$2:$AX$15</xm:f>
          </x14:formula1>
          <xm:sqref>L17</xm:sqref>
        </x14:dataValidation>
        <x14:dataValidation type="list" allowBlank="1" showInputMessage="1" showErrorMessage="1" xr:uid="{4B10B5DA-D15F-4B0D-BB78-E24DF573EBC5}">
          <x14:formula1>
            <xm:f>'x Açılır Listeler'!$AY$2:$AY$15</xm:f>
          </x14:formula1>
          <xm:sqref>L18</xm:sqref>
        </x14:dataValidation>
        <x14:dataValidation type="list" allowBlank="1" showInputMessage="1" showErrorMessage="1" xr:uid="{7F5521BB-8A98-4D95-9FC8-32DCA847A500}">
          <x14:formula1>
            <xm:f>'x Açılır Listeler'!$AZ$2:$AZ$15</xm:f>
          </x14:formula1>
          <xm:sqref>L19</xm:sqref>
        </x14:dataValidation>
        <x14:dataValidation type="list" allowBlank="1" showInputMessage="1" showErrorMessage="1" xr:uid="{209E7693-E1BF-460B-84A1-578CF2BB4E72}">
          <x14:formula1>
            <xm:f>'x Açılır Listeler'!$BA$2:$BA$15</xm:f>
          </x14:formula1>
          <xm:sqref>L20</xm:sqref>
        </x14:dataValidation>
        <x14:dataValidation type="list" allowBlank="1" showInputMessage="1" showErrorMessage="1" xr:uid="{C08A28A4-980C-4B72-B654-065D08941257}">
          <x14:formula1>
            <xm:f>'x Açılır Listeler'!$BB$2:$BB$15</xm:f>
          </x14:formula1>
          <xm:sqref>L21</xm:sqref>
        </x14:dataValidation>
        <x14:dataValidation type="list" allowBlank="1" showInputMessage="1" showErrorMessage="1" xr:uid="{2B152B64-279D-4730-8132-95A8E6A453AB}">
          <x14:formula1>
            <xm:f>'x Açılır Listeler'!$BC$2:$BC$15</xm:f>
          </x14:formula1>
          <xm:sqref>L22</xm:sqref>
        </x14:dataValidation>
        <x14:dataValidation type="list" allowBlank="1" showInputMessage="1" showErrorMessage="1" xr:uid="{76A67893-9DAE-4A9B-9D78-7A1422041337}">
          <x14:formula1>
            <xm:f>'x Açılır Listeler'!$BD$2:$BD$15</xm:f>
          </x14:formula1>
          <xm:sqref>L23</xm:sqref>
        </x14:dataValidation>
        <x14:dataValidation type="list" allowBlank="1" showInputMessage="1" showErrorMessage="1" xr:uid="{CC960D41-0B01-4605-B265-119D8653CC06}">
          <x14:formula1>
            <xm:f>'x Açılır Listeler'!$BE$2:$BE$15</xm:f>
          </x14:formula1>
          <xm:sqref>L24</xm:sqref>
        </x14:dataValidation>
        <x14:dataValidation type="list" allowBlank="1" showInputMessage="1" showErrorMessage="1" xr:uid="{F6CC4BA7-FEC5-4B64-AD04-D9AE856C91C5}">
          <x14:formula1>
            <xm:f>'x Açılır Listeler'!$BF$2:$BF$15</xm:f>
          </x14:formula1>
          <xm:sqref>L25</xm:sqref>
        </x14:dataValidation>
        <x14:dataValidation type="list" allowBlank="1" showInputMessage="1" showErrorMessage="1" xr:uid="{4523D515-DE58-4041-9A06-DB64C1790DE4}">
          <x14:formula1>
            <xm:f>'x Açılır Listeler'!$BG$2:$BG$15</xm:f>
          </x14:formula1>
          <xm:sqref>L26</xm:sqref>
        </x14:dataValidation>
        <x14:dataValidation type="list" allowBlank="1" showInputMessage="1" showErrorMessage="1" xr:uid="{AF6FE271-5C0B-4A95-AC74-F697820667BB}">
          <x14:formula1>
            <xm:f>'x Açılır Listeler'!$T$2:$T$17</xm:f>
          </x14:formula1>
          <xm:sqref>N7:N26</xm:sqref>
        </x14:dataValidation>
        <x14:dataValidation type="list" allowBlank="1" showInputMessage="1" xr:uid="{042CA853-D0DA-4E54-9225-F882FF06D0D2}">
          <x14:formula1>
            <xm:f>'x Açılır Listeler'!$E$2:$E$75</xm:f>
          </x14:formula1>
          <xm:sqref>H7:H26</xm:sqref>
        </x14:dataValidation>
        <x14:dataValidation type="list" allowBlank="1" showInputMessage="1" showErrorMessage="1" xr:uid="{A1ADC5F0-2EF9-4055-A33A-0FD702CE93B9}">
          <x14:formula1>
            <xm:f>'x Malzemeler ve Özellikleri'!$AS$2:$AS$11</xm:f>
          </x14:formula1>
          <xm:sqref>R7:R26</xm:sqref>
        </x14:dataValidation>
        <x14:dataValidation type="list" allowBlank="1" showInputMessage="1" showErrorMessage="1" xr:uid="{B2C64182-207E-4FAF-9FAC-BB4C87B37341}">
          <x14:formula1>
            <xm:f>'x Açılır Listeler'!$A$2:$A$16</xm:f>
          </x14:formula1>
          <xm:sqref>C7:C26</xm:sqref>
        </x14:dataValidation>
        <x14:dataValidation type="list" allowBlank="1" showInputMessage="1" showErrorMessage="1" xr:uid="{889A3614-2B55-4620-83B8-DE1502B21D9D}">
          <x14:formula1>
            <xm:f>'x Açılır Listeler'!$Z$2:$Z$11</xm:f>
          </x14:formula1>
          <xm:sqref>D3</xm:sqref>
        </x14:dataValidation>
        <x14:dataValidation type="list" allowBlank="1" showInputMessage="1" xr:uid="{7C732042-5FE2-4B87-9D1E-674E8940C8D5}">
          <x14:formula1>
            <xm:f>'x Açılır Listeler'!$BI$2:$BI$70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85E4A-2010-46DD-9881-2FF2EF58A081}">
  <sheetPr codeName="Sayfa2">
    <tabColor rgb="FFFFC000"/>
    <pageSetUpPr fitToPage="1"/>
  </sheetPr>
  <dimension ref="A1:Z66"/>
  <sheetViews>
    <sheetView showGridLines="0" view="pageBreakPreview" topLeftCell="A2" zoomScale="90" zoomScaleNormal="90" zoomScaleSheetLayoutView="90" workbookViewId="0">
      <selection activeCell="V45" sqref="V45"/>
    </sheetView>
  </sheetViews>
  <sheetFormatPr defaultColWidth="9.125" defaultRowHeight="14.25" outlineLevelRow="1"/>
  <cols>
    <col min="1" max="1" width="1.125" style="95" customWidth="1"/>
    <col min="2" max="2" width="3.75" style="95" customWidth="1"/>
    <col min="3" max="3" width="8.75" style="95" customWidth="1"/>
    <col min="4" max="4" width="10.75" style="95" customWidth="1"/>
    <col min="5" max="5" width="5.75" style="95" customWidth="1"/>
    <col min="6" max="6" width="10.75" style="95" customWidth="1"/>
    <col min="7" max="7" width="5.5" style="95" customWidth="1"/>
    <col min="8" max="8" width="3.125" style="95" customWidth="1"/>
    <col min="9" max="9" width="3.75" style="95" customWidth="1"/>
    <col min="10" max="10" width="10.75" style="95" customWidth="1"/>
    <col min="11" max="11" width="17.75" style="95" customWidth="1"/>
    <col min="12" max="12" width="14.375" style="95" customWidth="1"/>
    <col min="13" max="13" width="10.125" style="95" customWidth="1"/>
    <col min="14" max="14" width="15.375" style="95" customWidth="1"/>
    <col min="15" max="15" width="1.125" style="95" customWidth="1"/>
    <col min="16" max="17" width="9.125" style="95"/>
    <col min="18" max="19" width="9.125" style="95" hidden="1" customWidth="1"/>
    <col min="20" max="21" width="0" style="95" hidden="1" customWidth="1"/>
    <col min="22" max="22" width="9.125" style="95"/>
    <col min="23" max="23" width="11.375" style="95" customWidth="1"/>
    <col min="24" max="24" width="9.125" style="301"/>
    <col min="25" max="25" width="9.125" style="304"/>
    <col min="26" max="16384" width="9.125" style="95"/>
  </cols>
  <sheetData>
    <row r="1" spans="1:15" ht="2.1" customHeight="1" thickBot="1">
      <c r="O1" s="153"/>
    </row>
    <row r="2" spans="1:15" ht="12" customHeight="1" thickTop="1" thickBot="1">
      <c r="A2" s="154"/>
      <c r="B2" s="431"/>
      <c r="C2" s="431"/>
      <c r="D2" s="431"/>
      <c r="E2" s="431"/>
      <c r="F2" s="431"/>
      <c r="G2" s="431" t="s">
        <v>364</v>
      </c>
      <c r="H2" s="431"/>
      <c r="I2" s="431"/>
      <c r="J2" s="431"/>
      <c r="K2" s="431"/>
      <c r="L2" s="430"/>
      <c r="M2" s="430"/>
      <c r="N2" s="430"/>
      <c r="O2" s="153"/>
    </row>
    <row r="3" spans="1:15" ht="12" customHeight="1" thickTop="1" thickBot="1">
      <c r="A3" s="154"/>
      <c r="B3" s="431"/>
      <c r="C3" s="431"/>
      <c r="D3" s="431"/>
      <c r="E3" s="431"/>
      <c r="F3" s="431"/>
      <c r="G3" s="431"/>
      <c r="H3" s="431"/>
      <c r="I3" s="431"/>
      <c r="J3" s="431"/>
      <c r="K3" s="431"/>
      <c r="L3" s="430"/>
      <c r="M3" s="430"/>
      <c r="N3" s="430"/>
      <c r="O3" s="153"/>
    </row>
    <row r="4" spans="1:15" ht="12" customHeight="1" thickTop="1" thickBot="1">
      <c r="A4" s="154"/>
      <c r="B4" s="431"/>
      <c r="C4" s="431"/>
      <c r="D4" s="431"/>
      <c r="E4" s="431"/>
      <c r="F4" s="431"/>
      <c r="G4" s="431"/>
      <c r="H4" s="431"/>
      <c r="I4" s="431"/>
      <c r="J4" s="431"/>
      <c r="K4" s="431"/>
      <c r="L4" s="430"/>
      <c r="M4" s="430"/>
      <c r="N4" s="430"/>
      <c r="O4" s="153"/>
    </row>
    <row r="5" spans="1:15" ht="12" customHeight="1" thickTop="1" thickBot="1">
      <c r="A5" s="154"/>
      <c r="B5" s="431"/>
      <c r="C5" s="431"/>
      <c r="D5" s="431"/>
      <c r="E5" s="431"/>
      <c r="F5" s="431"/>
      <c r="G5" s="431"/>
      <c r="H5" s="431"/>
      <c r="I5" s="431"/>
      <c r="J5" s="431"/>
      <c r="K5" s="431"/>
      <c r="L5" s="430"/>
      <c r="M5" s="430"/>
      <c r="N5" s="430"/>
      <c r="O5" s="153"/>
    </row>
    <row r="6" spans="1:15" ht="4.5" customHeight="1" thickTop="1">
      <c r="B6" s="156"/>
      <c r="N6" s="156"/>
      <c r="O6" s="153"/>
    </row>
    <row r="7" spans="1:15" ht="15" customHeight="1">
      <c r="A7" s="157"/>
      <c r="B7" s="432" t="s">
        <v>342</v>
      </c>
      <c r="C7" s="432"/>
      <c r="D7" s="432"/>
      <c r="E7" s="433" t="s">
        <v>114</v>
      </c>
      <c r="F7" s="433"/>
      <c r="G7" s="433" t="s">
        <v>341</v>
      </c>
      <c r="H7" s="433"/>
      <c r="I7" s="433"/>
      <c r="J7" s="433"/>
      <c r="K7" s="376" t="s">
        <v>363</v>
      </c>
      <c r="L7" s="377"/>
      <c r="M7" s="376" t="s">
        <v>113</v>
      </c>
      <c r="N7" s="377"/>
      <c r="O7" s="153"/>
    </row>
    <row r="8" spans="1:15" ht="18" customHeight="1">
      <c r="A8" s="157"/>
      <c r="B8" s="371" t="s">
        <v>340</v>
      </c>
      <c r="C8" s="364"/>
      <c r="D8" s="364"/>
      <c r="E8" s="364" t="str">
        <f>'1PROJE'!G3</f>
        <v>Z 5001</v>
      </c>
      <c r="F8" s="364"/>
      <c r="G8" s="434">
        <f ca="1">TODAY()</f>
        <v>46024</v>
      </c>
      <c r="H8" s="434"/>
      <c r="I8" s="434"/>
      <c r="J8" s="435"/>
      <c r="K8" s="362" t="str">
        <f>'1PROJE'!D3</f>
        <v>CEREN ÖZYURT</v>
      </c>
      <c r="L8" s="363"/>
      <c r="M8" s="364" t="str">
        <f>IF('1PROJE'!F3="","",'1PROJE'!F3)</f>
        <v>GÜRKAN BEY</v>
      </c>
      <c r="N8" s="364"/>
      <c r="O8" s="153"/>
    </row>
    <row r="9" spans="1:15" ht="5.0999999999999996" customHeight="1">
      <c r="A9" s="158"/>
      <c r="B9" s="159"/>
      <c r="N9" s="158"/>
      <c r="O9" s="153"/>
    </row>
    <row r="10" spans="1:15" ht="15.95" customHeight="1">
      <c r="A10" s="160"/>
      <c r="B10" s="382" t="s">
        <v>339</v>
      </c>
      <c r="C10" s="381"/>
      <c r="D10" s="376"/>
      <c r="E10" s="436"/>
      <c r="F10" s="436"/>
      <c r="G10" s="436"/>
      <c r="H10" s="436"/>
      <c r="I10" s="377"/>
      <c r="J10" s="364" t="s">
        <v>338</v>
      </c>
      <c r="K10" s="364"/>
      <c r="L10" s="364"/>
      <c r="M10" s="376"/>
      <c r="N10" s="377"/>
      <c r="O10" s="153"/>
    </row>
    <row r="11" spans="1:15" ht="20.100000000000001" customHeight="1">
      <c r="A11" s="160"/>
      <c r="B11" s="380" t="s">
        <v>337</v>
      </c>
      <c r="C11" s="381"/>
      <c r="D11" s="368" t="str">
        <f>'1PROJE'!E3</f>
        <v>GÜNEŞ PEN</v>
      </c>
      <c r="E11" s="369"/>
      <c r="F11" s="369"/>
      <c r="G11" s="369"/>
      <c r="H11" s="369"/>
      <c r="I11" s="370"/>
      <c r="J11" s="364" t="s">
        <v>336</v>
      </c>
      <c r="K11" s="364"/>
      <c r="L11" s="364"/>
      <c r="M11" s="376"/>
      <c r="N11" s="377"/>
      <c r="O11" s="153"/>
    </row>
    <row r="12" spans="1:15" ht="12" customHeight="1">
      <c r="A12" s="160"/>
      <c r="B12" s="423" t="s">
        <v>334</v>
      </c>
      <c r="C12" s="423"/>
      <c r="D12" s="437" t="str">
        <f>IF('1PROJE'!C3="","",'1PROJE'!C3)</f>
        <v>ULUKENT</v>
      </c>
      <c r="E12" s="438"/>
      <c r="F12" s="438"/>
      <c r="G12" s="438"/>
      <c r="H12" s="438"/>
      <c r="I12" s="439"/>
      <c r="J12" s="372" t="s">
        <v>335</v>
      </c>
      <c r="K12" s="372"/>
      <c r="L12" s="372"/>
      <c r="M12" s="376"/>
      <c r="N12" s="377"/>
      <c r="O12" s="153"/>
    </row>
    <row r="13" spans="1:15" ht="12" customHeight="1">
      <c r="A13" s="160"/>
      <c r="B13" s="423"/>
      <c r="C13" s="423"/>
      <c r="D13" s="440"/>
      <c r="E13" s="441"/>
      <c r="F13" s="441"/>
      <c r="G13" s="441"/>
      <c r="H13" s="441"/>
      <c r="I13" s="442"/>
      <c r="J13" s="372" t="s">
        <v>333</v>
      </c>
      <c r="K13" s="372"/>
      <c r="L13" s="372"/>
      <c r="M13" s="376"/>
      <c r="N13" s="377"/>
      <c r="O13" s="153"/>
    </row>
    <row r="14" spans="1:15" ht="20.100000000000001" customHeight="1">
      <c r="A14" s="160"/>
      <c r="B14" s="423"/>
      <c r="C14" s="423"/>
      <c r="D14" s="443"/>
      <c r="E14" s="444"/>
      <c r="F14" s="444"/>
      <c r="G14" s="444"/>
      <c r="H14" s="444"/>
      <c r="I14" s="445"/>
      <c r="J14" s="364" t="s">
        <v>332</v>
      </c>
      <c r="K14" s="364"/>
      <c r="L14" s="364"/>
      <c r="M14" s="378">
        <f>SUM(E18:E37)</f>
        <v>1</v>
      </c>
      <c r="N14" s="379"/>
      <c r="O14" s="153"/>
    </row>
    <row r="15" spans="1:15" ht="0.95" customHeight="1" thickBot="1">
      <c r="M15" s="95" t="s">
        <v>362</v>
      </c>
      <c r="O15" s="153"/>
    </row>
    <row r="16" spans="1:15" ht="17.25" customHeight="1" thickBot="1">
      <c r="A16" s="161"/>
      <c r="B16" s="373" t="s">
        <v>361</v>
      </c>
      <c r="C16" s="374"/>
      <c r="D16" s="374"/>
      <c r="E16" s="374"/>
      <c r="F16" s="374"/>
      <c r="G16" s="374"/>
      <c r="H16" s="374"/>
      <c r="I16" s="374"/>
      <c r="J16" s="374"/>
      <c r="K16" s="374"/>
      <c r="L16" s="374"/>
      <c r="M16" s="374"/>
      <c r="N16" s="375"/>
      <c r="O16" s="153" t="s">
        <v>327</v>
      </c>
    </row>
    <row r="17" spans="1:26" ht="30">
      <c r="A17" s="162"/>
      <c r="B17" s="270" t="s">
        <v>360</v>
      </c>
      <c r="C17" s="163" t="s">
        <v>359</v>
      </c>
      <c r="D17" s="163" t="s">
        <v>358</v>
      </c>
      <c r="E17" s="163" t="s">
        <v>357</v>
      </c>
      <c r="F17" s="383" t="s">
        <v>356</v>
      </c>
      <c r="G17" s="384"/>
      <c r="H17" s="384"/>
      <c r="I17" s="385"/>
      <c r="J17" s="208" t="s">
        <v>101</v>
      </c>
      <c r="K17" s="163" t="s">
        <v>105</v>
      </c>
      <c r="L17" s="163" t="s">
        <v>31</v>
      </c>
      <c r="M17" s="208" t="s">
        <v>17</v>
      </c>
      <c r="N17" s="208" t="s">
        <v>355</v>
      </c>
      <c r="O17" s="153"/>
      <c r="P17" s="153"/>
      <c r="Q17" s="153"/>
      <c r="R17" s="153"/>
      <c r="S17" s="153"/>
      <c r="T17" s="153"/>
      <c r="U17" s="153"/>
    </row>
    <row r="18" spans="1:26" ht="27.95" customHeight="1" thickBot="1">
      <c r="A18" s="165"/>
      <c r="B18" s="166">
        <v>1</v>
      </c>
      <c r="C18" s="166">
        <f>IF('1PROJE'!E7="","",'1PROJE'!E7)</f>
        <v>1200</v>
      </c>
      <c r="D18" s="166">
        <f>IF('1PROJE'!F7="","",'1PROJE'!F7)</f>
        <v>2315</v>
      </c>
      <c r="E18" s="166">
        <f>IF('1PROJE'!D7="","",'1PROJE'!D7)</f>
        <v>1</v>
      </c>
      <c r="F18" s="660" t="str">
        <f>IF('1PROJE'!C7="","",'1PROJE'!C7)</f>
        <v>Zipline® Neo 110 Wawe (Dikey)</v>
      </c>
      <c r="G18" s="661"/>
      <c r="H18" s="661"/>
      <c r="I18" s="662"/>
      <c r="J18" s="166" t="str">
        <f>IF('1PROJE'!E7="","",'1PROJE'!G7)</f>
        <v>(+K)</v>
      </c>
      <c r="K18" s="664" t="str">
        <f>IF('1PROJE'!L7="","",'1PROJE'!L7)</f>
        <v>FERRINI ALICILI - 20NM</v>
      </c>
      <c r="L18" s="664" t="str">
        <f>IF('1PROJE'!E7="","",'1PROJE'!I7&amp;" "&amp;'1PROJE'!K7)</f>
        <v xml:space="preserve">COPACO </v>
      </c>
      <c r="M18" s="663">
        <f>IF(F18="SABİT İÇİN KUMAŞ",((C18*D18/1000000)*X18*1.08/((100-'1PROJE'!$N$3)/100)*'1PROJE'!$M$3),IF(ISERROR(xHesaplama!FL47),"",U18))</f>
        <v>222.23166274619635</v>
      </c>
      <c r="N18" s="663">
        <f>IF(E18="","",E18*M18)</f>
        <v>222.23166274619635</v>
      </c>
      <c r="O18" s="153"/>
      <c r="P18" s="153"/>
      <c r="Q18" s="167"/>
      <c r="R18" s="167">
        <f>IF(ISERROR(xHesaplama!FL47),0,E18*xHesaplama!FL47)</f>
        <v>222.23166274619635</v>
      </c>
      <c r="S18" s="167">
        <f>R18/($R$39)</f>
        <v>1</v>
      </c>
      <c r="T18" s="153">
        <f>'1PROJE'!$J$3*S18</f>
        <v>0</v>
      </c>
      <c r="U18" s="167">
        <f>(R18+T18)/E18</f>
        <v>222.23166274619635</v>
      </c>
      <c r="W18" s="95" t="str">
        <f>'1PROJE'!I7</f>
        <v>COPACO</v>
      </c>
      <c r="X18" s="303">
        <f>VLOOKUP(W18,'x Malzemeler ve Özellikleri'!$O$137:$R$146,4,0)</f>
        <v>10</v>
      </c>
      <c r="Y18" s="305">
        <f>C18*D18/1000000</f>
        <v>2.778</v>
      </c>
      <c r="Z18" s="302" t="s">
        <v>817</v>
      </c>
    </row>
    <row r="19" spans="1:26" ht="27.95" customHeight="1" thickTop="1" thickBot="1">
      <c r="A19" s="165"/>
      <c r="B19" s="168">
        <v>2</v>
      </c>
      <c r="C19" s="168" t="str">
        <f>IF('1PROJE'!E8="","",'1PROJE'!E8)</f>
        <v/>
      </c>
      <c r="D19" s="168" t="str">
        <f>IF('1PROJE'!F8="","",'1PROJE'!F8)</f>
        <v/>
      </c>
      <c r="E19" s="168" t="str">
        <f>IF('1PROJE'!D8="","",'1PROJE'!D8)</f>
        <v/>
      </c>
      <c r="F19" s="365" t="str">
        <f>IF('1PROJE'!C8="","",'1PROJE'!C8)</f>
        <v/>
      </c>
      <c r="G19" s="366"/>
      <c r="H19" s="366"/>
      <c r="I19" s="367"/>
      <c r="J19" s="168" t="str">
        <f>IF('1PROJE'!E8="","",'1PROJE'!G8)</f>
        <v/>
      </c>
      <c r="K19" s="169" t="str">
        <f>IF('1PROJE'!L8="","",'1PROJE'!L8)</f>
        <v/>
      </c>
      <c r="L19" s="330" t="str">
        <f>IF('1PROJE'!E8="","",'1PROJE'!I8&amp;" "&amp;'1PROJE'!K8)</f>
        <v/>
      </c>
      <c r="M19" s="307" t="str">
        <f>IF(F19="SABİT İÇİN KUMAŞ",((C19*D19/1000000)*X19*1.08/((100-'1PROJE'!$N$3)/100)*'1PROJE'!$M$3),IF(ISERROR(xHesaplama!FL48),"",U19))</f>
        <v/>
      </c>
      <c r="N19" s="307" t="str">
        <f t="shared" ref="N19:N37" si="0">IF(E19="","",E19*M19)</f>
        <v/>
      </c>
      <c r="O19" s="153"/>
      <c r="P19" s="153"/>
      <c r="Q19" s="167"/>
      <c r="R19" s="167">
        <f>IF(ISERROR(xHesaplama!FL48),0,E19*xHesaplama!FL48)</f>
        <v>0</v>
      </c>
      <c r="S19" s="167">
        <f t="shared" ref="S19:S37" si="1">R19/($R$39)</f>
        <v>0</v>
      </c>
      <c r="T19" s="153">
        <f>'1PROJE'!$J$3*S19</f>
        <v>0</v>
      </c>
      <c r="U19" s="167" t="e">
        <f t="shared" ref="U19:U37" si="2">(R19+T19)/E19</f>
        <v>#VALUE!</v>
      </c>
      <c r="W19" s="95">
        <f>'1PROJE'!I8</f>
        <v>0</v>
      </c>
      <c r="X19" s="303" t="e">
        <f>VLOOKUP(W19,'x Malzemeler ve Özellikleri'!$O$137:$R$146,4,0)</f>
        <v>#N/A</v>
      </c>
      <c r="Y19" s="305" t="e">
        <f t="shared" ref="Y19:Y37" si="3">C19*D19/1000000</f>
        <v>#VALUE!</v>
      </c>
      <c r="Z19" s="302" t="s">
        <v>817</v>
      </c>
    </row>
    <row r="20" spans="1:26" ht="27.95" hidden="1" customHeight="1" thickTop="1" thickBot="1">
      <c r="A20" s="165"/>
      <c r="B20" s="170">
        <v>3</v>
      </c>
      <c r="C20" s="170" t="str">
        <f>IF('1PROJE'!E9="","",'1PROJE'!E9)</f>
        <v/>
      </c>
      <c r="D20" s="170" t="str">
        <f>IF('1PROJE'!F9="","",'1PROJE'!F9)</f>
        <v/>
      </c>
      <c r="E20" s="170" t="str">
        <f>IF('1PROJE'!D9="","",'1PROJE'!D9)</f>
        <v/>
      </c>
      <c r="F20" s="388" t="str">
        <f>IF('1PROJE'!C9="","",'1PROJE'!C9)</f>
        <v/>
      </c>
      <c r="G20" s="389"/>
      <c r="H20" s="389"/>
      <c r="I20" s="390"/>
      <c r="J20" s="170" t="str">
        <f>IF('1PROJE'!E9="","",'1PROJE'!G9)</f>
        <v/>
      </c>
      <c r="K20" s="171" t="str">
        <f>IF('1PROJE'!L9="","",'1PROJE'!L9)</f>
        <v/>
      </c>
      <c r="L20" s="329" t="str">
        <f>IF('1PROJE'!E9="","",'1PROJE'!I9&amp;" "&amp;'1PROJE'!K9)</f>
        <v/>
      </c>
      <c r="M20" s="308" t="str">
        <f>IF(F20="SABİT İÇİN KUMAŞ",((C20*D20/1000000)*X20*1.08/((100-'1PROJE'!$N$3)/100)*'1PROJE'!$M$3),IF(ISERROR(xHesaplama!FL49),"",U20))</f>
        <v/>
      </c>
      <c r="N20" s="308" t="str">
        <f t="shared" si="0"/>
        <v/>
      </c>
      <c r="O20" s="153"/>
      <c r="P20" s="153"/>
      <c r="Q20" s="167"/>
      <c r="R20" s="167">
        <f>IF(ISERROR(xHesaplama!FL49),0,E20*xHesaplama!FL49)</f>
        <v>0</v>
      </c>
      <c r="S20" s="167">
        <f t="shared" si="1"/>
        <v>0</v>
      </c>
      <c r="T20" s="153">
        <f>'1PROJE'!$J$3*S20</f>
        <v>0</v>
      </c>
      <c r="U20" s="167" t="e">
        <f t="shared" si="2"/>
        <v>#VALUE!</v>
      </c>
      <c r="W20" s="95">
        <f>'1PROJE'!I9</f>
        <v>0</v>
      </c>
      <c r="X20" s="303" t="e">
        <f>VLOOKUP(W20,'x Malzemeler ve Özellikleri'!$O$137:$R$146,4,0)</f>
        <v>#N/A</v>
      </c>
      <c r="Y20" s="305" t="e">
        <f t="shared" si="3"/>
        <v>#VALUE!</v>
      </c>
      <c r="Z20" s="302" t="s">
        <v>817</v>
      </c>
    </row>
    <row r="21" spans="1:26" ht="27.95" hidden="1" customHeight="1" thickTop="1" thickBot="1">
      <c r="A21" s="165"/>
      <c r="B21" s="168">
        <v>4</v>
      </c>
      <c r="C21" s="168" t="str">
        <f>IF('1PROJE'!E10="","",'1PROJE'!E10)</f>
        <v/>
      </c>
      <c r="D21" s="168" t="str">
        <f>IF('1PROJE'!F10="","",'1PROJE'!F10)</f>
        <v/>
      </c>
      <c r="E21" s="168" t="str">
        <f>IF('1PROJE'!D10="","",'1PROJE'!D10)</f>
        <v/>
      </c>
      <c r="F21" s="365" t="str">
        <f>IF('1PROJE'!C10="","",'1PROJE'!C10)</f>
        <v/>
      </c>
      <c r="G21" s="366"/>
      <c r="H21" s="366"/>
      <c r="I21" s="367"/>
      <c r="J21" s="168" t="str">
        <f>IF('1PROJE'!E10="","",'1PROJE'!G10)</f>
        <v/>
      </c>
      <c r="K21" s="169" t="str">
        <f>IF('1PROJE'!L10="","",'1PROJE'!L10)</f>
        <v/>
      </c>
      <c r="L21" s="328" t="str">
        <f>IF('1PROJE'!E10="","",'1PROJE'!I10&amp;" "&amp;'1PROJE'!K10)</f>
        <v/>
      </c>
      <c r="M21" s="307" t="str">
        <f>IF(F21="SABİT İÇİN KUMAŞ",((C21*D21/1000000)*X21*1.08/((100-'1PROJE'!$N$3)/100)*'1PROJE'!$M$3),IF(ISERROR(xHesaplama!FL50),"",U21))</f>
        <v/>
      </c>
      <c r="N21" s="307" t="str">
        <f t="shared" si="0"/>
        <v/>
      </c>
      <c r="O21" s="153"/>
      <c r="P21" s="153"/>
      <c r="Q21" s="167"/>
      <c r="R21" s="167">
        <f>IF(ISERROR(xHesaplama!FL50),0,E21*xHesaplama!FL50)</f>
        <v>0</v>
      </c>
      <c r="S21" s="167">
        <f t="shared" si="1"/>
        <v>0</v>
      </c>
      <c r="T21" s="153">
        <f>'1PROJE'!$J$3*S21</f>
        <v>0</v>
      </c>
      <c r="U21" s="167" t="e">
        <f t="shared" si="2"/>
        <v>#VALUE!</v>
      </c>
      <c r="W21" s="95">
        <f>'1PROJE'!I10</f>
        <v>0</v>
      </c>
      <c r="X21" s="303" t="e">
        <f>VLOOKUP(W21,'x Malzemeler ve Özellikleri'!$O$137:$R$146,4,0)</f>
        <v>#N/A</v>
      </c>
      <c r="Y21" s="305" t="e">
        <f t="shared" si="3"/>
        <v>#VALUE!</v>
      </c>
      <c r="Z21" s="302" t="s">
        <v>817</v>
      </c>
    </row>
    <row r="22" spans="1:26" ht="27.95" hidden="1" customHeight="1" thickTop="1" thickBot="1">
      <c r="A22" s="165"/>
      <c r="B22" s="170">
        <v>5</v>
      </c>
      <c r="C22" s="170" t="str">
        <f>IF('1PROJE'!E11="","",'1PROJE'!E11)</f>
        <v/>
      </c>
      <c r="D22" s="170" t="str">
        <f>IF('1PROJE'!F11="","",'1PROJE'!F11)</f>
        <v/>
      </c>
      <c r="E22" s="170" t="str">
        <f>IF('1PROJE'!D11="","",'1PROJE'!D11)</f>
        <v/>
      </c>
      <c r="F22" s="388" t="str">
        <f>IF('1PROJE'!C11="","",'1PROJE'!C11)</f>
        <v/>
      </c>
      <c r="G22" s="389"/>
      <c r="H22" s="389"/>
      <c r="I22" s="390"/>
      <c r="J22" s="171" t="str">
        <f>IF('1PROJE'!E11="","",'1PROJE'!G11)</f>
        <v/>
      </c>
      <c r="K22" s="171" t="str">
        <f>IF('1PROJE'!L11="","",'1PROJE'!L11)</f>
        <v/>
      </c>
      <c r="L22" s="329" t="str">
        <f>IF('1PROJE'!E11="","",'1PROJE'!I11&amp;" "&amp;'1PROJE'!K11)</f>
        <v/>
      </c>
      <c r="M22" s="308" t="str">
        <f>IF(F22="SABİT İÇİN KUMAŞ",((C22*D22/1000000)*X22*1.08/((100-'1PROJE'!$N$3)/100)*'1PROJE'!$M$3),IF(ISERROR(xHesaplama!FL51),"",U22))</f>
        <v/>
      </c>
      <c r="N22" s="308" t="str">
        <f t="shared" si="0"/>
        <v/>
      </c>
      <c r="O22" s="153"/>
      <c r="P22" s="153"/>
      <c r="Q22" s="167"/>
      <c r="R22" s="167">
        <f>IF(ISERROR(xHesaplama!FL51),0,E22*xHesaplama!FL51)</f>
        <v>0</v>
      </c>
      <c r="S22" s="167">
        <f t="shared" si="1"/>
        <v>0</v>
      </c>
      <c r="T22" s="153">
        <f>'1PROJE'!$J$3*S22</f>
        <v>0</v>
      </c>
      <c r="U22" s="167" t="e">
        <f t="shared" si="2"/>
        <v>#VALUE!</v>
      </c>
      <c r="W22" s="95">
        <f>'1PROJE'!I11</f>
        <v>0</v>
      </c>
      <c r="X22" s="303" t="e">
        <f>VLOOKUP(W22,'x Malzemeler ve Özellikleri'!$O$137:$R$146,4,0)</f>
        <v>#N/A</v>
      </c>
      <c r="Y22" s="305" t="e">
        <f t="shared" si="3"/>
        <v>#VALUE!</v>
      </c>
      <c r="Z22" s="302" t="s">
        <v>817</v>
      </c>
    </row>
    <row r="23" spans="1:26" ht="27.95" hidden="1" customHeight="1" thickTop="1" thickBot="1">
      <c r="A23" s="165"/>
      <c r="B23" s="168">
        <v>6</v>
      </c>
      <c r="C23" s="168" t="str">
        <f>IF('1PROJE'!E12="","",'1PROJE'!E12)</f>
        <v/>
      </c>
      <c r="D23" s="168" t="str">
        <f>IF('1PROJE'!F12="","",'1PROJE'!F12)</f>
        <v/>
      </c>
      <c r="E23" s="168" t="str">
        <f>IF('1PROJE'!D12="","",'1PROJE'!D12)</f>
        <v/>
      </c>
      <c r="F23" s="365" t="str">
        <f>IF('1PROJE'!C12="","",'1PROJE'!C12)</f>
        <v/>
      </c>
      <c r="G23" s="366"/>
      <c r="H23" s="366"/>
      <c r="I23" s="367"/>
      <c r="J23" s="169" t="str">
        <f>IF('1PROJE'!E12="","",'1PROJE'!G12)</f>
        <v/>
      </c>
      <c r="K23" s="169" t="str">
        <f>IF('1PROJE'!L12="","",'1PROJE'!L12)</f>
        <v/>
      </c>
      <c r="L23" s="328" t="str">
        <f>IF('1PROJE'!E12="","",'1PROJE'!I12&amp;" "&amp;'1PROJE'!K12)</f>
        <v/>
      </c>
      <c r="M23" s="307" t="str">
        <f>IF(F23="SABİT İÇİN KUMAŞ",((C23*D23/1000000)*X23*1.08/((100-'1PROJE'!$N$3)/100)*'1PROJE'!$M$3),IF(ISERROR(xHesaplama!FL52),"",U23))</f>
        <v/>
      </c>
      <c r="N23" s="307" t="str">
        <f t="shared" si="0"/>
        <v/>
      </c>
      <c r="O23" s="153"/>
      <c r="P23" s="153"/>
      <c r="Q23" s="167"/>
      <c r="R23" s="167">
        <f>IF(ISERROR(xHesaplama!FL52),0,E23*xHesaplama!FL52)</f>
        <v>0</v>
      </c>
      <c r="S23" s="167">
        <f t="shared" si="1"/>
        <v>0</v>
      </c>
      <c r="T23" s="153">
        <f>'1PROJE'!$J$3*S23</f>
        <v>0</v>
      </c>
      <c r="U23" s="167" t="e">
        <f t="shared" si="2"/>
        <v>#VALUE!</v>
      </c>
      <c r="W23" s="95">
        <f>'1PROJE'!I12</f>
        <v>0</v>
      </c>
      <c r="X23" s="303" t="e">
        <f>VLOOKUP(W23,'x Malzemeler ve Özellikleri'!$O$137:$R$146,4,0)</f>
        <v>#N/A</v>
      </c>
      <c r="Y23" s="305" t="e">
        <f t="shared" si="3"/>
        <v>#VALUE!</v>
      </c>
      <c r="Z23" s="302" t="s">
        <v>817</v>
      </c>
    </row>
    <row r="24" spans="1:26" ht="27.95" hidden="1" customHeight="1" thickTop="1" thickBot="1">
      <c r="A24" s="165"/>
      <c r="B24" s="170">
        <v>7</v>
      </c>
      <c r="C24" s="170" t="str">
        <f>IF('1PROJE'!E13="","",'1PROJE'!E13)</f>
        <v/>
      </c>
      <c r="D24" s="170" t="str">
        <f>IF('1PROJE'!F13="","",'1PROJE'!F13)</f>
        <v/>
      </c>
      <c r="E24" s="170" t="str">
        <f>IF('1PROJE'!D13="","",'1PROJE'!D13)</f>
        <v/>
      </c>
      <c r="F24" s="388" t="str">
        <f>IF('1PROJE'!C13="","",'1PROJE'!C13)</f>
        <v/>
      </c>
      <c r="G24" s="389"/>
      <c r="H24" s="389"/>
      <c r="I24" s="390"/>
      <c r="J24" s="171" t="str">
        <f>IF('1PROJE'!E13="","",'1PROJE'!G13)</f>
        <v/>
      </c>
      <c r="K24" s="171" t="str">
        <f>IF('1PROJE'!L13="","",'1PROJE'!L13)</f>
        <v/>
      </c>
      <c r="L24" s="329" t="str">
        <f>IF('1PROJE'!E13="","",'1PROJE'!I13&amp;" "&amp;'1PROJE'!K13)</f>
        <v/>
      </c>
      <c r="M24" s="308" t="str">
        <f>IF(F24="SABİT İÇİN KUMAŞ",((C24*D24/1000000)*X24*1.08/((100-'1PROJE'!$N$3)/100)*'1PROJE'!$M$3),IF(ISERROR(xHesaplama!FL53),"",U24))</f>
        <v/>
      </c>
      <c r="N24" s="308" t="str">
        <f t="shared" si="0"/>
        <v/>
      </c>
      <c r="O24" s="153"/>
      <c r="P24" s="153"/>
      <c r="Q24" s="167"/>
      <c r="R24" s="167">
        <f>IF(ISERROR(xHesaplama!FL53),0,E24*xHesaplama!FL53)</f>
        <v>0</v>
      </c>
      <c r="S24" s="167">
        <f t="shared" si="1"/>
        <v>0</v>
      </c>
      <c r="T24" s="153">
        <f>'1PROJE'!$J$3*S24</f>
        <v>0</v>
      </c>
      <c r="U24" s="167" t="e">
        <f t="shared" si="2"/>
        <v>#VALUE!</v>
      </c>
      <c r="W24" s="95">
        <f>'1PROJE'!I13</f>
        <v>0</v>
      </c>
      <c r="X24" s="303" t="e">
        <f>VLOOKUP(W24,'x Malzemeler ve Özellikleri'!$O$137:$R$146,4,0)</f>
        <v>#N/A</v>
      </c>
      <c r="Y24" s="305" t="e">
        <f t="shared" si="3"/>
        <v>#VALUE!</v>
      </c>
      <c r="Z24" s="302" t="s">
        <v>817</v>
      </c>
    </row>
    <row r="25" spans="1:26" ht="27.95" hidden="1" customHeight="1" thickTop="1" thickBot="1">
      <c r="A25" s="165"/>
      <c r="B25" s="168">
        <v>8</v>
      </c>
      <c r="C25" s="168" t="str">
        <f>IF('1PROJE'!E14="","",'1PROJE'!E14)</f>
        <v/>
      </c>
      <c r="D25" s="168" t="str">
        <f>IF('1PROJE'!F14="","",'1PROJE'!F14)</f>
        <v/>
      </c>
      <c r="E25" s="168" t="str">
        <f>IF('1PROJE'!D14="","",'1PROJE'!D14)</f>
        <v/>
      </c>
      <c r="F25" s="365" t="str">
        <f>IF('1PROJE'!C14="","",'1PROJE'!C14)</f>
        <v/>
      </c>
      <c r="G25" s="366"/>
      <c r="H25" s="366"/>
      <c r="I25" s="367"/>
      <c r="J25" s="169" t="str">
        <f>IF('1PROJE'!E14="","",'1PROJE'!G14)</f>
        <v/>
      </c>
      <c r="K25" s="169" t="str">
        <f>IF('1PROJE'!L14="","",'1PROJE'!L14)</f>
        <v/>
      </c>
      <c r="L25" s="328" t="str">
        <f>IF('1PROJE'!E14="","",'1PROJE'!I14&amp;" "&amp;'1PROJE'!K14)</f>
        <v/>
      </c>
      <c r="M25" s="307" t="str">
        <f>IF(F25="SABİT İÇİN KUMAŞ",((C25*D25/1000000)*X25*1.08/((100-'1PROJE'!$N$3)/100)*'1PROJE'!$M$3),IF(ISERROR(xHesaplama!FL54),"",U25))</f>
        <v/>
      </c>
      <c r="N25" s="307" t="str">
        <f t="shared" si="0"/>
        <v/>
      </c>
      <c r="O25" s="153"/>
      <c r="P25" s="153"/>
      <c r="Q25" s="167"/>
      <c r="R25" s="167">
        <f>IF(ISERROR(xHesaplama!FL54),0,E25*xHesaplama!FL54)</f>
        <v>0</v>
      </c>
      <c r="S25" s="167">
        <f t="shared" si="1"/>
        <v>0</v>
      </c>
      <c r="T25" s="153">
        <f>'1PROJE'!$J$3*S25</f>
        <v>0</v>
      </c>
      <c r="U25" s="167" t="e">
        <f t="shared" si="2"/>
        <v>#VALUE!</v>
      </c>
      <c r="W25" s="95">
        <f>'1PROJE'!I14</f>
        <v>0</v>
      </c>
      <c r="X25" s="303" t="e">
        <f>VLOOKUP(W25,'x Malzemeler ve Özellikleri'!$O$137:$R$146,4,0)</f>
        <v>#N/A</v>
      </c>
      <c r="Y25" s="305" t="e">
        <f t="shared" si="3"/>
        <v>#VALUE!</v>
      </c>
      <c r="Z25" s="302" t="s">
        <v>817</v>
      </c>
    </row>
    <row r="26" spans="1:26" ht="27.95" hidden="1" customHeight="1" thickTop="1" thickBot="1">
      <c r="A26" s="165"/>
      <c r="B26" s="170">
        <v>9</v>
      </c>
      <c r="C26" s="170" t="str">
        <f>IF('1PROJE'!E15="","",'1PROJE'!E15)</f>
        <v/>
      </c>
      <c r="D26" s="170" t="str">
        <f>IF('1PROJE'!F15="","",'1PROJE'!F15)</f>
        <v/>
      </c>
      <c r="E26" s="170" t="str">
        <f>IF('1PROJE'!D15="","",'1PROJE'!D15)</f>
        <v/>
      </c>
      <c r="F26" s="388" t="str">
        <f>IF('1PROJE'!C15="","",'1PROJE'!C15)</f>
        <v/>
      </c>
      <c r="G26" s="389"/>
      <c r="H26" s="389"/>
      <c r="I26" s="390"/>
      <c r="J26" s="171" t="str">
        <f>IF('1PROJE'!E15="","",'1PROJE'!G15)</f>
        <v/>
      </c>
      <c r="K26" s="171" t="str">
        <f>IF('1PROJE'!L15="","",'1PROJE'!L15)</f>
        <v/>
      </c>
      <c r="L26" s="329" t="str">
        <f>IF('1PROJE'!E15="","",'1PROJE'!I15&amp;" "&amp;'1PROJE'!K15)</f>
        <v/>
      </c>
      <c r="M26" s="308" t="str">
        <f>IF(F26="SABİT İÇİN KUMAŞ",((C26*D26/1000000)*X26*1.08/((100-'1PROJE'!$N$3)/100)*'1PROJE'!$M$3),IF(ISERROR(xHesaplama!FL55),"",U26))</f>
        <v/>
      </c>
      <c r="N26" s="308" t="str">
        <f t="shared" si="0"/>
        <v/>
      </c>
      <c r="O26" s="153"/>
      <c r="P26" s="153"/>
      <c r="Q26" s="167"/>
      <c r="R26" s="167">
        <f>IF(ISERROR(xHesaplama!FL55),0,E26*xHesaplama!FL55)</f>
        <v>0</v>
      </c>
      <c r="S26" s="167">
        <f t="shared" si="1"/>
        <v>0</v>
      </c>
      <c r="T26" s="153">
        <f>'1PROJE'!$J$3*S26</f>
        <v>0</v>
      </c>
      <c r="U26" s="167" t="e">
        <f t="shared" si="2"/>
        <v>#VALUE!</v>
      </c>
      <c r="W26" s="95">
        <f>'1PROJE'!I15</f>
        <v>0</v>
      </c>
      <c r="X26" s="303" t="e">
        <f>VLOOKUP(W26,'x Malzemeler ve Özellikleri'!$O$137:$R$146,4,0)</f>
        <v>#N/A</v>
      </c>
      <c r="Y26" s="305" t="e">
        <f t="shared" si="3"/>
        <v>#VALUE!</v>
      </c>
      <c r="Z26" s="302" t="s">
        <v>817</v>
      </c>
    </row>
    <row r="27" spans="1:26" ht="27.95" hidden="1" customHeight="1" thickTop="1" thickBot="1">
      <c r="A27" s="165"/>
      <c r="B27" s="168">
        <v>10</v>
      </c>
      <c r="C27" s="168" t="str">
        <f>IF('1PROJE'!E16="","",'1PROJE'!E16)</f>
        <v/>
      </c>
      <c r="D27" s="168" t="str">
        <f>IF('1PROJE'!F16="","",'1PROJE'!F16)</f>
        <v/>
      </c>
      <c r="E27" s="168" t="str">
        <f>IF('1PROJE'!D16="","",'1PROJE'!D16)</f>
        <v/>
      </c>
      <c r="F27" s="365" t="str">
        <f>IF('1PROJE'!C16="","",'1PROJE'!C16)</f>
        <v/>
      </c>
      <c r="G27" s="366"/>
      <c r="H27" s="366"/>
      <c r="I27" s="367"/>
      <c r="J27" s="169" t="str">
        <f>IF('1PROJE'!E16="","",'1PROJE'!G16)</f>
        <v/>
      </c>
      <c r="K27" s="169" t="str">
        <f>IF('1PROJE'!L16="","",'1PROJE'!L16)</f>
        <v/>
      </c>
      <c r="L27" s="328" t="str">
        <f>IF('1PROJE'!E16="","",'1PROJE'!I16&amp;" "&amp;'1PROJE'!K16)</f>
        <v/>
      </c>
      <c r="M27" s="307" t="str">
        <f>IF(F27="SABİT İÇİN KUMAŞ",((C27*D27/1000000)*X27*1.08/((100-'1PROJE'!$N$3)/100)*'1PROJE'!$M$3),IF(ISERROR(xHesaplama!FL56),"",U27))</f>
        <v/>
      </c>
      <c r="N27" s="307" t="str">
        <f t="shared" si="0"/>
        <v/>
      </c>
      <c r="O27" s="153"/>
      <c r="P27" s="153"/>
      <c r="Q27" s="167"/>
      <c r="R27" s="167">
        <f>IF(ISERROR(xHesaplama!FL56),0,E27*xHesaplama!FL56)</f>
        <v>0</v>
      </c>
      <c r="S27" s="167">
        <f t="shared" si="1"/>
        <v>0</v>
      </c>
      <c r="T27" s="153">
        <f>'1PROJE'!$J$3*S27</f>
        <v>0</v>
      </c>
      <c r="U27" s="167" t="e">
        <f t="shared" si="2"/>
        <v>#VALUE!</v>
      </c>
      <c r="W27" s="95">
        <f>'1PROJE'!I16</f>
        <v>0</v>
      </c>
      <c r="X27" s="303" t="e">
        <f>VLOOKUP(W27,'x Malzemeler ve Özellikleri'!$O$137:$R$146,4,0)</f>
        <v>#N/A</v>
      </c>
      <c r="Y27" s="305" t="e">
        <f t="shared" si="3"/>
        <v>#VALUE!</v>
      </c>
      <c r="Z27" s="302" t="s">
        <v>817</v>
      </c>
    </row>
    <row r="28" spans="1:26" ht="27.95" hidden="1" customHeight="1" thickTop="1" thickBot="1">
      <c r="A28" s="165"/>
      <c r="B28" s="170">
        <v>11</v>
      </c>
      <c r="C28" s="170" t="str">
        <f>IF('1PROJE'!E17="","",'1PROJE'!E17)</f>
        <v/>
      </c>
      <c r="D28" s="170" t="str">
        <f>IF('1PROJE'!F17="","",'1PROJE'!F17)</f>
        <v/>
      </c>
      <c r="E28" s="170" t="str">
        <f>IF('1PROJE'!D17="","",'1PROJE'!D17)</f>
        <v/>
      </c>
      <c r="F28" s="388" t="str">
        <f>IF('1PROJE'!C17="","",'1PROJE'!C17)</f>
        <v/>
      </c>
      <c r="G28" s="389"/>
      <c r="H28" s="389"/>
      <c r="I28" s="390"/>
      <c r="J28" s="171" t="str">
        <f>IF('1PROJE'!E17="","",'1PROJE'!G17)</f>
        <v/>
      </c>
      <c r="K28" s="171" t="str">
        <f>IF('1PROJE'!L17="","",'1PROJE'!L17)</f>
        <v/>
      </c>
      <c r="L28" s="329" t="str">
        <f>IF('1PROJE'!E17="","",'1PROJE'!I17&amp;" "&amp;'1PROJE'!K17)</f>
        <v/>
      </c>
      <c r="M28" s="308" t="str">
        <f>IF(F28="SABİT İÇİN KUMAŞ",((C28*D28/1000000)*X28*1.08/((100-'1PROJE'!$N$3)/100)*'1PROJE'!$M$3),IF(ISERROR(xHesaplama!FL57),"",U28))</f>
        <v/>
      </c>
      <c r="N28" s="308" t="str">
        <f t="shared" si="0"/>
        <v/>
      </c>
      <c r="O28" s="153"/>
      <c r="P28" s="153"/>
      <c r="Q28" s="167"/>
      <c r="R28" s="167">
        <f>IF(ISERROR(xHesaplama!FL57),0,E28*xHesaplama!FL57)</f>
        <v>0</v>
      </c>
      <c r="S28" s="167">
        <f t="shared" si="1"/>
        <v>0</v>
      </c>
      <c r="T28" s="153">
        <f>'1PROJE'!$J$3*S28</f>
        <v>0</v>
      </c>
      <c r="U28" s="167" t="e">
        <f t="shared" si="2"/>
        <v>#VALUE!</v>
      </c>
      <c r="W28" s="95">
        <f>'1PROJE'!I17</f>
        <v>0</v>
      </c>
      <c r="X28" s="303" t="e">
        <f>VLOOKUP(W28,'x Malzemeler ve Özellikleri'!$O$137:$R$146,4,0)</f>
        <v>#N/A</v>
      </c>
      <c r="Y28" s="305" t="e">
        <f t="shared" si="3"/>
        <v>#VALUE!</v>
      </c>
      <c r="Z28" s="302" t="s">
        <v>817</v>
      </c>
    </row>
    <row r="29" spans="1:26" ht="27.95" hidden="1" customHeight="1" thickTop="1" thickBot="1">
      <c r="A29" s="165"/>
      <c r="B29" s="168">
        <v>12</v>
      </c>
      <c r="C29" s="168" t="str">
        <f>IF('1PROJE'!E18="","",'1PROJE'!E18)</f>
        <v/>
      </c>
      <c r="D29" s="168" t="str">
        <f>IF('1PROJE'!F18="","",'1PROJE'!F18)</f>
        <v/>
      </c>
      <c r="E29" s="168" t="str">
        <f>IF('1PROJE'!D18="","",'1PROJE'!D18)</f>
        <v/>
      </c>
      <c r="F29" s="365" t="str">
        <f>IF('1PROJE'!C18="","",'1PROJE'!C18)</f>
        <v/>
      </c>
      <c r="G29" s="366"/>
      <c r="H29" s="366"/>
      <c r="I29" s="367"/>
      <c r="J29" s="169" t="str">
        <f>IF('1PROJE'!E18="","",'1PROJE'!G18)</f>
        <v/>
      </c>
      <c r="K29" s="169" t="str">
        <f>IF('1PROJE'!L18="","",'1PROJE'!L18)</f>
        <v/>
      </c>
      <c r="L29" s="328" t="str">
        <f>IF('1PROJE'!E18="","",'1PROJE'!I18&amp;" "&amp;'1PROJE'!K18)</f>
        <v/>
      </c>
      <c r="M29" s="307" t="str">
        <f>IF(F29="SABİT İÇİN KUMAŞ",((C29*D29/1000000)*X29*1.08/((100-'1PROJE'!$N$3)/100)*'1PROJE'!$M$3),IF(ISERROR(xHesaplama!FL58),"",U29))</f>
        <v/>
      </c>
      <c r="N29" s="307" t="str">
        <f t="shared" si="0"/>
        <v/>
      </c>
      <c r="O29" s="153"/>
      <c r="P29" s="153"/>
      <c r="Q29" s="167"/>
      <c r="R29" s="167">
        <f>IF(ISERROR(xHesaplama!FL58),0,E29*xHesaplama!FL58)</f>
        <v>0</v>
      </c>
      <c r="S29" s="167">
        <f t="shared" si="1"/>
        <v>0</v>
      </c>
      <c r="T29" s="153">
        <f>'1PROJE'!$J$3*S29</f>
        <v>0</v>
      </c>
      <c r="U29" s="167" t="e">
        <f t="shared" si="2"/>
        <v>#VALUE!</v>
      </c>
      <c r="W29" s="95">
        <f>'1PROJE'!I18</f>
        <v>0</v>
      </c>
      <c r="X29" s="303" t="e">
        <f>VLOOKUP(W29,'x Malzemeler ve Özellikleri'!$O$137:$R$146,4,0)</f>
        <v>#N/A</v>
      </c>
      <c r="Y29" s="305" t="e">
        <f t="shared" si="3"/>
        <v>#VALUE!</v>
      </c>
      <c r="Z29" s="302" t="s">
        <v>817</v>
      </c>
    </row>
    <row r="30" spans="1:26" ht="27.95" hidden="1" customHeight="1" thickTop="1" thickBot="1">
      <c r="A30" s="165"/>
      <c r="B30" s="170">
        <v>13</v>
      </c>
      <c r="C30" s="170" t="str">
        <f>IF('1PROJE'!E19="","",'1PROJE'!E19)</f>
        <v/>
      </c>
      <c r="D30" s="170" t="str">
        <f>IF('1PROJE'!F19="","",'1PROJE'!F19)</f>
        <v/>
      </c>
      <c r="E30" s="170" t="str">
        <f>IF('1PROJE'!D19="","",'1PROJE'!D19)</f>
        <v/>
      </c>
      <c r="F30" s="388" t="str">
        <f>IF('1PROJE'!C19="","",'1PROJE'!C19)</f>
        <v/>
      </c>
      <c r="G30" s="389"/>
      <c r="H30" s="389"/>
      <c r="I30" s="390"/>
      <c r="J30" s="171" t="str">
        <f>IF('1PROJE'!E19="","",'1PROJE'!G19)</f>
        <v/>
      </c>
      <c r="K30" s="171" t="str">
        <f>IF('1PROJE'!L19="","",'1PROJE'!L19)</f>
        <v/>
      </c>
      <c r="L30" s="329" t="str">
        <f>IF('1PROJE'!E19="","",'1PROJE'!I19&amp;" "&amp;'1PROJE'!K19)</f>
        <v/>
      </c>
      <c r="M30" s="308" t="str">
        <f>IF(F30="SABİT İÇİN KUMAŞ",((C30*D30/1000000)*X30*1.08/((100-'1PROJE'!$N$3)/100)*'1PROJE'!$M$3),IF(ISERROR(xHesaplama!FL59),"",U30))</f>
        <v/>
      </c>
      <c r="N30" s="308" t="str">
        <f t="shared" si="0"/>
        <v/>
      </c>
      <c r="O30" s="153"/>
      <c r="P30" s="153"/>
      <c r="Q30" s="153"/>
      <c r="R30" s="167">
        <f>IF(ISERROR(xHesaplama!FL59),0,E30*xHesaplama!FL59)</f>
        <v>0</v>
      </c>
      <c r="S30" s="167">
        <f t="shared" si="1"/>
        <v>0</v>
      </c>
      <c r="T30" s="153">
        <f>'1PROJE'!$J$3*S30</f>
        <v>0</v>
      </c>
      <c r="U30" s="167" t="e">
        <f t="shared" si="2"/>
        <v>#VALUE!</v>
      </c>
      <c r="W30" s="95">
        <f>'1PROJE'!I19</f>
        <v>0</v>
      </c>
      <c r="X30" s="303" t="e">
        <f>VLOOKUP(W30,'x Malzemeler ve Özellikleri'!$O$137:$R$146,4,0)</f>
        <v>#N/A</v>
      </c>
      <c r="Y30" s="305" t="e">
        <f t="shared" si="3"/>
        <v>#VALUE!</v>
      </c>
      <c r="Z30" s="302" t="s">
        <v>817</v>
      </c>
    </row>
    <row r="31" spans="1:26" ht="27.95" hidden="1" customHeight="1" thickTop="1" thickBot="1">
      <c r="A31" s="165"/>
      <c r="B31" s="168">
        <v>14</v>
      </c>
      <c r="C31" s="168" t="str">
        <f>IF('1PROJE'!E20="","",'1PROJE'!E20)</f>
        <v/>
      </c>
      <c r="D31" s="168" t="str">
        <f>IF('1PROJE'!F20="","",'1PROJE'!F20)</f>
        <v/>
      </c>
      <c r="E31" s="168" t="str">
        <f>IF('1PROJE'!D20="","",'1PROJE'!D20)</f>
        <v/>
      </c>
      <c r="F31" s="365" t="str">
        <f>IF('1PROJE'!C20="","",'1PROJE'!C20)</f>
        <v/>
      </c>
      <c r="G31" s="366"/>
      <c r="H31" s="366"/>
      <c r="I31" s="367"/>
      <c r="J31" s="169" t="str">
        <f>IF('1PROJE'!E20="","",'1PROJE'!G20)</f>
        <v/>
      </c>
      <c r="K31" s="169" t="str">
        <f>IF('1PROJE'!L20="","",'1PROJE'!L20)</f>
        <v/>
      </c>
      <c r="L31" s="328" t="str">
        <f>IF('1PROJE'!E20="","",'1PROJE'!I20&amp;" "&amp;'1PROJE'!K20)</f>
        <v/>
      </c>
      <c r="M31" s="307" t="str">
        <f>IF(F31="SABİT İÇİN KUMAŞ",((C31*D31/1000000)*X31*1.08/((100-'1PROJE'!$N$3)/100)*'1PROJE'!$M$3),IF(ISERROR(xHesaplama!FL60),"",U31))</f>
        <v/>
      </c>
      <c r="N31" s="307" t="str">
        <f t="shared" si="0"/>
        <v/>
      </c>
      <c r="O31" s="153"/>
      <c r="P31" s="153"/>
      <c r="Q31" s="153"/>
      <c r="R31" s="167">
        <f>IF(ISERROR(xHesaplama!FL60),0,E31*xHesaplama!FL60)</f>
        <v>0</v>
      </c>
      <c r="S31" s="167">
        <f t="shared" si="1"/>
        <v>0</v>
      </c>
      <c r="T31" s="153">
        <f>'1PROJE'!$J$3*S31</f>
        <v>0</v>
      </c>
      <c r="U31" s="167" t="e">
        <f t="shared" si="2"/>
        <v>#VALUE!</v>
      </c>
      <c r="W31" s="95">
        <f>'1PROJE'!I20</f>
        <v>0</v>
      </c>
      <c r="X31" s="303" t="e">
        <f>VLOOKUP(W31,'x Malzemeler ve Özellikleri'!$O$137:$R$146,4,0)</f>
        <v>#N/A</v>
      </c>
      <c r="Y31" s="305" t="e">
        <f t="shared" si="3"/>
        <v>#VALUE!</v>
      </c>
      <c r="Z31" s="302" t="s">
        <v>817</v>
      </c>
    </row>
    <row r="32" spans="1:26" ht="27.95" hidden="1" customHeight="1" thickTop="1" thickBot="1">
      <c r="A32" s="165"/>
      <c r="B32" s="170">
        <v>15</v>
      </c>
      <c r="C32" s="170" t="str">
        <f>IF('1PROJE'!E21="","",'1PROJE'!E21)</f>
        <v/>
      </c>
      <c r="D32" s="170" t="str">
        <f>IF('1PROJE'!F21="","",'1PROJE'!F21)</f>
        <v/>
      </c>
      <c r="E32" s="170" t="str">
        <f>IF('1PROJE'!D21="","",'1PROJE'!D21)</f>
        <v/>
      </c>
      <c r="F32" s="388" t="str">
        <f>IF('1PROJE'!C21="","",'1PROJE'!C21)</f>
        <v/>
      </c>
      <c r="G32" s="389"/>
      <c r="H32" s="389"/>
      <c r="I32" s="390"/>
      <c r="J32" s="171" t="str">
        <f>IF('1PROJE'!E21="","",'1PROJE'!G21)</f>
        <v/>
      </c>
      <c r="K32" s="171" t="str">
        <f>IF('1PROJE'!L21="","",'1PROJE'!L21)</f>
        <v/>
      </c>
      <c r="L32" s="329" t="str">
        <f>IF('1PROJE'!E21="","",'1PROJE'!I21&amp;" "&amp;'1PROJE'!K21)</f>
        <v/>
      </c>
      <c r="M32" s="308" t="str">
        <f>IF(F32="SABİT İÇİN KUMAŞ",((C32*D32/1000000)*X32*1.08/((100-'1PROJE'!$N$3)/100)*'1PROJE'!$M$3),IF(ISERROR(xHesaplama!FL61),"",U32))</f>
        <v/>
      </c>
      <c r="N32" s="308" t="str">
        <f t="shared" si="0"/>
        <v/>
      </c>
      <c r="O32" s="153"/>
      <c r="P32" s="153"/>
      <c r="Q32" s="153"/>
      <c r="R32" s="167">
        <f>IF(ISERROR(xHesaplama!FL61),0,E32*xHesaplama!FL61)</f>
        <v>0</v>
      </c>
      <c r="S32" s="167">
        <f t="shared" si="1"/>
        <v>0</v>
      </c>
      <c r="T32" s="153">
        <f>'1PROJE'!$J$3*S32</f>
        <v>0</v>
      </c>
      <c r="U32" s="167" t="e">
        <f t="shared" si="2"/>
        <v>#VALUE!</v>
      </c>
      <c r="W32" s="95">
        <f>'1PROJE'!I21</f>
        <v>0</v>
      </c>
      <c r="X32" s="303" t="e">
        <f>VLOOKUP(W32,'x Malzemeler ve Özellikleri'!$O$137:$R$146,4,0)</f>
        <v>#N/A</v>
      </c>
      <c r="Y32" s="305" t="e">
        <f t="shared" si="3"/>
        <v>#VALUE!</v>
      </c>
      <c r="Z32" s="302" t="s">
        <v>817</v>
      </c>
    </row>
    <row r="33" spans="1:26" ht="27.95" hidden="1" customHeight="1" thickTop="1" thickBot="1">
      <c r="A33" s="165"/>
      <c r="B33" s="168">
        <v>16</v>
      </c>
      <c r="C33" s="168" t="str">
        <f>IF('1PROJE'!E22="","",'1PROJE'!E22)</f>
        <v/>
      </c>
      <c r="D33" s="168" t="str">
        <f>IF('1PROJE'!F22="","",'1PROJE'!F22)</f>
        <v/>
      </c>
      <c r="E33" s="168" t="str">
        <f>IF('1PROJE'!D22="","",'1PROJE'!D22)</f>
        <v/>
      </c>
      <c r="F33" s="365" t="str">
        <f>IF('1PROJE'!C22="","",'1PROJE'!C22)</f>
        <v/>
      </c>
      <c r="G33" s="366"/>
      <c r="H33" s="366"/>
      <c r="I33" s="367"/>
      <c r="J33" s="169" t="str">
        <f>IF('1PROJE'!E22="","",'1PROJE'!G22)</f>
        <v/>
      </c>
      <c r="K33" s="169" t="str">
        <f>IF('1PROJE'!L22="","",'1PROJE'!L22)</f>
        <v/>
      </c>
      <c r="L33" s="328" t="str">
        <f>IF('1PROJE'!E22="","",'1PROJE'!I22&amp;" "&amp;'1PROJE'!K22)</f>
        <v/>
      </c>
      <c r="M33" s="307" t="str">
        <f>IF(F33="SABİT İÇİN KUMAŞ",((C33*D33/1000000)*X33*1.08/((100-'1PROJE'!$N$3)/100)*'1PROJE'!$M$3),IF(ISERROR(xHesaplama!FL62),"",U33))</f>
        <v/>
      </c>
      <c r="N33" s="307" t="str">
        <f t="shared" si="0"/>
        <v/>
      </c>
      <c r="O33" s="153"/>
      <c r="P33" s="153"/>
      <c r="Q33" s="153"/>
      <c r="R33" s="167">
        <f>IF(ISERROR(xHesaplama!FL62),0,E33*xHesaplama!FL62)</f>
        <v>0</v>
      </c>
      <c r="S33" s="167">
        <f t="shared" si="1"/>
        <v>0</v>
      </c>
      <c r="T33" s="153">
        <f>'1PROJE'!$J$3*S33</f>
        <v>0</v>
      </c>
      <c r="U33" s="167" t="e">
        <f t="shared" si="2"/>
        <v>#VALUE!</v>
      </c>
      <c r="W33" s="95">
        <f>'1PROJE'!I22</f>
        <v>0</v>
      </c>
      <c r="X33" s="303" t="e">
        <f>VLOOKUP(W33,'x Malzemeler ve Özellikleri'!$O$137:$R$146,4,0)</f>
        <v>#N/A</v>
      </c>
      <c r="Y33" s="305" t="e">
        <f t="shared" si="3"/>
        <v>#VALUE!</v>
      </c>
      <c r="Z33" s="302" t="s">
        <v>817</v>
      </c>
    </row>
    <row r="34" spans="1:26" ht="27.95" hidden="1" customHeight="1" thickTop="1" thickBot="1">
      <c r="A34" s="165"/>
      <c r="B34" s="170">
        <v>17</v>
      </c>
      <c r="C34" s="170" t="str">
        <f>IF('1PROJE'!E23="","",'1PROJE'!E23)</f>
        <v/>
      </c>
      <c r="D34" s="170" t="str">
        <f>IF('1PROJE'!F23="","",'1PROJE'!F23)</f>
        <v/>
      </c>
      <c r="E34" s="170" t="str">
        <f>IF('1PROJE'!D23="","",'1PROJE'!D23)</f>
        <v/>
      </c>
      <c r="F34" s="388" t="str">
        <f>IF('1PROJE'!C23="","",'1PROJE'!C23)</f>
        <v/>
      </c>
      <c r="G34" s="389"/>
      <c r="H34" s="389"/>
      <c r="I34" s="390"/>
      <c r="J34" s="171" t="str">
        <f>IF('1PROJE'!E23="","",'1PROJE'!G23)</f>
        <v/>
      </c>
      <c r="K34" s="171" t="str">
        <f>IF('1PROJE'!L23="","",'1PROJE'!L23)</f>
        <v/>
      </c>
      <c r="L34" s="329" t="str">
        <f>IF('1PROJE'!E23="","",'1PROJE'!I23&amp;" "&amp;'1PROJE'!K23)</f>
        <v/>
      </c>
      <c r="M34" s="308" t="str">
        <f>IF(F34="SABİT İÇİN KUMAŞ",((C34*D34/1000000)*X34*1.08/((100-'1PROJE'!$N$3)/100)*'1PROJE'!$M$3),IF(ISERROR(xHesaplama!FL63),"",U34))</f>
        <v/>
      </c>
      <c r="N34" s="308" t="str">
        <f t="shared" si="0"/>
        <v/>
      </c>
      <c r="O34" s="153"/>
      <c r="P34" s="153"/>
      <c r="Q34" s="153"/>
      <c r="R34" s="167">
        <f>IF(ISERROR(xHesaplama!FL63),0,E34*xHesaplama!FL63)</f>
        <v>0</v>
      </c>
      <c r="S34" s="167">
        <f t="shared" si="1"/>
        <v>0</v>
      </c>
      <c r="T34" s="153">
        <f>'1PROJE'!$J$3*S34</f>
        <v>0</v>
      </c>
      <c r="U34" s="167" t="e">
        <f t="shared" si="2"/>
        <v>#VALUE!</v>
      </c>
      <c r="W34" s="95">
        <f>'1PROJE'!I23</f>
        <v>0</v>
      </c>
      <c r="X34" s="303" t="e">
        <f>VLOOKUP(W34,'x Malzemeler ve Özellikleri'!$O$137:$R$146,4,0)</f>
        <v>#N/A</v>
      </c>
      <c r="Y34" s="305" t="e">
        <f t="shared" si="3"/>
        <v>#VALUE!</v>
      </c>
      <c r="Z34" s="302" t="s">
        <v>817</v>
      </c>
    </row>
    <row r="35" spans="1:26" ht="27.95" hidden="1" customHeight="1" thickTop="1" thickBot="1">
      <c r="A35" s="165"/>
      <c r="B35" s="168">
        <v>18</v>
      </c>
      <c r="C35" s="168" t="str">
        <f>IF('1PROJE'!E24="","",'1PROJE'!E24)</f>
        <v/>
      </c>
      <c r="D35" s="168" t="str">
        <f>IF('1PROJE'!F24="","",'1PROJE'!F24)</f>
        <v/>
      </c>
      <c r="E35" s="168" t="str">
        <f>IF('1PROJE'!D24="","",'1PROJE'!D24)</f>
        <v/>
      </c>
      <c r="F35" s="365" t="str">
        <f>IF('1PROJE'!C24="","",'1PROJE'!C24)</f>
        <v/>
      </c>
      <c r="G35" s="366"/>
      <c r="H35" s="366"/>
      <c r="I35" s="367"/>
      <c r="J35" s="169" t="str">
        <f>IF('1PROJE'!E24="","",'1PROJE'!G24)</f>
        <v/>
      </c>
      <c r="K35" s="169" t="str">
        <f>IF('1PROJE'!L24="","",'1PROJE'!L24)</f>
        <v/>
      </c>
      <c r="L35" s="328" t="str">
        <f>IF('1PROJE'!E24="","",'1PROJE'!I24&amp;" "&amp;'1PROJE'!K24)</f>
        <v/>
      </c>
      <c r="M35" s="307" t="str">
        <f>IF(F35="SABİT İÇİN KUMAŞ",((C35*D35/1000000)*X35*1.08/((100-'1PROJE'!$N$3)/100)*'1PROJE'!$M$3),IF(ISERROR(xHesaplama!FL64),"",U35))</f>
        <v/>
      </c>
      <c r="N35" s="307" t="str">
        <f t="shared" si="0"/>
        <v/>
      </c>
      <c r="O35" s="153"/>
      <c r="P35" s="153"/>
      <c r="Q35" s="153"/>
      <c r="R35" s="167">
        <f>IF(ISERROR(xHesaplama!FL64),0,E35*xHesaplama!FL64)</f>
        <v>0</v>
      </c>
      <c r="S35" s="167">
        <f t="shared" si="1"/>
        <v>0</v>
      </c>
      <c r="T35" s="153">
        <f>'1PROJE'!$J$3*S35</f>
        <v>0</v>
      </c>
      <c r="U35" s="167" t="e">
        <f t="shared" si="2"/>
        <v>#VALUE!</v>
      </c>
      <c r="W35" s="95">
        <f>'1PROJE'!I24</f>
        <v>0</v>
      </c>
      <c r="X35" s="303" t="e">
        <f>VLOOKUP(W35,'x Malzemeler ve Özellikleri'!$O$137:$R$146,4,0)</f>
        <v>#N/A</v>
      </c>
      <c r="Y35" s="305" t="e">
        <f t="shared" si="3"/>
        <v>#VALUE!</v>
      </c>
      <c r="Z35" s="302" t="s">
        <v>817</v>
      </c>
    </row>
    <row r="36" spans="1:26" ht="27.95" hidden="1" customHeight="1" thickTop="1" thickBot="1">
      <c r="A36" s="165"/>
      <c r="B36" s="170">
        <v>19</v>
      </c>
      <c r="C36" s="170" t="str">
        <f>IF('1PROJE'!E25="","",'1PROJE'!E25)</f>
        <v/>
      </c>
      <c r="D36" s="170" t="str">
        <f>IF('1PROJE'!F25="","",'1PROJE'!F25)</f>
        <v/>
      </c>
      <c r="E36" s="170" t="str">
        <f>IF('1PROJE'!D25="","",'1PROJE'!D25)</f>
        <v/>
      </c>
      <c r="F36" s="388" t="str">
        <f>IF('1PROJE'!C25="","",'1PROJE'!C25)</f>
        <v/>
      </c>
      <c r="G36" s="389"/>
      <c r="H36" s="389"/>
      <c r="I36" s="390"/>
      <c r="J36" s="171" t="str">
        <f>IF('1PROJE'!E25="","",'1PROJE'!G25)</f>
        <v/>
      </c>
      <c r="K36" s="171" t="str">
        <f>IF('1PROJE'!L25="","",'1PROJE'!L25)</f>
        <v/>
      </c>
      <c r="L36" s="329" t="str">
        <f>IF('1PROJE'!E25="","",'1PROJE'!I25&amp;" "&amp;'1PROJE'!K25)</f>
        <v/>
      </c>
      <c r="M36" s="308" t="str">
        <f>IF(F36="SABİT İÇİN KUMAŞ",((C36*D36/1000000)*X36*1.08/((100-'1PROJE'!$N$3)/100)*'1PROJE'!$M$3),IF(ISERROR(xHesaplama!FL65),"",U36))</f>
        <v/>
      </c>
      <c r="N36" s="308" t="str">
        <f t="shared" si="0"/>
        <v/>
      </c>
      <c r="O36" s="153"/>
      <c r="P36" s="153"/>
      <c r="Q36" s="153"/>
      <c r="R36" s="167">
        <f>IF(ISERROR(xHesaplama!FL65),0,E36*xHesaplama!FL65)</f>
        <v>0</v>
      </c>
      <c r="S36" s="167">
        <f t="shared" si="1"/>
        <v>0</v>
      </c>
      <c r="T36" s="153">
        <f>'1PROJE'!$J$3*S36</f>
        <v>0</v>
      </c>
      <c r="U36" s="167" t="e">
        <f t="shared" si="2"/>
        <v>#VALUE!</v>
      </c>
      <c r="W36" s="95">
        <f>'1PROJE'!I25</f>
        <v>0</v>
      </c>
      <c r="X36" s="303" t="e">
        <f>VLOOKUP(W36,'x Malzemeler ve Özellikleri'!$O$137:$R$146,4,0)</f>
        <v>#N/A</v>
      </c>
      <c r="Y36" s="305" t="e">
        <f t="shared" si="3"/>
        <v>#VALUE!</v>
      </c>
      <c r="Z36" s="302" t="s">
        <v>817</v>
      </c>
    </row>
    <row r="37" spans="1:26" ht="27.95" hidden="1" customHeight="1" thickTop="1" thickBot="1">
      <c r="A37" s="165"/>
      <c r="B37" s="172">
        <v>20</v>
      </c>
      <c r="C37" s="172" t="str">
        <f>IF('1PROJE'!E26="","",'1PROJE'!E26)</f>
        <v/>
      </c>
      <c r="D37" s="172" t="str">
        <f>IF('1PROJE'!F26="","",'1PROJE'!F26)</f>
        <v/>
      </c>
      <c r="E37" s="172" t="str">
        <f>IF('1PROJE'!D26="","",'1PROJE'!D26)</f>
        <v/>
      </c>
      <c r="F37" s="365" t="str">
        <f>IF('1PROJE'!C26="","",'1PROJE'!C26)</f>
        <v/>
      </c>
      <c r="G37" s="366"/>
      <c r="H37" s="366"/>
      <c r="I37" s="367"/>
      <c r="J37" s="173" t="str">
        <f>IF('1PROJE'!E26="","",'1PROJE'!G26)</f>
        <v/>
      </c>
      <c r="K37" s="173" t="str">
        <f>IF('1PROJE'!L26="","",'1PROJE'!L26)</f>
        <v/>
      </c>
      <c r="L37" s="173" t="str">
        <f>IF('1PROJE'!E26="","",'1PROJE'!I26&amp;" "&amp;'1PROJE'!K26)</f>
        <v/>
      </c>
      <c r="M37" s="309" t="str">
        <f>IF(F37="SABİT İÇİN KUMAŞ",((C37*D37/1000000)*X37*1.08/((100-'1PROJE'!$N$3)/100)*'1PROJE'!$M$3),IF(ISERROR(xHesaplama!FL66),"",U37))</f>
        <v/>
      </c>
      <c r="N37" s="309" t="str">
        <f t="shared" si="0"/>
        <v/>
      </c>
      <c r="O37" s="153"/>
      <c r="P37" s="153"/>
      <c r="Q37" s="153"/>
      <c r="R37" s="167">
        <f>IF(ISERROR(xHesaplama!FL66),0,E37*xHesaplama!FL66)</f>
        <v>0</v>
      </c>
      <c r="S37" s="167">
        <f t="shared" si="1"/>
        <v>0</v>
      </c>
      <c r="T37" s="153">
        <f>'1PROJE'!$J$3*S37</f>
        <v>0</v>
      </c>
      <c r="U37" s="167" t="e">
        <f t="shared" si="2"/>
        <v>#VALUE!</v>
      </c>
      <c r="W37" s="95">
        <f>'1PROJE'!I26</f>
        <v>0</v>
      </c>
      <c r="X37" s="303" t="e">
        <f>VLOOKUP(W37,'x Malzemeler ve Özellikleri'!$O$137:$R$146,4,0)</f>
        <v>#N/A</v>
      </c>
      <c r="Y37" s="305" t="e">
        <f t="shared" si="3"/>
        <v>#VALUE!</v>
      </c>
      <c r="Z37" s="302" t="s">
        <v>817</v>
      </c>
    </row>
    <row r="38" spans="1:26" ht="5.45" customHeight="1" thickTop="1">
      <c r="A38" s="165"/>
      <c r="B38" s="174"/>
      <c r="C38" s="175"/>
      <c r="D38" s="175"/>
      <c r="E38" s="175"/>
      <c r="F38" s="176"/>
      <c r="G38" s="176"/>
      <c r="H38" s="176"/>
      <c r="I38" s="176"/>
      <c r="J38" s="176"/>
      <c r="K38" s="177"/>
      <c r="L38" s="177"/>
      <c r="M38" s="177"/>
      <c r="N38" s="178"/>
      <c r="O38" s="153"/>
      <c r="P38" s="153"/>
      <c r="Q38" s="153"/>
      <c r="R38" s="153"/>
      <c r="S38" s="153"/>
      <c r="T38" s="153"/>
      <c r="U38" s="153"/>
    </row>
    <row r="39" spans="1:26" ht="17.100000000000001" customHeight="1">
      <c r="A39" s="165"/>
      <c r="B39" s="405"/>
      <c r="C39" s="406"/>
      <c r="D39" s="406"/>
      <c r="E39" s="406"/>
      <c r="F39" s="406"/>
      <c r="G39" s="407"/>
      <c r="H39" s="179"/>
      <c r="I39" s="424" t="s">
        <v>609</v>
      </c>
      <c r="J39" s="425"/>
      <c r="K39" s="392" t="str">
        <f>IF('1PROJE'!N7="","",('1PROJE'!O7&amp;" x Adet "&amp;'1PROJE'!N7))</f>
        <v>1 x Adet FERRINI 1 KANALLI</v>
      </c>
      <c r="L39" s="393"/>
      <c r="M39" s="665">
        <f>IF(ISERROR(xHesaplama!AF11),"",xHesaplama!AF11)</f>
        <v>12</v>
      </c>
      <c r="N39" s="666">
        <f>IF(M39="","",M39*'1PROJE'!O7)</f>
        <v>12</v>
      </c>
      <c r="O39" s="153"/>
      <c r="P39" s="153"/>
      <c r="Q39" s="153"/>
      <c r="R39" s="153">
        <f t="shared" ref="R39:S39" si="4">SUM(R18:R37)</f>
        <v>222.23166274619635</v>
      </c>
      <c r="S39" s="153">
        <f t="shared" si="4"/>
        <v>1</v>
      </c>
      <c r="T39" s="153">
        <f>SUM(T18:T37)</f>
        <v>0</v>
      </c>
      <c r="U39" s="153"/>
    </row>
    <row r="40" spans="1:26" ht="17.100000000000001" customHeight="1">
      <c r="A40" s="165"/>
      <c r="B40" s="403" t="s">
        <v>344</v>
      </c>
      <c r="C40" s="403"/>
      <c r="D40" s="403"/>
      <c r="E40" s="415" t="str">
        <f>IF('1PROJE'!I3="VAR","VAR","YOK")</f>
        <v>YOK</v>
      </c>
      <c r="F40" s="415"/>
      <c r="G40" s="415"/>
      <c r="H40" s="179"/>
      <c r="I40" s="426"/>
      <c r="J40" s="427"/>
      <c r="K40" s="392" t="str">
        <f>IF('1PROJE'!N8="","",('1PROJE'!O8&amp;" x Adet "&amp;'1PROJE'!N8))</f>
        <v/>
      </c>
      <c r="L40" s="393"/>
      <c r="M40" s="665" t="str">
        <f>IF(ISERROR(xHesaplama!AF12),"",xHesaplama!AF12)</f>
        <v/>
      </c>
      <c r="N40" s="666" t="str">
        <f>IF(M40="","",M40*'1PROJE'!O8)</f>
        <v/>
      </c>
      <c r="O40" s="153"/>
      <c r="P40" s="153"/>
      <c r="Q40" s="153"/>
      <c r="R40" s="153"/>
      <c r="S40" s="153"/>
      <c r="T40" s="153"/>
      <c r="U40" s="153"/>
    </row>
    <row r="41" spans="1:26" ht="17.100000000000001" customHeight="1">
      <c r="A41" s="165"/>
      <c r="B41" s="404" t="s">
        <v>343</v>
      </c>
      <c r="C41" s="404"/>
      <c r="D41" s="404"/>
      <c r="E41" s="391" t="s">
        <v>616</v>
      </c>
      <c r="F41" s="391"/>
      <c r="G41" s="391"/>
      <c r="H41" s="179"/>
      <c r="I41" s="428"/>
      <c r="J41" s="429"/>
      <c r="K41" s="392" t="str">
        <f>IF('1PROJE'!N9="","",('1PROJE'!O9&amp;" x Adet "&amp;'1PROJE'!N9))</f>
        <v/>
      </c>
      <c r="L41" s="393"/>
      <c r="M41" s="180" t="str">
        <f>IF(ISERROR(xHesaplama!AF13),"",xHesaplama!AF13)</f>
        <v/>
      </c>
      <c r="N41" s="182" t="str">
        <f>IF(M41="","",M41*'1PROJE'!O9)</f>
        <v/>
      </c>
      <c r="O41" s="153"/>
      <c r="P41" s="153"/>
      <c r="Q41" s="153"/>
      <c r="R41" s="153"/>
      <c r="S41" s="153"/>
      <c r="T41" s="153"/>
      <c r="U41" s="153"/>
    </row>
    <row r="42" spans="1:26" ht="17.100000000000001" customHeight="1">
      <c r="A42" s="165"/>
      <c r="B42" s="403" t="s">
        <v>820</v>
      </c>
      <c r="C42" s="403"/>
      <c r="D42" s="403"/>
      <c r="E42" s="667" t="str">
        <f>'1PROJE'!H7&amp;" - "&amp;'1PROJE'!R7</f>
        <v>7016 - STD. RAL</v>
      </c>
      <c r="F42" s="667"/>
      <c r="G42" s="667"/>
      <c r="H42" s="179"/>
      <c r="I42" s="154"/>
      <c r="J42" s="154"/>
      <c r="K42" s="183"/>
      <c r="L42" s="183"/>
      <c r="M42" s="184"/>
      <c r="N42" s="184"/>
      <c r="O42" s="153"/>
      <c r="P42" s="153"/>
      <c r="Q42" s="153"/>
      <c r="R42" s="153"/>
      <c r="S42" s="153"/>
      <c r="T42" s="153"/>
      <c r="U42" s="153"/>
    </row>
    <row r="43" spans="1:26" ht="3" customHeight="1" thickBot="1">
      <c r="A43" s="165"/>
      <c r="B43" s="185"/>
      <c r="C43" s="162"/>
      <c r="D43" s="162"/>
      <c r="E43" s="162"/>
      <c r="F43" s="179"/>
      <c r="G43" s="179"/>
      <c r="H43" s="179"/>
      <c r="I43" s="179"/>
      <c r="J43" s="179"/>
      <c r="K43" s="186"/>
      <c r="L43" s="187"/>
      <c r="M43" s="188"/>
      <c r="N43" s="188"/>
      <c r="O43" s="153"/>
      <c r="P43" s="153"/>
      <c r="Q43" s="153"/>
      <c r="R43" s="153"/>
      <c r="S43" s="153"/>
      <c r="T43" s="153"/>
      <c r="U43" s="153"/>
    </row>
    <row r="44" spans="1:26" ht="45" customHeight="1" thickTop="1" thickBot="1">
      <c r="A44" s="165"/>
      <c r="B44" s="412" t="s">
        <v>354</v>
      </c>
      <c r="C44" s="417"/>
      <c r="D44" s="418"/>
      <c r="E44" s="418"/>
      <c r="F44" s="418"/>
      <c r="G44" s="418"/>
      <c r="H44" s="418"/>
      <c r="I44" s="418"/>
      <c r="J44" s="418"/>
      <c r="K44" s="419"/>
      <c r="L44" s="387" t="s">
        <v>347</v>
      </c>
      <c r="M44" s="387"/>
      <c r="N44" s="191">
        <f>SUM(N18:N41)</f>
        <v>234.23166274619635</v>
      </c>
      <c r="O44" s="153"/>
      <c r="P44" s="153"/>
      <c r="Q44" s="153"/>
      <c r="R44" s="153"/>
      <c r="S44" s="153"/>
      <c r="T44" s="153"/>
      <c r="U44" s="153"/>
    </row>
    <row r="45" spans="1:26" ht="30" customHeight="1" thickTop="1" thickBot="1">
      <c r="A45" s="165"/>
      <c r="B45" s="413"/>
      <c r="C45" s="420"/>
      <c r="D45" s="421"/>
      <c r="E45" s="421"/>
      <c r="F45" s="421"/>
      <c r="G45" s="421"/>
      <c r="H45" s="421"/>
      <c r="I45" s="421"/>
      <c r="J45" s="421"/>
      <c r="K45" s="422"/>
      <c r="L45" s="387" t="s">
        <v>614</v>
      </c>
      <c r="M45" s="387"/>
      <c r="N45" s="191">
        <f>N44*0.2</f>
        <v>46.846332549239271</v>
      </c>
      <c r="O45" s="153"/>
      <c r="P45" s="153"/>
      <c r="Q45" s="153"/>
      <c r="R45" s="153"/>
      <c r="S45" s="153"/>
      <c r="T45" s="153"/>
      <c r="U45" s="153"/>
    </row>
    <row r="46" spans="1:26" ht="39.950000000000003" customHeight="1" thickTop="1" thickBot="1">
      <c r="A46" s="165"/>
      <c r="B46" s="414"/>
      <c r="C46" s="668" t="s">
        <v>1065</v>
      </c>
      <c r="D46" s="668"/>
      <c r="E46" s="668"/>
      <c r="F46" s="668"/>
      <c r="G46" s="668"/>
      <c r="H46" s="668"/>
      <c r="I46" s="668"/>
      <c r="J46" s="668"/>
      <c r="K46" s="668"/>
      <c r="L46" s="416" t="s">
        <v>345</v>
      </c>
      <c r="M46" s="387"/>
      <c r="N46" s="191">
        <f>N44+N45</f>
        <v>281.07799529543564</v>
      </c>
      <c r="O46" s="153"/>
      <c r="P46" s="153"/>
      <c r="Q46" s="153"/>
      <c r="R46" s="153"/>
      <c r="S46" s="153"/>
      <c r="T46" s="153"/>
      <c r="U46" s="153"/>
    </row>
    <row r="47" spans="1:26" ht="3" customHeight="1" thickTop="1" thickBot="1">
      <c r="A47" s="165"/>
      <c r="B47" s="192"/>
      <c r="C47" s="190"/>
      <c r="D47" s="190"/>
      <c r="E47" s="190"/>
      <c r="F47" s="190"/>
      <c r="G47" s="190"/>
      <c r="H47" s="190"/>
      <c r="I47" s="190"/>
      <c r="J47" s="190"/>
      <c r="K47" s="190"/>
      <c r="L47" s="193"/>
      <c r="M47" s="194"/>
      <c r="N47" s="194"/>
      <c r="O47" s="153"/>
      <c r="P47" s="153"/>
      <c r="Q47" s="153"/>
      <c r="R47" s="153"/>
      <c r="S47" s="153"/>
      <c r="T47" s="153"/>
      <c r="U47" s="153"/>
    </row>
    <row r="48" spans="1:26" ht="12" customHeight="1" outlineLevel="1" thickBot="1">
      <c r="A48" s="165"/>
      <c r="B48" s="408" t="s">
        <v>353</v>
      </c>
      <c r="C48" s="409"/>
      <c r="D48" s="409"/>
      <c r="E48" s="409"/>
      <c r="F48" s="409"/>
      <c r="G48" s="410"/>
      <c r="H48" s="410"/>
      <c r="I48" s="410"/>
      <c r="J48" s="410"/>
      <c r="K48" s="410"/>
      <c r="L48" s="410"/>
      <c r="M48" s="410"/>
      <c r="N48" s="411"/>
      <c r="O48" s="153"/>
      <c r="P48" s="153"/>
      <c r="Q48" s="153"/>
      <c r="R48" s="153"/>
      <c r="S48" s="153"/>
      <c r="T48" s="153"/>
      <c r="U48" s="153"/>
    </row>
    <row r="49" spans="1:15" ht="15" customHeight="1" outlineLevel="1" thickBot="1">
      <c r="A49" s="165"/>
      <c r="B49" s="394" t="s">
        <v>352</v>
      </c>
      <c r="C49" s="395"/>
      <c r="D49" s="395"/>
      <c r="E49" s="395"/>
      <c r="F49" s="396"/>
      <c r="G49" s="400" t="s">
        <v>351</v>
      </c>
      <c r="H49" s="401"/>
      <c r="I49" s="401"/>
      <c r="J49" s="401"/>
      <c r="K49" s="402"/>
      <c r="L49" s="397" t="s">
        <v>350</v>
      </c>
      <c r="M49" s="398"/>
      <c r="N49" s="399"/>
      <c r="O49" s="153"/>
    </row>
    <row r="50" spans="1:15" ht="24.95" customHeight="1" outlineLevel="1">
      <c r="A50" s="165"/>
      <c r="B50" s="360" t="s">
        <v>349</v>
      </c>
      <c r="C50" s="361"/>
      <c r="D50" s="195" t="s">
        <v>346</v>
      </c>
      <c r="E50" s="361" t="s">
        <v>348</v>
      </c>
      <c r="F50" s="386"/>
      <c r="G50" s="343" t="s">
        <v>349</v>
      </c>
      <c r="H50" s="344"/>
      <c r="I50" s="345"/>
      <c r="J50" s="196" t="s">
        <v>346</v>
      </c>
      <c r="K50" s="197" t="s">
        <v>348</v>
      </c>
      <c r="L50" s="198" t="s">
        <v>349</v>
      </c>
      <c r="M50" s="199" t="s">
        <v>346</v>
      </c>
      <c r="N50" s="200" t="s">
        <v>348</v>
      </c>
      <c r="O50" s="153"/>
    </row>
    <row r="51" spans="1:15" ht="21" customHeight="1" outlineLevel="1" thickBot="1">
      <c r="A51" s="165"/>
      <c r="B51" s="356">
        <f>L51*0.9</f>
        <v>210.80849647157672</v>
      </c>
      <c r="C51" s="357"/>
      <c r="D51" s="201">
        <f>B51*0.2</f>
        <v>42.161699294315348</v>
      </c>
      <c r="E51" s="358">
        <f>B51+D51</f>
        <v>252.97019576589207</v>
      </c>
      <c r="F51" s="359"/>
      <c r="G51" s="346">
        <f>B51*1.037</f>
        <v>218.60841084102503</v>
      </c>
      <c r="H51" s="347"/>
      <c r="I51" s="348"/>
      <c r="J51" s="202">
        <f>G51*0.2</f>
        <v>43.721682168205007</v>
      </c>
      <c r="K51" s="203">
        <f>G51+J51</f>
        <v>262.33009300923004</v>
      </c>
      <c r="L51" s="204">
        <f>N44</f>
        <v>234.23166274619635</v>
      </c>
      <c r="M51" s="205">
        <f>N45</f>
        <v>46.846332549239271</v>
      </c>
      <c r="N51" s="206">
        <f>N46</f>
        <v>281.07799529543564</v>
      </c>
      <c r="O51" s="153"/>
    </row>
    <row r="52" spans="1:15" ht="7.5" customHeight="1">
      <c r="A52" s="165"/>
      <c r="C52" s="207"/>
      <c r="D52" s="207"/>
      <c r="E52" s="207"/>
      <c r="F52" s="207"/>
      <c r="G52" s="154"/>
      <c r="H52" s="154"/>
      <c r="I52" s="154"/>
      <c r="J52" s="154"/>
      <c r="K52" s="154"/>
      <c r="L52" s="154"/>
      <c r="M52" s="154"/>
    </row>
    <row r="53" spans="1:15" ht="18.600000000000001" hidden="1" customHeight="1" outlineLevel="1">
      <c r="A53" s="165"/>
      <c r="B53" s="351" t="s">
        <v>818</v>
      </c>
      <c r="C53" s="352"/>
      <c r="D53" s="352"/>
      <c r="E53" s="352"/>
      <c r="F53" s="353"/>
      <c r="G53" s="351" t="s">
        <v>818</v>
      </c>
      <c r="H53" s="352"/>
      <c r="I53" s="352"/>
      <c r="J53" s="352"/>
      <c r="K53" s="353"/>
      <c r="L53" s="351" t="s">
        <v>819</v>
      </c>
      <c r="M53" s="352"/>
      <c r="N53" s="353"/>
    </row>
    <row r="54" spans="1:15" ht="45" hidden="1" customHeight="1" outlineLevel="1">
      <c r="A54" s="165"/>
      <c r="B54" s="354"/>
      <c r="C54" s="354"/>
      <c r="D54" s="354"/>
      <c r="E54" s="354"/>
      <c r="F54" s="354"/>
      <c r="G54" s="354"/>
      <c r="H54" s="354"/>
      <c r="I54" s="354"/>
      <c r="J54" s="354"/>
      <c r="K54" s="354"/>
      <c r="L54" s="354"/>
      <c r="M54" s="354"/>
      <c r="N54" s="354"/>
    </row>
    <row r="55" spans="1:15" ht="15" customHeight="1" collapsed="1">
      <c r="A55" s="165"/>
      <c r="B55" s="355" t="s">
        <v>331</v>
      </c>
      <c r="C55" s="355"/>
      <c r="D55" s="355"/>
      <c r="E55" s="355"/>
      <c r="F55" s="355"/>
      <c r="G55" s="355"/>
      <c r="H55" s="355"/>
      <c r="I55" s="355"/>
      <c r="J55" s="355"/>
      <c r="K55" s="355"/>
      <c r="L55" s="355"/>
      <c r="M55" s="355"/>
      <c r="N55" s="355"/>
    </row>
    <row r="56" spans="1:15" ht="17.100000000000001" customHeight="1">
      <c r="A56" s="165"/>
      <c r="B56" s="350" t="s">
        <v>845</v>
      </c>
      <c r="C56" s="350"/>
      <c r="D56" s="350"/>
      <c r="E56" s="350"/>
      <c r="F56" s="350"/>
      <c r="G56" s="350"/>
      <c r="H56" s="350"/>
      <c r="I56" s="350"/>
      <c r="J56" s="350"/>
      <c r="K56" s="350"/>
      <c r="L56" s="350"/>
      <c r="M56" s="350"/>
      <c r="N56" s="350"/>
    </row>
    <row r="57" spans="1:15" ht="17.100000000000001" customHeight="1">
      <c r="A57" s="165"/>
      <c r="B57" s="350"/>
      <c r="C57" s="350"/>
      <c r="D57" s="350"/>
      <c r="E57" s="350"/>
      <c r="F57" s="350"/>
      <c r="G57" s="350"/>
      <c r="H57" s="350"/>
      <c r="I57" s="350"/>
      <c r="J57" s="350"/>
      <c r="K57" s="350"/>
      <c r="L57" s="350"/>
      <c r="M57" s="350"/>
      <c r="N57" s="350"/>
    </row>
    <row r="58" spans="1:15" ht="17.100000000000001" customHeight="1">
      <c r="A58" s="165"/>
      <c r="B58" s="350"/>
      <c r="C58" s="350"/>
      <c r="D58" s="350"/>
      <c r="E58" s="350"/>
      <c r="F58" s="350"/>
      <c r="G58" s="350"/>
      <c r="H58" s="350"/>
      <c r="I58" s="350"/>
      <c r="J58" s="350"/>
      <c r="K58" s="350"/>
      <c r="L58" s="350"/>
      <c r="M58" s="350"/>
      <c r="N58" s="350"/>
    </row>
    <row r="59" spans="1:15" ht="17.100000000000001" customHeight="1">
      <c r="A59" s="165"/>
      <c r="B59" s="350"/>
      <c r="C59" s="350"/>
      <c r="D59" s="350"/>
      <c r="E59" s="350"/>
      <c r="F59" s="350"/>
      <c r="G59" s="350"/>
      <c r="H59" s="350"/>
      <c r="I59" s="350"/>
      <c r="J59" s="350"/>
      <c r="K59" s="350"/>
      <c r="L59" s="350"/>
      <c r="M59" s="350"/>
      <c r="N59" s="350"/>
    </row>
    <row r="60" spans="1:15" ht="17.100000000000001" customHeight="1">
      <c r="A60" s="165"/>
      <c r="B60" s="350"/>
      <c r="C60" s="350"/>
      <c r="D60" s="350"/>
      <c r="E60" s="350"/>
      <c r="F60" s="350"/>
      <c r="G60" s="350"/>
      <c r="H60" s="350"/>
      <c r="I60" s="350"/>
      <c r="J60" s="350"/>
      <c r="K60" s="350"/>
      <c r="L60" s="350"/>
      <c r="M60" s="350"/>
      <c r="N60" s="350"/>
    </row>
    <row r="61" spans="1:15" ht="17.100000000000001" customHeight="1">
      <c r="A61" s="165"/>
      <c r="B61" s="350"/>
      <c r="C61" s="350"/>
      <c r="D61" s="350"/>
      <c r="E61" s="350"/>
      <c r="F61" s="350"/>
      <c r="G61" s="350"/>
      <c r="H61" s="350"/>
      <c r="I61" s="350"/>
      <c r="J61" s="350"/>
      <c r="K61" s="350"/>
      <c r="L61" s="350"/>
      <c r="M61" s="350"/>
      <c r="N61" s="350"/>
    </row>
    <row r="62" spans="1:15" ht="15" customHeight="1">
      <c r="B62" s="349" t="s">
        <v>330</v>
      </c>
      <c r="C62" s="349"/>
      <c r="D62" s="349"/>
      <c r="E62" s="349"/>
      <c r="F62" s="349"/>
      <c r="G62" s="349"/>
      <c r="H62" s="349"/>
      <c r="I62" s="349"/>
      <c r="J62" s="153"/>
      <c r="K62" s="153"/>
      <c r="L62" s="153"/>
      <c r="M62" s="153"/>
      <c r="N62" s="153"/>
    </row>
    <row r="63" spans="1:15" ht="9.9499999999999993" customHeight="1">
      <c r="B63" s="349"/>
      <c r="C63" s="349"/>
      <c r="D63" s="349"/>
      <c r="E63" s="349"/>
      <c r="F63" s="349"/>
      <c r="G63" s="349"/>
      <c r="H63" s="349"/>
      <c r="I63" s="349"/>
      <c r="J63" s="153"/>
      <c r="K63" s="342" t="s">
        <v>329</v>
      </c>
      <c r="L63" s="342"/>
      <c r="M63" s="342"/>
      <c r="N63" s="342"/>
    </row>
    <row r="64" spans="1:15" ht="8.1" customHeight="1">
      <c r="B64" s="349"/>
      <c r="C64" s="349"/>
      <c r="D64" s="349"/>
      <c r="E64" s="349"/>
      <c r="F64" s="349"/>
      <c r="G64" s="349"/>
      <c r="H64" s="349"/>
      <c r="I64" s="349"/>
      <c r="J64" s="153"/>
      <c r="K64" s="341" t="s">
        <v>328</v>
      </c>
      <c r="L64" s="341"/>
      <c r="M64" s="341"/>
      <c r="N64" s="341"/>
    </row>
    <row r="65" spans="2:14" ht="9.75" customHeight="1">
      <c r="B65" s="349"/>
      <c r="C65" s="349"/>
      <c r="D65" s="349"/>
      <c r="E65" s="349"/>
      <c r="F65" s="349"/>
      <c r="G65" s="349"/>
      <c r="H65" s="349"/>
      <c r="I65" s="349"/>
      <c r="J65" s="153"/>
      <c r="K65" s="341"/>
      <c r="L65" s="341"/>
      <c r="M65" s="341"/>
      <c r="N65" s="341"/>
    </row>
    <row r="66" spans="2:14" ht="7.5" customHeight="1">
      <c r="B66" s="349"/>
      <c r="C66" s="349"/>
      <c r="D66" s="349"/>
      <c r="E66" s="349"/>
      <c r="F66" s="349"/>
      <c r="G66" s="349"/>
      <c r="H66" s="349"/>
      <c r="I66" s="349"/>
      <c r="J66" s="153"/>
      <c r="K66" s="155"/>
      <c r="L66" s="155"/>
      <c r="M66" s="155"/>
      <c r="N66" s="155"/>
    </row>
  </sheetData>
  <mergeCells count="89">
    <mergeCell ref="M10:N10"/>
    <mergeCell ref="F22:I22"/>
    <mergeCell ref="F23:I23"/>
    <mergeCell ref="L2:N5"/>
    <mergeCell ref="B2:F5"/>
    <mergeCell ref="G2:K5"/>
    <mergeCell ref="B7:D7"/>
    <mergeCell ref="E7:F7"/>
    <mergeCell ref="M7:N7"/>
    <mergeCell ref="K7:L7"/>
    <mergeCell ref="M11:N11"/>
    <mergeCell ref="G7:J7"/>
    <mergeCell ref="G8:J8"/>
    <mergeCell ref="D10:I10"/>
    <mergeCell ref="D12:I14"/>
    <mergeCell ref="J10:L10"/>
    <mergeCell ref="F18:I18"/>
    <mergeCell ref="B12:C14"/>
    <mergeCell ref="I39:J41"/>
    <mergeCell ref="F29:I29"/>
    <mergeCell ref="F30:I30"/>
    <mergeCell ref="F31:I31"/>
    <mergeCell ref="F32:I32"/>
    <mergeCell ref="F35:I35"/>
    <mergeCell ref="F33:I33"/>
    <mergeCell ref="F34:I34"/>
    <mergeCell ref="M12:N12"/>
    <mergeCell ref="G49:K49"/>
    <mergeCell ref="B42:D42"/>
    <mergeCell ref="B41:D41"/>
    <mergeCell ref="B39:G39"/>
    <mergeCell ref="F36:I36"/>
    <mergeCell ref="F37:I37"/>
    <mergeCell ref="K39:L39"/>
    <mergeCell ref="K40:L40"/>
    <mergeCell ref="B48:N48"/>
    <mergeCell ref="B44:B46"/>
    <mergeCell ref="B40:D40"/>
    <mergeCell ref="E40:G40"/>
    <mergeCell ref="L46:M46"/>
    <mergeCell ref="L44:M44"/>
    <mergeCell ref="C44:K45"/>
    <mergeCell ref="E50:F50"/>
    <mergeCell ref="L45:M45"/>
    <mergeCell ref="F19:I19"/>
    <mergeCell ref="F21:I21"/>
    <mergeCell ref="F20:I20"/>
    <mergeCell ref="F26:I26"/>
    <mergeCell ref="F27:I27"/>
    <mergeCell ref="F28:I28"/>
    <mergeCell ref="E42:G42"/>
    <mergeCell ref="E41:G41"/>
    <mergeCell ref="K41:L41"/>
    <mergeCell ref="F24:I24"/>
    <mergeCell ref="B49:F49"/>
    <mergeCell ref="L49:N49"/>
    <mergeCell ref="C46:K46"/>
    <mergeCell ref="K8:L8"/>
    <mergeCell ref="M8:N8"/>
    <mergeCell ref="F25:I25"/>
    <mergeCell ref="D11:I11"/>
    <mergeCell ref="B8:D8"/>
    <mergeCell ref="E8:F8"/>
    <mergeCell ref="J12:L12"/>
    <mergeCell ref="J13:L13"/>
    <mergeCell ref="J14:L14"/>
    <mergeCell ref="B16:N16"/>
    <mergeCell ref="M13:N13"/>
    <mergeCell ref="M14:N14"/>
    <mergeCell ref="B11:C11"/>
    <mergeCell ref="B10:C10"/>
    <mergeCell ref="F17:I17"/>
    <mergeCell ref="J11:L11"/>
    <mergeCell ref="K64:N65"/>
    <mergeCell ref="K63:N63"/>
    <mergeCell ref="G50:I50"/>
    <mergeCell ref="G51:I51"/>
    <mergeCell ref="B62:I66"/>
    <mergeCell ref="B56:N61"/>
    <mergeCell ref="B53:F53"/>
    <mergeCell ref="B54:F54"/>
    <mergeCell ref="G53:K53"/>
    <mergeCell ref="L53:N53"/>
    <mergeCell ref="B55:N55"/>
    <mergeCell ref="G54:K54"/>
    <mergeCell ref="L54:N54"/>
    <mergeCell ref="B51:C51"/>
    <mergeCell ref="E51:F51"/>
    <mergeCell ref="B50:C50"/>
  </mergeCells>
  <phoneticPr fontId="8" type="noConversion"/>
  <printOptions horizontalCentered="1"/>
  <pageMargins left="0" right="0" top="0" bottom="0" header="0" footer="0"/>
  <pageSetup paperSize="9"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EA92-BF3D-4136-98D2-245986DA0ADE}">
  <sheetPr codeName="Sayfa12">
    <tabColor rgb="FFFFC000"/>
    <pageSetUpPr fitToPage="1"/>
  </sheetPr>
  <dimension ref="A1:R63"/>
  <sheetViews>
    <sheetView showGridLines="0" view="pageBreakPreview" topLeftCell="A26" zoomScale="90" zoomScaleNormal="80" zoomScaleSheetLayoutView="90" workbookViewId="0">
      <selection activeCell="L50" sqref="L50"/>
    </sheetView>
  </sheetViews>
  <sheetFormatPr defaultColWidth="9.125" defaultRowHeight="14.25"/>
  <cols>
    <col min="1" max="1" width="1.125" style="95" customWidth="1"/>
    <col min="2" max="2" width="3.125" style="95" customWidth="1"/>
    <col min="3" max="3" width="7" style="95" customWidth="1"/>
    <col min="4" max="4" width="9.125" style="95" customWidth="1"/>
    <col min="5" max="5" width="5.75" style="95" customWidth="1"/>
    <col min="6" max="6" width="10.75" style="95" customWidth="1"/>
    <col min="7" max="7" width="6.375" style="95" customWidth="1"/>
    <col min="8" max="8" width="2.125" style="95" customWidth="1"/>
    <col min="9" max="9" width="3.125" style="95" customWidth="1"/>
    <col min="10" max="10" width="8.5" style="95" customWidth="1"/>
    <col min="11" max="11" width="15.75" style="95" customWidth="1"/>
    <col min="12" max="12" width="11.125" style="95" customWidth="1"/>
    <col min="13" max="13" width="9.125" style="95" customWidth="1"/>
    <col min="14" max="14" width="15.75" style="95" customWidth="1"/>
    <col min="15" max="15" width="1.125" style="95" customWidth="1"/>
    <col min="16" max="17" width="9.125" style="95"/>
    <col min="18" max="19" width="9.125" style="95" customWidth="1"/>
    <col min="20" max="22" width="9.125" style="95"/>
    <col min="23" max="23" width="9.125" style="95" customWidth="1"/>
    <col min="24" max="16384" width="9.125" style="95"/>
  </cols>
  <sheetData>
    <row r="1" spans="1:15" ht="2.1" customHeight="1" thickBot="1">
      <c r="O1" s="153"/>
    </row>
    <row r="2" spans="1:15" ht="12" customHeight="1" thickTop="1" thickBot="1">
      <c r="A2" s="154"/>
      <c r="B2" s="431"/>
      <c r="C2" s="431"/>
      <c r="D2" s="431"/>
      <c r="E2" s="431"/>
      <c r="F2" s="431"/>
      <c r="G2" s="431" t="s">
        <v>364</v>
      </c>
      <c r="H2" s="431"/>
      <c r="I2" s="431"/>
      <c r="J2" s="431"/>
      <c r="K2" s="431"/>
      <c r="L2" s="430"/>
      <c r="M2" s="430"/>
      <c r="N2" s="430"/>
      <c r="O2" s="153"/>
    </row>
    <row r="3" spans="1:15" ht="12" customHeight="1" thickTop="1" thickBot="1">
      <c r="A3" s="154"/>
      <c r="B3" s="431"/>
      <c r="C3" s="431"/>
      <c r="D3" s="431"/>
      <c r="E3" s="431"/>
      <c r="F3" s="431"/>
      <c r="G3" s="431"/>
      <c r="H3" s="431"/>
      <c r="I3" s="431"/>
      <c r="J3" s="431"/>
      <c r="K3" s="431"/>
      <c r="L3" s="430"/>
      <c r="M3" s="430"/>
      <c r="N3" s="430"/>
      <c r="O3" s="153"/>
    </row>
    <row r="4" spans="1:15" ht="12" customHeight="1" thickTop="1" thickBot="1">
      <c r="A4" s="154"/>
      <c r="B4" s="431"/>
      <c r="C4" s="431"/>
      <c r="D4" s="431"/>
      <c r="E4" s="431"/>
      <c r="F4" s="431"/>
      <c r="G4" s="431"/>
      <c r="H4" s="431"/>
      <c r="I4" s="431"/>
      <c r="J4" s="431"/>
      <c r="K4" s="431"/>
      <c r="L4" s="430"/>
      <c r="M4" s="430"/>
      <c r="N4" s="430"/>
      <c r="O4" s="153"/>
    </row>
    <row r="5" spans="1:15" ht="12" customHeight="1" thickTop="1" thickBot="1">
      <c r="A5" s="154"/>
      <c r="B5" s="431"/>
      <c r="C5" s="431"/>
      <c r="D5" s="431"/>
      <c r="E5" s="431"/>
      <c r="F5" s="431"/>
      <c r="G5" s="431"/>
      <c r="H5" s="431"/>
      <c r="I5" s="431"/>
      <c r="J5" s="431"/>
      <c r="K5" s="431"/>
      <c r="L5" s="430"/>
      <c r="M5" s="430"/>
      <c r="N5" s="430"/>
      <c r="O5" s="153"/>
    </row>
    <row r="6" spans="1:15" ht="3" customHeight="1" thickTop="1">
      <c r="B6" s="156"/>
      <c r="N6" s="156"/>
      <c r="O6" s="153"/>
    </row>
    <row r="7" spans="1:15" ht="15.95" customHeight="1">
      <c r="A7" s="157"/>
      <c r="B7" s="432" t="s">
        <v>342</v>
      </c>
      <c r="C7" s="432"/>
      <c r="D7" s="432"/>
      <c r="E7" s="433" t="s">
        <v>114</v>
      </c>
      <c r="F7" s="433"/>
      <c r="G7" s="433" t="s">
        <v>341</v>
      </c>
      <c r="H7" s="433"/>
      <c r="I7" s="433"/>
      <c r="J7" s="433"/>
      <c r="K7" s="376" t="s">
        <v>363</v>
      </c>
      <c r="L7" s="377"/>
      <c r="M7" s="376" t="s">
        <v>113</v>
      </c>
      <c r="N7" s="377"/>
      <c r="O7" s="153"/>
    </row>
    <row r="8" spans="1:15" ht="20.100000000000001" customHeight="1">
      <c r="A8" s="157"/>
      <c r="B8" s="371" t="s">
        <v>340</v>
      </c>
      <c r="C8" s="364"/>
      <c r="D8" s="364"/>
      <c r="E8" s="364" t="str">
        <f>'1PROJE'!G3</f>
        <v>Z 5001</v>
      </c>
      <c r="F8" s="364"/>
      <c r="G8" s="434">
        <f ca="1">TODAY()</f>
        <v>46024</v>
      </c>
      <c r="H8" s="434"/>
      <c r="I8" s="434"/>
      <c r="J8" s="435"/>
      <c r="K8" s="362" t="str">
        <f>'1PROJE'!D3</f>
        <v>CEREN ÖZYURT</v>
      </c>
      <c r="L8" s="363"/>
      <c r="M8" s="364" t="str">
        <f>IF('1PROJE'!F3="","",'1PROJE'!F3)</f>
        <v>GÜRKAN BEY</v>
      </c>
      <c r="N8" s="364"/>
      <c r="O8" s="153"/>
    </row>
    <row r="9" spans="1:15" ht="5.0999999999999996" customHeight="1">
      <c r="A9" s="158"/>
      <c r="B9" s="159"/>
      <c r="N9" s="158"/>
      <c r="O9" s="153"/>
    </row>
    <row r="10" spans="1:15" ht="16.5" customHeight="1">
      <c r="A10" s="160"/>
      <c r="B10" s="382" t="s">
        <v>339</v>
      </c>
      <c r="C10" s="381"/>
      <c r="D10" s="499"/>
      <c r="E10" s="500"/>
      <c r="F10" s="500"/>
      <c r="G10" s="500"/>
      <c r="H10" s="500"/>
      <c r="I10" s="501"/>
      <c r="J10" s="364" t="s">
        <v>338</v>
      </c>
      <c r="K10" s="364"/>
      <c r="L10" s="364"/>
      <c r="M10" s="376"/>
      <c r="N10" s="377"/>
      <c r="O10" s="153"/>
    </row>
    <row r="11" spans="1:15" ht="24.95" customHeight="1">
      <c r="A11" s="160"/>
      <c r="B11" s="380" t="s">
        <v>337</v>
      </c>
      <c r="C11" s="381"/>
      <c r="D11" s="496" t="str">
        <f>'1PROJE'!E3</f>
        <v>GÜNEŞ PEN</v>
      </c>
      <c r="E11" s="497"/>
      <c r="F11" s="497"/>
      <c r="G11" s="497"/>
      <c r="H11" s="497"/>
      <c r="I11" s="498"/>
      <c r="J11" s="364" t="s">
        <v>336</v>
      </c>
      <c r="K11" s="364"/>
      <c r="L11" s="364"/>
      <c r="M11" s="376"/>
      <c r="N11" s="377"/>
      <c r="O11" s="153"/>
    </row>
    <row r="12" spans="1:15" ht="12" customHeight="1">
      <c r="A12" s="160"/>
      <c r="B12" s="423" t="s">
        <v>334</v>
      </c>
      <c r="C12" s="423"/>
      <c r="D12" s="483" t="str">
        <f>IF('1PROJE'!C3="","",'1PROJE'!C3)</f>
        <v>ULUKENT</v>
      </c>
      <c r="E12" s="484"/>
      <c r="F12" s="484"/>
      <c r="G12" s="484"/>
      <c r="H12" s="484"/>
      <c r="I12" s="485"/>
      <c r="J12" s="364" t="s">
        <v>335</v>
      </c>
      <c r="K12" s="364"/>
      <c r="L12" s="364"/>
      <c r="M12" s="376"/>
      <c r="N12" s="377"/>
      <c r="O12" s="153"/>
    </row>
    <row r="13" spans="1:15" ht="12" customHeight="1">
      <c r="A13" s="160"/>
      <c r="B13" s="423"/>
      <c r="C13" s="423"/>
      <c r="D13" s="486"/>
      <c r="E13" s="487"/>
      <c r="F13" s="487"/>
      <c r="G13" s="487"/>
      <c r="H13" s="487"/>
      <c r="I13" s="488"/>
      <c r="J13" s="364" t="s">
        <v>333</v>
      </c>
      <c r="K13" s="364"/>
      <c r="L13" s="364"/>
      <c r="M13" s="376"/>
      <c r="N13" s="377"/>
      <c r="O13" s="153"/>
    </row>
    <row r="14" spans="1:15" ht="12" customHeight="1">
      <c r="A14" s="160"/>
      <c r="B14" s="423"/>
      <c r="C14" s="423"/>
      <c r="D14" s="489"/>
      <c r="E14" s="490"/>
      <c r="F14" s="490"/>
      <c r="G14" s="490"/>
      <c r="H14" s="490"/>
      <c r="I14" s="491"/>
      <c r="J14" s="364" t="s">
        <v>332</v>
      </c>
      <c r="K14" s="364"/>
      <c r="L14" s="364"/>
      <c r="M14" s="378">
        <f>SUM(E18:E37)</f>
        <v>0</v>
      </c>
      <c r="N14" s="379"/>
      <c r="O14" s="153"/>
    </row>
    <row r="15" spans="1:15" ht="0.95" customHeight="1" thickBot="1">
      <c r="D15" s="272"/>
      <c r="M15" s="95" t="s">
        <v>362</v>
      </c>
      <c r="O15" s="153"/>
    </row>
    <row r="16" spans="1:15" ht="17.25" customHeight="1" thickBot="1">
      <c r="A16" s="161"/>
      <c r="B16" s="482" t="s">
        <v>361</v>
      </c>
      <c r="C16" s="374"/>
      <c r="D16" s="374"/>
      <c r="E16" s="374"/>
      <c r="F16" s="374"/>
      <c r="G16" s="374"/>
      <c r="H16" s="374"/>
      <c r="I16" s="374"/>
      <c r="J16" s="374"/>
      <c r="K16" s="374"/>
      <c r="L16" s="374"/>
      <c r="M16" s="374"/>
      <c r="N16" s="375"/>
      <c r="O16" s="153" t="s">
        <v>327</v>
      </c>
    </row>
    <row r="17" spans="1:18" ht="16.5" customHeight="1">
      <c r="A17" s="162"/>
      <c r="B17" s="163" t="s">
        <v>360</v>
      </c>
      <c r="C17" s="383" t="s">
        <v>99</v>
      </c>
      <c r="D17" s="384"/>
      <c r="E17" s="384"/>
      <c r="F17" s="450" t="s">
        <v>821</v>
      </c>
      <c r="G17" s="450"/>
      <c r="H17" s="450"/>
      <c r="I17" s="450" t="s">
        <v>230</v>
      </c>
      <c r="J17" s="450"/>
      <c r="K17" s="164" t="s">
        <v>816</v>
      </c>
      <c r="L17" s="163" t="s">
        <v>650</v>
      </c>
      <c r="M17" s="492" t="s">
        <v>355</v>
      </c>
      <c r="N17" s="493"/>
      <c r="O17" s="153"/>
    </row>
    <row r="18" spans="1:18" ht="27.6" customHeight="1">
      <c r="A18" s="165"/>
      <c r="B18" s="209">
        <v>1</v>
      </c>
      <c r="C18" s="446" t="str">
        <f>IF('Poz Reçete'!AW3=0,"",'Poz Reçete'!AW3)</f>
        <v/>
      </c>
      <c r="D18" s="447"/>
      <c r="E18" s="448"/>
      <c r="F18" s="446" t="str">
        <f>IF('Poz Reçete'!AX3=0,"",'Poz Reçete'!AX3)</f>
        <v/>
      </c>
      <c r="G18" s="447"/>
      <c r="H18" s="448"/>
      <c r="I18" s="449" t="str">
        <f>IF('Poz Reçete'!AZ3=0,"",'Poz Reçete'!AZ3)</f>
        <v/>
      </c>
      <c r="J18" s="449"/>
      <c r="K18" s="211" t="str">
        <f>IF('Poz Reçete'!BC3=0,"",'Poz Reçete'!BC3)</f>
        <v/>
      </c>
      <c r="L18" s="210" t="str">
        <f>IF('Poz Reçete'!BD3=0,"",'Poz Reçete'!BD3)</f>
        <v/>
      </c>
      <c r="M18" s="494" t="str">
        <f>IF('Poz Reçete'!BE3=0,"",'Poz Reçete'!BE3/((100-'1PROJE'!$N$3)/100)*'1PROJE'!$M$3)</f>
        <v/>
      </c>
      <c r="N18" s="495"/>
      <c r="O18" s="153"/>
      <c r="P18" s="269"/>
      <c r="Q18" s="269"/>
      <c r="R18" s="269"/>
    </row>
    <row r="19" spans="1:18" ht="27.6" customHeight="1">
      <c r="A19" s="165"/>
      <c r="B19" s="209">
        <v>2</v>
      </c>
      <c r="C19" s="446" t="str">
        <f>IF('Poz Reçete'!AW4=0,"",'Poz Reçete'!AW4)</f>
        <v/>
      </c>
      <c r="D19" s="447"/>
      <c r="E19" s="448"/>
      <c r="F19" s="446" t="str">
        <f>IF('Poz Reçete'!AX4=0,"",'Poz Reçete'!AX4)</f>
        <v/>
      </c>
      <c r="G19" s="447"/>
      <c r="H19" s="448"/>
      <c r="I19" s="449" t="str">
        <f>IF('Poz Reçete'!AZ4=0,"",'Poz Reçete'!AZ4)</f>
        <v/>
      </c>
      <c r="J19" s="449"/>
      <c r="K19" s="211" t="str">
        <f>IF('Poz Reçete'!BC4=0,"",'Poz Reçete'!BC4)</f>
        <v/>
      </c>
      <c r="L19" s="210" t="str">
        <f>IF('Poz Reçete'!BD4=0,"",'Poz Reçete'!BD4)</f>
        <v/>
      </c>
      <c r="M19" s="494" t="str">
        <f>IF('Poz Reçete'!BE4=0,"",'Poz Reçete'!BE4/((100-'1PROJE'!$N$3)/100)*'1PROJE'!$M$3)</f>
        <v/>
      </c>
      <c r="N19" s="495"/>
      <c r="O19" s="153"/>
      <c r="P19" s="269"/>
      <c r="Q19" s="269"/>
      <c r="R19" s="269"/>
    </row>
    <row r="20" spans="1:18" ht="27.6" customHeight="1">
      <c r="A20" s="165"/>
      <c r="B20" s="209">
        <v>3</v>
      </c>
      <c r="C20" s="446" t="str">
        <f>IF('Poz Reçete'!AW5=0,"",'Poz Reçete'!AW5)</f>
        <v/>
      </c>
      <c r="D20" s="447"/>
      <c r="E20" s="448"/>
      <c r="F20" s="446" t="str">
        <f>IF('Poz Reçete'!AX5=0,"",'Poz Reçete'!AX5)</f>
        <v/>
      </c>
      <c r="G20" s="447"/>
      <c r="H20" s="448"/>
      <c r="I20" s="449"/>
      <c r="J20" s="449"/>
      <c r="K20" s="211" t="str">
        <f>IF('Poz Reçete'!BC5=0,"",'Poz Reçete'!BC5)</f>
        <v/>
      </c>
      <c r="L20" s="210" t="str">
        <f>IF('Poz Reçete'!BD5=0,"",'Poz Reçete'!BD5)</f>
        <v/>
      </c>
      <c r="M20" s="494" t="str">
        <f>IF('Poz Reçete'!BE5=0,"",'Poz Reçete'!BE5/((100-'1PROJE'!$N$3)/100)*'1PROJE'!$M$3)</f>
        <v/>
      </c>
      <c r="N20" s="495"/>
      <c r="O20" s="153"/>
      <c r="P20" s="269"/>
      <c r="Q20" s="269"/>
      <c r="R20" s="269"/>
    </row>
    <row r="21" spans="1:18" ht="27.6" customHeight="1">
      <c r="A21" s="165"/>
      <c r="B21" s="209">
        <v>4</v>
      </c>
      <c r="C21" s="446" t="str">
        <f>IF('Poz Reçete'!AW6=0,"",'Poz Reçete'!AW6)</f>
        <v/>
      </c>
      <c r="D21" s="447"/>
      <c r="E21" s="448"/>
      <c r="F21" s="446" t="str">
        <f>IF('Poz Reçete'!AX6=0,"",'Poz Reçete'!AX6)</f>
        <v/>
      </c>
      <c r="G21" s="447"/>
      <c r="H21" s="448"/>
      <c r="I21" s="449" t="str">
        <f>IF('Poz Reçete'!AZ6=0,"",'Poz Reçete'!AZ6)</f>
        <v/>
      </c>
      <c r="J21" s="449"/>
      <c r="K21" s="211" t="str">
        <f>IF('Poz Reçete'!BC6=0,"",'Poz Reçete'!BC6)</f>
        <v/>
      </c>
      <c r="L21" s="210" t="str">
        <f>IF('Poz Reçete'!BD6=0,"",'Poz Reçete'!BD6)</f>
        <v/>
      </c>
      <c r="M21" s="494" t="str">
        <f>IF('Poz Reçete'!BE6=0,"",'Poz Reçete'!BE6/((100-'1PROJE'!$N$3)/100)*'1PROJE'!$M$3)</f>
        <v/>
      </c>
      <c r="N21" s="495"/>
      <c r="O21" s="153"/>
      <c r="P21" s="269"/>
      <c r="Q21" s="269"/>
      <c r="R21" s="269"/>
    </row>
    <row r="22" spans="1:18" ht="27.6" customHeight="1">
      <c r="A22" s="165"/>
      <c r="B22" s="209">
        <v>5</v>
      </c>
      <c r="C22" s="446" t="str">
        <f>IF('Poz Reçete'!AW7=0,"",'Poz Reçete'!AW7)</f>
        <v/>
      </c>
      <c r="D22" s="447"/>
      <c r="E22" s="448"/>
      <c r="F22" s="446" t="str">
        <f>IF('Poz Reçete'!AX7=0,"",'Poz Reçete'!AX7)</f>
        <v/>
      </c>
      <c r="G22" s="447"/>
      <c r="H22" s="448"/>
      <c r="I22" s="449" t="str">
        <f>IF('Poz Reçete'!AZ7=0,"",'Poz Reçete'!AZ7)</f>
        <v/>
      </c>
      <c r="J22" s="449"/>
      <c r="K22" s="211" t="str">
        <f>IF('Poz Reçete'!BC7=0,"",'Poz Reçete'!BC7)</f>
        <v/>
      </c>
      <c r="L22" s="210" t="str">
        <f>IF('Poz Reçete'!BD7=0,"",'Poz Reçete'!BD7)</f>
        <v/>
      </c>
      <c r="M22" s="494" t="str">
        <f>IF('Poz Reçete'!BE7=0,"",'Poz Reçete'!BE7/((100-'1PROJE'!$N$3)/100)*'1PROJE'!$M$3)</f>
        <v/>
      </c>
      <c r="N22" s="495"/>
      <c r="O22" s="153"/>
      <c r="P22" s="269"/>
      <c r="Q22" s="269"/>
      <c r="R22" s="269"/>
    </row>
    <row r="23" spans="1:18" ht="27.6" customHeight="1">
      <c r="A23" s="165"/>
      <c r="B23" s="209">
        <v>6</v>
      </c>
      <c r="C23" s="446" t="str">
        <f>IF('Poz Reçete'!AW8=0,"",'Poz Reçete'!AW8)</f>
        <v/>
      </c>
      <c r="D23" s="447"/>
      <c r="E23" s="448"/>
      <c r="F23" s="446" t="str">
        <f>IF('Poz Reçete'!AX8=0,"",'Poz Reçete'!AX8)</f>
        <v/>
      </c>
      <c r="G23" s="447"/>
      <c r="H23" s="448"/>
      <c r="I23" s="449" t="str">
        <f>IF('Poz Reçete'!AZ8=0,"",'Poz Reçete'!AZ8)</f>
        <v/>
      </c>
      <c r="J23" s="449"/>
      <c r="K23" s="211" t="str">
        <f>IF('Poz Reçete'!BC8=0,"",'Poz Reçete'!BC8)</f>
        <v/>
      </c>
      <c r="L23" s="210" t="str">
        <f>IF('Poz Reçete'!BD8=0,"",'Poz Reçete'!BD8)</f>
        <v/>
      </c>
      <c r="M23" s="494" t="str">
        <f>IF('Poz Reçete'!BE8=0,"",'Poz Reçete'!BE8/((100-'1PROJE'!$N$3)/100)*'1PROJE'!$M$3)</f>
        <v/>
      </c>
      <c r="N23" s="495"/>
      <c r="O23" s="153"/>
      <c r="P23" s="269"/>
      <c r="Q23" s="269"/>
      <c r="R23" s="269"/>
    </row>
    <row r="24" spans="1:18" ht="27.6" customHeight="1">
      <c r="A24" s="165"/>
      <c r="B24" s="209">
        <v>7</v>
      </c>
      <c r="C24" s="446" t="str">
        <f>IF('Poz Reçete'!AW9=0,"",'Poz Reçete'!AW9)</f>
        <v/>
      </c>
      <c r="D24" s="447"/>
      <c r="E24" s="448"/>
      <c r="F24" s="446" t="str">
        <f>IF('Poz Reçete'!AX9=0,"",'Poz Reçete'!AX9)</f>
        <v/>
      </c>
      <c r="G24" s="447"/>
      <c r="H24" s="448"/>
      <c r="I24" s="449" t="str">
        <f>IF('Poz Reçete'!AZ9=0,"",'Poz Reçete'!AZ9)</f>
        <v/>
      </c>
      <c r="J24" s="449"/>
      <c r="K24" s="211" t="str">
        <f>IF('Poz Reçete'!BC9=0,"",'Poz Reçete'!BC9)</f>
        <v/>
      </c>
      <c r="L24" s="210" t="str">
        <f>IF('Poz Reçete'!BD9=0,"",'Poz Reçete'!BD9)</f>
        <v/>
      </c>
      <c r="M24" s="494" t="str">
        <f>IF('Poz Reçete'!BE9=0,"",'Poz Reçete'!BE9/((100-'1PROJE'!$N$3)/100)*'1PROJE'!$M$3)</f>
        <v/>
      </c>
      <c r="N24" s="495"/>
      <c r="O24" s="153"/>
      <c r="P24" s="269"/>
      <c r="Q24" s="269"/>
      <c r="R24" s="269"/>
    </row>
    <row r="25" spans="1:18" ht="27.6" customHeight="1">
      <c r="A25" s="165"/>
      <c r="B25" s="209">
        <v>8</v>
      </c>
      <c r="C25" s="446" t="str">
        <f>IF('Poz Reçete'!AW10=0,"",'Poz Reçete'!AW10)</f>
        <v/>
      </c>
      <c r="D25" s="447"/>
      <c r="E25" s="448"/>
      <c r="F25" s="446" t="str">
        <f>IF('Poz Reçete'!AX10=0,"",'Poz Reçete'!AX10)</f>
        <v/>
      </c>
      <c r="G25" s="447"/>
      <c r="H25" s="448"/>
      <c r="I25" s="449" t="str">
        <f>IF('Poz Reçete'!AZ10=0,"",'Poz Reçete'!AZ10)</f>
        <v/>
      </c>
      <c r="J25" s="449"/>
      <c r="K25" s="211" t="str">
        <f>IF('Poz Reçete'!BC10=0,"",'Poz Reçete'!BC10)</f>
        <v/>
      </c>
      <c r="L25" s="210" t="str">
        <f>IF('Poz Reçete'!BD10=0,"",'Poz Reçete'!BD10)</f>
        <v/>
      </c>
      <c r="M25" s="494" t="str">
        <f>IF('Poz Reçete'!BE10=0,"",'Poz Reçete'!BE10/((100-'1PROJE'!$N$3)/100)*'1PROJE'!$M$3)</f>
        <v/>
      </c>
      <c r="N25" s="495"/>
      <c r="O25" s="153"/>
      <c r="P25" s="269"/>
      <c r="Q25" s="269"/>
      <c r="R25" s="269"/>
    </row>
    <row r="26" spans="1:18" ht="27.6" customHeight="1">
      <c r="A26" s="165"/>
      <c r="B26" s="209">
        <v>9</v>
      </c>
      <c r="C26" s="446" t="str">
        <f>IF('Poz Reçete'!AW11=0,"",'Poz Reçete'!AW11)</f>
        <v/>
      </c>
      <c r="D26" s="447"/>
      <c r="E26" s="448"/>
      <c r="F26" s="446" t="str">
        <f>IF('Poz Reçete'!AX11=0,"",'Poz Reçete'!AX11)</f>
        <v/>
      </c>
      <c r="G26" s="447"/>
      <c r="H26" s="448"/>
      <c r="I26" s="449" t="str">
        <f>IF('Poz Reçete'!AZ11=0,"",'Poz Reçete'!AZ11)</f>
        <v/>
      </c>
      <c r="J26" s="449"/>
      <c r="K26" s="211" t="str">
        <f>IF('Poz Reçete'!BC11=0,"",'Poz Reçete'!BC11)</f>
        <v/>
      </c>
      <c r="L26" s="210" t="str">
        <f>IF('Poz Reçete'!BD11=0,"",'Poz Reçete'!BD11)</f>
        <v/>
      </c>
      <c r="M26" s="494" t="str">
        <f>IF('Poz Reçete'!BE11=0,"",'Poz Reçete'!BE11/((100-'1PROJE'!$N$3)/100)*'1PROJE'!$M$3)</f>
        <v/>
      </c>
      <c r="N26" s="495"/>
      <c r="O26" s="153"/>
    </row>
    <row r="27" spans="1:18" ht="27.6" customHeight="1">
      <c r="A27" s="165"/>
      <c r="B27" s="209">
        <v>10</v>
      </c>
      <c r="C27" s="446" t="str">
        <f>IF('Poz Reçete'!AW12=0,"",'Poz Reçete'!AW12)</f>
        <v/>
      </c>
      <c r="D27" s="447"/>
      <c r="E27" s="448"/>
      <c r="F27" s="446" t="str">
        <f>IF('Poz Reçete'!AX12=0,"",'Poz Reçete'!AX12)</f>
        <v/>
      </c>
      <c r="G27" s="447"/>
      <c r="H27" s="448"/>
      <c r="I27" s="449" t="str">
        <f>IF('Poz Reçete'!AZ12=0,"",'Poz Reçete'!AZ12)</f>
        <v/>
      </c>
      <c r="J27" s="449"/>
      <c r="K27" s="211" t="str">
        <f>IF('Poz Reçete'!BC12=0,"",'Poz Reçete'!BC12)</f>
        <v/>
      </c>
      <c r="L27" s="210" t="str">
        <f>IF('Poz Reçete'!BD12=0,"",'Poz Reçete'!BD12)</f>
        <v/>
      </c>
      <c r="M27" s="494" t="str">
        <f>IF('Poz Reçete'!BE12=0,"",'Poz Reçete'!BE12/((100-'1PROJE'!$N$3)/100)*'1PROJE'!$M$3)</f>
        <v/>
      </c>
      <c r="N27" s="495"/>
      <c r="O27" s="153"/>
    </row>
    <row r="28" spans="1:18" ht="27.6" customHeight="1">
      <c r="A28" s="165"/>
      <c r="B28" s="209">
        <v>11</v>
      </c>
      <c r="C28" s="446" t="str">
        <f>IF('Poz Reçete'!AW13=0,"",'Poz Reçete'!AW13)</f>
        <v/>
      </c>
      <c r="D28" s="447"/>
      <c r="E28" s="448"/>
      <c r="F28" s="446" t="str">
        <f>IF('Poz Reçete'!AX13=0,"",'Poz Reçete'!AX13)</f>
        <v/>
      </c>
      <c r="G28" s="447"/>
      <c r="H28" s="448"/>
      <c r="I28" s="449" t="str">
        <f>IF('Poz Reçete'!AZ13=0,"",'Poz Reçete'!AZ13)</f>
        <v/>
      </c>
      <c r="J28" s="449"/>
      <c r="K28" s="211" t="str">
        <f>IF('Poz Reçete'!BC13=0,"",'Poz Reçete'!BC13)</f>
        <v/>
      </c>
      <c r="L28" s="210" t="str">
        <f>IF('Poz Reçete'!BD13=0,"",'Poz Reçete'!BD13)</f>
        <v/>
      </c>
      <c r="M28" s="494" t="str">
        <f>IF('Poz Reçete'!BE13=0,"",'Poz Reçete'!BE13/((100-'1PROJE'!$N$3)/100)*'1PROJE'!$M$3)</f>
        <v/>
      </c>
      <c r="N28" s="495"/>
      <c r="O28" s="153"/>
    </row>
    <row r="29" spans="1:18" ht="27.6" customHeight="1">
      <c r="A29" s="165"/>
      <c r="B29" s="209">
        <v>12</v>
      </c>
      <c r="C29" s="446" t="str">
        <f>IF('Poz Reçete'!AW14=0,"",'Poz Reçete'!AW14)</f>
        <v/>
      </c>
      <c r="D29" s="447"/>
      <c r="E29" s="448"/>
      <c r="F29" s="446" t="str">
        <f>IF('Poz Reçete'!AX14=0,"",'Poz Reçete'!AX14)</f>
        <v/>
      </c>
      <c r="G29" s="447"/>
      <c r="H29" s="448"/>
      <c r="I29" s="449" t="str">
        <f>IF('Poz Reçete'!AZ14=0,"",'Poz Reçete'!AZ14)</f>
        <v/>
      </c>
      <c r="J29" s="449"/>
      <c r="K29" s="211" t="str">
        <f>IF('Poz Reçete'!BC14=0,"",'Poz Reçete'!BC14)</f>
        <v/>
      </c>
      <c r="L29" s="210" t="str">
        <f>IF('Poz Reçete'!BD14=0,"",'Poz Reçete'!BD14)</f>
        <v/>
      </c>
      <c r="M29" s="494" t="str">
        <f>IF('Poz Reçete'!BE14=0,"",'Poz Reçete'!BE14/((100-'1PROJE'!$N$3)/100)*'1PROJE'!$M$3)</f>
        <v/>
      </c>
      <c r="N29" s="495"/>
      <c r="O29" s="153"/>
    </row>
    <row r="30" spans="1:18" ht="27.6" customHeight="1">
      <c r="A30" s="165"/>
      <c r="B30" s="209">
        <v>13</v>
      </c>
      <c r="C30" s="446" t="str">
        <f>IF('Poz Reçete'!AW15=0,"",'Poz Reçete'!AW15)</f>
        <v/>
      </c>
      <c r="D30" s="447"/>
      <c r="E30" s="448"/>
      <c r="F30" s="446" t="str">
        <f>IF('Poz Reçete'!AX15=0,"",'Poz Reçete'!AX15)</f>
        <v/>
      </c>
      <c r="G30" s="447"/>
      <c r="H30" s="448"/>
      <c r="I30" s="449" t="str">
        <f>IF('Poz Reçete'!AZ15=0,"",'Poz Reçete'!AZ15)</f>
        <v/>
      </c>
      <c r="J30" s="449"/>
      <c r="K30" s="211" t="str">
        <f>IF('Poz Reçete'!BC15=0,"",'Poz Reçete'!BC15)</f>
        <v/>
      </c>
      <c r="L30" s="210" t="str">
        <f>IF('Poz Reçete'!BD15=0,"",'Poz Reçete'!BD15)</f>
        <v/>
      </c>
      <c r="M30" s="494" t="str">
        <f>IF('Poz Reçete'!BE15=0,"",'Poz Reçete'!BE15/((100-'1PROJE'!$N$3)/100)*'1PROJE'!$M$3)</f>
        <v/>
      </c>
      <c r="N30" s="495"/>
      <c r="O30" s="153"/>
    </row>
    <row r="31" spans="1:18" ht="27.6" customHeight="1">
      <c r="A31" s="165"/>
      <c r="B31" s="209">
        <v>14</v>
      </c>
      <c r="C31" s="446" t="str">
        <f>IF('Poz Reçete'!AW16=0,"",'Poz Reçete'!AW16)</f>
        <v/>
      </c>
      <c r="D31" s="447"/>
      <c r="E31" s="448"/>
      <c r="F31" s="446" t="str">
        <f>IF('Poz Reçete'!AX16=0,"",'Poz Reçete'!AX16)</f>
        <v/>
      </c>
      <c r="G31" s="447"/>
      <c r="H31" s="448"/>
      <c r="I31" s="449" t="str">
        <f>IF('Poz Reçete'!AZ16=0,"",'Poz Reçete'!AZ16)</f>
        <v/>
      </c>
      <c r="J31" s="449"/>
      <c r="K31" s="211" t="str">
        <f>IF('Poz Reçete'!BC16=0,"",'Poz Reçete'!BC16)</f>
        <v/>
      </c>
      <c r="L31" s="210" t="str">
        <f>IF('Poz Reçete'!BD16=0,"",'Poz Reçete'!BD16)</f>
        <v/>
      </c>
      <c r="M31" s="494" t="str">
        <f>IF('Poz Reçete'!BE16=0,"",'Poz Reçete'!BE16/((100-'1PROJE'!$N$3)/100)*'1PROJE'!$M$3)</f>
        <v/>
      </c>
      <c r="N31" s="495"/>
      <c r="O31" s="153"/>
    </row>
    <row r="32" spans="1:18" ht="27.6" customHeight="1">
      <c r="A32" s="165"/>
      <c r="B32" s="209">
        <v>15</v>
      </c>
      <c r="C32" s="446" t="str">
        <f>IF('Poz Reçete'!AW17=0,"",'Poz Reçete'!AW17)</f>
        <v/>
      </c>
      <c r="D32" s="447"/>
      <c r="E32" s="448"/>
      <c r="F32" s="446" t="str">
        <f>IF('Poz Reçete'!AX17=0,"",'Poz Reçete'!AX17)</f>
        <v/>
      </c>
      <c r="G32" s="447"/>
      <c r="H32" s="448"/>
      <c r="I32" s="449" t="str">
        <f>IF('Poz Reçete'!AZ17=0,"",'Poz Reçete'!AZ17)</f>
        <v/>
      </c>
      <c r="J32" s="449"/>
      <c r="K32" s="211" t="str">
        <f>IF('Poz Reçete'!BC17=0,"",'Poz Reçete'!BC17)</f>
        <v/>
      </c>
      <c r="L32" s="210" t="str">
        <f>IF('Poz Reçete'!BD17=0,"",'Poz Reçete'!BD17)</f>
        <v/>
      </c>
      <c r="M32" s="494" t="str">
        <f>IF('Poz Reçete'!BE17=0,"",'Poz Reçete'!BE17/((100-'1PROJE'!$N$3)/100)*'1PROJE'!$M$3)</f>
        <v/>
      </c>
      <c r="N32" s="495"/>
      <c r="O32" s="153"/>
    </row>
    <row r="33" spans="1:15" ht="27.6" customHeight="1">
      <c r="A33" s="165"/>
      <c r="B33" s="209">
        <v>16</v>
      </c>
      <c r="C33" s="446" t="str">
        <f>IF('Poz Reçete'!AW18=0,"",'Poz Reçete'!AW18)</f>
        <v/>
      </c>
      <c r="D33" s="447"/>
      <c r="E33" s="448"/>
      <c r="F33" s="446" t="str">
        <f>IF('Poz Reçete'!AX18=0,"",'Poz Reçete'!AX18)</f>
        <v/>
      </c>
      <c r="G33" s="447"/>
      <c r="H33" s="448"/>
      <c r="I33" s="449" t="str">
        <f>IF('Poz Reçete'!AZ18=0,"",'Poz Reçete'!AZ18)</f>
        <v/>
      </c>
      <c r="J33" s="449"/>
      <c r="K33" s="211" t="str">
        <f>IF('Poz Reçete'!BC18=0,"",'Poz Reçete'!BC18)</f>
        <v/>
      </c>
      <c r="L33" s="210" t="str">
        <f>IF('Poz Reçete'!BD18=0,"",'Poz Reçete'!BD18)</f>
        <v/>
      </c>
      <c r="M33" s="494" t="str">
        <f>IF('Poz Reçete'!BE18=0,"",'Poz Reçete'!BE18/((100-'1PROJE'!$N$3)/100)*'1PROJE'!$M$3)</f>
        <v/>
      </c>
      <c r="N33" s="495"/>
      <c r="O33" s="153"/>
    </row>
    <row r="34" spans="1:15" ht="27.6" customHeight="1">
      <c r="A34" s="165"/>
      <c r="B34" s="209">
        <v>17</v>
      </c>
      <c r="C34" s="446" t="str">
        <f>IF('Poz Reçete'!AW19=0,"",'Poz Reçete'!AW19)</f>
        <v/>
      </c>
      <c r="D34" s="447"/>
      <c r="E34" s="448"/>
      <c r="F34" s="446" t="str">
        <f>IF('Poz Reçete'!AX19=0,"",'Poz Reçete'!AX19)</f>
        <v/>
      </c>
      <c r="G34" s="447"/>
      <c r="H34" s="448"/>
      <c r="I34" s="449" t="str">
        <f>IF('Poz Reçete'!AZ19=0,"",'Poz Reçete'!AZ19)</f>
        <v/>
      </c>
      <c r="J34" s="449"/>
      <c r="K34" s="211" t="str">
        <f>IF('Poz Reçete'!BC19=0,"",'Poz Reçete'!BC19)</f>
        <v/>
      </c>
      <c r="L34" s="210" t="str">
        <f>IF('Poz Reçete'!BD19=0,"",'Poz Reçete'!BD19)</f>
        <v/>
      </c>
      <c r="M34" s="494" t="str">
        <f>IF('Poz Reçete'!BE19=0,"",'Poz Reçete'!BE19/((100-'1PROJE'!$N$3)/100)*'1PROJE'!$M$3)</f>
        <v/>
      </c>
      <c r="N34" s="495"/>
      <c r="O34" s="153"/>
    </row>
    <row r="35" spans="1:15" ht="27.6" customHeight="1">
      <c r="A35" s="165"/>
      <c r="B35" s="209">
        <v>18</v>
      </c>
      <c r="C35" s="446" t="str">
        <f>IF('Poz Reçete'!AW20=0,"",'Poz Reçete'!AW20)</f>
        <v/>
      </c>
      <c r="D35" s="447"/>
      <c r="E35" s="448"/>
      <c r="F35" s="446" t="str">
        <f>IF('Poz Reçete'!AX20=0,"",'Poz Reçete'!AX20)</f>
        <v/>
      </c>
      <c r="G35" s="447"/>
      <c r="H35" s="448"/>
      <c r="I35" s="449" t="str">
        <f>IF('Poz Reçete'!AZ20=0,"",'Poz Reçete'!AZ20)</f>
        <v/>
      </c>
      <c r="J35" s="449"/>
      <c r="K35" s="211" t="str">
        <f>IF('Poz Reçete'!BC20=0,"",'Poz Reçete'!BC20)</f>
        <v/>
      </c>
      <c r="L35" s="210" t="str">
        <f>IF('Poz Reçete'!BD20=0,"",'Poz Reçete'!BD20)</f>
        <v/>
      </c>
      <c r="M35" s="494" t="str">
        <f>IF('Poz Reçete'!BE20=0,"",'Poz Reçete'!BE20/((100-'1PROJE'!$N$3)/100)*'1PROJE'!$M$3)</f>
        <v/>
      </c>
      <c r="N35" s="495"/>
      <c r="O35" s="153"/>
    </row>
    <row r="36" spans="1:15" ht="27.6" customHeight="1">
      <c r="A36" s="165"/>
      <c r="B36" s="209">
        <v>19</v>
      </c>
      <c r="C36" s="446" t="str">
        <f>IF('Poz Reçete'!AW21=0,"",'Poz Reçete'!AW21)</f>
        <v/>
      </c>
      <c r="D36" s="447"/>
      <c r="E36" s="448"/>
      <c r="F36" s="446" t="str">
        <f>IF('Poz Reçete'!AX21=0,"",'Poz Reçete'!AX21)</f>
        <v/>
      </c>
      <c r="G36" s="447"/>
      <c r="H36" s="448"/>
      <c r="I36" s="449" t="str">
        <f>IF('Poz Reçete'!AZ21=0,"",'Poz Reçete'!AZ21)</f>
        <v/>
      </c>
      <c r="J36" s="449"/>
      <c r="K36" s="211" t="str">
        <f>IF('Poz Reçete'!BC21=0,"",'Poz Reçete'!BC21)</f>
        <v/>
      </c>
      <c r="L36" s="210" t="str">
        <f>IF('Poz Reçete'!BD21=0,"",'Poz Reçete'!BD21)</f>
        <v/>
      </c>
      <c r="M36" s="494" t="str">
        <f>IF('Poz Reçete'!BE21=0,"",'Poz Reçete'!BE21/((100-'1PROJE'!$N$3)/100)*'1PROJE'!$M$3)</f>
        <v/>
      </c>
      <c r="N36" s="495"/>
      <c r="O36" s="153"/>
    </row>
    <row r="37" spans="1:15" ht="27.6" customHeight="1" thickBot="1">
      <c r="A37" s="165"/>
      <c r="B37" s="209">
        <v>20</v>
      </c>
      <c r="C37" s="446" t="str">
        <f>IF('Poz Reçete'!AW22=0,"",'Poz Reçete'!AW22)</f>
        <v/>
      </c>
      <c r="D37" s="447"/>
      <c r="E37" s="448"/>
      <c r="F37" s="446" t="str">
        <f>IF('Poz Reçete'!AX22=0,"",'Poz Reçete'!AX22)</f>
        <v/>
      </c>
      <c r="G37" s="447"/>
      <c r="H37" s="448"/>
      <c r="I37" s="449" t="str">
        <f>IF('Poz Reçete'!AZ22=0,"",'Poz Reçete'!AZ22)</f>
        <v/>
      </c>
      <c r="J37" s="449"/>
      <c r="K37" s="211" t="str">
        <f>IF('Poz Reçete'!BC22=0,"",'Poz Reçete'!BC22)</f>
        <v/>
      </c>
      <c r="L37" s="210" t="str">
        <f>IF('Poz Reçete'!BD22=0,"",'Poz Reçete'!BD22)</f>
        <v/>
      </c>
      <c r="M37" s="494" t="str">
        <f>IF('Poz Reçete'!BE22=0,"",'Poz Reçete'!BE22/((100-'1PROJE'!$N$3)/100)*'1PROJE'!$M$3)</f>
        <v/>
      </c>
      <c r="N37" s="495"/>
      <c r="O37" s="153"/>
    </row>
    <row r="38" spans="1:15" ht="5.45" customHeight="1" thickTop="1">
      <c r="A38" s="165"/>
      <c r="B38" s="174"/>
      <c r="C38" s="175"/>
      <c r="D38" s="175"/>
      <c r="E38" s="175"/>
      <c r="F38" s="176"/>
      <c r="G38" s="176"/>
      <c r="H38" s="176"/>
      <c r="I38" s="176"/>
      <c r="J38" s="176"/>
      <c r="K38" s="177"/>
      <c r="L38" s="177"/>
      <c r="M38" s="177"/>
      <c r="N38" s="178"/>
      <c r="O38" s="153"/>
    </row>
    <row r="39" spans="1:15" ht="16.5" customHeight="1">
      <c r="A39" s="165"/>
      <c r="B39" s="475"/>
      <c r="C39" s="475"/>
      <c r="D39" s="475"/>
      <c r="E39" s="475"/>
      <c r="F39" s="475"/>
      <c r="G39" s="475"/>
      <c r="H39" s="179"/>
      <c r="I39" s="476" t="s">
        <v>609</v>
      </c>
      <c r="J39" s="477"/>
      <c r="K39" s="468" t="str">
        <f>IF('1PROJE'!N7="","",('1PROJE'!O7&amp;" x Adet "&amp;'1PROJE'!N7))</f>
        <v>1 x Adet FERRINI 1 KANALLI</v>
      </c>
      <c r="L39" s="469"/>
      <c r="M39" s="180">
        <f>IF(ISERROR(xHesaplama!AF11),"",xHesaplama!AF11)</f>
        <v>12</v>
      </c>
      <c r="N39" s="181">
        <f>IF(M39="",0,M39*'1PROJE'!O7)</f>
        <v>12</v>
      </c>
      <c r="O39" s="153"/>
    </row>
    <row r="40" spans="1:15" ht="16.5" customHeight="1">
      <c r="A40" s="165"/>
      <c r="B40" s="470"/>
      <c r="C40" s="470"/>
      <c r="D40" s="470"/>
      <c r="E40" s="471"/>
      <c r="F40" s="471"/>
      <c r="G40" s="471"/>
      <c r="H40" s="179"/>
      <c r="I40" s="478"/>
      <c r="J40" s="479"/>
      <c r="K40" s="472" t="str">
        <f>IF('1PROJE'!N8="","",('1PROJE'!O8&amp;" x Adet "&amp;'1PROJE'!N8))</f>
        <v/>
      </c>
      <c r="L40" s="473"/>
      <c r="M40" s="180" t="str">
        <f>IF(ISERROR(xHesaplama!AF12),"",xHesaplama!AF12)</f>
        <v/>
      </c>
      <c r="N40" s="181">
        <f>IF(M40="",0,M40*'1PROJE'!O8)</f>
        <v>0</v>
      </c>
      <c r="O40" s="153"/>
    </row>
    <row r="41" spans="1:15" ht="16.5" customHeight="1">
      <c r="A41" s="165"/>
      <c r="B41" s="474"/>
      <c r="C41" s="474"/>
      <c r="D41" s="474"/>
      <c r="E41" s="474"/>
      <c r="F41" s="474"/>
      <c r="G41" s="474"/>
      <c r="H41" s="179"/>
      <c r="I41" s="480"/>
      <c r="J41" s="481"/>
      <c r="K41" s="472" t="str">
        <f>IF('1PROJE'!N9="","",('1PROJE'!O9&amp;" x Adet "&amp;'1PROJE'!N9))</f>
        <v/>
      </c>
      <c r="L41" s="473"/>
      <c r="M41" s="180" t="str">
        <f>IF(ISERROR(xHesaplama!AF13),"",xHesaplama!AF13)</f>
        <v/>
      </c>
      <c r="N41" s="182">
        <f>IF(M41="",0,M41*'1PROJE'!O9)</f>
        <v>0</v>
      </c>
      <c r="O41" s="153"/>
    </row>
    <row r="42" spans="1:15" ht="6.6" customHeight="1" thickBot="1">
      <c r="A42" s="165"/>
      <c r="B42" s="185"/>
      <c r="C42" s="162"/>
      <c r="D42" s="162"/>
      <c r="E42" s="162"/>
      <c r="F42" s="179"/>
      <c r="G42" s="179"/>
      <c r="H42" s="179"/>
      <c r="I42" s="179"/>
      <c r="J42" s="179"/>
      <c r="K42" s="186"/>
      <c r="L42" s="187"/>
      <c r="M42" s="188"/>
      <c r="N42" s="188"/>
      <c r="O42" s="153"/>
    </row>
    <row r="43" spans="1:15" ht="16.5" customHeight="1" thickTop="1" thickBot="1">
      <c r="A43" s="165"/>
      <c r="B43" s="412" t="s">
        <v>354</v>
      </c>
      <c r="C43" s="417"/>
      <c r="D43" s="463"/>
      <c r="E43" s="463"/>
      <c r="F43" s="463"/>
      <c r="G43" s="463"/>
      <c r="H43" s="463"/>
      <c r="I43" s="463"/>
      <c r="J43" s="463"/>
      <c r="K43" s="463"/>
      <c r="L43" s="453" t="s">
        <v>347</v>
      </c>
      <c r="M43" s="453"/>
      <c r="N43" s="189">
        <f>SUM(M18:M37)+N39+N40</f>
        <v>12</v>
      </c>
      <c r="O43" s="153"/>
    </row>
    <row r="44" spans="1:15" ht="15.6" customHeight="1" thickTop="1" thickBot="1">
      <c r="A44" s="165"/>
      <c r="B44" s="413"/>
      <c r="C44" s="464"/>
      <c r="D44" s="465"/>
      <c r="E44" s="465"/>
      <c r="F44" s="465"/>
      <c r="G44" s="465"/>
      <c r="H44" s="465"/>
      <c r="I44" s="465"/>
      <c r="J44" s="465"/>
      <c r="K44" s="465"/>
      <c r="L44" s="453" t="s">
        <v>614</v>
      </c>
      <c r="M44" s="453"/>
      <c r="N44" s="189">
        <f>N43*0.2</f>
        <v>2.4000000000000004</v>
      </c>
      <c r="O44" s="153"/>
    </row>
    <row r="45" spans="1:15" ht="20.25" customHeight="1" thickTop="1" thickBot="1">
      <c r="A45" s="165"/>
      <c r="B45" s="414"/>
      <c r="C45" s="466"/>
      <c r="D45" s="467"/>
      <c r="E45" s="467"/>
      <c r="F45" s="467"/>
      <c r="G45" s="467"/>
      <c r="H45" s="467"/>
      <c r="I45" s="467"/>
      <c r="J45" s="467"/>
      <c r="K45" s="467"/>
      <c r="L45" s="453" t="s">
        <v>345</v>
      </c>
      <c r="M45" s="453"/>
      <c r="N45" s="191">
        <f>N43+N44</f>
        <v>14.4</v>
      </c>
      <c r="O45" s="153"/>
    </row>
    <row r="46" spans="1:15" ht="3.95" customHeight="1" thickTop="1" thickBot="1">
      <c r="A46" s="165"/>
      <c r="B46" s="192"/>
      <c r="C46" s="190"/>
      <c r="D46" s="190"/>
      <c r="E46" s="190"/>
      <c r="F46" s="190"/>
      <c r="G46" s="190"/>
      <c r="H46" s="190"/>
      <c r="I46" s="190"/>
      <c r="J46" s="190"/>
      <c r="K46" s="190"/>
      <c r="L46" s="193"/>
      <c r="M46" s="194"/>
      <c r="N46" s="194"/>
      <c r="O46" s="153"/>
    </row>
    <row r="47" spans="1:15" ht="15" customHeight="1" thickBot="1">
      <c r="A47" s="165"/>
      <c r="B47" s="408" t="s">
        <v>353</v>
      </c>
      <c r="C47" s="409"/>
      <c r="D47" s="409"/>
      <c r="E47" s="409"/>
      <c r="F47" s="409"/>
      <c r="G47" s="410"/>
      <c r="H47" s="410"/>
      <c r="I47" s="410"/>
      <c r="J47" s="410"/>
      <c r="K47" s="410"/>
      <c r="L47" s="410"/>
      <c r="M47" s="410"/>
      <c r="N47" s="411"/>
      <c r="O47" s="153"/>
    </row>
    <row r="48" spans="1:15" ht="15" customHeight="1" thickBot="1">
      <c r="A48" s="165"/>
      <c r="B48" s="454" t="s">
        <v>352</v>
      </c>
      <c r="C48" s="455"/>
      <c r="D48" s="455"/>
      <c r="E48" s="455"/>
      <c r="F48" s="456"/>
      <c r="G48" s="457" t="s">
        <v>351</v>
      </c>
      <c r="H48" s="458"/>
      <c r="I48" s="458"/>
      <c r="J48" s="458"/>
      <c r="K48" s="459"/>
      <c r="L48" s="460" t="s">
        <v>350</v>
      </c>
      <c r="M48" s="461"/>
      <c r="N48" s="462"/>
      <c r="O48" s="153"/>
    </row>
    <row r="49" spans="1:15" ht="23.1" customHeight="1">
      <c r="A49" s="165"/>
      <c r="B49" s="360" t="s">
        <v>349</v>
      </c>
      <c r="C49" s="361"/>
      <c r="D49" s="195" t="s">
        <v>346</v>
      </c>
      <c r="E49" s="361" t="s">
        <v>348</v>
      </c>
      <c r="F49" s="386"/>
      <c r="G49" s="343" t="s">
        <v>349</v>
      </c>
      <c r="H49" s="344"/>
      <c r="I49" s="345"/>
      <c r="J49" s="196" t="s">
        <v>346</v>
      </c>
      <c r="K49" s="197" t="s">
        <v>348</v>
      </c>
      <c r="L49" s="198" t="s">
        <v>349</v>
      </c>
      <c r="M49" s="199" t="s">
        <v>346</v>
      </c>
      <c r="N49" s="200" t="s">
        <v>348</v>
      </c>
      <c r="O49" s="153"/>
    </row>
    <row r="50" spans="1:15" ht="20.100000000000001" customHeight="1" thickBot="1">
      <c r="A50" s="165"/>
      <c r="B50" s="356">
        <f>L50*0.9</f>
        <v>10.8</v>
      </c>
      <c r="C50" s="357"/>
      <c r="D50" s="201">
        <f>B50*0.2</f>
        <v>2.16</v>
      </c>
      <c r="E50" s="357">
        <f>B50+D50</f>
        <v>12.96</v>
      </c>
      <c r="F50" s="452"/>
      <c r="G50" s="346">
        <f>B50*1.037</f>
        <v>11.1996</v>
      </c>
      <c r="H50" s="347"/>
      <c r="I50" s="348"/>
      <c r="J50" s="202">
        <f>G50*0.2</f>
        <v>2.2399200000000001</v>
      </c>
      <c r="K50" s="203">
        <f>G50+J50</f>
        <v>13.43952</v>
      </c>
      <c r="L50" s="204">
        <f>N43</f>
        <v>12</v>
      </c>
      <c r="M50" s="205">
        <f>N44</f>
        <v>2.4000000000000004</v>
      </c>
      <c r="N50" s="206">
        <f>N45</f>
        <v>14.4</v>
      </c>
      <c r="O50" s="153"/>
    </row>
    <row r="51" spans="1:15" ht="3.95" customHeight="1">
      <c r="A51" s="165"/>
      <c r="C51" s="207"/>
      <c r="D51" s="207"/>
      <c r="E51" s="207"/>
      <c r="F51" s="207"/>
      <c r="G51" s="154"/>
      <c r="H51" s="154"/>
      <c r="I51" s="154"/>
      <c r="J51" s="154"/>
      <c r="K51" s="154"/>
      <c r="L51" s="154"/>
      <c r="M51" s="154"/>
    </row>
    <row r="52" spans="1:15" ht="15" customHeight="1">
      <c r="A52" s="165"/>
      <c r="B52" s="355" t="s">
        <v>331</v>
      </c>
      <c r="C52" s="355"/>
      <c r="D52" s="355"/>
      <c r="E52" s="355"/>
      <c r="F52" s="355"/>
      <c r="G52" s="355"/>
      <c r="H52" s="355"/>
      <c r="I52" s="355"/>
      <c r="J52" s="355"/>
      <c r="K52" s="355"/>
      <c r="L52" s="355"/>
      <c r="M52" s="355"/>
      <c r="N52" s="355"/>
    </row>
    <row r="53" spans="1:15" ht="15" customHeight="1">
      <c r="A53" s="165"/>
      <c r="B53" s="451" t="s">
        <v>615</v>
      </c>
      <c r="C53" s="451"/>
      <c r="D53" s="451"/>
      <c r="E53" s="451"/>
      <c r="F53" s="451"/>
      <c r="G53" s="451"/>
      <c r="H53" s="451"/>
      <c r="I53" s="451"/>
      <c r="J53" s="451"/>
      <c r="K53" s="451"/>
      <c r="L53" s="451"/>
      <c r="M53" s="451"/>
      <c r="N53" s="451"/>
    </row>
    <row r="54" spans="1:15" ht="15" customHeight="1">
      <c r="A54" s="165"/>
      <c r="B54" s="451"/>
      <c r="C54" s="451"/>
      <c r="D54" s="451"/>
      <c r="E54" s="451"/>
      <c r="F54" s="451"/>
      <c r="G54" s="451"/>
      <c r="H54" s="451"/>
      <c r="I54" s="451"/>
      <c r="J54" s="451"/>
      <c r="K54" s="451"/>
      <c r="L54" s="451"/>
      <c r="M54" s="451"/>
      <c r="N54" s="451"/>
    </row>
    <row r="55" spans="1:15" ht="15" customHeight="1">
      <c r="A55" s="165"/>
      <c r="B55" s="451"/>
      <c r="C55" s="451"/>
      <c r="D55" s="451"/>
      <c r="E55" s="451"/>
      <c r="F55" s="451"/>
      <c r="G55" s="451"/>
      <c r="H55" s="451"/>
      <c r="I55" s="451"/>
      <c r="J55" s="451"/>
      <c r="K55" s="451"/>
      <c r="L55" s="451"/>
      <c r="M55" s="451"/>
      <c r="N55" s="451"/>
    </row>
    <row r="56" spans="1:15" ht="15" customHeight="1">
      <c r="A56" s="165"/>
      <c r="B56" s="451"/>
      <c r="C56" s="451"/>
      <c r="D56" s="451"/>
      <c r="E56" s="451"/>
      <c r="F56" s="451"/>
      <c r="G56" s="451"/>
      <c r="H56" s="451"/>
      <c r="I56" s="451"/>
      <c r="J56" s="451"/>
      <c r="K56" s="451"/>
      <c r="L56" s="451"/>
      <c r="M56" s="451"/>
      <c r="N56" s="451"/>
    </row>
    <row r="57" spans="1:15" ht="15" customHeight="1">
      <c r="A57" s="165"/>
      <c r="B57" s="451"/>
      <c r="C57" s="451"/>
      <c r="D57" s="451"/>
      <c r="E57" s="451"/>
      <c r="F57" s="451"/>
      <c r="G57" s="451"/>
      <c r="H57" s="451"/>
      <c r="I57" s="451"/>
      <c r="J57" s="451"/>
      <c r="K57" s="451"/>
      <c r="L57" s="451"/>
      <c r="M57" s="451"/>
      <c r="N57" s="451"/>
    </row>
    <row r="58" spans="1:15" ht="18" customHeight="1">
      <c r="A58" s="165"/>
      <c r="B58" s="451"/>
      <c r="C58" s="451"/>
      <c r="D58" s="451"/>
      <c r="E58" s="451"/>
      <c r="F58" s="451"/>
      <c r="G58" s="451"/>
      <c r="H58" s="451"/>
      <c r="I58" s="451"/>
      <c r="J58" s="451"/>
      <c r="K58" s="451"/>
      <c r="L58" s="451"/>
      <c r="M58" s="451"/>
      <c r="N58" s="451"/>
    </row>
    <row r="59" spans="1:15" ht="9.9499999999999993" customHeight="1">
      <c r="B59" s="349" t="s">
        <v>330</v>
      </c>
      <c r="C59" s="349"/>
      <c r="D59" s="349"/>
      <c r="E59" s="349"/>
      <c r="F59" s="349"/>
      <c r="G59" s="349"/>
      <c r="H59" s="349"/>
      <c r="I59" s="349"/>
      <c r="J59" s="153"/>
      <c r="K59" s="153"/>
      <c r="L59" s="153"/>
      <c r="M59" s="153"/>
      <c r="N59" s="153"/>
    </row>
    <row r="60" spans="1:15" ht="11.1" customHeight="1">
      <c r="B60" s="349"/>
      <c r="C60" s="349"/>
      <c r="D60" s="349"/>
      <c r="E60" s="349"/>
      <c r="F60" s="349"/>
      <c r="G60" s="349"/>
      <c r="H60" s="349"/>
      <c r="I60" s="349"/>
      <c r="J60" s="153"/>
      <c r="K60" s="341" t="s">
        <v>329</v>
      </c>
      <c r="L60" s="341"/>
      <c r="M60" s="341"/>
      <c r="N60" s="341"/>
    </row>
    <row r="61" spans="1:15" ht="6" customHeight="1">
      <c r="B61" s="349"/>
      <c r="C61" s="349"/>
      <c r="D61" s="349"/>
      <c r="E61" s="349"/>
      <c r="F61" s="349"/>
      <c r="G61" s="349"/>
      <c r="H61" s="349"/>
      <c r="I61" s="349"/>
      <c r="J61" s="153"/>
      <c r="K61" s="341" t="s">
        <v>328</v>
      </c>
      <c r="L61" s="341"/>
      <c r="M61" s="341"/>
      <c r="N61" s="341"/>
    </row>
    <row r="62" spans="1:15" ht="9.75" customHeight="1">
      <c r="B62" s="349"/>
      <c r="C62" s="349"/>
      <c r="D62" s="349"/>
      <c r="E62" s="349"/>
      <c r="F62" s="349"/>
      <c r="G62" s="349"/>
      <c r="H62" s="349"/>
      <c r="I62" s="349"/>
      <c r="J62" s="153"/>
      <c r="K62" s="341"/>
      <c r="L62" s="341"/>
      <c r="M62" s="341"/>
      <c r="N62" s="341"/>
    </row>
    <row r="63" spans="1:15" ht="7.5" customHeight="1">
      <c r="B63" s="349"/>
      <c r="C63" s="349"/>
      <c r="D63" s="349"/>
      <c r="E63" s="349"/>
      <c r="F63" s="349"/>
      <c r="G63" s="349"/>
      <c r="H63" s="349"/>
      <c r="I63" s="349"/>
      <c r="J63" s="153"/>
      <c r="K63" s="155"/>
      <c r="L63" s="155"/>
      <c r="M63" s="155"/>
      <c r="N63" s="155"/>
    </row>
  </sheetData>
  <mergeCells count="144">
    <mergeCell ref="M29:N29"/>
    <mergeCell ref="M30:N30"/>
    <mergeCell ref="M31:N31"/>
    <mergeCell ref="M32:N32"/>
    <mergeCell ref="M33:N33"/>
    <mergeCell ref="M34:N34"/>
    <mergeCell ref="M35:N35"/>
    <mergeCell ref="M36:N36"/>
    <mergeCell ref="M37:N37"/>
    <mergeCell ref="M20:N20"/>
    <mergeCell ref="M21:N21"/>
    <mergeCell ref="M22:N22"/>
    <mergeCell ref="M23:N23"/>
    <mergeCell ref="M24:N24"/>
    <mergeCell ref="M25:N25"/>
    <mergeCell ref="M26:N26"/>
    <mergeCell ref="M27:N27"/>
    <mergeCell ref="M28:N28"/>
    <mergeCell ref="L2:N5"/>
    <mergeCell ref="G7:J7"/>
    <mergeCell ref="K7:L7"/>
    <mergeCell ref="M7:N7"/>
    <mergeCell ref="G8:J8"/>
    <mergeCell ref="B7:D7"/>
    <mergeCell ref="E7:F7"/>
    <mergeCell ref="B2:F5"/>
    <mergeCell ref="G2:K5"/>
    <mergeCell ref="B11:C11"/>
    <mergeCell ref="D11:I11"/>
    <mergeCell ref="K8:L8"/>
    <mergeCell ref="M8:N8"/>
    <mergeCell ref="B10:C10"/>
    <mergeCell ref="D10:I10"/>
    <mergeCell ref="J10:L10"/>
    <mergeCell ref="M10:N10"/>
    <mergeCell ref="J11:L11"/>
    <mergeCell ref="M11:N11"/>
    <mergeCell ref="B8:D8"/>
    <mergeCell ref="E8:F8"/>
    <mergeCell ref="B16:N16"/>
    <mergeCell ref="C17:E17"/>
    <mergeCell ref="I18:J18"/>
    <mergeCell ref="C19:E19"/>
    <mergeCell ref="F19:H19"/>
    <mergeCell ref="I19:J19"/>
    <mergeCell ref="B12:C14"/>
    <mergeCell ref="D12:I14"/>
    <mergeCell ref="J12:L12"/>
    <mergeCell ref="M12:N12"/>
    <mergeCell ref="J13:L13"/>
    <mergeCell ref="M13:N13"/>
    <mergeCell ref="J14:L14"/>
    <mergeCell ref="M14:N14"/>
    <mergeCell ref="M17:N17"/>
    <mergeCell ref="M18:N18"/>
    <mergeCell ref="M19:N19"/>
    <mergeCell ref="C27:E27"/>
    <mergeCell ref="F27:H27"/>
    <mergeCell ref="I27:J27"/>
    <mergeCell ref="C28:E28"/>
    <mergeCell ref="C24:E24"/>
    <mergeCell ref="F24:H24"/>
    <mergeCell ref="C26:E26"/>
    <mergeCell ref="F26:H26"/>
    <mergeCell ref="I26:J26"/>
    <mergeCell ref="K39:L39"/>
    <mergeCell ref="B40:D40"/>
    <mergeCell ref="E40:G40"/>
    <mergeCell ref="K40:L40"/>
    <mergeCell ref="B41:D41"/>
    <mergeCell ref="E41:G41"/>
    <mergeCell ref="K41:L41"/>
    <mergeCell ref="B39:D39"/>
    <mergeCell ref="E39:G39"/>
    <mergeCell ref="I39:J41"/>
    <mergeCell ref="L45:M45"/>
    <mergeCell ref="B47:N47"/>
    <mergeCell ref="B48:F48"/>
    <mergeCell ref="G48:K48"/>
    <mergeCell ref="L48:N48"/>
    <mergeCell ref="B43:B45"/>
    <mergeCell ref="C43:K45"/>
    <mergeCell ref="L43:M43"/>
    <mergeCell ref="L44:M44"/>
    <mergeCell ref="B59:I63"/>
    <mergeCell ref="K60:N60"/>
    <mergeCell ref="K61:N62"/>
    <mergeCell ref="B52:N52"/>
    <mergeCell ref="B53:N58"/>
    <mergeCell ref="B49:C49"/>
    <mergeCell ref="E49:F49"/>
    <mergeCell ref="G49:I49"/>
    <mergeCell ref="B50:C50"/>
    <mergeCell ref="E50:F50"/>
    <mergeCell ref="G50:I50"/>
    <mergeCell ref="C20:E20"/>
    <mergeCell ref="F20:H20"/>
    <mergeCell ref="I20:J20"/>
    <mergeCell ref="F17:H17"/>
    <mergeCell ref="I17:J17"/>
    <mergeCell ref="F18:H18"/>
    <mergeCell ref="I24:J24"/>
    <mergeCell ref="C25:E25"/>
    <mergeCell ref="F25:H25"/>
    <mergeCell ref="I25:J25"/>
    <mergeCell ref="I21:J21"/>
    <mergeCell ref="C22:E22"/>
    <mergeCell ref="F22:H22"/>
    <mergeCell ref="I22:J22"/>
    <mergeCell ref="C23:E23"/>
    <mergeCell ref="F23:H23"/>
    <mergeCell ref="I23:J23"/>
    <mergeCell ref="C21:E21"/>
    <mergeCell ref="F21:H21"/>
    <mergeCell ref="C18:E18"/>
    <mergeCell ref="C31:E31"/>
    <mergeCell ref="F31:H31"/>
    <mergeCell ref="I31:J31"/>
    <mergeCell ref="C32:E32"/>
    <mergeCell ref="F32:H32"/>
    <mergeCell ref="I32:J32"/>
    <mergeCell ref="F28:H28"/>
    <mergeCell ref="I28:J28"/>
    <mergeCell ref="C29:E29"/>
    <mergeCell ref="F29:H29"/>
    <mergeCell ref="I29:J29"/>
    <mergeCell ref="C30:E30"/>
    <mergeCell ref="F30:H30"/>
    <mergeCell ref="I30:J30"/>
    <mergeCell ref="F36:H36"/>
    <mergeCell ref="I36:J36"/>
    <mergeCell ref="C37:E37"/>
    <mergeCell ref="F37:H37"/>
    <mergeCell ref="I37:J37"/>
    <mergeCell ref="C33:E33"/>
    <mergeCell ref="F33:H33"/>
    <mergeCell ref="I33:J33"/>
    <mergeCell ref="C34:E34"/>
    <mergeCell ref="F34:H34"/>
    <mergeCell ref="I34:J34"/>
    <mergeCell ref="C35:E35"/>
    <mergeCell ref="F35:H35"/>
    <mergeCell ref="I35:J35"/>
    <mergeCell ref="C36:E36"/>
  </mergeCells>
  <printOptions horizontalCentered="1"/>
  <pageMargins left="0" right="0" top="0" bottom="0" header="0" footer="0"/>
  <pageSetup paperSize="9" scale="7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32CCF-064E-4EFC-8688-770D85943E2C}">
  <sheetPr codeName="Sayfa3">
    <tabColor theme="8" tint="0.39997558519241921"/>
    <pageSetUpPr fitToPage="1"/>
  </sheetPr>
  <dimension ref="B1:T207"/>
  <sheetViews>
    <sheetView showGridLines="0" view="pageBreakPreview" topLeftCell="A10" zoomScale="130" zoomScaleNormal="100" zoomScaleSheetLayoutView="130" workbookViewId="0">
      <selection activeCell="J44" sqref="J44"/>
    </sheetView>
  </sheetViews>
  <sheetFormatPr defaultColWidth="9.125" defaultRowHeight="14.25"/>
  <cols>
    <col min="1" max="1" width="2.75" style="87" customWidth="1"/>
    <col min="2" max="2" width="3.75" style="87" customWidth="1"/>
    <col min="3" max="3" width="5.75" style="87" customWidth="1"/>
    <col min="4" max="4" width="1.125" style="87" customWidth="1"/>
    <col min="5" max="7" width="8.75" style="87" customWidth="1"/>
    <col min="8" max="8" width="1.125" style="87" customWidth="1"/>
    <col min="9" max="9" width="1.75" style="87" customWidth="1"/>
    <col min="10" max="10" width="11.75" style="87" customWidth="1"/>
    <col min="11" max="11" width="2.25" style="87" customWidth="1"/>
    <col min="12" max="12" width="3.75" style="87" customWidth="1"/>
    <col min="13" max="13" width="5.75" style="87" customWidth="1"/>
    <col min="14" max="14" width="1.125" style="87" customWidth="1"/>
    <col min="15" max="17" width="8.75" style="87" customWidth="1"/>
    <col min="18" max="18" width="1.125" style="87" customWidth="1"/>
    <col min="19" max="19" width="1.75" style="87" customWidth="1"/>
    <col min="20" max="20" width="11.75" style="87" customWidth="1"/>
    <col min="21" max="21" width="2.25" style="87" customWidth="1"/>
    <col min="22" max="26" width="9.125" style="87"/>
    <col min="27" max="27" width="13.875" style="87" customWidth="1"/>
    <col min="28" max="16384" width="9.125" style="87"/>
  </cols>
  <sheetData>
    <row r="1" spans="2:20" ht="17.45" customHeight="1" thickTop="1" thickBot="1">
      <c r="B1" s="431"/>
      <c r="C1" s="431"/>
      <c r="D1" s="431"/>
      <c r="E1" s="431"/>
      <c r="F1" s="431"/>
      <c r="G1" s="431" t="s">
        <v>622</v>
      </c>
      <c r="H1" s="431"/>
      <c r="I1" s="431"/>
      <c r="J1" s="431"/>
      <c r="K1" s="431"/>
      <c r="L1" s="431"/>
      <c r="M1" s="431"/>
      <c r="N1" s="430"/>
      <c r="O1" s="430"/>
      <c r="P1" s="430"/>
      <c r="Q1" s="430"/>
      <c r="R1" s="430"/>
      <c r="S1" s="430"/>
      <c r="T1" s="430"/>
    </row>
    <row r="2" spans="2:20" ht="17.45" customHeight="1" thickTop="1" thickBot="1">
      <c r="B2" s="431"/>
      <c r="C2" s="431"/>
      <c r="D2" s="431"/>
      <c r="E2" s="431"/>
      <c r="F2" s="431"/>
      <c r="G2" s="431"/>
      <c r="H2" s="431"/>
      <c r="I2" s="431"/>
      <c r="J2" s="431"/>
      <c r="K2" s="431"/>
      <c r="L2" s="431"/>
      <c r="M2" s="431"/>
      <c r="N2" s="430"/>
      <c r="O2" s="430"/>
      <c r="P2" s="430"/>
      <c r="Q2" s="430"/>
      <c r="R2" s="430"/>
      <c r="S2" s="430"/>
      <c r="T2" s="430"/>
    </row>
    <row r="3" spans="2:20" ht="17.45" customHeight="1" thickTop="1" thickBot="1">
      <c r="B3" s="431"/>
      <c r="C3" s="431"/>
      <c r="D3" s="431"/>
      <c r="E3" s="431"/>
      <c r="F3" s="431"/>
      <c r="G3" s="431"/>
      <c r="H3" s="431"/>
      <c r="I3" s="431"/>
      <c r="J3" s="431"/>
      <c r="K3" s="431"/>
      <c r="L3" s="431"/>
      <c r="M3" s="431"/>
      <c r="N3" s="430"/>
      <c r="O3" s="430"/>
      <c r="P3" s="430"/>
      <c r="Q3" s="430"/>
      <c r="R3" s="430"/>
      <c r="S3" s="430"/>
      <c r="T3" s="430"/>
    </row>
    <row r="4" spans="2:20" ht="17.45" customHeight="1" thickTop="1" thickBot="1">
      <c r="B4" s="431"/>
      <c r="C4" s="431"/>
      <c r="D4" s="431"/>
      <c r="E4" s="431"/>
      <c r="F4" s="431"/>
      <c r="G4" s="431"/>
      <c r="H4" s="431"/>
      <c r="I4" s="431"/>
      <c r="J4" s="431"/>
      <c r="K4" s="431"/>
      <c r="L4" s="431"/>
      <c r="M4" s="431"/>
      <c r="N4" s="430"/>
      <c r="O4" s="430"/>
      <c r="P4" s="430"/>
      <c r="Q4" s="430"/>
      <c r="R4" s="430"/>
      <c r="S4" s="430"/>
      <c r="T4" s="430"/>
    </row>
    <row r="5" spans="2:20" ht="5.45" customHeight="1" thickTop="1">
      <c r="B5" s="95"/>
      <c r="C5" s="95"/>
      <c r="D5" s="95"/>
      <c r="E5" s="95"/>
      <c r="F5" s="95"/>
      <c r="G5" s="95"/>
      <c r="H5" s="95"/>
      <c r="I5" s="95"/>
      <c r="J5" s="95"/>
      <c r="K5" s="95"/>
      <c r="L5" s="95"/>
      <c r="M5" s="95"/>
      <c r="N5" s="95"/>
    </row>
    <row r="6" spans="2:20" ht="18" customHeight="1">
      <c r="B6" s="364" t="s">
        <v>342</v>
      </c>
      <c r="C6" s="364"/>
      <c r="D6" s="364"/>
      <c r="E6" s="362" t="s">
        <v>114</v>
      </c>
      <c r="F6" s="371"/>
      <c r="G6" s="362" t="s">
        <v>341</v>
      </c>
      <c r="H6" s="363"/>
      <c r="I6" s="363"/>
      <c r="J6" s="371"/>
      <c r="K6" s="362" t="s">
        <v>363</v>
      </c>
      <c r="L6" s="363"/>
      <c r="M6" s="363"/>
      <c r="N6" s="371"/>
      <c r="O6" s="362" t="s">
        <v>113</v>
      </c>
      <c r="P6" s="371"/>
      <c r="Q6" s="515" t="s">
        <v>623</v>
      </c>
      <c r="R6" s="516"/>
      <c r="S6" s="516"/>
      <c r="T6" s="517"/>
    </row>
    <row r="7" spans="2:20" ht="24.95" customHeight="1">
      <c r="B7" s="519" t="s">
        <v>340</v>
      </c>
      <c r="C7" s="519"/>
      <c r="D7" s="519"/>
      <c r="E7" s="519" t="str">
        <f>'2TEKLF'!E8</f>
        <v>Z 5001</v>
      </c>
      <c r="F7" s="519"/>
      <c r="G7" s="520">
        <f ca="1">TODAY()</f>
        <v>46024</v>
      </c>
      <c r="H7" s="520"/>
      <c r="I7" s="520"/>
      <c r="J7" s="519"/>
      <c r="K7" s="513" t="str">
        <f>'2TEKLF'!K8</f>
        <v>CEREN ÖZYURT</v>
      </c>
      <c r="L7" s="513"/>
      <c r="M7" s="513"/>
      <c r="N7" s="513"/>
      <c r="O7" s="514" t="str">
        <f>'2TEKLF'!M8</f>
        <v>GÜRKAN BEY</v>
      </c>
      <c r="P7" s="514"/>
      <c r="Q7" s="518" t="str">
        <f>'2TEKLF'!D11</f>
        <v>GÜNEŞ PEN</v>
      </c>
      <c r="R7" s="518"/>
      <c r="S7" s="518"/>
      <c r="T7" s="518"/>
    </row>
    <row r="8" spans="2:20" ht="6" customHeight="1"/>
    <row r="9" spans="2:20" ht="23.1" customHeight="1">
      <c r="B9" s="212" t="s">
        <v>360</v>
      </c>
      <c r="C9" s="300">
        <f>'1PROJE'!B7</f>
        <v>1</v>
      </c>
      <c r="D9" s="504" t="str">
        <f>'1PROJE'!C7</f>
        <v>Zipline® Neo 110 Wawe (Dikey)</v>
      </c>
      <c r="E9" s="504"/>
      <c r="F9" s="504"/>
      <c r="G9" s="504"/>
      <c r="H9" s="504"/>
      <c r="I9" s="504"/>
      <c r="J9" s="86"/>
      <c r="L9" s="212" t="s">
        <v>360</v>
      </c>
      <c r="M9" s="300">
        <f>'1PROJE'!B8</f>
        <v>2</v>
      </c>
      <c r="N9" s="504">
        <f>'1PROJE'!C8</f>
        <v>0</v>
      </c>
      <c r="O9" s="504"/>
      <c r="P9" s="504"/>
      <c r="Q9" s="504"/>
      <c r="R9" s="504"/>
      <c r="S9" s="504"/>
      <c r="T9" s="89"/>
    </row>
    <row r="10" spans="2:20" ht="28.5" customHeight="1">
      <c r="B10" s="90"/>
      <c r="C10" s="91">
        <f>'1PROJE'!D7</f>
        <v>1</v>
      </c>
      <c r="D10" s="505" t="s">
        <v>357</v>
      </c>
      <c r="E10" s="505"/>
      <c r="F10" s="150" t="s">
        <v>365</v>
      </c>
      <c r="G10" s="92"/>
      <c r="H10" s="92"/>
      <c r="J10" s="271" t="str">
        <f>IF('1PROJE'!T7="", "", '1PROJE'!T7)</f>
        <v/>
      </c>
      <c r="L10" s="90"/>
      <c r="M10" s="91">
        <f>'1PROJE'!D8</f>
        <v>0</v>
      </c>
      <c r="N10" s="505" t="s">
        <v>357</v>
      </c>
      <c r="O10" s="505"/>
      <c r="P10" s="150" t="s">
        <v>365</v>
      </c>
      <c r="Q10" s="92"/>
      <c r="R10" s="92"/>
      <c r="T10" s="271" t="str">
        <f>IF('1PROJE'!T8="", "", '1PROJE'!T8)</f>
        <v/>
      </c>
    </row>
    <row r="11" spans="2:20" ht="9.9499999999999993" customHeight="1" thickBot="1">
      <c r="B11" s="94"/>
      <c r="C11" s="95"/>
      <c r="E11" s="509">
        <f>'1PROJE'!M7</f>
        <v>0</v>
      </c>
      <c r="F11" s="509"/>
      <c r="G11" s="509"/>
      <c r="H11" s="96"/>
      <c r="J11" s="93"/>
      <c r="L11" s="94"/>
      <c r="M11" s="95"/>
      <c r="O11" s="509">
        <f>'1PROJE'!M8</f>
        <v>0</v>
      </c>
      <c r="P11" s="509"/>
      <c r="Q11" s="509"/>
      <c r="R11" s="96"/>
      <c r="T11" s="93"/>
    </row>
    <row r="12" spans="2:20" ht="15.95" customHeight="1" thickBot="1">
      <c r="B12" s="94"/>
      <c r="C12" s="503" t="s">
        <v>852</v>
      </c>
      <c r="D12" s="99"/>
      <c r="E12" s="337" t="str">
        <f>IF(OR(E11="DIŞTAN BAKIŞ SOL",E11="İÇTEN BAKIŞ SAĞ"),"M","")</f>
        <v/>
      </c>
      <c r="F12" s="322">
        <f>VLOOKUP('1PROJE'!C7,'x Açılır Listeler'!A2:B15,2,0)</f>
        <v>110</v>
      </c>
      <c r="G12" s="323" t="str">
        <f>IF(OR(E11="DIŞTAN BAKIŞ SAĞ",E11="İÇTEN BAKIŞ SOL"),"M","")</f>
        <v/>
      </c>
      <c r="H12" s="100"/>
      <c r="J12" s="101" t="s">
        <v>368</v>
      </c>
      <c r="L12" s="94"/>
      <c r="M12" s="503" t="s">
        <v>852</v>
      </c>
      <c r="N12" s="99"/>
      <c r="O12" s="338" t="str">
        <f>IF(OR(O11="DIŞTAN BAKIŞ SOL",O11="İÇTEN BAKIŞ SAĞ"),"M","")</f>
        <v/>
      </c>
      <c r="P12" s="324" t="e">
        <f>VLOOKUP('1PROJE'!C8,'x Açılır Listeler'!$A$2:$B$15,2,0)</f>
        <v>#N/A</v>
      </c>
      <c r="Q12" s="325" t="str">
        <f>IF(OR(O11="DIŞTAN BAKIŞ SAĞ",O11="İÇTEN BAKIŞ SOL"),"M","")</f>
        <v/>
      </c>
      <c r="R12" s="100"/>
      <c r="T12" s="101" t="s">
        <v>368</v>
      </c>
    </row>
    <row r="13" spans="2:20" ht="12.95" customHeight="1">
      <c r="B13" s="94"/>
      <c r="C13" s="503"/>
      <c r="D13" s="102"/>
      <c r="H13" s="103"/>
      <c r="J13" s="511">
        <f>'1PROJE'!H7</f>
        <v>7016</v>
      </c>
      <c r="K13" s="104"/>
      <c r="L13" s="94"/>
      <c r="M13" s="503"/>
      <c r="N13" s="102"/>
      <c r="R13" s="103"/>
      <c r="T13" s="521">
        <f>'1PROJE'!H8</f>
        <v>0</v>
      </c>
    </row>
    <row r="14" spans="2:20" ht="15">
      <c r="B14" s="94"/>
      <c r="C14" s="503"/>
      <c r="D14" s="105"/>
      <c r="F14" s="510"/>
      <c r="H14" s="106"/>
      <c r="J14" s="511"/>
      <c r="K14" s="104"/>
      <c r="L14" s="94"/>
      <c r="M14" s="503"/>
      <c r="N14" s="105"/>
      <c r="P14" s="510"/>
      <c r="R14" s="106"/>
      <c r="T14" s="521"/>
    </row>
    <row r="15" spans="2:20" ht="15">
      <c r="B15" s="90"/>
      <c r="C15" s="503"/>
      <c r="D15" s="105"/>
      <c r="F15" s="510"/>
      <c r="H15" s="107"/>
      <c r="J15" s="108"/>
      <c r="K15" s="109"/>
      <c r="L15" s="90"/>
      <c r="M15" s="503"/>
      <c r="N15" s="105"/>
      <c r="P15" s="510"/>
      <c r="R15" s="107"/>
      <c r="T15" s="101"/>
    </row>
    <row r="16" spans="2:20" ht="16.5" customHeight="1">
      <c r="B16" s="94"/>
      <c r="C16" s="506">
        <f>xHesaplama!Y27</f>
        <v>2425</v>
      </c>
      <c r="D16" s="105"/>
      <c r="F16" s="97" t="str">
        <f>'1PROJE'!I7</f>
        <v>COPACO</v>
      </c>
      <c r="H16" s="107"/>
      <c r="J16" s="108" t="s">
        <v>366</v>
      </c>
      <c r="K16" s="111"/>
      <c r="L16" s="94"/>
      <c r="M16" s="506">
        <f>xHesaplama!Y28</f>
        <v>0</v>
      </c>
      <c r="N16" s="105"/>
      <c r="P16" s="97">
        <f>'1PROJE'!I8</f>
        <v>0</v>
      </c>
      <c r="R16" s="107"/>
      <c r="T16" s="108" t="s">
        <v>366</v>
      </c>
    </row>
    <row r="17" spans="2:20" ht="16.5" customHeight="1">
      <c r="B17" s="94"/>
      <c r="C17" s="506"/>
      <c r="D17" s="105"/>
      <c r="F17" s="97">
        <f>'1PROJE'!K7</f>
        <v>0</v>
      </c>
      <c r="H17" s="112"/>
      <c r="J17" s="512" t="str">
        <f>'1PROJE'!L7</f>
        <v>FERRINI ALICILI - 20NM</v>
      </c>
      <c r="L17" s="94"/>
      <c r="M17" s="506"/>
      <c r="N17" s="105"/>
      <c r="P17" s="97">
        <f>'1PROJE'!K8</f>
        <v>0</v>
      </c>
      <c r="R17" s="112"/>
      <c r="T17" s="512">
        <f>'1PROJE'!L8</f>
        <v>0</v>
      </c>
    </row>
    <row r="18" spans="2:20" ht="16.5" customHeight="1">
      <c r="B18" s="94"/>
      <c r="C18" s="506"/>
      <c r="D18" s="105"/>
      <c r="E18" s="113"/>
      <c r="F18" s="97" t="str">
        <f>IF('1PROJE'!P7="VAR","BASKI"&amp;" "&amp;'1PROJE'!P7,"")</f>
        <v/>
      </c>
      <c r="G18" s="114"/>
      <c r="H18" s="106"/>
      <c r="J18" s="512"/>
      <c r="K18" s="104"/>
      <c r="L18" s="94"/>
      <c r="M18" s="506"/>
      <c r="N18" s="105"/>
      <c r="O18" s="113"/>
      <c r="P18" s="97" t="str">
        <f>IF('1PROJE'!P8="VAR","BASKI"&amp;" "&amp;'1PROJE'!P8,"")</f>
        <v/>
      </c>
      <c r="Q18" s="114"/>
      <c r="R18" s="106"/>
      <c r="T18" s="512"/>
    </row>
    <row r="19" spans="2:20">
      <c r="B19" s="94"/>
      <c r="C19" s="502" t="s">
        <v>851</v>
      </c>
      <c r="D19" s="105"/>
      <c r="E19" s="113"/>
      <c r="F19" s="507"/>
      <c r="G19" s="114"/>
      <c r="H19" s="115"/>
      <c r="J19" s="512"/>
      <c r="K19" s="116"/>
      <c r="L19" s="94"/>
      <c r="M19" s="502" t="s">
        <v>851</v>
      </c>
      <c r="N19" s="105"/>
      <c r="O19" s="113"/>
      <c r="P19" s="507"/>
      <c r="Q19" s="114"/>
      <c r="R19" s="115"/>
      <c r="T19" s="512"/>
    </row>
    <row r="20" spans="2:20">
      <c r="B20" s="94"/>
      <c r="C20" s="502"/>
      <c r="D20" s="105"/>
      <c r="E20" s="113"/>
      <c r="F20" s="507"/>
      <c r="G20" s="114"/>
      <c r="H20" s="115"/>
      <c r="J20" s="117"/>
      <c r="K20" s="111"/>
      <c r="L20" s="94"/>
      <c r="M20" s="502"/>
      <c r="N20" s="105"/>
      <c r="O20" s="113"/>
      <c r="P20" s="507"/>
      <c r="Q20" s="114"/>
      <c r="R20" s="115"/>
      <c r="T20" s="117"/>
    </row>
    <row r="21" spans="2:20" ht="15">
      <c r="B21" s="94"/>
      <c r="C21" s="502"/>
      <c r="D21" s="118"/>
      <c r="E21" s="113"/>
      <c r="F21" s="507"/>
      <c r="G21" s="114"/>
      <c r="H21" s="115"/>
      <c r="J21" s="108" t="s">
        <v>367</v>
      </c>
      <c r="K21" s="104"/>
      <c r="L21" s="94"/>
      <c r="M21" s="502"/>
      <c r="N21" s="118"/>
      <c r="O21" s="113"/>
      <c r="P21" s="507"/>
      <c r="Q21" s="114"/>
      <c r="R21" s="115"/>
      <c r="T21" s="101" t="s">
        <v>367</v>
      </c>
    </row>
    <row r="22" spans="2:20" ht="17.100000000000001" customHeight="1" thickBot="1">
      <c r="B22" s="94"/>
      <c r="C22" s="502"/>
      <c r="D22" s="105"/>
      <c r="F22" s="213"/>
      <c r="G22" s="213"/>
      <c r="H22" s="214"/>
      <c r="J22" s="512" t="str">
        <f>IF('1PROJE'!O7="","",'1PROJE'!O7&amp;" ADET "&amp;'1PROJE'!N7)</f>
        <v>1 ADET FERRINI 1 KANALLI</v>
      </c>
      <c r="K22" s="104"/>
      <c r="L22" s="94"/>
      <c r="M22" s="502"/>
      <c r="N22" s="105"/>
      <c r="P22" s="213"/>
      <c r="Q22" s="213"/>
      <c r="R22" s="214"/>
      <c r="T22" s="512" t="str">
        <f>IF('1PROJE'!O8="","",'1PROJE'!O8&amp;" ADET "&amp;'1PROJE'!N8)</f>
        <v/>
      </c>
    </row>
    <row r="23" spans="2:20" ht="8.4499999999999993" customHeight="1" thickBot="1">
      <c r="B23" s="94"/>
      <c r="C23" s="502"/>
      <c r="D23" s="105"/>
      <c r="E23" s="99"/>
      <c r="F23" s="215"/>
      <c r="G23" s="216"/>
      <c r="H23" s="105"/>
      <c r="J23" s="512"/>
      <c r="L23" s="94"/>
      <c r="M23" s="502"/>
      <c r="N23" s="105"/>
      <c r="O23" s="99"/>
      <c r="P23" s="215"/>
      <c r="Q23" s="216"/>
      <c r="R23" s="105"/>
      <c r="T23" s="512"/>
    </row>
    <row r="24" spans="2:20" ht="2.1" customHeight="1" thickBot="1">
      <c r="B24" s="94"/>
      <c r="D24" s="119"/>
      <c r="H24" s="119"/>
      <c r="J24" s="93"/>
      <c r="L24" s="94"/>
      <c r="N24" s="119"/>
      <c r="R24" s="119"/>
      <c r="T24" s="93"/>
    </row>
    <row r="25" spans="2:20">
      <c r="B25" s="94"/>
      <c r="J25" s="93"/>
      <c r="L25" s="94"/>
      <c r="T25" s="93"/>
    </row>
    <row r="26" spans="2:20" s="220" customFormat="1" ht="15.75">
      <c r="B26" s="266"/>
      <c r="D26" s="220" t="s">
        <v>847</v>
      </c>
      <c r="E26" s="267" t="s">
        <v>848</v>
      </c>
      <c r="F26" s="110">
        <f>xHesaplama!X27</f>
        <v>1200</v>
      </c>
      <c r="G26" s="267" t="s">
        <v>848</v>
      </c>
      <c r="H26" s="220" t="s">
        <v>849</v>
      </c>
      <c r="J26" s="268"/>
      <c r="L26" s="266"/>
      <c r="N26" s="220" t="s">
        <v>847</v>
      </c>
      <c r="O26" s="267" t="s">
        <v>848</v>
      </c>
      <c r="P26" s="110">
        <f>xHesaplama!X28</f>
        <v>0</v>
      </c>
      <c r="Q26" s="267" t="s">
        <v>848</v>
      </c>
      <c r="R26" s="220" t="s">
        <v>849</v>
      </c>
      <c r="T26" s="268"/>
    </row>
    <row r="27" spans="2:20">
      <c r="B27" s="120"/>
      <c r="C27" s="121"/>
      <c r="D27" s="121"/>
      <c r="E27" s="121"/>
      <c r="F27" s="121"/>
      <c r="G27" s="121"/>
      <c r="H27" s="121"/>
      <c r="I27" s="121"/>
      <c r="J27" s="122"/>
      <c r="L27" s="120"/>
      <c r="M27" s="121"/>
      <c r="N27" s="121"/>
      <c r="O27" s="121"/>
      <c r="P27" s="121"/>
      <c r="Q27" s="121"/>
      <c r="R27" s="121"/>
      <c r="S27" s="121"/>
      <c r="T27" s="122"/>
    </row>
    <row r="29" spans="2:20" ht="23.1" customHeight="1">
      <c r="B29" s="212" t="s">
        <v>360</v>
      </c>
      <c r="C29" s="300">
        <f>'1PROJE'!B9</f>
        <v>3</v>
      </c>
      <c r="D29" s="504">
        <f>'1PROJE'!C9</f>
        <v>0</v>
      </c>
      <c r="E29" s="504"/>
      <c r="F29" s="504"/>
      <c r="G29" s="504"/>
      <c r="H29" s="504"/>
      <c r="I29" s="504"/>
      <c r="J29" s="89"/>
      <c r="L29" s="212" t="s">
        <v>360</v>
      </c>
      <c r="M29" s="300">
        <f>'1PROJE'!B10</f>
        <v>4</v>
      </c>
      <c r="N29" s="504">
        <f>'1PROJE'!C10</f>
        <v>0</v>
      </c>
      <c r="O29" s="504"/>
      <c r="P29" s="504"/>
      <c r="Q29" s="504"/>
      <c r="R29" s="504"/>
      <c r="S29" s="504"/>
      <c r="T29" s="89"/>
    </row>
    <row r="30" spans="2:20" ht="27.6" customHeight="1">
      <c r="B30" s="90"/>
      <c r="C30" s="91">
        <f>'1PROJE'!D9</f>
        <v>0</v>
      </c>
      <c r="D30" s="505" t="s">
        <v>357</v>
      </c>
      <c r="E30" s="505"/>
      <c r="F30" s="150" t="s">
        <v>365</v>
      </c>
      <c r="G30" s="92"/>
      <c r="H30" s="92"/>
      <c r="J30" s="271" t="str">
        <f>IF('1PROJE'!T9="", "", '1PROJE'!T9)</f>
        <v/>
      </c>
      <c r="L30" s="90"/>
      <c r="M30" s="91">
        <f>'1PROJE'!D10</f>
        <v>0</v>
      </c>
      <c r="N30" s="505" t="s">
        <v>357</v>
      </c>
      <c r="O30" s="505"/>
      <c r="P30" s="150" t="s">
        <v>365</v>
      </c>
      <c r="Q30" s="92"/>
      <c r="R30" s="92"/>
      <c r="T30" s="271" t="str">
        <f>IF('1PROJE'!T10="", "", '1PROJE'!T10)</f>
        <v/>
      </c>
    </row>
    <row r="31" spans="2:20" ht="11.45" customHeight="1" thickBot="1">
      <c r="B31" s="94"/>
      <c r="C31" s="95"/>
      <c r="E31" s="509">
        <f>'1PROJE'!M9</f>
        <v>0</v>
      </c>
      <c r="F31" s="509"/>
      <c r="G31" s="509"/>
      <c r="H31" s="96"/>
      <c r="J31" s="93"/>
      <c r="L31" s="94"/>
      <c r="M31" s="95"/>
      <c r="O31" s="509">
        <f>'1PROJE'!M10</f>
        <v>0</v>
      </c>
      <c r="P31" s="509"/>
      <c r="Q31" s="509"/>
      <c r="R31" s="96"/>
      <c r="T31" s="93"/>
    </row>
    <row r="32" spans="2:20" ht="15.95" customHeight="1" thickBot="1">
      <c r="B32" s="94"/>
      <c r="C32" s="503" t="s">
        <v>852</v>
      </c>
      <c r="D32" s="99"/>
      <c r="E32" s="338" t="str">
        <f>IF(OR(E31="DIŞTAN BAKIŞ SOL",E31="İÇTEN BAKIŞ SAĞ"),"M","")</f>
        <v/>
      </c>
      <c r="F32" s="324" t="e">
        <f>VLOOKUP('1PROJE'!C9,'x Açılır Listeler'!$A$2:$B$15,2,0)</f>
        <v>#N/A</v>
      </c>
      <c r="G32" s="325" t="str">
        <f>IF(OR(E31="DIŞTAN BAKIŞ SAĞ",E31="İÇTEN BAKIŞ SOL"),"M","")</f>
        <v/>
      </c>
      <c r="H32" s="100"/>
      <c r="J32" s="101" t="s">
        <v>368</v>
      </c>
      <c r="L32" s="94"/>
      <c r="M32" s="503" t="s">
        <v>852</v>
      </c>
      <c r="N32" s="99"/>
      <c r="O32" s="338" t="str">
        <f>IF(OR(O31="DIŞTAN BAKIŞ SOL",O31="İÇTEN BAKIŞ SAĞ"),"M","")</f>
        <v/>
      </c>
      <c r="P32" s="324" t="e">
        <f>VLOOKUP('1PROJE'!C10,'x Açılır Listeler'!$A$2:$B$15,2,0)</f>
        <v>#N/A</v>
      </c>
      <c r="Q32" s="325" t="str">
        <f>IF(OR(O31="DIŞTAN BAKIŞ SAĞ",O31="İÇTEN BAKIŞ SOL"),"M","")</f>
        <v/>
      </c>
      <c r="R32" s="100"/>
      <c r="T32" s="101" t="s">
        <v>368</v>
      </c>
    </row>
    <row r="33" spans="2:20">
      <c r="B33" s="94"/>
      <c r="C33" s="503"/>
      <c r="D33" s="102"/>
      <c r="H33" s="103"/>
      <c r="J33" s="511">
        <f>'1PROJE'!H9</f>
        <v>0</v>
      </c>
      <c r="K33" s="104"/>
      <c r="L33" s="94"/>
      <c r="M33" s="503"/>
      <c r="N33" s="102"/>
      <c r="R33" s="103"/>
      <c r="T33" s="511">
        <f>'1PROJE'!H10</f>
        <v>0</v>
      </c>
    </row>
    <row r="34" spans="2:20" ht="15">
      <c r="B34" s="94"/>
      <c r="C34" s="503"/>
      <c r="D34" s="105"/>
      <c r="F34" s="510"/>
      <c r="H34" s="106"/>
      <c r="J34" s="511"/>
      <c r="K34" s="104"/>
      <c r="L34" s="94"/>
      <c r="M34" s="503"/>
      <c r="N34" s="105"/>
      <c r="P34" s="510"/>
      <c r="R34" s="106"/>
      <c r="T34" s="511"/>
    </row>
    <row r="35" spans="2:20" ht="15">
      <c r="B35" s="90"/>
      <c r="C35" s="503"/>
      <c r="D35" s="105"/>
      <c r="F35" s="510"/>
      <c r="H35" s="107"/>
      <c r="J35" s="108"/>
      <c r="K35" s="109"/>
      <c r="L35" s="90"/>
      <c r="M35" s="503"/>
      <c r="N35" s="105"/>
      <c r="P35" s="510"/>
      <c r="R35" s="107"/>
      <c r="T35" s="108"/>
    </row>
    <row r="36" spans="2:20" ht="16.5" customHeight="1">
      <c r="B36" s="94"/>
      <c r="C36" s="506">
        <f>xHesaplama!Y29</f>
        <v>0</v>
      </c>
      <c r="D36" s="105"/>
      <c r="F36" s="97">
        <f>'1PROJE'!I9</f>
        <v>0</v>
      </c>
      <c r="H36" s="107"/>
      <c r="J36" s="108" t="s">
        <v>366</v>
      </c>
      <c r="K36" s="111"/>
      <c r="L36" s="94"/>
      <c r="M36" s="506">
        <f>xHesaplama!Y30</f>
        <v>0</v>
      </c>
      <c r="N36" s="105"/>
      <c r="P36" s="97">
        <f>'1PROJE'!I10</f>
        <v>0</v>
      </c>
      <c r="R36" s="107"/>
      <c r="T36" s="108" t="s">
        <v>366</v>
      </c>
    </row>
    <row r="37" spans="2:20" ht="24.95" customHeight="1">
      <c r="B37" s="94"/>
      <c r="C37" s="506"/>
      <c r="D37" s="105"/>
      <c r="F37" s="97">
        <f>'1PROJE'!K9</f>
        <v>0</v>
      </c>
      <c r="H37" s="112"/>
      <c r="J37" s="512">
        <f>'1PROJE'!L9</f>
        <v>0</v>
      </c>
      <c r="L37" s="94"/>
      <c r="M37" s="506"/>
      <c r="N37" s="105"/>
      <c r="P37" s="97">
        <f>'1PROJE'!K10</f>
        <v>0</v>
      </c>
      <c r="R37" s="112"/>
      <c r="T37" s="512">
        <f>'1PROJE'!L10</f>
        <v>0</v>
      </c>
    </row>
    <row r="38" spans="2:20" ht="18" customHeight="1">
      <c r="B38" s="94"/>
      <c r="C38" s="506"/>
      <c r="D38" s="105"/>
      <c r="E38" s="113"/>
      <c r="F38" s="97" t="str">
        <f>IF('1PROJE'!P9="VAR","BASKI"&amp;" "&amp;'1PROJE'!P9,"")</f>
        <v/>
      </c>
      <c r="G38" s="114"/>
      <c r="H38" s="106"/>
      <c r="J38" s="512"/>
      <c r="K38" s="104"/>
      <c r="L38" s="94"/>
      <c r="M38" s="506"/>
      <c r="N38" s="105"/>
      <c r="O38" s="113"/>
      <c r="P38" s="97" t="str">
        <f>IF('1PROJE'!P10="VAR","BASKI"&amp;" "&amp;'1PROJE'!P10,"")</f>
        <v/>
      </c>
      <c r="Q38" s="114"/>
      <c r="R38" s="106"/>
      <c r="T38" s="512"/>
    </row>
    <row r="39" spans="2:20">
      <c r="B39" s="94"/>
      <c r="C39" s="502" t="s">
        <v>851</v>
      </c>
      <c r="D39" s="105"/>
      <c r="E39" s="113"/>
      <c r="F39" s="507"/>
      <c r="G39" s="114"/>
      <c r="H39" s="115"/>
      <c r="J39" s="512"/>
      <c r="K39" s="116"/>
      <c r="L39" s="94"/>
      <c r="M39" s="502" t="s">
        <v>851</v>
      </c>
      <c r="N39" s="105"/>
      <c r="O39" s="113"/>
      <c r="P39" s="507"/>
      <c r="Q39" s="114"/>
      <c r="R39" s="115"/>
      <c r="T39" s="512"/>
    </row>
    <row r="40" spans="2:20">
      <c r="B40" s="94"/>
      <c r="C40" s="502"/>
      <c r="D40" s="105"/>
      <c r="E40" s="113"/>
      <c r="F40" s="507"/>
      <c r="G40" s="114"/>
      <c r="H40" s="115"/>
      <c r="J40" s="117"/>
      <c r="K40" s="111"/>
      <c r="L40" s="94"/>
      <c r="M40" s="502"/>
      <c r="N40" s="105"/>
      <c r="O40" s="113"/>
      <c r="P40" s="507"/>
      <c r="Q40" s="114"/>
      <c r="R40" s="115"/>
      <c r="T40" s="117"/>
    </row>
    <row r="41" spans="2:20" ht="15">
      <c r="B41" s="94"/>
      <c r="C41" s="502"/>
      <c r="D41" s="118"/>
      <c r="E41" s="113"/>
      <c r="F41" s="507"/>
      <c r="G41" s="114"/>
      <c r="H41" s="115"/>
      <c r="J41" s="108" t="s">
        <v>367</v>
      </c>
      <c r="K41" s="104"/>
      <c r="L41" s="94"/>
      <c r="M41" s="502"/>
      <c r="N41" s="118"/>
      <c r="O41" s="113"/>
      <c r="P41" s="507"/>
      <c r="Q41" s="114"/>
      <c r="R41" s="115"/>
      <c r="T41" s="108" t="s">
        <v>367</v>
      </c>
    </row>
    <row r="42" spans="2:20" ht="15" thickBot="1">
      <c r="B42" s="94"/>
      <c r="C42" s="502"/>
      <c r="D42" s="105"/>
      <c r="F42" s="213"/>
      <c r="G42" s="213"/>
      <c r="H42" s="214"/>
      <c r="J42" s="512" t="str">
        <f>IF('1PROJE'!O9="","",'1PROJE'!O9&amp;" ADET "&amp;'1PROJE'!N9)</f>
        <v/>
      </c>
      <c r="K42" s="104"/>
      <c r="L42" s="94"/>
      <c r="M42" s="502"/>
      <c r="N42" s="105"/>
      <c r="P42" s="213"/>
      <c r="Q42" s="213"/>
      <c r="R42" s="214"/>
      <c r="T42" s="512">
        <f>'1PROJE'!N10</f>
        <v>0</v>
      </c>
    </row>
    <row r="43" spans="2:20" ht="9.6" customHeight="1" thickBot="1">
      <c r="B43" s="94"/>
      <c r="C43" s="502"/>
      <c r="D43" s="105"/>
      <c r="E43" s="99"/>
      <c r="F43" s="215"/>
      <c r="G43" s="216"/>
      <c r="H43" s="105"/>
      <c r="J43" s="512"/>
      <c r="L43" s="94"/>
      <c r="M43" s="502"/>
      <c r="N43" s="105"/>
      <c r="O43" s="99"/>
      <c r="P43" s="215"/>
      <c r="Q43" s="216"/>
      <c r="R43" s="105"/>
      <c r="T43" s="512"/>
    </row>
    <row r="44" spans="2:20" ht="3.95" customHeight="1" thickBot="1">
      <c r="B44" s="94"/>
      <c r="D44" s="119"/>
      <c r="H44" s="119"/>
      <c r="J44" s="93"/>
      <c r="L44" s="94"/>
      <c r="N44" s="119"/>
      <c r="R44" s="119"/>
      <c r="T44" s="93"/>
    </row>
    <row r="45" spans="2:20">
      <c r="B45" s="94"/>
      <c r="J45" s="93"/>
      <c r="L45" s="94"/>
      <c r="T45" s="93"/>
    </row>
    <row r="46" spans="2:20" ht="15.75">
      <c r="B46" s="94"/>
      <c r="D46" s="87" t="s">
        <v>847</v>
      </c>
      <c r="E46" s="238" t="s">
        <v>848</v>
      </c>
      <c r="F46" s="110">
        <f>xHesaplama!X29</f>
        <v>0</v>
      </c>
      <c r="G46" s="238" t="s">
        <v>848</v>
      </c>
      <c r="H46" s="87" t="s">
        <v>849</v>
      </c>
      <c r="J46" s="93"/>
      <c r="L46" s="94"/>
      <c r="N46" s="87" t="s">
        <v>847</v>
      </c>
      <c r="O46" s="238" t="s">
        <v>848</v>
      </c>
      <c r="P46" s="110">
        <f>xHesaplama!X30</f>
        <v>0</v>
      </c>
      <c r="Q46" s="238" t="s">
        <v>848</v>
      </c>
      <c r="R46" s="87" t="s">
        <v>849</v>
      </c>
      <c r="T46" s="93"/>
    </row>
    <row r="47" spans="2:20">
      <c r="B47" s="120"/>
      <c r="C47" s="121"/>
      <c r="D47" s="121"/>
      <c r="E47" s="121"/>
      <c r="F47" s="121"/>
      <c r="G47" s="121"/>
      <c r="H47" s="121"/>
      <c r="I47" s="121"/>
      <c r="J47" s="122"/>
      <c r="L47" s="120"/>
      <c r="M47" s="121"/>
      <c r="N47" s="121"/>
      <c r="O47" s="121"/>
      <c r="P47" s="121"/>
      <c r="Q47" s="121"/>
      <c r="R47" s="121"/>
      <c r="S47" s="121"/>
      <c r="T47" s="122"/>
    </row>
    <row r="49" spans="2:20" ht="23.1" customHeight="1">
      <c r="B49" s="212" t="s">
        <v>360</v>
      </c>
      <c r="C49" s="300">
        <f>'1PROJE'!B11</f>
        <v>5</v>
      </c>
      <c r="D49" s="504">
        <f>'1PROJE'!C11</f>
        <v>0</v>
      </c>
      <c r="E49" s="504"/>
      <c r="F49" s="504"/>
      <c r="G49" s="504"/>
      <c r="H49" s="504"/>
      <c r="I49" s="504"/>
      <c r="J49" s="89"/>
      <c r="L49" s="212" t="s">
        <v>360</v>
      </c>
      <c r="M49" s="300">
        <f>'1PROJE'!B12</f>
        <v>6</v>
      </c>
      <c r="N49" s="504">
        <f>'1PROJE'!C12</f>
        <v>0</v>
      </c>
      <c r="O49" s="504"/>
      <c r="P49" s="504"/>
      <c r="Q49" s="504"/>
      <c r="R49" s="504"/>
      <c r="S49" s="504"/>
      <c r="T49" s="89"/>
    </row>
    <row r="50" spans="2:20" ht="28.5" customHeight="1">
      <c r="B50" s="90"/>
      <c r="C50" s="91">
        <f>'1PROJE'!D11</f>
        <v>0</v>
      </c>
      <c r="D50" s="505" t="s">
        <v>357</v>
      </c>
      <c r="E50" s="505"/>
      <c r="F50" s="150" t="s">
        <v>365</v>
      </c>
      <c r="G50" s="92"/>
      <c r="H50" s="92"/>
      <c r="J50" s="271" t="str">
        <f>IF('1PROJE'!T11="", "", '1PROJE'!T11)</f>
        <v/>
      </c>
      <c r="L50" s="90"/>
      <c r="M50" s="91">
        <f>'1PROJE'!D12</f>
        <v>0</v>
      </c>
      <c r="N50" s="505" t="s">
        <v>357</v>
      </c>
      <c r="O50" s="505"/>
      <c r="P50" s="150" t="s">
        <v>365</v>
      </c>
      <c r="Q50" s="92"/>
      <c r="R50" s="92"/>
      <c r="T50" s="271" t="str">
        <f>IF('1PROJE'!T12="", "", '1PROJE'!T12)</f>
        <v/>
      </c>
    </row>
    <row r="51" spans="2:20" ht="11.45" customHeight="1" thickBot="1">
      <c r="B51" s="94"/>
      <c r="C51" s="95"/>
      <c r="E51" s="509">
        <f>'1PROJE'!M11</f>
        <v>0</v>
      </c>
      <c r="F51" s="509"/>
      <c r="G51" s="509"/>
      <c r="H51" s="96"/>
      <c r="J51" s="93"/>
      <c r="L51" s="94"/>
      <c r="M51" s="95"/>
      <c r="O51" s="509">
        <f>'1PROJE'!M12</f>
        <v>0</v>
      </c>
      <c r="P51" s="509"/>
      <c r="Q51" s="509"/>
      <c r="R51" s="96"/>
      <c r="T51" s="93"/>
    </row>
    <row r="52" spans="2:20" ht="15.95" customHeight="1" thickBot="1">
      <c r="B52" s="94"/>
      <c r="C52" s="503" t="s">
        <v>852</v>
      </c>
      <c r="D52" s="99"/>
      <c r="E52" s="338" t="str">
        <f>IF(OR(E51="DIŞTAN BAKIŞ SOL",E51="İÇTEN BAKIŞ SAĞ"),"M","")</f>
        <v/>
      </c>
      <c r="F52" s="324" t="e">
        <f>VLOOKUP('1PROJE'!C11,'x Açılır Listeler'!$A$2:$B$15,2,0)</f>
        <v>#N/A</v>
      </c>
      <c r="G52" s="325" t="str">
        <f>IF(OR(E51="DIŞTAN BAKIŞ SAĞ",E51="İÇTEN BAKIŞ SOL"),"M","")</f>
        <v/>
      </c>
      <c r="H52" s="100"/>
      <c r="J52" s="101" t="s">
        <v>368</v>
      </c>
      <c r="L52" s="94"/>
      <c r="M52" s="503" t="s">
        <v>852</v>
      </c>
      <c r="N52" s="99"/>
      <c r="O52" s="338" t="str">
        <f>IF(OR(O51="DIŞTAN BAKIŞ SOL",O51="İÇTEN BAKIŞ SAĞ"),"M","")</f>
        <v/>
      </c>
      <c r="P52" s="324" t="e">
        <f>VLOOKUP('1PROJE'!C12,'x Açılır Listeler'!$A$2:$B$15,2,0)</f>
        <v>#N/A</v>
      </c>
      <c r="Q52" s="325" t="str">
        <f>IF(OR(O51="DIŞTAN BAKIŞ SAĞ",O51="İÇTEN BAKIŞ SOL"),"M","")</f>
        <v/>
      </c>
      <c r="R52" s="100"/>
      <c r="T52" s="101" t="s">
        <v>368</v>
      </c>
    </row>
    <row r="53" spans="2:20">
      <c r="B53" s="94"/>
      <c r="C53" s="503"/>
      <c r="D53" s="102"/>
      <c r="H53" s="103"/>
      <c r="J53" s="511">
        <f>'1PROJE'!H11</f>
        <v>0</v>
      </c>
      <c r="K53" s="104"/>
      <c r="L53" s="94"/>
      <c r="M53" s="503"/>
      <c r="N53" s="102"/>
      <c r="R53" s="103"/>
      <c r="T53" s="511">
        <f>'1PROJE'!H12</f>
        <v>0</v>
      </c>
    </row>
    <row r="54" spans="2:20" ht="15">
      <c r="B54" s="94"/>
      <c r="C54" s="503"/>
      <c r="D54" s="105"/>
      <c r="F54" s="510"/>
      <c r="H54" s="106"/>
      <c r="J54" s="511"/>
      <c r="K54" s="104"/>
      <c r="L54" s="94"/>
      <c r="M54" s="503"/>
      <c r="N54" s="105"/>
      <c r="P54" s="510"/>
      <c r="R54" s="106"/>
      <c r="T54" s="511"/>
    </row>
    <row r="55" spans="2:20" ht="15">
      <c r="B55" s="90"/>
      <c r="C55" s="503"/>
      <c r="D55" s="105"/>
      <c r="F55" s="510"/>
      <c r="H55" s="107"/>
      <c r="J55" s="108"/>
      <c r="K55" s="109"/>
      <c r="L55" s="90"/>
      <c r="M55" s="503"/>
      <c r="N55" s="105"/>
      <c r="P55" s="510"/>
      <c r="R55" s="107"/>
      <c r="T55" s="108"/>
    </row>
    <row r="56" spans="2:20" ht="26.45" customHeight="1">
      <c r="B56" s="94"/>
      <c r="C56" s="506">
        <f>xHesaplama!Y31</f>
        <v>0</v>
      </c>
      <c r="D56" s="105"/>
      <c r="F56" s="97">
        <f>'1PROJE'!I11</f>
        <v>0</v>
      </c>
      <c r="H56" s="107"/>
      <c r="J56" s="108" t="s">
        <v>366</v>
      </c>
      <c r="K56" s="111"/>
      <c r="L56" s="94"/>
      <c r="M56" s="506">
        <f>xHesaplama!Y32</f>
        <v>0</v>
      </c>
      <c r="N56" s="105"/>
      <c r="P56" s="97">
        <f>'1PROJE'!I12</f>
        <v>0</v>
      </c>
      <c r="R56" s="107"/>
      <c r="T56" s="108" t="s">
        <v>366</v>
      </c>
    </row>
    <row r="57" spans="2:20" ht="15">
      <c r="B57" s="94"/>
      <c r="C57" s="506"/>
      <c r="D57" s="105"/>
      <c r="F57" s="97">
        <f>'1PROJE'!K11</f>
        <v>0</v>
      </c>
      <c r="H57" s="112"/>
      <c r="J57" s="512">
        <f>'1PROJE'!L11</f>
        <v>0</v>
      </c>
      <c r="L57" s="94"/>
      <c r="M57" s="506"/>
      <c r="N57" s="105"/>
      <c r="P57" s="97">
        <f>'1PROJE'!K12</f>
        <v>0</v>
      </c>
      <c r="R57" s="112"/>
      <c r="T57" s="512">
        <f>'1PROJE'!L12</f>
        <v>0</v>
      </c>
    </row>
    <row r="58" spans="2:20" ht="15">
      <c r="B58" s="94"/>
      <c r="C58" s="506"/>
      <c r="D58" s="105"/>
      <c r="E58" s="113"/>
      <c r="F58" s="97" t="str">
        <f>IF('1PROJE'!P11="VAR","BASKI"&amp;" "&amp;'1PROJE'!P11,"")</f>
        <v/>
      </c>
      <c r="G58" s="114"/>
      <c r="H58" s="106"/>
      <c r="J58" s="512"/>
      <c r="K58" s="104"/>
      <c r="L58" s="94"/>
      <c r="M58" s="506"/>
      <c r="N58" s="105"/>
      <c r="O58" s="113"/>
      <c r="P58" s="97" t="str">
        <f>IF('1PROJE'!P12="VAR","BASKI"&amp;" "&amp;'1PROJE'!P12,"")</f>
        <v/>
      </c>
      <c r="Q58" s="114"/>
      <c r="R58" s="106"/>
      <c r="T58" s="512"/>
    </row>
    <row r="59" spans="2:20">
      <c r="B59" s="94"/>
      <c r="C59" s="502" t="s">
        <v>851</v>
      </c>
      <c r="D59" s="105"/>
      <c r="E59" s="113"/>
      <c r="F59" s="507"/>
      <c r="G59" s="114"/>
      <c r="H59" s="115"/>
      <c r="J59" s="512"/>
      <c r="K59" s="116"/>
      <c r="L59" s="94"/>
      <c r="M59" s="502" t="s">
        <v>851</v>
      </c>
      <c r="N59" s="105"/>
      <c r="O59" s="113"/>
      <c r="P59" s="507"/>
      <c r="Q59" s="114"/>
      <c r="R59" s="115"/>
      <c r="T59" s="512"/>
    </row>
    <row r="60" spans="2:20">
      <c r="B60" s="94"/>
      <c r="C60" s="502"/>
      <c r="D60" s="105"/>
      <c r="E60" s="113"/>
      <c r="F60" s="507"/>
      <c r="G60" s="114"/>
      <c r="H60" s="115"/>
      <c r="J60" s="117"/>
      <c r="K60" s="111"/>
      <c r="L60" s="94"/>
      <c r="M60" s="502"/>
      <c r="N60" s="105"/>
      <c r="O60" s="113"/>
      <c r="P60" s="507"/>
      <c r="Q60" s="114"/>
      <c r="R60" s="115"/>
      <c r="T60" s="117"/>
    </row>
    <row r="61" spans="2:20" ht="15">
      <c r="B61" s="94"/>
      <c r="C61" s="502"/>
      <c r="D61" s="118"/>
      <c r="E61" s="113"/>
      <c r="F61" s="507"/>
      <c r="G61" s="114"/>
      <c r="H61" s="115"/>
      <c r="J61" s="108" t="s">
        <v>367</v>
      </c>
      <c r="K61" s="104"/>
      <c r="L61" s="94"/>
      <c r="M61" s="502"/>
      <c r="N61" s="118"/>
      <c r="O61" s="113"/>
      <c r="P61" s="507"/>
      <c r="Q61" s="114"/>
      <c r="R61" s="115"/>
      <c r="T61" s="108"/>
    </row>
    <row r="62" spans="2:20" ht="15" thickBot="1">
      <c r="B62" s="94"/>
      <c r="C62" s="502"/>
      <c r="D62" s="105"/>
      <c r="F62" s="213"/>
      <c r="G62" s="213"/>
      <c r="H62" s="214"/>
      <c r="J62" s="508">
        <f>'1PROJE'!N11</f>
        <v>0</v>
      </c>
      <c r="K62" s="104"/>
      <c r="L62" s="94"/>
      <c r="M62" s="502"/>
      <c r="N62" s="105"/>
      <c r="P62" s="213"/>
      <c r="Q62" s="213"/>
      <c r="R62" s="214"/>
      <c r="T62" s="508"/>
    </row>
    <row r="63" spans="2:20" ht="9.9499999999999993" customHeight="1" thickBot="1">
      <c r="B63" s="94"/>
      <c r="C63" s="502"/>
      <c r="D63" s="105"/>
      <c r="E63" s="99"/>
      <c r="F63" s="215"/>
      <c r="G63" s="216"/>
      <c r="H63" s="105"/>
      <c r="J63" s="508"/>
      <c r="L63" s="94"/>
      <c r="M63" s="502"/>
      <c r="N63" s="105"/>
      <c r="O63" s="99"/>
      <c r="P63" s="215"/>
      <c r="Q63" s="216"/>
      <c r="R63" s="105"/>
      <c r="T63" s="508"/>
    </row>
    <row r="64" spans="2:20" ht="3" customHeight="1" thickBot="1">
      <c r="B64" s="94"/>
      <c r="D64" s="119"/>
      <c r="H64" s="119"/>
      <c r="J64" s="93"/>
      <c r="L64" s="94"/>
      <c r="N64" s="119"/>
      <c r="R64" s="119"/>
      <c r="T64" s="93"/>
    </row>
    <row r="65" spans="2:20">
      <c r="B65" s="94"/>
      <c r="J65" s="93"/>
      <c r="L65" s="94"/>
      <c r="T65" s="93"/>
    </row>
    <row r="66" spans="2:20" ht="15.75">
      <c r="B66" s="94"/>
      <c r="D66" s="87" t="s">
        <v>847</v>
      </c>
      <c r="E66" s="238" t="s">
        <v>848</v>
      </c>
      <c r="F66" s="110">
        <f>xHesaplama!X31</f>
        <v>0</v>
      </c>
      <c r="G66" s="238" t="s">
        <v>848</v>
      </c>
      <c r="H66" s="87" t="s">
        <v>849</v>
      </c>
      <c r="J66" s="93"/>
      <c r="L66" s="94"/>
      <c r="N66" s="87" t="s">
        <v>847</v>
      </c>
      <c r="O66" s="238" t="s">
        <v>848</v>
      </c>
      <c r="P66" s="110">
        <f>xHesaplama!X32</f>
        <v>0</v>
      </c>
      <c r="Q66" s="238" t="s">
        <v>848</v>
      </c>
      <c r="R66" s="87" t="s">
        <v>849</v>
      </c>
      <c r="T66" s="93"/>
    </row>
    <row r="67" spans="2:20">
      <c r="B67" s="120"/>
      <c r="C67" s="121"/>
      <c r="D67" s="121"/>
      <c r="E67" s="121"/>
      <c r="F67" s="121"/>
      <c r="G67" s="121"/>
      <c r="H67" s="121"/>
      <c r="I67" s="121"/>
      <c r="J67" s="122"/>
      <c r="L67" s="120"/>
      <c r="M67" s="121"/>
      <c r="N67" s="121"/>
      <c r="O67" s="121"/>
      <c r="P67" s="121"/>
      <c r="Q67" s="121"/>
      <c r="R67" s="121"/>
      <c r="S67" s="121"/>
      <c r="T67" s="122"/>
    </row>
    <row r="69" spans="2:20" ht="23.1" customHeight="1">
      <c r="B69" s="212" t="s">
        <v>360</v>
      </c>
      <c r="C69" s="300">
        <f>'1PROJE'!B13</f>
        <v>7</v>
      </c>
      <c r="D69" s="504">
        <f>'1PROJE'!C13</f>
        <v>0</v>
      </c>
      <c r="E69" s="504"/>
      <c r="F69" s="504"/>
      <c r="G69" s="504"/>
      <c r="H69" s="504"/>
      <c r="I69" s="504"/>
      <c r="J69" s="89"/>
      <c r="L69" s="212" t="s">
        <v>360</v>
      </c>
      <c r="M69" s="300">
        <f>'1PROJE'!B14</f>
        <v>8</v>
      </c>
      <c r="N69" s="504">
        <f>'1PROJE'!C14</f>
        <v>0</v>
      </c>
      <c r="O69" s="504"/>
      <c r="P69" s="504"/>
      <c r="Q69" s="504"/>
      <c r="R69" s="504"/>
      <c r="S69" s="504"/>
      <c r="T69" s="89"/>
    </row>
    <row r="70" spans="2:20" ht="28.5" customHeight="1">
      <c r="B70" s="90"/>
      <c r="C70" s="91">
        <f>'1PROJE'!D13</f>
        <v>0</v>
      </c>
      <c r="D70" s="505" t="s">
        <v>357</v>
      </c>
      <c r="E70" s="505"/>
      <c r="F70" s="150" t="s">
        <v>365</v>
      </c>
      <c r="G70" s="92"/>
      <c r="H70" s="92"/>
      <c r="J70" s="271" t="str">
        <f>IF('1PROJE'!T13="", "", '1PROJE'!T13)</f>
        <v/>
      </c>
      <c r="L70" s="90"/>
      <c r="M70" s="91">
        <f>'1PROJE'!D14</f>
        <v>0</v>
      </c>
      <c r="N70" s="505" t="s">
        <v>357</v>
      </c>
      <c r="O70" s="505"/>
      <c r="P70" s="150" t="s">
        <v>365</v>
      </c>
      <c r="Q70" s="92"/>
      <c r="R70" s="92"/>
      <c r="T70" s="271" t="str">
        <f>IF('1PROJE'!T14="", "", '1PROJE'!T14)</f>
        <v/>
      </c>
    </row>
    <row r="71" spans="2:20" ht="11.1" customHeight="1" thickBot="1">
      <c r="B71" s="94"/>
      <c r="C71" s="95"/>
      <c r="E71" s="509">
        <f>'1PROJE'!M13</f>
        <v>0</v>
      </c>
      <c r="F71" s="509"/>
      <c r="G71" s="509"/>
      <c r="H71" s="96"/>
      <c r="J71" s="93"/>
      <c r="L71" s="94"/>
      <c r="M71" s="95"/>
      <c r="O71" s="509">
        <f>'1PROJE'!M14</f>
        <v>0</v>
      </c>
      <c r="P71" s="509"/>
      <c r="Q71" s="509"/>
      <c r="R71" s="96"/>
      <c r="T71" s="93"/>
    </row>
    <row r="72" spans="2:20" ht="15.95" customHeight="1" thickBot="1">
      <c r="B72" s="94"/>
      <c r="C72" s="503" t="s">
        <v>852</v>
      </c>
      <c r="D72" s="99"/>
      <c r="E72" s="338" t="str">
        <f>IF(OR(E71="DIŞTAN BAKIŞ SOL",E71="İÇTEN BAKIŞ SAĞ"),"M","")</f>
        <v/>
      </c>
      <c r="F72" s="324" t="e">
        <f>VLOOKUP('1PROJE'!C13,'x Açılır Listeler'!$A$2:$B$15,2,0)</f>
        <v>#N/A</v>
      </c>
      <c r="G72" s="325" t="str">
        <f>IF(OR(E71="DIŞTAN BAKIŞ SAĞ",E71="İÇTEN BAKIŞ SOL"),"M","")</f>
        <v/>
      </c>
      <c r="H72" s="100"/>
      <c r="J72" s="101" t="s">
        <v>368</v>
      </c>
      <c r="L72" s="94"/>
      <c r="M72" s="503" t="s">
        <v>852</v>
      </c>
      <c r="N72" s="99"/>
      <c r="O72" s="338" t="str">
        <f>IF(OR(O71="DIŞTAN BAKIŞ SOL",O71="İÇTEN BAKIŞ SAĞ"),"M","")</f>
        <v/>
      </c>
      <c r="P72" s="324" t="e">
        <f>VLOOKUP('1PROJE'!C14,'x Açılır Listeler'!$A$2:$B$15,2,0)</f>
        <v>#N/A</v>
      </c>
      <c r="Q72" s="325" t="str">
        <f>IF(OR(O71="DIŞTAN BAKIŞ SAĞ",O71="İÇTEN BAKIŞ SOL"),"M","")</f>
        <v/>
      </c>
      <c r="R72" s="100"/>
      <c r="T72" s="101" t="s">
        <v>368</v>
      </c>
    </row>
    <row r="73" spans="2:20">
      <c r="B73" s="94"/>
      <c r="C73" s="503"/>
      <c r="D73" s="102"/>
      <c r="H73" s="103"/>
      <c r="J73" s="511">
        <f>'1PROJE'!H13</f>
        <v>0</v>
      </c>
      <c r="K73" s="104"/>
      <c r="L73" s="94"/>
      <c r="M73" s="503"/>
      <c r="N73" s="102"/>
      <c r="R73" s="103"/>
      <c r="T73" s="511">
        <f>'1PROJE'!H14</f>
        <v>0</v>
      </c>
    </row>
    <row r="74" spans="2:20" ht="15">
      <c r="B74" s="94"/>
      <c r="C74" s="503"/>
      <c r="D74" s="105"/>
      <c r="F74" s="510"/>
      <c r="H74" s="106"/>
      <c r="J74" s="511"/>
      <c r="K74" s="104"/>
      <c r="L74" s="94"/>
      <c r="M74" s="503"/>
      <c r="N74" s="105"/>
      <c r="P74" s="510"/>
      <c r="R74" s="106"/>
      <c r="T74" s="511"/>
    </row>
    <row r="75" spans="2:20" ht="15">
      <c r="B75" s="90"/>
      <c r="C75" s="503"/>
      <c r="D75" s="105"/>
      <c r="F75" s="510"/>
      <c r="H75" s="107"/>
      <c r="J75" s="108"/>
      <c r="K75" s="109"/>
      <c r="L75" s="90"/>
      <c r="M75" s="503"/>
      <c r="N75" s="105"/>
      <c r="P75" s="510"/>
      <c r="R75" s="107"/>
      <c r="T75" s="108"/>
    </row>
    <row r="76" spans="2:20" ht="15">
      <c r="B76" s="94"/>
      <c r="C76" s="506">
        <f>xHesaplama!Y33</f>
        <v>0</v>
      </c>
      <c r="D76" s="105"/>
      <c r="F76" s="97">
        <f>'1PROJE'!I13</f>
        <v>0</v>
      </c>
      <c r="H76" s="107"/>
      <c r="J76" s="108" t="s">
        <v>366</v>
      </c>
      <c r="K76" s="111"/>
      <c r="L76" s="94"/>
      <c r="M76" s="506">
        <f>xHesaplama!Y34</f>
        <v>0</v>
      </c>
      <c r="N76" s="105"/>
      <c r="P76" s="97">
        <f>'1PROJE'!I14</f>
        <v>0</v>
      </c>
      <c r="R76" s="107"/>
      <c r="T76" s="108" t="s">
        <v>366</v>
      </c>
    </row>
    <row r="77" spans="2:20" ht="32.450000000000003" customHeight="1">
      <c r="B77" s="94"/>
      <c r="C77" s="506"/>
      <c r="D77" s="105"/>
      <c r="F77" s="97">
        <f>'1PROJE'!K13</f>
        <v>0</v>
      </c>
      <c r="H77" s="112"/>
      <c r="J77" s="512">
        <f>'1PROJE'!L13</f>
        <v>0</v>
      </c>
      <c r="L77" s="94"/>
      <c r="M77" s="506"/>
      <c r="N77" s="105"/>
      <c r="P77" s="97">
        <f>'1PROJE'!K14</f>
        <v>0</v>
      </c>
      <c r="R77" s="112"/>
      <c r="T77" s="512">
        <f>'1PROJE'!L14</f>
        <v>0</v>
      </c>
    </row>
    <row r="78" spans="2:20" ht="15">
      <c r="B78" s="94"/>
      <c r="C78" s="506"/>
      <c r="D78" s="105"/>
      <c r="E78" s="113"/>
      <c r="F78" s="97" t="str">
        <f>IF('1PROJE'!P13="VAR","BASKI"&amp;" "&amp;'1PROJE'!P13,"")</f>
        <v/>
      </c>
      <c r="G78" s="114"/>
      <c r="H78" s="106"/>
      <c r="J78" s="512"/>
      <c r="K78" s="104"/>
      <c r="L78" s="94"/>
      <c r="M78" s="506"/>
      <c r="N78" s="105"/>
      <c r="O78" s="113"/>
      <c r="P78" s="97" t="str">
        <f>IF('1PROJE'!P14="VAR","BASKI"&amp;" "&amp;'1PROJE'!P14,"")</f>
        <v/>
      </c>
      <c r="Q78" s="114"/>
      <c r="R78" s="106"/>
      <c r="T78" s="512"/>
    </row>
    <row r="79" spans="2:20">
      <c r="B79" s="94"/>
      <c r="C79" s="502" t="s">
        <v>851</v>
      </c>
      <c r="D79" s="105"/>
      <c r="E79" s="113"/>
      <c r="F79" s="507"/>
      <c r="G79" s="114"/>
      <c r="H79" s="115"/>
      <c r="J79" s="512"/>
      <c r="K79" s="116"/>
      <c r="L79" s="94"/>
      <c r="M79" s="502" t="s">
        <v>851</v>
      </c>
      <c r="N79" s="105"/>
      <c r="O79" s="113"/>
      <c r="P79" s="507"/>
      <c r="Q79" s="114"/>
      <c r="R79" s="115"/>
      <c r="T79" s="512"/>
    </row>
    <row r="80" spans="2:20">
      <c r="B80" s="94"/>
      <c r="C80" s="502"/>
      <c r="D80" s="105"/>
      <c r="E80" s="113"/>
      <c r="F80" s="507"/>
      <c r="G80" s="114"/>
      <c r="H80" s="115"/>
      <c r="J80" s="117"/>
      <c r="K80" s="111"/>
      <c r="L80" s="94"/>
      <c r="M80" s="502"/>
      <c r="N80" s="105"/>
      <c r="O80" s="113"/>
      <c r="P80" s="507"/>
      <c r="Q80" s="114"/>
      <c r="R80" s="115"/>
      <c r="T80" s="117"/>
    </row>
    <row r="81" spans="2:20" ht="15">
      <c r="B81" s="94"/>
      <c r="C81" s="502"/>
      <c r="D81" s="118"/>
      <c r="E81" s="113"/>
      <c r="F81" s="507"/>
      <c r="G81" s="114"/>
      <c r="H81" s="115"/>
      <c r="J81" s="108"/>
      <c r="K81" s="104"/>
      <c r="L81" s="94"/>
      <c r="M81" s="502"/>
      <c r="N81" s="118"/>
      <c r="O81" s="113"/>
      <c r="P81" s="507"/>
      <c r="Q81" s="114"/>
      <c r="R81" s="115"/>
      <c r="T81" s="108"/>
    </row>
    <row r="82" spans="2:20" ht="15" thickBot="1">
      <c r="B82" s="94"/>
      <c r="C82" s="502"/>
      <c r="D82" s="105"/>
      <c r="F82" s="213"/>
      <c r="G82" s="213"/>
      <c r="H82" s="214"/>
      <c r="J82" s="508"/>
      <c r="K82" s="104"/>
      <c r="L82" s="94"/>
      <c r="M82" s="502"/>
      <c r="N82" s="105"/>
      <c r="P82" s="213"/>
      <c r="Q82" s="213"/>
      <c r="R82" s="214"/>
      <c r="T82" s="508"/>
    </row>
    <row r="83" spans="2:20" ht="8.1" customHeight="1" thickBot="1">
      <c r="B83" s="94"/>
      <c r="C83" s="502"/>
      <c r="D83" s="105"/>
      <c r="E83" s="99"/>
      <c r="F83" s="215"/>
      <c r="G83" s="216"/>
      <c r="H83" s="105"/>
      <c r="J83" s="508"/>
      <c r="L83" s="94"/>
      <c r="M83" s="502"/>
      <c r="N83" s="105"/>
      <c r="O83" s="99"/>
      <c r="P83" s="215"/>
      <c r="Q83" s="216"/>
      <c r="R83" s="105"/>
      <c r="T83" s="508"/>
    </row>
    <row r="84" spans="2:20" ht="4.5" customHeight="1" thickBot="1">
      <c r="B84" s="94"/>
      <c r="D84" s="119"/>
      <c r="H84" s="119"/>
      <c r="J84" s="93"/>
      <c r="L84" s="94"/>
      <c r="N84" s="119"/>
      <c r="R84" s="119"/>
      <c r="T84" s="93"/>
    </row>
    <row r="85" spans="2:20">
      <c r="B85" s="94"/>
      <c r="J85" s="93"/>
      <c r="L85" s="94"/>
      <c r="T85" s="93"/>
    </row>
    <row r="86" spans="2:20" ht="15.75">
      <c r="B86" s="94"/>
      <c r="D86" s="87" t="s">
        <v>847</v>
      </c>
      <c r="E86" s="238" t="s">
        <v>848</v>
      </c>
      <c r="F86" s="110">
        <f>xHesaplama!X33</f>
        <v>0</v>
      </c>
      <c r="G86" s="238" t="s">
        <v>848</v>
      </c>
      <c r="H86" s="87" t="s">
        <v>849</v>
      </c>
      <c r="J86" s="93"/>
      <c r="L86" s="94"/>
      <c r="N86" s="87" t="s">
        <v>847</v>
      </c>
      <c r="O86" s="238" t="s">
        <v>848</v>
      </c>
      <c r="P86" s="110">
        <f>xHesaplama!X34</f>
        <v>0</v>
      </c>
      <c r="Q86" s="238" t="s">
        <v>848</v>
      </c>
      <c r="R86" s="87" t="s">
        <v>849</v>
      </c>
      <c r="T86" s="93"/>
    </row>
    <row r="87" spans="2:20">
      <c r="B87" s="120"/>
      <c r="C87" s="121"/>
      <c r="D87" s="121"/>
      <c r="E87" s="121"/>
      <c r="F87" s="121"/>
      <c r="G87" s="121"/>
      <c r="H87" s="121"/>
      <c r="I87" s="121"/>
      <c r="J87" s="122"/>
      <c r="L87" s="120"/>
      <c r="M87" s="121"/>
      <c r="N87" s="121"/>
      <c r="O87" s="121"/>
      <c r="P87" s="121"/>
      <c r="Q87" s="121"/>
      <c r="R87" s="121"/>
      <c r="S87" s="121"/>
      <c r="T87" s="122"/>
    </row>
    <row r="89" spans="2:20" ht="23.1" customHeight="1">
      <c r="B89" s="212" t="s">
        <v>360</v>
      </c>
      <c r="C89" s="300">
        <f>'1PROJE'!B15</f>
        <v>9</v>
      </c>
      <c r="D89" s="504">
        <f>'1PROJE'!C15</f>
        <v>0</v>
      </c>
      <c r="E89" s="504"/>
      <c r="F89" s="504"/>
      <c r="G89" s="504"/>
      <c r="H89" s="504"/>
      <c r="I89" s="504"/>
      <c r="J89" s="89"/>
      <c r="L89" s="212" t="s">
        <v>360</v>
      </c>
      <c r="M89" s="300">
        <f>'1PROJE'!B16</f>
        <v>10</v>
      </c>
      <c r="N89" s="504">
        <f>'1PROJE'!C16</f>
        <v>0</v>
      </c>
      <c r="O89" s="504"/>
      <c r="P89" s="504"/>
      <c r="Q89" s="504"/>
      <c r="R89" s="504"/>
      <c r="S89" s="504"/>
      <c r="T89" s="89"/>
    </row>
    <row r="90" spans="2:20" ht="28.5" customHeight="1">
      <c r="B90" s="90"/>
      <c r="C90" s="91">
        <f>'1PROJE'!D15</f>
        <v>0</v>
      </c>
      <c r="D90" s="505" t="s">
        <v>357</v>
      </c>
      <c r="E90" s="505"/>
      <c r="F90" s="150" t="s">
        <v>365</v>
      </c>
      <c r="G90" s="92"/>
      <c r="H90" s="92"/>
      <c r="J90" s="271" t="str">
        <f>IF('1PROJE'!T15="", "", '1PROJE'!T15)</f>
        <v/>
      </c>
      <c r="L90" s="90"/>
      <c r="M90" s="91">
        <f>'1PROJE'!D16</f>
        <v>0</v>
      </c>
      <c r="N90" s="505" t="s">
        <v>357</v>
      </c>
      <c r="O90" s="505"/>
      <c r="P90" s="150" t="s">
        <v>365</v>
      </c>
      <c r="Q90" s="92"/>
      <c r="R90" s="92"/>
      <c r="T90" s="271" t="str">
        <f>IF('1PROJE'!T16="", "", '1PROJE'!T16)</f>
        <v/>
      </c>
    </row>
    <row r="91" spans="2:20" ht="12.6" customHeight="1" thickBot="1">
      <c r="B91" s="94"/>
      <c r="C91" s="95"/>
      <c r="E91" s="509">
        <f>'1PROJE'!M15</f>
        <v>0</v>
      </c>
      <c r="F91" s="509"/>
      <c r="G91" s="509"/>
      <c r="H91" s="96"/>
      <c r="J91" s="93"/>
      <c r="L91" s="94"/>
      <c r="M91" s="95"/>
      <c r="O91" s="509">
        <f>'1PROJE'!M16</f>
        <v>0</v>
      </c>
      <c r="P91" s="509"/>
      <c r="Q91" s="509"/>
      <c r="R91" s="96"/>
      <c r="T91" s="93"/>
    </row>
    <row r="92" spans="2:20" ht="15.95" customHeight="1" thickBot="1">
      <c r="B92" s="94"/>
      <c r="C92" s="503" t="s">
        <v>852</v>
      </c>
      <c r="D92" s="99"/>
      <c r="E92" s="338" t="str">
        <f>IF(OR(E91="DIŞTAN BAKIŞ SOL",E91="İÇTEN BAKIŞ SAĞ"),"M","")</f>
        <v/>
      </c>
      <c r="F92" s="324" t="e">
        <f>VLOOKUP('1PROJE'!C15,'x Açılır Listeler'!$A$2:$B$15,2,0)</f>
        <v>#N/A</v>
      </c>
      <c r="G92" s="325" t="str">
        <f>IF(OR(E91="DIŞTAN BAKIŞ SAĞ",E91="İÇTEN BAKIŞ SOL"),"M","")</f>
        <v/>
      </c>
      <c r="H92" s="100"/>
      <c r="J92" s="101" t="s">
        <v>368</v>
      </c>
      <c r="L92" s="94"/>
      <c r="M92" s="503" t="s">
        <v>852</v>
      </c>
      <c r="N92" s="99"/>
      <c r="O92" s="338" t="str">
        <f>IF(OR(O91="DIŞTAN BAKIŞ SOL",O91="İÇTEN BAKIŞ SAĞ"),"M","")</f>
        <v/>
      </c>
      <c r="P92" s="324" t="e">
        <f>VLOOKUP('1PROJE'!C16,'x Açılır Listeler'!$A$2:$B$15,2,0)</f>
        <v>#N/A</v>
      </c>
      <c r="Q92" s="325" t="str">
        <f>IF(OR(O91="DIŞTAN BAKIŞ SAĞ",O91="İÇTEN BAKIŞ SOL"),"M","")</f>
        <v/>
      </c>
      <c r="R92" s="100"/>
      <c r="T92" s="101" t="s">
        <v>368</v>
      </c>
    </row>
    <row r="93" spans="2:20">
      <c r="B93" s="94"/>
      <c r="C93" s="503"/>
      <c r="D93" s="102"/>
      <c r="H93" s="103"/>
      <c r="J93" s="511">
        <f>'1PROJE'!H15</f>
        <v>0</v>
      </c>
      <c r="K93" s="104"/>
      <c r="L93" s="94"/>
      <c r="M93" s="503"/>
      <c r="N93" s="102"/>
      <c r="R93" s="103"/>
      <c r="T93" s="511">
        <f>'1PROJE'!H16</f>
        <v>0</v>
      </c>
    </row>
    <row r="94" spans="2:20" ht="15">
      <c r="B94" s="94"/>
      <c r="C94" s="503"/>
      <c r="D94" s="105"/>
      <c r="F94" s="510"/>
      <c r="H94" s="106"/>
      <c r="J94" s="511"/>
      <c r="K94" s="104"/>
      <c r="L94" s="94"/>
      <c r="M94" s="503"/>
      <c r="N94" s="105"/>
      <c r="P94" s="510"/>
      <c r="R94" s="106"/>
      <c r="T94" s="511"/>
    </row>
    <row r="95" spans="2:20" ht="15">
      <c r="B95" s="90"/>
      <c r="C95" s="503"/>
      <c r="D95" s="105"/>
      <c r="F95" s="510"/>
      <c r="H95" s="107"/>
      <c r="J95" s="108"/>
      <c r="K95" s="109"/>
      <c r="L95" s="90"/>
      <c r="M95" s="503"/>
      <c r="N95" s="105"/>
      <c r="P95" s="510"/>
      <c r="R95" s="107"/>
      <c r="T95" s="108"/>
    </row>
    <row r="96" spans="2:20" ht="15">
      <c r="B96" s="94"/>
      <c r="C96" s="506">
        <f>xHesaplama!Y35</f>
        <v>0</v>
      </c>
      <c r="D96" s="105"/>
      <c r="F96" s="97">
        <f>'1PROJE'!I15</f>
        <v>0</v>
      </c>
      <c r="H96" s="107"/>
      <c r="J96" s="108" t="s">
        <v>366</v>
      </c>
      <c r="K96" s="111"/>
      <c r="L96" s="94"/>
      <c r="M96" s="506">
        <f>xHesaplama!Y36</f>
        <v>0</v>
      </c>
      <c r="N96" s="105"/>
      <c r="P96" s="97">
        <f>'1PROJE'!I16</f>
        <v>0</v>
      </c>
      <c r="R96" s="107"/>
      <c r="T96" s="108" t="s">
        <v>366</v>
      </c>
    </row>
    <row r="97" spans="2:20" ht="26.45" customHeight="1">
      <c r="B97" s="94"/>
      <c r="C97" s="506"/>
      <c r="D97" s="105"/>
      <c r="F97" s="97">
        <f>'1PROJE'!K15</f>
        <v>0</v>
      </c>
      <c r="H97" s="112"/>
      <c r="J97" s="512">
        <f>'1PROJE'!L15</f>
        <v>0</v>
      </c>
      <c r="L97" s="94"/>
      <c r="M97" s="506"/>
      <c r="N97" s="105"/>
      <c r="P97" s="97">
        <f>'1PROJE'!K16</f>
        <v>0</v>
      </c>
      <c r="R97" s="112"/>
      <c r="T97" s="512">
        <f>'1PROJE'!L16</f>
        <v>0</v>
      </c>
    </row>
    <row r="98" spans="2:20" ht="15">
      <c r="B98" s="94"/>
      <c r="C98" s="506"/>
      <c r="D98" s="105"/>
      <c r="E98" s="113"/>
      <c r="F98" s="97" t="str">
        <f>IF('1PROJE'!P15="VAR","BASKI"&amp;" "&amp;'1PROJE'!P15,"")</f>
        <v/>
      </c>
      <c r="G98" s="114"/>
      <c r="H98" s="106"/>
      <c r="J98" s="512"/>
      <c r="K98" s="104"/>
      <c r="L98" s="94"/>
      <c r="M98" s="506"/>
      <c r="N98" s="105"/>
      <c r="O98" s="113"/>
      <c r="P98" s="97" t="str">
        <f>IF('1PROJE'!P16="VAR","BASKI"&amp;" "&amp;'1PROJE'!P16,"")</f>
        <v/>
      </c>
      <c r="Q98" s="114"/>
      <c r="R98" s="106"/>
      <c r="T98" s="512"/>
    </row>
    <row r="99" spans="2:20">
      <c r="B99" s="94"/>
      <c r="C99" s="502" t="s">
        <v>851</v>
      </c>
      <c r="D99" s="105"/>
      <c r="E99" s="113"/>
      <c r="F99" s="507"/>
      <c r="G99" s="114"/>
      <c r="H99" s="115"/>
      <c r="J99" s="512"/>
      <c r="K99" s="116"/>
      <c r="L99" s="94"/>
      <c r="M99" s="502" t="s">
        <v>851</v>
      </c>
      <c r="N99" s="105"/>
      <c r="O99" s="113"/>
      <c r="P99" s="507"/>
      <c r="Q99" s="114"/>
      <c r="R99" s="115"/>
      <c r="T99" s="512"/>
    </row>
    <row r="100" spans="2:20">
      <c r="B100" s="94"/>
      <c r="C100" s="502"/>
      <c r="D100" s="105"/>
      <c r="E100" s="113"/>
      <c r="F100" s="507"/>
      <c r="G100" s="114"/>
      <c r="H100" s="115"/>
      <c r="J100" s="117"/>
      <c r="K100" s="111"/>
      <c r="L100" s="94"/>
      <c r="M100" s="502"/>
      <c r="N100" s="105"/>
      <c r="O100" s="113"/>
      <c r="P100" s="507"/>
      <c r="Q100" s="114"/>
      <c r="R100" s="115"/>
      <c r="T100" s="117"/>
    </row>
    <row r="101" spans="2:20" ht="15">
      <c r="B101" s="94"/>
      <c r="C101" s="502"/>
      <c r="D101" s="118"/>
      <c r="E101" s="113"/>
      <c r="F101" s="507"/>
      <c r="G101" s="114"/>
      <c r="H101" s="115"/>
      <c r="J101" s="108"/>
      <c r="K101" s="104"/>
      <c r="L101" s="94"/>
      <c r="M101" s="502"/>
      <c r="N101" s="118"/>
      <c r="O101" s="113"/>
      <c r="P101" s="507"/>
      <c r="Q101" s="114"/>
      <c r="R101" s="115"/>
      <c r="T101" s="108"/>
    </row>
    <row r="102" spans="2:20" ht="15" thickBot="1">
      <c r="B102" s="94"/>
      <c r="C102" s="502"/>
      <c r="D102" s="105"/>
      <c r="F102" s="213"/>
      <c r="G102" s="213"/>
      <c r="H102" s="214"/>
      <c r="J102" s="508"/>
      <c r="K102" s="104"/>
      <c r="L102" s="94"/>
      <c r="M102" s="502"/>
      <c r="N102" s="105"/>
      <c r="P102" s="213"/>
      <c r="Q102" s="213"/>
      <c r="R102" s="214"/>
      <c r="T102" s="508"/>
    </row>
    <row r="103" spans="2:20" ht="7.5" customHeight="1" thickBot="1">
      <c r="B103" s="94"/>
      <c r="C103" s="502"/>
      <c r="D103" s="105"/>
      <c r="E103" s="99"/>
      <c r="F103" s="215"/>
      <c r="G103" s="216"/>
      <c r="H103" s="105"/>
      <c r="J103" s="508"/>
      <c r="L103" s="94"/>
      <c r="M103" s="502"/>
      <c r="N103" s="105"/>
      <c r="O103" s="99"/>
      <c r="P103" s="215"/>
      <c r="Q103" s="216"/>
      <c r="R103" s="105"/>
      <c r="T103" s="508"/>
    </row>
    <row r="104" spans="2:20" ht="3.95" customHeight="1" thickBot="1">
      <c r="B104" s="94"/>
      <c r="D104" s="119"/>
      <c r="H104" s="119"/>
      <c r="J104" s="93"/>
      <c r="L104" s="94"/>
      <c r="N104" s="119"/>
      <c r="R104" s="119"/>
      <c r="T104" s="93"/>
    </row>
    <row r="105" spans="2:20">
      <c r="B105" s="94"/>
      <c r="J105" s="93"/>
      <c r="L105" s="94"/>
      <c r="T105" s="93"/>
    </row>
    <row r="106" spans="2:20" ht="15.75">
      <c r="B106" s="94"/>
      <c r="D106" s="87" t="s">
        <v>847</v>
      </c>
      <c r="E106" s="238" t="s">
        <v>848</v>
      </c>
      <c r="F106" s="110">
        <f>xHesaplama!X35</f>
        <v>0</v>
      </c>
      <c r="G106" s="238" t="s">
        <v>848</v>
      </c>
      <c r="H106" s="87" t="s">
        <v>849</v>
      </c>
      <c r="J106" s="93"/>
      <c r="L106" s="94"/>
      <c r="N106" s="87" t="s">
        <v>847</v>
      </c>
      <c r="O106" s="238" t="s">
        <v>848</v>
      </c>
      <c r="P106" s="110">
        <f>xHesaplama!X36</f>
        <v>0</v>
      </c>
      <c r="Q106" s="238" t="s">
        <v>848</v>
      </c>
      <c r="R106" s="87" t="s">
        <v>849</v>
      </c>
      <c r="T106" s="93"/>
    </row>
    <row r="107" spans="2:20">
      <c r="B107" s="120"/>
      <c r="C107" s="121"/>
      <c r="D107" s="121"/>
      <c r="E107" s="121"/>
      <c r="F107" s="121"/>
      <c r="G107" s="121"/>
      <c r="H107" s="121"/>
      <c r="I107" s="121"/>
      <c r="J107" s="122"/>
      <c r="L107" s="120"/>
      <c r="M107" s="121"/>
      <c r="N107" s="121"/>
      <c r="O107" s="121"/>
      <c r="P107" s="121"/>
      <c r="Q107" s="121"/>
      <c r="R107" s="121"/>
      <c r="S107" s="121"/>
      <c r="T107" s="122"/>
    </row>
    <row r="109" spans="2:20" ht="23.1" customHeight="1">
      <c r="B109" s="212" t="s">
        <v>360</v>
      </c>
      <c r="C109" s="300">
        <f>'1PROJE'!B17</f>
        <v>11</v>
      </c>
      <c r="D109" s="504">
        <f>'1PROJE'!C17</f>
        <v>0</v>
      </c>
      <c r="E109" s="504"/>
      <c r="F109" s="504"/>
      <c r="G109" s="504"/>
      <c r="H109" s="504"/>
      <c r="I109" s="504"/>
      <c r="J109" s="89"/>
      <c r="L109" s="212" t="s">
        <v>360</v>
      </c>
      <c r="M109" s="300">
        <f>'1PROJE'!B18</f>
        <v>12</v>
      </c>
      <c r="N109" s="504">
        <f>'1PROJE'!C18</f>
        <v>0</v>
      </c>
      <c r="O109" s="504"/>
      <c r="P109" s="504"/>
      <c r="Q109" s="504"/>
      <c r="R109" s="504"/>
      <c r="S109" s="504"/>
      <c r="T109" s="89"/>
    </row>
    <row r="110" spans="2:20" ht="28.5" customHeight="1">
      <c r="B110" s="90"/>
      <c r="C110" s="91">
        <f>'1PROJE'!D17</f>
        <v>0</v>
      </c>
      <c r="D110" s="505" t="s">
        <v>357</v>
      </c>
      <c r="E110" s="505"/>
      <c r="F110" s="150" t="s">
        <v>365</v>
      </c>
      <c r="G110" s="92"/>
      <c r="H110" s="92"/>
      <c r="J110" s="271" t="str">
        <f>IF('1PROJE'!T17="", "", '1PROJE'!T17)</f>
        <v/>
      </c>
      <c r="L110" s="90"/>
      <c r="M110" s="91">
        <f>'1PROJE'!D18</f>
        <v>0</v>
      </c>
      <c r="N110" s="505" t="s">
        <v>357</v>
      </c>
      <c r="O110" s="505"/>
      <c r="P110" s="150" t="s">
        <v>365</v>
      </c>
      <c r="Q110" s="92"/>
      <c r="R110" s="92"/>
      <c r="T110" s="271" t="str">
        <f>IF('1PROJE'!T18="", "", '1PROJE'!T18)</f>
        <v/>
      </c>
    </row>
    <row r="111" spans="2:20" ht="13.5" customHeight="1" thickBot="1">
      <c r="B111" s="94"/>
      <c r="C111" s="95"/>
      <c r="E111" s="509">
        <f>'1PROJE'!M17</f>
        <v>0</v>
      </c>
      <c r="F111" s="509"/>
      <c r="G111" s="509"/>
      <c r="H111" s="96"/>
      <c r="J111" s="93"/>
      <c r="L111" s="94"/>
      <c r="M111" s="95"/>
      <c r="O111" s="509">
        <f>'1PROJE'!M18</f>
        <v>0</v>
      </c>
      <c r="P111" s="509"/>
      <c r="Q111" s="509"/>
      <c r="R111" s="96"/>
      <c r="T111" s="93"/>
    </row>
    <row r="112" spans="2:20" ht="15.95" customHeight="1" thickBot="1">
      <c r="B112" s="94"/>
      <c r="C112" s="503" t="s">
        <v>852</v>
      </c>
      <c r="D112" s="99"/>
      <c r="E112" s="338" t="str">
        <f>IF(OR(E111="DIŞTAN BAKIŞ SOL",E111="İÇTEN BAKIŞ SAĞ"),"M","")</f>
        <v/>
      </c>
      <c r="F112" s="324" t="e">
        <f>VLOOKUP('1PROJE'!C17,'x Açılır Listeler'!$A$2:$B$15,2,0)</f>
        <v>#N/A</v>
      </c>
      <c r="G112" s="325" t="str">
        <f>IF(OR(E111="DIŞTAN BAKIŞ SAĞ",E111="İÇTEN BAKIŞ SOL"),"M","")</f>
        <v/>
      </c>
      <c r="H112" s="100"/>
      <c r="J112" s="101" t="s">
        <v>368</v>
      </c>
      <c r="L112" s="94"/>
      <c r="M112" s="503" t="s">
        <v>852</v>
      </c>
      <c r="N112" s="99"/>
      <c r="O112" s="338" t="str">
        <f>IF(OR(O111="DIŞTAN BAKIŞ SOL",O111="İÇTEN BAKIŞ SAĞ"),"M","")</f>
        <v/>
      </c>
      <c r="P112" s="324" t="e">
        <f>VLOOKUP('1PROJE'!C18,'x Açılır Listeler'!$A$2:$B$15,2,0)</f>
        <v>#N/A</v>
      </c>
      <c r="Q112" s="325" t="str">
        <f>IF(OR(O111="DIŞTAN BAKIŞ SAĞ",O111="İÇTEN BAKIŞ SOL"),"M","")</f>
        <v/>
      </c>
      <c r="R112" s="100"/>
      <c r="T112" s="101" t="s">
        <v>368</v>
      </c>
    </row>
    <row r="113" spans="2:20">
      <c r="B113" s="94"/>
      <c r="C113" s="503"/>
      <c r="D113" s="102"/>
      <c r="H113" s="103"/>
      <c r="J113" s="511">
        <f>'1PROJE'!H17</f>
        <v>0</v>
      </c>
      <c r="K113" s="104"/>
      <c r="L113" s="94"/>
      <c r="M113" s="503"/>
      <c r="N113" s="102"/>
      <c r="R113" s="103"/>
      <c r="T113" s="511">
        <f>'1PROJE'!H18</f>
        <v>0</v>
      </c>
    </row>
    <row r="114" spans="2:20" ht="15">
      <c r="B114" s="94"/>
      <c r="C114" s="503"/>
      <c r="D114" s="105"/>
      <c r="F114" s="510"/>
      <c r="H114" s="106"/>
      <c r="J114" s="511"/>
      <c r="K114" s="104"/>
      <c r="L114" s="94"/>
      <c r="M114" s="503"/>
      <c r="N114" s="105"/>
      <c r="P114" s="510"/>
      <c r="R114" s="106"/>
      <c r="T114" s="511"/>
    </row>
    <row r="115" spans="2:20" ht="15">
      <c r="B115" s="90"/>
      <c r="C115" s="503"/>
      <c r="D115" s="105"/>
      <c r="F115" s="510"/>
      <c r="H115" s="107"/>
      <c r="J115" s="108"/>
      <c r="K115" s="109"/>
      <c r="L115" s="90"/>
      <c r="M115" s="503"/>
      <c r="N115" s="105"/>
      <c r="P115" s="510"/>
      <c r="R115" s="107"/>
      <c r="T115" s="108"/>
    </row>
    <row r="116" spans="2:20" ht="15">
      <c r="B116" s="94"/>
      <c r="C116" s="506">
        <f>xHesaplama!Y37</f>
        <v>0</v>
      </c>
      <c r="D116" s="105"/>
      <c r="F116" s="97">
        <f>'1PROJE'!I17</f>
        <v>0</v>
      </c>
      <c r="H116" s="107"/>
      <c r="J116" s="108" t="s">
        <v>366</v>
      </c>
      <c r="K116" s="111"/>
      <c r="L116" s="94"/>
      <c r="M116" s="506">
        <f>xHesaplama!Y38</f>
        <v>0</v>
      </c>
      <c r="N116" s="105"/>
      <c r="P116" s="97">
        <f>'1PROJE'!I18</f>
        <v>0</v>
      </c>
      <c r="R116" s="107"/>
      <c r="T116" s="108" t="s">
        <v>366</v>
      </c>
    </row>
    <row r="117" spans="2:20" ht="30" customHeight="1">
      <c r="B117" s="94"/>
      <c r="C117" s="506"/>
      <c r="D117" s="105"/>
      <c r="F117" s="97">
        <f>'1PROJE'!K17</f>
        <v>0</v>
      </c>
      <c r="H117" s="112"/>
      <c r="J117" s="512">
        <f>'1PROJE'!L17</f>
        <v>0</v>
      </c>
      <c r="L117" s="94"/>
      <c r="M117" s="506"/>
      <c r="N117" s="105"/>
      <c r="P117" s="97">
        <f>'1PROJE'!K18</f>
        <v>0</v>
      </c>
      <c r="R117" s="112"/>
      <c r="T117" s="512">
        <f>'1PROJE'!L18</f>
        <v>0</v>
      </c>
    </row>
    <row r="118" spans="2:20" ht="15">
      <c r="B118" s="94"/>
      <c r="C118" s="506"/>
      <c r="D118" s="105"/>
      <c r="E118" s="113"/>
      <c r="F118" s="97" t="str">
        <f>IF('1PROJE'!P17="VAR","BASKI"&amp;" "&amp;'1PROJE'!P17,"")</f>
        <v/>
      </c>
      <c r="G118" s="114"/>
      <c r="H118" s="106"/>
      <c r="J118" s="512"/>
      <c r="K118" s="104"/>
      <c r="L118" s="94"/>
      <c r="M118" s="506"/>
      <c r="N118" s="105"/>
      <c r="O118" s="113"/>
      <c r="P118" s="97" t="str">
        <f>IF('1PROJE'!P18="VAR","BASKI"&amp;" "&amp;'1PROJE'!P18,"")</f>
        <v/>
      </c>
      <c r="Q118" s="114"/>
      <c r="R118" s="106"/>
      <c r="T118" s="512"/>
    </row>
    <row r="119" spans="2:20">
      <c r="B119" s="94"/>
      <c r="C119" s="502" t="s">
        <v>851</v>
      </c>
      <c r="D119" s="105"/>
      <c r="E119" s="113"/>
      <c r="F119" s="507"/>
      <c r="G119" s="114"/>
      <c r="H119" s="115"/>
      <c r="J119" s="512"/>
      <c r="K119" s="116"/>
      <c r="L119" s="94"/>
      <c r="M119" s="502" t="s">
        <v>851</v>
      </c>
      <c r="N119" s="105"/>
      <c r="O119" s="113"/>
      <c r="P119" s="507"/>
      <c r="Q119" s="114"/>
      <c r="R119" s="115"/>
      <c r="T119" s="512"/>
    </row>
    <row r="120" spans="2:20">
      <c r="B120" s="94"/>
      <c r="C120" s="502"/>
      <c r="D120" s="105"/>
      <c r="E120" s="113"/>
      <c r="F120" s="507"/>
      <c r="G120" s="114"/>
      <c r="H120" s="115"/>
      <c r="J120" s="117"/>
      <c r="K120" s="111"/>
      <c r="L120" s="94"/>
      <c r="M120" s="502"/>
      <c r="N120" s="105"/>
      <c r="O120" s="113"/>
      <c r="P120" s="507"/>
      <c r="Q120" s="114"/>
      <c r="R120" s="115"/>
      <c r="T120" s="117"/>
    </row>
    <row r="121" spans="2:20" ht="15">
      <c r="B121" s="94"/>
      <c r="C121" s="502"/>
      <c r="D121" s="118"/>
      <c r="E121" s="113"/>
      <c r="F121" s="507"/>
      <c r="G121" s="114"/>
      <c r="H121" s="115"/>
      <c r="J121" s="108"/>
      <c r="K121" s="104"/>
      <c r="L121" s="94"/>
      <c r="M121" s="502"/>
      <c r="N121" s="118"/>
      <c r="O121" s="113"/>
      <c r="P121" s="507"/>
      <c r="Q121" s="114"/>
      <c r="R121" s="115"/>
      <c r="T121" s="108"/>
    </row>
    <row r="122" spans="2:20" ht="15" thickBot="1">
      <c r="B122" s="94"/>
      <c r="C122" s="502"/>
      <c r="D122" s="105"/>
      <c r="F122" s="213"/>
      <c r="G122" s="213"/>
      <c r="H122" s="214"/>
      <c r="J122" s="508"/>
      <c r="K122" s="104"/>
      <c r="L122" s="94"/>
      <c r="M122" s="502"/>
      <c r="N122" s="105"/>
      <c r="P122" s="213"/>
      <c r="Q122" s="213"/>
      <c r="R122" s="214"/>
      <c r="T122" s="508"/>
    </row>
    <row r="123" spans="2:20" ht="6.95" customHeight="1" thickBot="1">
      <c r="B123" s="94"/>
      <c r="C123" s="502"/>
      <c r="D123" s="105"/>
      <c r="E123" s="99"/>
      <c r="F123" s="215"/>
      <c r="G123" s="216"/>
      <c r="H123" s="105"/>
      <c r="J123" s="508"/>
      <c r="L123" s="94"/>
      <c r="M123" s="502"/>
      <c r="N123" s="105"/>
      <c r="O123" s="99"/>
      <c r="P123" s="215"/>
      <c r="Q123" s="216"/>
      <c r="R123" s="105"/>
      <c r="T123" s="508"/>
    </row>
    <row r="124" spans="2:20" ht="3" customHeight="1" thickBot="1">
      <c r="B124" s="94"/>
      <c r="D124" s="119"/>
      <c r="H124" s="119"/>
      <c r="J124" s="93"/>
      <c r="L124" s="94"/>
      <c r="N124" s="119"/>
      <c r="R124" s="119"/>
      <c r="T124" s="93"/>
    </row>
    <row r="125" spans="2:20">
      <c r="B125" s="94"/>
      <c r="J125" s="93"/>
      <c r="L125" s="94"/>
      <c r="T125" s="93"/>
    </row>
    <row r="126" spans="2:20" ht="15.75">
      <c r="B126" s="94"/>
      <c r="D126" s="87" t="s">
        <v>847</v>
      </c>
      <c r="E126" s="238" t="s">
        <v>848</v>
      </c>
      <c r="F126" s="110">
        <f>xHesaplama!X37</f>
        <v>0</v>
      </c>
      <c r="G126" s="238" t="s">
        <v>848</v>
      </c>
      <c r="H126" s="87" t="s">
        <v>849</v>
      </c>
      <c r="J126" s="93"/>
      <c r="L126" s="94"/>
      <c r="N126" s="87" t="s">
        <v>847</v>
      </c>
      <c r="O126" s="238" t="s">
        <v>848</v>
      </c>
      <c r="P126" s="110">
        <f>xHesaplama!X38</f>
        <v>0</v>
      </c>
      <c r="Q126" s="238" t="s">
        <v>848</v>
      </c>
      <c r="R126" s="87" t="s">
        <v>849</v>
      </c>
      <c r="T126" s="93"/>
    </row>
    <row r="127" spans="2:20">
      <c r="B127" s="120"/>
      <c r="C127" s="121"/>
      <c r="D127" s="121"/>
      <c r="E127" s="121"/>
      <c r="F127" s="121"/>
      <c r="G127" s="121"/>
      <c r="H127" s="121"/>
      <c r="I127" s="121"/>
      <c r="J127" s="122"/>
      <c r="L127" s="120"/>
      <c r="M127" s="121"/>
      <c r="N127" s="121"/>
      <c r="O127" s="121"/>
      <c r="P127" s="121"/>
      <c r="Q127" s="121"/>
      <c r="R127" s="121"/>
      <c r="S127" s="121"/>
      <c r="T127" s="122"/>
    </row>
    <row r="129" spans="2:20" ht="23.25">
      <c r="B129" s="212" t="s">
        <v>360</v>
      </c>
      <c r="C129" s="300">
        <f>'1PROJE'!B19</f>
        <v>13</v>
      </c>
      <c r="D129" s="504">
        <f>'1PROJE'!C19</f>
        <v>0</v>
      </c>
      <c r="E129" s="504"/>
      <c r="F129" s="504"/>
      <c r="G129" s="504"/>
      <c r="H129" s="504"/>
      <c r="I129" s="504"/>
      <c r="J129" s="89"/>
      <c r="L129" s="212" t="s">
        <v>360</v>
      </c>
      <c r="M129" s="300">
        <f>'1PROJE'!B20</f>
        <v>14</v>
      </c>
      <c r="N129" s="504">
        <f>'1PROJE'!C20</f>
        <v>0</v>
      </c>
      <c r="O129" s="504"/>
      <c r="P129" s="504"/>
      <c r="Q129" s="504"/>
      <c r="R129" s="504"/>
      <c r="S129" s="504"/>
      <c r="T129" s="89"/>
    </row>
    <row r="130" spans="2:20" ht="28.5" customHeight="1">
      <c r="B130" s="90"/>
      <c r="C130" s="91">
        <f>'1PROJE'!D19</f>
        <v>0</v>
      </c>
      <c r="D130" s="505" t="s">
        <v>357</v>
      </c>
      <c r="E130" s="505"/>
      <c r="F130" s="150" t="s">
        <v>365</v>
      </c>
      <c r="G130" s="92"/>
      <c r="H130" s="92"/>
      <c r="J130" s="271" t="str">
        <f>IF('1PROJE'!T19="", "", '1PROJE'!T19)</f>
        <v/>
      </c>
      <c r="L130" s="90"/>
      <c r="M130" s="91">
        <f>'1PROJE'!D20</f>
        <v>0</v>
      </c>
      <c r="N130" s="505" t="s">
        <v>357</v>
      </c>
      <c r="O130" s="505"/>
      <c r="P130" s="150" t="s">
        <v>365</v>
      </c>
      <c r="Q130" s="92"/>
      <c r="R130" s="92"/>
      <c r="T130" s="271" t="str">
        <f>IF('1PROJE'!T20="", "", '1PROJE'!T20)</f>
        <v/>
      </c>
    </row>
    <row r="131" spans="2:20" ht="11.45" customHeight="1" thickBot="1">
      <c r="B131" s="94"/>
      <c r="C131" s="95"/>
      <c r="E131" s="509">
        <f>'1PROJE'!M19</f>
        <v>0</v>
      </c>
      <c r="F131" s="509"/>
      <c r="G131" s="509"/>
      <c r="H131" s="96"/>
      <c r="J131" s="93"/>
      <c r="L131" s="94"/>
      <c r="M131" s="95"/>
      <c r="O131" s="509">
        <f>'1PROJE'!M20</f>
        <v>0</v>
      </c>
      <c r="P131" s="509"/>
      <c r="Q131" s="509"/>
      <c r="R131" s="96"/>
      <c r="T131" s="93"/>
    </row>
    <row r="132" spans="2:20" ht="15.95" customHeight="1" thickBot="1">
      <c r="B132" s="94"/>
      <c r="C132" s="503" t="s">
        <v>852</v>
      </c>
      <c r="D132" s="99"/>
      <c r="E132" s="338" t="str">
        <f>IF(OR(E131="DIŞTAN BAKIŞ SOL",E131="İÇTEN BAKIŞ SAĞ"),"M","")</f>
        <v/>
      </c>
      <c r="F132" s="324" t="e">
        <f>VLOOKUP('1PROJE'!C19,'x Açılır Listeler'!$A$2:$B$15,2,0)</f>
        <v>#N/A</v>
      </c>
      <c r="G132" s="325" t="str">
        <f>IF(OR(E131="DIŞTAN BAKIŞ SAĞ",E131="İÇTEN BAKIŞ SOL"),"M","")</f>
        <v/>
      </c>
      <c r="H132" s="100"/>
      <c r="J132" s="101" t="s">
        <v>368</v>
      </c>
      <c r="L132" s="94"/>
      <c r="M132" s="503" t="s">
        <v>852</v>
      </c>
      <c r="N132" s="99"/>
      <c r="O132" s="338" t="str">
        <f>IF(OR(O131="DIŞTAN BAKIŞ SOL",O131="İÇTEN BAKIŞ SAĞ"),"M","")</f>
        <v/>
      </c>
      <c r="P132" s="324" t="e">
        <f>VLOOKUP('1PROJE'!C20,'x Açılır Listeler'!$A$2:$B$15,2,0)</f>
        <v>#N/A</v>
      </c>
      <c r="Q132" s="325" t="str">
        <f>IF(OR(O131="DIŞTAN BAKIŞ SAĞ",O131="İÇTEN BAKIŞ SOL"),"M","")</f>
        <v/>
      </c>
      <c r="R132" s="100"/>
      <c r="T132" s="101" t="s">
        <v>368</v>
      </c>
    </row>
    <row r="133" spans="2:20">
      <c r="B133" s="94"/>
      <c r="C133" s="503"/>
      <c r="D133" s="102"/>
      <c r="H133" s="103"/>
      <c r="J133" s="511">
        <f>'1PROJE'!H19</f>
        <v>0</v>
      </c>
      <c r="K133" s="104"/>
      <c r="L133" s="94"/>
      <c r="M133" s="503"/>
      <c r="N133" s="102"/>
      <c r="R133" s="103"/>
      <c r="T133" s="511">
        <f>'1PROJE'!H20</f>
        <v>0</v>
      </c>
    </row>
    <row r="134" spans="2:20" ht="15">
      <c r="B134" s="94"/>
      <c r="C134" s="503"/>
      <c r="D134" s="105"/>
      <c r="F134" s="510"/>
      <c r="H134" s="106"/>
      <c r="J134" s="511"/>
      <c r="K134" s="104"/>
      <c r="L134" s="94"/>
      <c r="M134" s="503"/>
      <c r="N134" s="105"/>
      <c r="P134" s="510"/>
      <c r="R134" s="106"/>
      <c r="T134" s="511"/>
    </row>
    <row r="135" spans="2:20" ht="15">
      <c r="B135" s="90"/>
      <c r="C135" s="503"/>
      <c r="D135" s="105"/>
      <c r="F135" s="510"/>
      <c r="H135" s="107"/>
      <c r="J135" s="108"/>
      <c r="K135" s="109"/>
      <c r="L135" s="90"/>
      <c r="M135" s="503"/>
      <c r="N135" s="105"/>
      <c r="P135" s="510"/>
      <c r="R135" s="107"/>
      <c r="T135" s="108"/>
    </row>
    <row r="136" spans="2:20" ht="15">
      <c r="B136" s="94"/>
      <c r="C136" s="506">
        <f>xHesaplama!Y39</f>
        <v>0</v>
      </c>
      <c r="D136" s="105"/>
      <c r="F136" s="97">
        <f>'1PROJE'!I19</f>
        <v>0</v>
      </c>
      <c r="H136" s="107"/>
      <c r="J136" s="108" t="s">
        <v>366</v>
      </c>
      <c r="K136" s="111"/>
      <c r="L136" s="94"/>
      <c r="M136" s="506">
        <f>xHesaplama!Y40</f>
        <v>0</v>
      </c>
      <c r="N136" s="105"/>
      <c r="P136" s="97">
        <f>'1PROJE'!I20</f>
        <v>0</v>
      </c>
      <c r="R136" s="107"/>
      <c r="T136" s="108" t="s">
        <v>366</v>
      </c>
    </row>
    <row r="137" spans="2:20" ht="24" customHeight="1">
      <c r="B137" s="94"/>
      <c r="C137" s="506"/>
      <c r="D137" s="105"/>
      <c r="F137" s="97">
        <f>'1PROJE'!K19</f>
        <v>0</v>
      </c>
      <c r="H137" s="112"/>
      <c r="J137" s="512">
        <f>'1PROJE'!L19</f>
        <v>0</v>
      </c>
      <c r="L137" s="94"/>
      <c r="M137" s="506"/>
      <c r="N137" s="105"/>
      <c r="P137" s="97">
        <f>'1PROJE'!K20</f>
        <v>0</v>
      </c>
      <c r="R137" s="112"/>
      <c r="T137" s="512">
        <f>'1PROJE'!L20</f>
        <v>0</v>
      </c>
    </row>
    <row r="138" spans="2:20" ht="15">
      <c r="B138" s="94"/>
      <c r="C138" s="506"/>
      <c r="D138" s="105"/>
      <c r="E138" s="113"/>
      <c r="F138" s="97" t="str">
        <f>IF('1PROJE'!P19="VAR","BASKI"&amp;" "&amp;'1PROJE'!P19,"")</f>
        <v/>
      </c>
      <c r="G138" s="114"/>
      <c r="H138" s="106"/>
      <c r="J138" s="512"/>
      <c r="K138" s="104"/>
      <c r="L138" s="94"/>
      <c r="M138" s="506"/>
      <c r="N138" s="105"/>
      <c r="O138" s="113"/>
      <c r="P138" s="97" t="str">
        <f>IF('1PROJE'!P20="VAR","BASKI"&amp;" "&amp;'1PROJE'!P20,"")</f>
        <v/>
      </c>
      <c r="Q138" s="114"/>
      <c r="R138" s="106"/>
      <c r="T138" s="512"/>
    </row>
    <row r="139" spans="2:20">
      <c r="B139" s="94"/>
      <c r="C139" s="502" t="s">
        <v>851</v>
      </c>
      <c r="D139" s="105"/>
      <c r="E139" s="113"/>
      <c r="F139" s="507"/>
      <c r="G139" s="114"/>
      <c r="H139" s="115"/>
      <c r="J139" s="512"/>
      <c r="K139" s="116"/>
      <c r="L139" s="94"/>
      <c r="M139" s="502" t="s">
        <v>851</v>
      </c>
      <c r="N139" s="105"/>
      <c r="O139" s="113"/>
      <c r="P139" s="507"/>
      <c r="Q139" s="114"/>
      <c r="R139" s="115"/>
      <c r="T139" s="512"/>
    </row>
    <row r="140" spans="2:20">
      <c r="B140" s="94"/>
      <c r="C140" s="502"/>
      <c r="D140" s="105"/>
      <c r="E140" s="113"/>
      <c r="F140" s="507"/>
      <c r="G140" s="114"/>
      <c r="H140" s="115"/>
      <c r="J140" s="117"/>
      <c r="K140" s="111"/>
      <c r="L140" s="94"/>
      <c r="M140" s="502"/>
      <c r="N140" s="105"/>
      <c r="O140" s="113"/>
      <c r="P140" s="507"/>
      <c r="Q140" s="114"/>
      <c r="R140" s="115"/>
      <c r="T140" s="117"/>
    </row>
    <row r="141" spans="2:20" ht="15">
      <c r="B141" s="94"/>
      <c r="C141" s="502"/>
      <c r="D141" s="118"/>
      <c r="E141" s="113"/>
      <c r="F141" s="507"/>
      <c r="G141" s="114"/>
      <c r="H141" s="115"/>
      <c r="J141" s="108"/>
      <c r="K141" s="104"/>
      <c r="L141" s="94"/>
      <c r="M141" s="502"/>
      <c r="N141" s="118"/>
      <c r="O141" s="113"/>
      <c r="P141" s="507"/>
      <c r="Q141" s="114"/>
      <c r="R141" s="115"/>
      <c r="T141" s="108"/>
    </row>
    <row r="142" spans="2:20" ht="15" thickBot="1">
      <c r="B142" s="94"/>
      <c r="C142" s="502"/>
      <c r="D142" s="105"/>
      <c r="F142" s="213"/>
      <c r="G142" s="213"/>
      <c r="H142" s="214"/>
      <c r="J142" s="508"/>
      <c r="K142" s="104"/>
      <c r="L142" s="94"/>
      <c r="M142" s="502"/>
      <c r="N142" s="105"/>
      <c r="P142" s="213"/>
      <c r="Q142" s="213"/>
      <c r="R142" s="214"/>
      <c r="T142" s="508"/>
    </row>
    <row r="143" spans="2:20" ht="8.1" customHeight="1" thickBot="1">
      <c r="B143" s="94"/>
      <c r="C143" s="502"/>
      <c r="D143" s="105"/>
      <c r="E143" s="99"/>
      <c r="F143" s="215"/>
      <c r="G143" s="216"/>
      <c r="H143" s="105"/>
      <c r="J143" s="508"/>
      <c r="L143" s="94"/>
      <c r="M143" s="502"/>
      <c r="N143" s="105"/>
      <c r="O143" s="99"/>
      <c r="P143" s="215"/>
      <c r="Q143" s="216"/>
      <c r="R143" s="105"/>
      <c r="T143" s="508"/>
    </row>
    <row r="144" spans="2:20" ht="3.6" customHeight="1" thickBot="1">
      <c r="B144" s="94"/>
      <c r="D144" s="119"/>
      <c r="H144" s="119"/>
      <c r="J144" s="93"/>
      <c r="L144" s="94"/>
      <c r="N144" s="119"/>
      <c r="R144" s="119"/>
      <c r="T144" s="93"/>
    </row>
    <row r="145" spans="2:20">
      <c r="B145" s="94"/>
      <c r="J145" s="93"/>
      <c r="L145" s="94"/>
      <c r="T145" s="93"/>
    </row>
    <row r="146" spans="2:20" ht="15.75">
      <c r="B146" s="94"/>
      <c r="D146" s="87" t="s">
        <v>847</v>
      </c>
      <c r="E146" s="238" t="s">
        <v>848</v>
      </c>
      <c r="F146" s="110">
        <f>xHesaplama!X39</f>
        <v>0</v>
      </c>
      <c r="G146" s="238" t="s">
        <v>848</v>
      </c>
      <c r="H146" s="87" t="s">
        <v>849</v>
      </c>
      <c r="J146" s="93"/>
      <c r="L146" s="94"/>
      <c r="N146" s="87" t="s">
        <v>847</v>
      </c>
      <c r="O146" s="238" t="s">
        <v>848</v>
      </c>
      <c r="P146" s="110">
        <f>xHesaplama!X40</f>
        <v>0</v>
      </c>
      <c r="Q146" s="238" t="s">
        <v>848</v>
      </c>
      <c r="R146" s="87" t="s">
        <v>849</v>
      </c>
      <c r="T146" s="93"/>
    </row>
    <row r="147" spans="2:20">
      <c r="B147" s="120"/>
      <c r="C147" s="121"/>
      <c r="D147" s="121"/>
      <c r="E147" s="121"/>
      <c r="F147" s="121"/>
      <c r="G147" s="121"/>
      <c r="H147" s="121"/>
      <c r="I147" s="121"/>
      <c r="J147" s="122"/>
      <c r="L147" s="120"/>
      <c r="M147" s="121"/>
      <c r="N147" s="121"/>
      <c r="O147" s="121"/>
      <c r="P147" s="121"/>
      <c r="Q147" s="121"/>
      <c r="R147" s="121"/>
      <c r="S147" s="121"/>
      <c r="T147" s="122"/>
    </row>
    <row r="149" spans="2:20" ht="23.25">
      <c r="B149" s="212" t="s">
        <v>360</v>
      </c>
      <c r="C149" s="300">
        <f>'1PROJE'!B21</f>
        <v>15</v>
      </c>
      <c r="D149" s="504">
        <f>'1PROJE'!C21</f>
        <v>0</v>
      </c>
      <c r="E149" s="504"/>
      <c r="F149" s="504"/>
      <c r="G149" s="504"/>
      <c r="H149" s="504"/>
      <c r="I149" s="504"/>
      <c r="J149" s="89"/>
      <c r="L149" s="212" t="s">
        <v>360</v>
      </c>
      <c r="M149" s="300">
        <f>'1PROJE'!B22</f>
        <v>16</v>
      </c>
      <c r="N149" s="504">
        <f>'1PROJE'!C22</f>
        <v>0</v>
      </c>
      <c r="O149" s="504"/>
      <c r="P149" s="504"/>
      <c r="Q149" s="504"/>
      <c r="R149" s="504"/>
      <c r="S149" s="504"/>
      <c r="T149" s="89"/>
    </row>
    <row r="150" spans="2:20" ht="32.450000000000003" customHeight="1">
      <c r="B150" s="90"/>
      <c r="C150" s="91">
        <f>'1PROJE'!D21</f>
        <v>0</v>
      </c>
      <c r="D150" s="505" t="s">
        <v>357</v>
      </c>
      <c r="E150" s="505"/>
      <c r="F150" s="150" t="s">
        <v>365</v>
      </c>
      <c r="G150" s="92"/>
      <c r="H150" s="92"/>
      <c r="J150" s="271" t="str">
        <f>IF('1PROJE'!T21="", "", '1PROJE'!T21)</f>
        <v/>
      </c>
      <c r="L150" s="90"/>
      <c r="M150" s="91">
        <f>'1PROJE'!D22</f>
        <v>0</v>
      </c>
      <c r="N150" s="505" t="s">
        <v>357</v>
      </c>
      <c r="O150" s="505"/>
      <c r="P150" s="150" t="s">
        <v>365</v>
      </c>
      <c r="Q150" s="92"/>
      <c r="R150" s="92"/>
      <c r="T150" s="271" t="str">
        <f>IF('1PROJE'!T22="", "", '1PROJE'!T22)</f>
        <v/>
      </c>
    </row>
    <row r="151" spans="2:20" ht="12" customHeight="1" thickBot="1">
      <c r="B151" s="94"/>
      <c r="C151" s="95"/>
      <c r="E151" s="509">
        <f>'1PROJE'!M21</f>
        <v>0</v>
      </c>
      <c r="F151" s="509"/>
      <c r="G151" s="509"/>
      <c r="H151" s="96"/>
      <c r="J151" s="93"/>
      <c r="L151" s="94"/>
      <c r="M151" s="95"/>
      <c r="O151" s="509">
        <f>'1PROJE'!M22</f>
        <v>0</v>
      </c>
      <c r="P151" s="509"/>
      <c r="Q151" s="509"/>
      <c r="R151" s="96"/>
      <c r="T151" s="93"/>
    </row>
    <row r="152" spans="2:20" ht="15.95" customHeight="1" thickBot="1">
      <c r="B152" s="94"/>
      <c r="C152" s="503" t="s">
        <v>852</v>
      </c>
      <c r="D152" s="99"/>
      <c r="E152" s="338" t="str">
        <f>IF(OR(E151="DIŞTAN BAKIŞ SOL",E151="İÇTEN BAKIŞ SAĞ"),"M","")</f>
        <v/>
      </c>
      <c r="F152" s="324" t="e">
        <f>VLOOKUP('1PROJE'!C21,'x Açılır Listeler'!$A$2:$B$15,2,0)</f>
        <v>#N/A</v>
      </c>
      <c r="G152" s="325" t="str">
        <f>IF(OR(E151="DIŞTAN BAKIŞ SAĞ",E151="İÇTEN BAKIŞ SOL"),"M","")</f>
        <v/>
      </c>
      <c r="H152" s="100"/>
      <c r="J152" s="101" t="s">
        <v>368</v>
      </c>
      <c r="L152" s="94"/>
      <c r="M152" s="503" t="s">
        <v>852</v>
      </c>
      <c r="N152" s="99"/>
      <c r="O152" s="338" t="str">
        <f>IF(OR(O151="DIŞTAN BAKIŞ SOL",O151="İÇTEN BAKIŞ SAĞ"),"M","")</f>
        <v/>
      </c>
      <c r="P152" s="324" t="e">
        <f>VLOOKUP('1PROJE'!C22,'x Açılır Listeler'!$A$2:$B$15,2,0)</f>
        <v>#N/A</v>
      </c>
      <c r="Q152" s="325" t="str">
        <f>IF(OR(O151="DIŞTAN BAKIŞ SAĞ",O151="İÇTEN BAKIŞ SOL"),"M","")</f>
        <v/>
      </c>
      <c r="R152" s="100"/>
      <c r="T152" s="101" t="s">
        <v>368</v>
      </c>
    </row>
    <row r="153" spans="2:20">
      <c r="B153" s="94"/>
      <c r="C153" s="503"/>
      <c r="D153" s="102"/>
      <c r="H153" s="103"/>
      <c r="J153" s="511">
        <f>'1PROJE'!H21</f>
        <v>0</v>
      </c>
      <c r="K153" s="104"/>
      <c r="L153" s="94"/>
      <c r="M153" s="503"/>
      <c r="N153" s="102"/>
      <c r="R153" s="103"/>
      <c r="T153" s="511">
        <f>'1PROJE'!H22</f>
        <v>0</v>
      </c>
    </row>
    <row r="154" spans="2:20" ht="15">
      <c r="B154" s="94"/>
      <c r="C154" s="503"/>
      <c r="D154" s="105"/>
      <c r="F154" s="510"/>
      <c r="H154" s="106"/>
      <c r="J154" s="511"/>
      <c r="K154" s="104"/>
      <c r="L154" s="94"/>
      <c r="M154" s="503"/>
      <c r="N154" s="105"/>
      <c r="P154" s="510"/>
      <c r="R154" s="106"/>
      <c r="T154" s="511"/>
    </row>
    <row r="155" spans="2:20" ht="15">
      <c r="B155" s="90"/>
      <c r="C155" s="503"/>
      <c r="D155" s="105"/>
      <c r="F155" s="510"/>
      <c r="H155" s="107"/>
      <c r="J155" s="108"/>
      <c r="K155" s="109"/>
      <c r="L155" s="90"/>
      <c r="M155" s="503"/>
      <c r="N155" s="105"/>
      <c r="P155" s="510"/>
      <c r="R155" s="107"/>
      <c r="T155" s="108"/>
    </row>
    <row r="156" spans="2:20" ht="15">
      <c r="B156" s="94"/>
      <c r="C156" s="506">
        <f>xHesaplama!Y41</f>
        <v>0</v>
      </c>
      <c r="D156" s="105"/>
      <c r="F156" s="97">
        <f>'1PROJE'!I21</f>
        <v>0</v>
      </c>
      <c r="H156" s="107"/>
      <c r="J156" s="108" t="s">
        <v>366</v>
      </c>
      <c r="K156" s="111"/>
      <c r="L156" s="94"/>
      <c r="M156" s="506">
        <f>xHesaplama!Y42</f>
        <v>0</v>
      </c>
      <c r="N156" s="105"/>
      <c r="P156" s="97">
        <f>'1PROJE'!I22</f>
        <v>0</v>
      </c>
      <c r="R156" s="107"/>
      <c r="T156" s="108" t="s">
        <v>366</v>
      </c>
    </row>
    <row r="157" spans="2:20" ht="29.1" customHeight="1">
      <c r="B157" s="94"/>
      <c r="C157" s="506"/>
      <c r="D157" s="105"/>
      <c r="F157" s="97">
        <f>'1PROJE'!K21</f>
        <v>0</v>
      </c>
      <c r="H157" s="112"/>
      <c r="J157" s="512">
        <f>'1PROJE'!L21</f>
        <v>0</v>
      </c>
      <c r="L157" s="94"/>
      <c r="M157" s="506"/>
      <c r="N157" s="105"/>
      <c r="P157" s="97">
        <f>'1PROJE'!K22</f>
        <v>0</v>
      </c>
      <c r="R157" s="112"/>
      <c r="T157" s="512">
        <f>'1PROJE'!L22</f>
        <v>0</v>
      </c>
    </row>
    <row r="158" spans="2:20" ht="15">
      <c r="B158" s="94"/>
      <c r="C158" s="506"/>
      <c r="D158" s="105"/>
      <c r="E158" s="113"/>
      <c r="F158" s="97" t="str">
        <f>IF('1PROJE'!P21="VAR","BASKI"&amp;" "&amp;'1PROJE'!P21,"")</f>
        <v/>
      </c>
      <c r="G158" s="114"/>
      <c r="H158" s="106"/>
      <c r="J158" s="512"/>
      <c r="K158" s="104"/>
      <c r="L158" s="94"/>
      <c r="M158" s="506"/>
      <c r="N158" s="105"/>
      <c r="O158" s="113"/>
      <c r="P158" s="97" t="str">
        <f>IF('1PROJE'!P22="VAR","BASKI"&amp;" "&amp;'1PROJE'!P22,"")</f>
        <v/>
      </c>
      <c r="Q158" s="114"/>
      <c r="R158" s="106"/>
      <c r="T158" s="512"/>
    </row>
    <row r="159" spans="2:20">
      <c r="B159" s="94"/>
      <c r="C159" s="502" t="s">
        <v>851</v>
      </c>
      <c r="D159" s="105"/>
      <c r="E159" s="113"/>
      <c r="F159" s="507"/>
      <c r="G159" s="114"/>
      <c r="H159" s="115"/>
      <c r="J159" s="512"/>
      <c r="K159" s="116"/>
      <c r="L159" s="94"/>
      <c r="M159" s="502" t="s">
        <v>851</v>
      </c>
      <c r="N159" s="105"/>
      <c r="O159" s="113"/>
      <c r="P159" s="507"/>
      <c r="Q159" s="114"/>
      <c r="R159" s="115"/>
      <c r="T159" s="512"/>
    </row>
    <row r="160" spans="2:20">
      <c r="B160" s="94"/>
      <c r="C160" s="502"/>
      <c r="D160" s="105"/>
      <c r="E160" s="113"/>
      <c r="F160" s="507"/>
      <c r="G160" s="114"/>
      <c r="H160" s="115"/>
      <c r="J160" s="117"/>
      <c r="K160" s="111"/>
      <c r="L160" s="94"/>
      <c r="M160" s="502"/>
      <c r="N160" s="105"/>
      <c r="O160" s="113"/>
      <c r="P160" s="507"/>
      <c r="Q160" s="114"/>
      <c r="R160" s="115"/>
      <c r="T160" s="117"/>
    </row>
    <row r="161" spans="2:20" ht="15">
      <c r="B161" s="94"/>
      <c r="C161" s="502"/>
      <c r="D161" s="118"/>
      <c r="E161" s="113"/>
      <c r="F161" s="507"/>
      <c r="G161" s="114"/>
      <c r="H161" s="115"/>
      <c r="J161" s="108"/>
      <c r="K161" s="104"/>
      <c r="L161" s="94"/>
      <c r="M161" s="502"/>
      <c r="N161" s="118"/>
      <c r="O161" s="113"/>
      <c r="P161" s="507"/>
      <c r="Q161" s="114"/>
      <c r="R161" s="115"/>
      <c r="T161" s="108"/>
    </row>
    <row r="162" spans="2:20" ht="15" thickBot="1">
      <c r="B162" s="94"/>
      <c r="C162" s="502"/>
      <c r="D162" s="105"/>
      <c r="F162" s="213"/>
      <c r="G162" s="213"/>
      <c r="H162" s="214"/>
      <c r="J162" s="508"/>
      <c r="K162" s="104"/>
      <c r="L162" s="94"/>
      <c r="M162" s="502"/>
      <c r="N162" s="105"/>
      <c r="P162" s="213"/>
      <c r="Q162" s="213"/>
      <c r="R162" s="214"/>
      <c r="T162" s="508"/>
    </row>
    <row r="163" spans="2:20" ht="8.4499999999999993" customHeight="1" thickBot="1">
      <c r="B163" s="94"/>
      <c r="C163" s="502"/>
      <c r="D163" s="105"/>
      <c r="E163" s="99"/>
      <c r="F163" s="215"/>
      <c r="G163" s="216"/>
      <c r="H163" s="105"/>
      <c r="J163" s="508"/>
      <c r="L163" s="94"/>
      <c r="M163" s="502"/>
      <c r="N163" s="105"/>
      <c r="O163" s="99"/>
      <c r="P163" s="215"/>
      <c r="Q163" s="216"/>
      <c r="R163" s="105"/>
      <c r="T163" s="508"/>
    </row>
    <row r="164" spans="2:20" ht="4.5" customHeight="1" thickBot="1">
      <c r="B164" s="94"/>
      <c r="D164" s="119"/>
      <c r="H164" s="119"/>
      <c r="J164" s="93"/>
      <c r="L164" s="94"/>
      <c r="N164" s="119"/>
      <c r="R164" s="119"/>
      <c r="T164" s="93"/>
    </row>
    <row r="165" spans="2:20">
      <c r="B165" s="94"/>
      <c r="J165" s="93"/>
      <c r="L165" s="94"/>
      <c r="T165" s="93"/>
    </row>
    <row r="166" spans="2:20" ht="15.75">
      <c r="B166" s="94"/>
      <c r="D166" s="87" t="s">
        <v>847</v>
      </c>
      <c r="E166" s="238" t="s">
        <v>848</v>
      </c>
      <c r="F166" s="110">
        <f>xHesaplama!X41</f>
        <v>0</v>
      </c>
      <c r="G166" s="238" t="s">
        <v>848</v>
      </c>
      <c r="H166" s="87" t="s">
        <v>849</v>
      </c>
      <c r="J166" s="93"/>
      <c r="L166" s="94"/>
      <c r="N166" s="87" t="s">
        <v>847</v>
      </c>
      <c r="O166" s="238" t="s">
        <v>848</v>
      </c>
      <c r="P166" s="110">
        <f>xHesaplama!X42</f>
        <v>0</v>
      </c>
      <c r="Q166" s="238" t="s">
        <v>848</v>
      </c>
      <c r="R166" s="87" t="s">
        <v>849</v>
      </c>
      <c r="T166" s="93"/>
    </row>
    <row r="167" spans="2:20">
      <c r="B167" s="120"/>
      <c r="C167" s="121"/>
      <c r="D167" s="121"/>
      <c r="E167" s="121"/>
      <c r="F167" s="121"/>
      <c r="G167" s="121"/>
      <c r="H167" s="121"/>
      <c r="I167" s="121"/>
      <c r="J167" s="122"/>
      <c r="L167" s="120"/>
      <c r="M167" s="121"/>
      <c r="N167" s="121"/>
      <c r="O167" s="121"/>
      <c r="P167" s="121"/>
      <c r="Q167" s="121"/>
      <c r="R167" s="121"/>
      <c r="S167" s="121"/>
      <c r="T167" s="122"/>
    </row>
    <row r="169" spans="2:20" ht="23.25">
      <c r="B169" s="212" t="s">
        <v>360</v>
      </c>
      <c r="C169" s="300">
        <f>'1PROJE'!B23</f>
        <v>17</v>
      </c>
      <c r="D169" s="504">
        <f>'1PROJE'!C23</f>
        <v>0</v>
      </c>
      <c r="E169" s="504"/>
      <c r="F169" s="504"/>
      <c r="G169" s="504"/>
      <c r="H169" s="504"/>
      <c r="I169" s="504"/>
      <c r="J169" s="89"/>
      <c r="L169" s="212" t="s">
        <v>360</v>
      </c>
      <c r="M169" s="300">
        <f>'1PROJE'!B24</f>
        <v>18</v>
      </c>
      <c r="N169" s="504">
        <f>'1PROJE'!C24</f>
        <v>0</v>
      </c>
      <c r="O169" s="504"/>
      <c r="P169" s="504"/>
      <c r="Q169" s="504"/>
      <c r="R169" s="504"/>
      <c r="S169" s="504"/>
      <c r="T169" s="89"/>
    </row>
    <row r="170" spans="2:20" ht="24.6" customHeight="1">
      <c r="B170" s="90"/>
      <c r="C170" s="91">
        <f>'1PROJE'!D23</f>
        <v>0</v>
      </c>
      <c r="D170" s="505" t="s">
        <v>357</v>
      </c>
      <c r="E170" s="505"/>
      <c r="F170" s="150" t="s">
        <v>365</v>
      </c>
      <c r="G170" s="92"/>
      <c r="H170" s="92"/>
      <c r="J170" s="271" t="str">
        <f>IF('1PROJE'!T23="", "", '1PROJE'!T23)</f>
        <v/>
      </c>
      <c r="L170" s="90"/>
      <c r="M170" s="91">
        <f>'1PROJE'!D24</f>
        <v>0</v>
      </c>
      <c r="N170" s="505" t="s">
        <v>357</v>
      </c>
      <c r="O170" s="505"/>
      <c r="P170" s="150" t="s">
        <v>365</v>
      </c>
      <c r="Q170" s="92"/>
      <c r="R170" s="92"/>
      <c r="T170" s="271" t="str">
        <f>IF('1PROJE'!T24="", "", '1PROJE'!T24)</f>
        <v/>
      </c>
    </row>
    <row r="171" spans="2:20" ht="12.95" customHeight="1" thickBot="1">
      <c r="B171" s="94"/>
      <c r="C171" s="95"/>
      <c r="E171" s="509">
        <f>'1PROJE'!M23</f>
        <v>0</v>
      </c>
      <c r="F171" s="509"/>
      <c r="G171" s="509"/>
      <c r="H171" s="96"/>
      <c r="J171" s="93"/>
      <c r="L171" s="94"/>
      <c r="M171" s="95"/>
      <c r="O171" s="509">
        <f>'1PROJE'!M24</f>
        <v>0</v>
      </c>
      <c r="P171" s="509"/>
      <c r="Q171" s="509"/>
      <c r="R171" s="96"/>
      <c r="T171" s="93"/>
    </row>
    <row r="172" spans="2:20" ht="15.95" customHeight="1" thickBot="1">
      <c r="B172" s="94"/>
      <c r="C172" s="503" t="s">
        <v>852</v>
      </c>
      <c r="D172" s="99"/>
      <c r="E172" s="338" t="str">
        <f>IF(OR(E171="DIŞTAN BAKIŞ SOL",E171="İÇTEN BAKIŞ SAĞ"),"M","")</f>
        <v/>
      </c>
      <c r="F172" s="324" t="e">
        <f>VLOOKUP('1PROJE'!C23,'x Açılır Listeler'!$A$2:$B$15,2,0)</f>
        <v>#N/A</v>
      </c>
      <c r="G172" s="325" t="str">
        <f>IF(OR(E171="DIŞTAN BAKIŞ SAĞ",E171="İÇTEN BAKIŞ SOL"),"M","")</f>
        <v/>
      </c>
      <c r="H172" s="100"/>
      <c r="J172" s="101" t="s">
        <v>368</v>
      </c>
      <c r="L172" s="94"/>
      <c r="M172" s="503" t="s">
        <v>852</v>
      </c>
      <c r="N172" s="99"/>
      <c r="O172" s="338" t="str">
        <f>IF(OR(O171="DIŞTAN BAKIŞ SOL",O171="İÇTEN BAKIŞ SAĞ"),"M","")</f>
        <v/>
      </c>
      <c r="P172" s="324" t="e">
        <f>VLOOKUP('1PROJE'!C24,'x Açılır Listeler'!$A$2:$B$15,2,0)</f>
        <v>#N/A</v>
      </c>
      <c r="Q172" s="325" t="str">
        <f>IF(OR(O171="DIŞTAN BAKIŞ SAĞ",O171="İÇTEN BAKIŞ SOL"),"M","")</f>
        <v/>
      </c>
      <c r="R172" s="100"/>
      <c r="T172" s="101" t="s">
        <v>368</v>
      </c>
    </row>
    <row r="173" spans="2:20">
      <c r="B173" s="94"/>
      <c r="C173" s="503"/>
      <c r="D173" s="102"/>
      <c r="H173" s="103"/>
      <c r="J173" s="511">
        <f>'1PROJE'!H23</f>
        <v>0</v>
      </c>
      <c r="K173" s="104"/>
      <c r="L173" s="94"/>
      <c r="M173" s="503"/>
      <c r="N173" s="102"/>
      <c r="R173" s="103"/>
      <c r="T173" s="511">
        <f>'1PROJE'!H24</f>
        <v>0</v>
      </c>
    </row>
    <row r="174" spans="2:20" ht="15">
      <c r="B174" s="94"/>
      <c r="C174" s="503"/>
      <c r="D174" s="105"/>
      <c r="F174" s="510"/>
      <c r="H174" s="106"/>
      <c r="J174" s="511"/>
      <c r="K174" s="104"/>
      <c r="L174" s="94"/>
      <c r="M174" s="503"/>
      <c r="N174" s="105"/>
      <c r="P174" s="510"/>
      <c r="R174" s="106"/>
      <c r="T174" s="511"/>
    </row>
    <row r="175" spans="2:20" ht="15">
      <c r="B175" s="90"/>
      <c r="C175" s="503"/>
      <c r="D175" s="105"/>
      <c r="F175" s="510"/>
      <c r="H175" s="107"/>
      <c r="J175" s="108"/>
      <c r="K175" s="109"/>
      <c r="L175" s="90"/>
      <c r="M175" s="503"/>
      <c r="N175" s="105"/>
      <c r="P175" s="510"/>
      <c r="R175" s="107"/>
      <c r="T175" s="108"/>
    </row>
    <row r="176" spans="2:20" ht="15">
      <c r="B176" s="94"/>
      <c r="C176" s="506">
        <f>xHesaplama!Y43</f>
        <v>0</v>
      </c>
      <c r="D176" s="105"/>
      <c r="F176" s="97">
        <f>'1PROJE'!I23</f>
        <v>0</v>
      </c>
      <c r="H176" s="107"/>
      <c r="J176" s="108" t="s">
        <v>366</v>
      </c>
      <c r="K176" s="111"/>
      <c r="L176" s="94"/>
      <c r="M176" s="506">
        <f>xHesaplama!Y44</f>
        <v>0</v>
      </c>
      <c r="N176" s="105"/>
      <c r="P176" s="97">
        <f>'1PROJE'!I24</f>
        <v>0</v>
      </c>
      <c r="R176" s="107"/>
      <c r="T176" s="108" t="s">
        <v>366</v>
      </c>
    </row>
    <row r="177" spans="2:20" ht="24.6" customHeight="1">
      <c r="B177" s="94"/>
      <c r="C177" s="506"/>
      <c r="D177" s="105"/>
      <c r="F177" s="97">
        <f>'1PROJE'!K23</f>
        <v>0</v>
      </c>
      <c r="H177" s="112"/>
      <c r="J177" s="512">
        <f>'1PROJE'!L23</f>
        <v>0</v>
      </c>
      <c r="L177" s="94"/>
      <c r="M177" s="506"/>
      <c r="N177" s="105"/>
      <c r="P177" s="97">
        <f>'1PROJE'!K24</f>
        <v>0</v>
      </c>
      <c r="R177" s="112"/>
      <c r="T177" s="512">
        <f>'1PROJE'!L24</f>
        <v>0</v>
      </c>
    </row>
    <row r="178" spans="2:20" ht="15">
      <c r="B178" s="94"/>
      <c r="C178" s="506"/>
      <c r="D178" s="105"/>
      <c r="E178" s="113"/>
      <c r="F178" s="97" t="str">
        <f>IF('1PROJE'!P23="VAR","BASKI"&amp;" "&amp;'1PROJE'!P23,"")</f>
        <v/>
      </c>
      <c r="G178" s="114"/>
      <c r="H178" s="106"/>
      <c r="J178" s="512"/>
      <c r="K178" s="104"/>
      <c r="L178" s="94"/>
      <c r="M178" s="506"/>
      <c r="N178" s="105"/>
      <c r="O178" s="113"/>
      <c r="P178" s="97" t="str">
        <f>IF('1PROJE'!P24="VAR","BASKI"&amp;" "&amp;'1PROJE'!P24,"")</f>
        <v/>
      </c>
      <c r="Q178" s="114"/>
      <c r="R178" s="106"/>
      <c r="T178" s="512"/>
    </row>
    <row r="179" spans="2:20">
      <c r="B179" s="94"/>
      <c r="C179" s="502" t="s">
        <v>851</v>
      </c>
      <c r="D179" s="105"/>
      <c r="E179" s="113"/>
      <c r="F179" s="507"/>
      <c r="G179" s="114"/>
      <c r="H179" s="115"/>
      <c r="J179" s="512"/>
      <c r="K179" s="116"/>
      <c r="L179" s="94"/>
      <c r="M179" s="502" t="s">
        <v>851</v>
      </c>
      <c r="N179" s="105"/>
      <c r="O179" s="113"/>
      <c r="P179" s="507"/>
      <c r="Q179" s="114"/>
      <c r="R179" s="115"/>
      <c r="T179" s="512"/>
    </row>
    <row r="180" spans="2:20">
      <c r="B180" s="94"/>
      <c r="C180" s="502"/>
      <c r="D180" s="105"/>
      <c r="E180" s="113"/>
      <c r="F180" s="507"/>
      <c r="G180" s="114"/>
      <c r="H180" s="115"/>
      <c r="J180" s="117"/>
      <c r="K180" s="111"/>
      <c r="L180" s="94"/>
      <c r="M180" s="502"/>
      <c r="N180" s="105"/>
      <c r="O180" s="113"/>
      <c r="P180" s="507"/>
      <c r="Q180" s="114"/>
      <c r="R180" s="115"/>
      <c r="T180" s="117"/>
    </row>
    <row r="181" spans="2:20" ht="15">
      <c r="B181" s="94"/>
      <c r="C181" s="502"/>
      <c r="D181" s="118"/>
      <c r="E181" s="113"/>
      <c r="F181" s="507"/>
      <c r="G181" s="114"/>
      <c r="H181" s="115"/>
      <c r="J181" s="108"/>
      <c r="K181" s="104"/>
      <c r="L181" s="94"/>
      <c r="M181" s="502"/>
      <c r="N181" s="118"/>
      <c r="O181" s="113"/>
      <c r="P181" s="507"/>
      <c r="Q181" s="114"/>
      <c r="R181" s="115"/>
      <c r="T181" s="108"/>
    </row>
    <row r="182" spans="2:20" ht="15" thickBot="1">
      <c r="B182" s="94"/>
      <c r="C182" s="502"/>
      <c r="D182" s="105"/>
      <c r="F182" s="213"/>
      <c r="G182" s="213"/>
      <c r="H182" s="214"/>
      <c r="J182" s="508"/>
      <c r="K182" s="104"/>
      <c r="L182" s="94"/>
      <c r="M182" s="502"/>
      <c r="N182" s="105"/>
      <c r="P182" s="213"/>
      <c r="Q182" s="213"/>
      <c r="R182" s="214"/>
      <c r="T182" s="508"/>
    </row>
    <row r="183" spans="2:20" ht="8.4499999999999993" customHeight="1" thickBot="1">
      <c r="B183" s="94"/>
      <c r="C183" s="502"/>
      <c r="D183" s="105"/>
      <c r="E183" s="99"/>
      <c r="F183" s="215"/>
      <c r="G183" s="216"/>
      <c r="H183" s="105"/>
      <c r="J183" s="508"/>
      <c r="L183" s="94"/>
      <c r="M183" s="502"/>
      <c r="N183" s="105"/>
      <c r="O183" s="99"/>
      <c r="P183" s="215"/>
      <c r="Q183" s="216"/>
      <c r="R183" s="105"/>
      <c r="T183" s="508"/>
    </row>
    <row r="184" spans="2:20" ht="4.5" customHeight="1" thickBot="1">
      <c r="B184" s="94"/>
      <c r="D184" s="119"/>
      <c r="H184" s="119"/>
      <c r="J184" s="93"/>
      <c r="L184" s="94"/>
      <c r="N184" s="119"/>
      <c r="R184" s="119"/>
      <c r="T184" s="93"/>
    </row>
    <row r="185" spans="2:20">
      <c r="B185" s="94"/>
      <c r="J185" s="93"/>
      <c r="L185" s="94"/>
      <c r="T185" s="93"/>
    </row>
    <row r="186" spans="2:20" ht="15.75">
      <c r="B186" s="94"/>
      <c r="D186" s="87" t="s">
        <v>847</v>
      </c>
      <c r="E186" s="238" t="s">
        <v>848</v>
      </c>
      <c r="F186" s="110">
        <f>xHesaplama!X43</f>
        <v>0</v>
      </c>
      <c r="G186" s="238" t="s">
        <v>848</v>
      </c>
      <c r="H186" s="87" t="s">
        <v>849</v>
      </c>
      <c r="J186" s="93"/>
      <c r="L186" s="94"/>
      <c r="N186" s="87" t="s">
        <v>847</v>
      </c>
      <c r="O186" s="238" t="s">
        <v>848</v>
      </c>
      <c r="P186" s="110">
        <f>xHesaplama!X44</f>
        <v>0</v>
      </c>
      <c r="Q186" s="238" t="s">
        <v>848</v>
      </c>
      <c r="R186" s="87" t="s">
        <v>849</v>
      </c>
      <c r="T186" s="93"/>
    </row>
    <row r="187" spans="2:20">
      <c r="B187" s="120"/>
      <c r="C187" s="121"/>
      <c r="D187" s="121"/>
      <c r="E187" s="121"/>
      <c r="F187" s="121"/>
      <c r="H187" s="121"/>
      <c r="I187" s="121"/>
      <c r="J187" s="122"/>
      <c r="L187" s="120"/>
      <c r="M187" s="121"/>
      <c r="N187" s="121"/>
      <c r="O187" s="121"/>
      <c r="P187" s="121"/>
      <c r="Q187" s="121"/>
      <c r="R187" s="121"/>
      <c r="S187" s="121"/>
      <c r="T187" s="122"/>
    </row>
    <row r="189" spans="2:20" ht="23.25">
      <c r="B189" s="212" t="s">
        <v>360</v>
      </c>
      <c r="C189" s="300">
        <f>'1PROJE'!B25</f>
        <v>19</v>
      </c>
      <c r="D189" s="504">
        <f>'1PROJE'!C25</f>
        <v>0</v>
      </c>
      <c r="E189" s="504"/>
      <c r="F189" s="504"/>
      <c r="G189" s="504"/>
      <c r="H189" s="504"/>
      <c r="I189" s="504"/>
      <c r="J189" s="89"/>
      <c r="L189" s="212" t="s">
        <v>360</v>
      </c>
      <c r="M189" s="300">
        <f>'1PROJE'!B26</f>
        <v>20</v>
      </c>
      <c r="N189" s="504">
        <f>'1PROJE'!C26</f>
        <v>0</v>
      </c>
      <c r="O189" s="504"/>
      <c r="P189" s="504"/>
      <c r="Q189" s="504"/>
      <c r="R189" s="504"/>
      <c r="S189" s="504"/>
      <c r="T189" s="89"/>
    </row>
    <row r="190" spans="2:20" ht="30.95" customHeight="1">
      <c r="B190" s="90"/>
      <c r="C190" s="91">
        <f>'1PROJE'!D25</f>
        <v>0</v>
      </c>
      <c r="D190" s="505" t="s">
        <v>357</v>
      </c>
      <c r="E190" s="505"/>
      <c r="F190" s="150" t="s">
        <v>365</v>
      </c>
      <c r="G190" s="92"/>
      <c r="H190" s="92"/>
      <c r="J190" s="271" t="str">
        <f>IF('1PROJE'!T25="", "", '1PROJE'!T25)</f>
        <v/>
      </c>
      <c r="L190" s="90"/>
      <c r="M190" s="91">
        <f>'1PROJE'!D26</f>
        <v>0</v>
      </c>
      <c r="N190" s="505" t="s">
        <v>357</v>
      </c>
      <c r="O190" s="505"/>
      <c r="P190" s="150" t="s">
        <v>365</v>
      </c>
      <c r="Q190" s="92"/>
      <c r="R190" s="92"/>
      <c r="T190" s="271" t="str">
        <f>IF('1PROJE'!T26="", "", '1PROJE'!T26)</f>
        <v/>
      </c>
    </row>
    <row r="191" spans="2:20" ht="12.6" customHeight="1" thickBot="1">
      <c r="B191" s="94"/>
      <c r="C191" s="95"/>
      <c r="E191" s="509">
        <f>'1PROJE'!M25</f>
        <v>0</v>
      </c>
      <c r="F191" s="509"/>
      <c r="G191" s="509"/>
      <c r="H191" s="96"/>
      <c r="J191" s="93"/>
      <c r="L191" s="94"/>
      <c r="M191" s="95"/>
      <c r="O191" s="509">
        <f>'1PROJE'!M26</f>
        <v>0</v>
      </c>
      <c r="P191" s="509"/>
      <c r="Q191" s="509"/>
      <c r="R191" s="96"/>
      <c r="T191" s="93"/>
    </row>
    <row r="192" spans="2:20" ht="15.95" customHeight="1" thickBot="1">
      <c r="B192" s="94"/>
      <c r="C192" s="503" t="s">
        <v>852</v>
      </c>
      <c r="D192" s="99"/>
      <c r="E192" s="338" t="str">
        <f>IF(OR(E191="DIŞTAN BAKIŞ SOL",E191="İÇTEN BAKIŞ SAĞ"),"M","")</f>
        <v/>
      </c>
      <c r="F192" s="324" t="e">
        <f>VLOOKUP('1PROJE'!C25,'x Açılır Listeler'!$A$2:$B$15,2,0)</f>
        <v>#N/A</v>
      </c>
      <c r="G192" s="325" t="str">
        <f>IF(OR(E191="DIŞTAN BAKIŞ SAĞ",E191="İÇTEN BAKIŞ SOL"),"M","")</f>
        <v/>
      </c>
      <c r="H192" s="100"/>
      <c r="J192" s="101" t="s">
        <v>368</v>
      </c>
      <c r="L192" s="94"/>
      <c r="M192" s="503" t="s">
        <v>852</v>
      </c>
      <c r="N192" s="99"/>
      <c r="O192" s="338" t="str">
        <f>IF(OR(O191="DIŞTAN BAKIŞ SOL",O191="İÇTEN BAKIŞ SAĞ"),"M","")</f>
        <v/>
      </c>
      <c r="P192" s="324" t="e">
        <f>VLOOKUP('1PROJE'!C26,'x Açılır Listeler'!$A$2:$B$15,2,0)</f>
        <v>#N/A</v>
      </c>
      <c r="Q192" s="325" t="str">
        <f>IF(OR(O191="DIŞTAN BAKIŞ SAĞ",O191="İÇTEN BAKIŞ SOL"),"M","")</f>
        <v/>
      </c>
      <c r="R192" s="100"/>
      <c r="T192" s="101" t="s">
        <v>368</v>
      </c>
    </row>
    <row r="193" spans="2:20">
      <c r="B193" s="94"/>
      <c r="C193" s="503"/>
      <c r="D193" s="102"/>
      <c r="H193" s="103"/>
      <c r="J193" s="511">
        <f>'1PROJE'!H25</f>
        <v>0</v>
      </c>
      <c r="K193" s="104"/>
      <c r="L193" s="94"/>
      <c r="M193" s="503"/>
      <c r="N193" s="102"/>
      <c r="R193" s="103"/>
      <c r="T193" s="511">
        <f>'1PROJE'!H26</f>
        <v>0</v>
      </c>
    </row>
    <row r="194" spans="2:20" ht="15">
      <c r="B194" s="94"/>
      <c r="C194" s="503"/>
      <c r="D194" s="105"/>
      <c r="F194" s="510"/>
      <c r="H194" s="106"/>
      <c r="J194" s="511"/>
      <c r="K194" s="104"/>
      <c r="L194" s="94"/>
      <c r="M194" s="503"/>
      <c r="N194" s="105"/>
      <c r="P194" s="510"/>
      <c r="R194" s="106"/>
      <c r="T194" s="511"/>
    </row>
    <row r="195" spans="2:20" ht="15">
      <c r="B195" s="90"/>
      <c r="C195" s="503"/>
      <c r="D195" s="105"/>
      <c r="F195" s="510"/>
      <c r="H195" s="107"/>
      <c r="J195" s="108"/>
      <c r="K195" s="109"/>
      <c r="L195" s="90"/>
      <c r="M195" s="503"/>
      <c r="N195" s="105"/>
      <c r="P195" s="510"/>
      <c r="R195" s="107"/>
      <c r="T195" s="108"/>
    </row>
    <row r="196" spans="2:20" ht="15">
      <c r="B196" s="94"/>
      <c r="C196" s="506">
        <f>xHesaplama!Y45</f>
        <v>0</v>
      </c>
      <c r="D196" s="105"/>
      <c r="F196" s="97">
        <f>'1PROJE'!I25</f>
        <v>0</v>
      </c>
      <c r="H196" s="107"/>
      <c r="J196" s="108" t="s">
        <v>366</v>
      </c>
      <c r="K196" s="111"/>
      <c r="L196" s="94"/>
      <c r="M196" s="506">
        <f>xHesaplama!Y46</f>
        <v>0</v>
      </c>
      <c r="N196" s="105"/>
      <c r="P196" s="97">
        <f>'1PROJE'!I26</f>
        <v>0</v>
      </c>
      <c r="R196" s="107"/>
      <c r="T196" s="108" t="s">
        <v>366</v>
      </c>
    </row>
    <row r="197" spans="2:20" ht="26.45" customHeight="1">
      <c r="B197" s="94"/>
      <c r="C197" s="506"/>
      <c r="D197" s="105"/>
      <c r="F197" s="97">
        <f>'1PROJE'!K25</f>
        <v>0</v>
      </c>
      <c r="H197" s="112"/>
      <c r="J197" s="512">
        <f>'1PROJE'!L25</f>
        <v>0</v>
      </c>
      <c r="L197" s="94"/>
      <c r="M197" s="506"/>
      <c r="N197" s="105"/>
      <c r="P197" s="97">
        <f>'1PROJE'!K26</f>
        <v>0</v>
      </c>
      <c r="R197" s="112"/>
      <c r="T197" s="512">
        <f>'1PROJE'!L26</f>
        <v>0</v>
      </c>
    </row>
    <row r="198" spans="2:20" ht="15">
      <c r="B198" s="94"/>
      <c r="C198" s="506"/>
      <c r="D198" s="105"/>
      <c r="E198" s="113"/>
      <c r="F198" s="97" t="str">
        <f>IF('1PROJE'!P25="VAR","BASKI"&amp;" "&amp;'1PROJE'!P25,"")</f>
        <v/>
      </c>
      <c r="G198" s="114"/>
      <c r="H198" s="106"/>
      <c r="J198" s="512"/>
      <c r="K198" s="104"/>
      <c r="L198" s="94"/>
      <c r="M198" s="506"/>
      <c r="N198" s="105"/>
      <c r="O198" s="113"/>
      <c r="P198" s="97" t="str">
        <f>IF('1PROJE'!P26="VAR","BASKI"&amp;" "&amp;'1PROJE'!P26,"")</f>
        <v/>
      </c>
      <c r="Q198" s="114"/>
      <c r="R198" s="106"/>
      <c r="T198" s="512"/>
    </row>
    <row r="199" spans="2:20">
      <c r="B199" s="94"/>
      <c r="C199" s="502" t="s">
        <v>851</v>
      </c>
      <c r="D199" s="105"/>
      <c r="E199" s="113"/>
      <c r="F199" s="507"/>
      <c r="G199" s="114"/>
      <c r="H199" s="115"/>
      <c r="J199" s="512"/>
      <c r="K199" s="116"/>
      <c r="L199" s="94"/>
      <c r="M199" s="502" t="s">
        <v>851</v>
      </c>
      <c r="N199" s="105"/>
      <c r="O199" s="113"/>
      <c r="P199" s="507"/>
      <c r="Q199" s="114"/>
      <c r="R199" s="115"/>
      <c r="T199" s="512"/>
    </row>
    <row r="200" spans="2:20">
      <c r="B200" s="94"/>
      <c r="C200" s="502"/>
      <c r="D200" s="105"/>
      <c r="E200" s="113"/>
      <c r="F200" s="507"/>
      <c r="G200" s="114"/>
      <c r="H200" s="115"/>
      <c r="J200" s="117"/>
      <c r="K200" s="111"/>
      <c r="L200" s="94"/>
      <c r="M200" s="502"/>
      <c r="N200" s="105"/>
      <c r="O200" s="113"/>
      <c r="P200" s="507"/>
      <c r="Q200" s="114"/>
      <c r="R200" s="115"/>
      <c r="T200" s="117"/>
    </row>
    <row r="201" spans="2:20" ht="15">
      <c r="B201" s="94"/>
      <c r="C201" s="502"/>
      <c r="D201" s="118"/>
      <c r="E201" s="113"/>
      <c r="F201" s="507"/>
      <c r="G201" s="114"/>
      <c r="H201" s="115"/>
      <c r="J201" s="108"/>
      <c r="K201" s="104"/>
      <c r="L201" s="94"/>
      <c r="M201" s="502"/>
      <c r="N201" s="118"/>
      <c r="O201" s="113"/>
      <c r="P201" s="507"/>
      <c r="Q201" s="114"/>
      <c r="R201" s="115"/>
      <c r="T201" s="108"/>
    </row>
    <row r="202" spans="2:20" ht="15" thickBot="1">
      <c r="B202" s="94"/>
      <c r="C202" s="502"/>
      <c r="D202" s="105"/>
      <c r="F202" s="213"/>
      <c r="G202" s="213"/>
      <c r="H202" s="214"/>
      <c r="J202" s="508"/>
      <c r="K202" s="104"/>
      <c r="L202" s="94"/>
      <c r="M202" s="502"/>
      <c r="N202" s="105"/>
      <c r="P202" s="213"/>
      <c r="Q202" s="213"/>
      <c r="R202" s="214"/>
      <c r="T202" s="508"/>
    </row>
    <row r="203" spans="2:20" ht="8.4499999999999993" customHeight="1" thickBot="1">
      <c r="B203" s="94"/>
      <c r="C203" s="502"/>
      <c r="D203" s="105"/>
      <c r="E203" s="99"/>
      <c r="F203" s="215"/>
      <c r="G203" s="216"/>
      <c r="H203" s="105"/>
      <c r="J203" s="508"/>
      <c r="L203" s="94"/>
      <c r="M203" s="502"/>
      <c r="N203" s="105"/>
      <c r="O203" s="99"/>
      <c r="P203" s="215"/>
      <c r="Q203" s="216"/>
      <c r="R203" s="105"/>
      <c r="T203" s="508"/>
    </row>
    <row r="204" spans="2:20" ht="3.6" customHeight="1" thickBot="1">
      <c r="B204" s="94"/>
      <c r="D204" s="119"/>
      <c r="H204" s="119"/>
      <c r="J204" s="93"/>
      <c r="L204" s="94"/>
      <c r="N204" s="119"/>
      <c r="R204" s="119"/>
      <c r="T204" s="93"/>
    </row>
    <row r="205" spans="2:20">
      <c r="B205" s="94"/>
      <c r="J205" s="93"/>
      <c r="L205" s="94"/>
      <c r="T205" s="93"/>
    </row>
    <row r="206" spans="2:20" ht="15.75">
      <c r="B206" s="94"/>
      <c r="D206" s="87" t="s">
        <v>847</v>
      </c>
      <c r="E206" s="238" t="s">
        <v>848</v>
      </c>
      <c r="F206" s="110">
        <f>xHesaplama!X45</f>
        <v>0</v>
      </c>
      <c r="G206" s="238" t="s">
        <v>848</v>
      </c>
      <c r="H206" s="87" t="s">
        <v>849</v>
      </c>
      <c r="J206" s="93"/>
      <c r="L206" s="94"/>
      <c r="N206" s="87" t="s">
        <v>847</v>
      </c>
      <c r="O206" s="238" t="s">
        <v>848</v>
      </c>
      <c r="P206" s="110">
        <f>xHesaplama!X46</f>
        <v>0</v>
      </c>
      <c r="Q206" s="238" t="s">
        <v>848</v>
      </c>
      <c r="R206" s="87" t="s">
        <v>849</v>
      </c>
      <c r="T206" s="93"/>
    </row>
    <row r="207" spans="2:20">
      <c r="B207" s="120"/>
      <c r="C207" s="121"/>
      <c r="D207" s="121"/>
      <c r="E207" s="121"/>
      <c r="F207" s="121"/>
      <c r="G207" s="121"/>
      <c r="H207" s="121"/>
      <c r="I207" s="121"/>
      <c r="J207" s="122"/>
      <c r="L207" s="120"/>
      <c r="M207" s="121"/>
      <c r="N207" s="121"/>
      <c r="O207" s="121"/>
      <c r="P207" s="121"/>
      <c r="Q207" s="121"/>
      <c r="R207" s="121"/>
      <c r="S207" s="121"/>
      <c r="T207" s="122"/>
    </row>
  </sheetData>
  <mergeCells count="235">
    <mergeCell ref="T73:T74"/>
    <mergeCell ref="J93:J94"/>
    <mergeCell ref="T93:T94"/>
    <mergeCell ref="J113:J114"/>
    <mergeCell ref="T113:T114"/>
    <mergeCell ref="J133:J134"/>
    <mergeCell ref="T133:T134"/>
    <mergeCell ref="J153:J154"/>
    <mergeCell ref="T153:T154"/>
    <mergeCell ref="P79:P81"/>
    <mergeCell ref="J77:J79"/>
    <mergeCell ref="J82:J83"/>
    <mergeCell ref="T82:T83"/>
    <mergeCell ref="T102:T103"/>
    <mergeCell ref="J122:J123"/>
    <mergeCell ref="T122:T123"/>
    <mergeCell ref="N89:S89"/>
    <mergeCell ref="T137:T139"/>
    <mergeCell ref="J142:J143"/>
    <mergeCell ref="T142:T143"/>
    <mergeCell ref="T97:T99"/>
    <mergeCell ref="N90:O90"/>
    <mergeCell ref="M76:M78"/>
    <mergeCell ref="T117:T119"/>
    <mergeCell ref="C12:C15"/>
    <mergeCell ref="C19:C23"/>
    <mergeCell ref="M12:M15"/>
    <mergeCell ref="M19:M23"/>
    <mergeCell ref="E11:G11"/>
    <mergeCell ref="E31:G31"/>
    <mergeCell ref="D10:E10"/>
    <mergeCell ref="T22:T23"/>
    <mergeCell ref="J22:J23"/>
    <mergeCell ref="J17:J19"/>
    <mergeCell ref="O31:Q31"/>
    <mergeCell ref="J13:J14"/>
    <mergeCell ref="T13:T14"/>
    <mergeCell ref="D9:I9"/>
    <mergeCell ref="F14:F15"/>
    <mergeCell ref="F19:F21"/>
    <mergeCell ref="O11:Q11"/>
    <mergeCell ref="P14:P15"/>
    <mergeCell ref="M16:M18"/>
    <mergeCell ref="N10:O10"/>
    <mergeCell ref="N9:S9"/>
    <mergeCell ref="T17:T19"/>
    <mergeCell ref="P19:P21"/>
    <mergeCell ref="C36:C38"/>
    <mergeCell ref="J37:J39"/>
    <mergeCell ref="F39:F41"/>
    <mergeCell ref="J42:J43"/>
    <mergeCell ref="C32:C35"/>
    <mergeCell ref="M32:M35"/>
    <mergeCell ref="C52:C55"/>
    <mergeCell ref="C39:C43"/>
    <mergeCell ref="C16:C18"/>
    <mergeCell ref="J33:J34"/>
    <mergeCell ref="J53:J54"/>
    <mergeCell ref="P34:P35"/>
    <mergeCell ref="M36:M38"/>
    <mergeCell ref="T37:T39"/>
    <mergeCell ref="P39:P41"/>
    <mergeCell ref="F34:F35"/>
    <mergeCell ref="D49:I49"/>
    <mergeCell ref="N49:S49"/>
    <mergeCell ref="D50:E50"/>
    <mergeCell ref="N50:O50"/>
    <mergeCell ref="T33:T34"/>
    <mergeCell ref="P59:P61"/>
    <mergeCell ref="J62:J63"/>
    <mergeCell ref="F54:F55"/>
    <mergeCell ref="P54:P55"/>
    <mergeCell ref="M52:M55"/>
    <mergeCell ref="C56:C58"/>
    <mergeCell ref="M56:M58"/>
    <mergeCell ref="J57:J59"/>
    <mergeCell ref="T42:T43"/>
    <mergeCell ref="E51:G51"/>
    <mergeCell ref="O51:Q51"/>
    <mergeCell ref="F59:F61"/>
    <mergeCell ref="T53:T54"/>
    <mergeCell ref="M39:M43"/>
    <mergeCell ref="C59:C63"/>
    <mergeCell ref="M59:M63"/>
    <mergeCell ref="O71:Q71"/>
    <mergeCell ref="F74:F75"/>
    <mergeCell ref="P74:P75"/>
    <mergeCell ref="C72:C75"/>
    <mergeCell ref="M72:M75"/>
    <mergeCell ref="D69:I69"/>
    <mergeCell ref="N69:S69"/>
    <mergeCell ref="D70:E70"/>
    <mergeCell ref="N70:O70"/>
    <mergeCell ref="J73:J74"/>
    <mergeCell ref="N1:T4"/>
    <mergeCell ref="G1:M4"/>
    <mergeCell ref="K6:N6"/>
    <mergeCell ref="K7:N7"/>
    <mergeCell ref="O7:P7"/>
    <mergeCell ref="Q6:T6"/>
    <mergeCell ref="Q7:T7"/>
    <mergeCell ref="T77:T79"/>
    <mergeCell ref="T57:T59"/>
    <mergeCell ref="T62:T63"/>
    <mergeCell ref="D29:I29"/>
    <mergeCell ref="D30:E30"/>
    <mergeCell ref="N29:S29"/>
    <mergeCell ref="N30:O30"/>
    <mergeCell ref="B1:F4"/>
    <mergeCell ref="B6:D6"/>
    <mergeCell ref="E6:F6"/>
    <mergeCell ref="G6:J6"/>
    <mergeCell ref="O6:P6"/>
    <mergeCell ref="B7:D7"/>
    <mergeCell ref="E7:F7"/>
    <mergeCell ref="G7:J7"/>
    <mergeCell ref="E71:G71"/>
    <mergeCell ref="C76:C78"/>
    <mergeCell ref="D129:I129"/>
    <mergeCell ref="N129:S129"/>
    <mergeCell ref="J102:J103"/>
    <mergeCell ref="E91:G91"/>
    <mergeCell ref="O91:Q91"/>
    <mergeCell ref="F94:F95"/>
    <mergeCell ref="P94:P95"/>
    <mergeCell ref="E111:G111"/>
    <mergeCell ref="O111:Q111"/>
    <mergeCell ref="M96:M98"/>
    <mergeCell ref="J97:J99"/>
    <mergeCell ref="F99:F101"/>
    <mergeCell ref="P99:P101"/>
    <mergeCell ref="F119:F121"/>
    <mergeCell ref="P119:P121"/>
    <mergeCell ref="F114:F115"/>
    <mergeCell ref="P114:P115"/>
    <mergeCell ref="M116:M118"/>
    <mergeCell ref="J117:J119"/>
    <mergeCell ref="D109:I109"/>
    <mergeCell ref="N109:S109"/>
    <mergeCell ref="D110:E110"/>
    <mergeCell ref="N110:O110"/>
    <mergeCell ref="D130:E130"/>
    <mergeCell ref="N130:O130"/>
    <mergeCell ref="E131:G131"/>
    <mergeCell ref="O131:Q131"/>
    <mergeCell ref="F134:F135"/>
    <mergeCell ref="P134:P135"/>
    <mergeCell ref="C136:C138"/>
    <mergeCell ref="M136:M138"/>
    <mergeCell ref="J137:J139"/>
    <mergeCell ref="C132:C135"/>
    <mergeCell ref="M132:M135"/>
    <mergeCell ref="F139:F141"/>
    <mergeCell ref="P139:P141"/>
    <mergeCell ref="C139:C143"/>
    <mergeCell ref="M139:M143"/>
    <mergeCell ref="D149:I149"/>
    <mergeCell ref="N149:S149"/>
    <mergeCell ref="D150:E150"/>
    <mergeCell ref="N150:O150"/>
    <mergeCell ref="O151:Q151"/>
    <mergeCell ref="F154:F155"/>
    <mergeCell ref="P154:P155"/>
    <mergeCell ref="C156:C158"/>
    <mergeCell ref="M156:M158"/>
    <mergeCell ref="J157:J159"/>
    <mergeCell ref="E151:G151"/>
    <mergeCell ref="T157:T159"/>
    <mergeCell ref="F159:F161"/>
    <mergeCell ref="P159:P161"/>
    <mergeCell ref="C152:C155"/>
    <mergeCell ref="M152:M155"/>
    <mergeCell ref="T162:T163"/>
    <mergeCell ref="D169:I169"/>
    <mergeCell ref="N169:S169"/>
    <mergeCell ref="D170:E170"/>
    <mergeCell ref="N170:O170"/>
    <mergeCell ref="C159:C163"/>
    <mergeCell ref="M159:M163"/>
    <mergeCell ref="J162:J163"/>
    <mergeCell ref="J202:J203"/>
    <mergeCell ref="T202:T203"/>
    <mergeCell ref="D190:E190"/>
    <mergeCell ref="N190:O190"/>
    <mergeCell ref="E191:G191"/>
    <mergeCell ref="O191:Q191"/>
    <mergeCell ref="F194:F195"/>
    <mergeCell ref="P194:P195"/>
    <mergeCell ref="C196:C198"/>
    <mergeCell ref="M196:M198"/>
    <mergeCell ref="J197:J199"/>
    <mergeCell ref="T197:T199"/>
    <mergeCell ref="F199:F201"/>
    <mergeCell ref="P199:P201"/>
    <mergeCell ref="C192:C195"/>
    <mergeCell ref="M192:M195"/>
    <mergeCell ref="C199:C203"/>
    <mergeCell ref="M199:M203"/>
    <mergeCell ref="J193:J194"/>
    <mergeCell ref="T193:T194"/>
    <mergeCell ref="J182:J183"/>
    <mergeCell ref="T182:T183"/>
    <mergeCell ref="D189:I189"/>
    <mergeCell ref="N189:S189"/>
    <mergeCell ref="C179:C183"/>
    <mergeCell ref="M179:M183"/>
    <mergeCell ref="E171:G171"/>
    <mergeCell ref="O171:Q171"/>
    <mergeCell ref="F174:F175"/>
    <mergeCell ref="P174:P175"/>
    <mergeCell ref="J173:J174"/>
    <mergeCell ref="T173:T174"/>
    <mergeCell ref="C176:C178"/>
    <mergeCell ref="M176:M178"/>
    <mergeCell ref="J177:J179"/>
    <mergeCell ref="T177:T179"/>
    <mergeCell ref="F179:F181"/>
    <mergeCell ref="P179:P181"/>
    <mergeCell ref="C172:C175"/>
    <mergeCell ref="M172:M175"/>
    <mergeCell ref="C79:C83"/>
    <mergeCell ref="M79:M83"/>
    <mergeCell ref="C99:C103"/>
    <mergeCell ref="M99:M103"/>
    <mergeCell ref="C119:C123"/>
    <mergeCell ref="M119:M123"/>
    <mergeCell ref="C92:C95"/>
    <mergeCell ref="M92:M95"/>
    <mergeCell ref="C112:C115"/>
    <mergeCell ref="M112:M115"/>
    <mergeCell ref="D89:I89"/>
    <mergeCell ref="D90:E90"/>
    <mergeCell ref="C96:C98"/>
    <mergeCell ref="F79:F81"/>
    <mergeCell ref="C116:C118"/>
  </mergeCells>
  <phoneticPr fontId="8" type="noConversion"/>
  <conditionalFormatting sqref="R13:R24 N13:N24 O23:Q23 N12:R12">
    <cfRule type="expression" dxfId="119" priority="32">
      <formula>$N$9="Zipline® Sky (Tavan)"</formula>
    </cfRule>
  </conditionalFormatting>
  <conditionalFormatting sqref="D12:H12 H13:H24 E23:G23 D13:D24">
    <cfRule type="expression" dxfId="118" priority="33">
      <formula>$D$9="Zipline® Sky (Tavan)"</formula>
    </cfRule>
  </conditionalFormatting>
  <printOptions horizontalCentered="1"/>
  <pageMargins left="0.59" right="0.6" top="0.19685039370078741" bottom="0.19685039370078741" header="0.2" footer="0.19685039370078741"/>
  <pageSetup paperSize="9" scale="75" fitToHeight="0" orientation="portrait" r:id="rId1"/>
  <headerFooter alignWithMargins="0">
    <oddFooter>Sayfa &amp;P / &amp;N</oddFooter>
  </headerFooter>
  <rowBreaks count="2" manualBreakCount="2">
    <brk id="67" max="20" man="1"/>
    <brk id="127" max="20" man="1"/>
  </rowBreaks>
  <drawing r:id="rId2"/>
  <extLst>
    <ext xmlns:x14="http://schemas.microsoft.com/office/spreadsheetml/2009/9/main" uri="{78C0D931-6437-407d-A8EE-F0AAD7539E65}">
      <x14:conditionalFormattings>
        <x14:conditionalFormatting xmlns:xm="http://schemas.microsoft.com/office/excel/2006/main">
          <x14:cfRule type="expression" priority="52" id="{9A8FF480-C0EF-46D0-8935-8A99FA7D9466}">
            <xm:f>'1PROJE'!$D$8=0</xm:f>
            <x14:dxf>
              <font>
                <color theme="0"/>
              </font>
              <fill>
                <patternFill patternType="none">
                  <fgColor indexed="64"/>
                  <bgColor auto="1"/>
                </patternFill>
              </fill>
              <border>
                <left/>
                <right/>
                <top/>
                <bottom/>
                <vertical/>
                <horizontal/>
              </border>
            </x14:dxf>
          </x14:cfRule>
          <xm:sqref>L9:T27</xm:sqref>
        </x14:conditionalFormatting>
        <x14:conditionalFormatting xmlns:xm="http://schemas.microsoft.com/office/excel/2006/main">
          <x14:cfRule type="expression" priority="51" id="{D69DFCCE-E8ED-4724-A745-7E986B22118B}">
            <xm:f>'1PROJE'!$D$9=0</xm:f>
            <x14:dxf>
              <font>
                <color theme="0"/>
              </font>
              <fill>
                <patternFill>
                  <fgColor theme="0"/>
                  <bgColor theme="0"/>
                </patternFill>
              </fill>
              <border>
                <left/>
                <right/>
                <top/>
                <bottom/>
                <vertical/>
                <horizontal/>
              </border>
            </x14:dxf>
          </x14:cfRule>
          <xm:sqref>B29:J47</xm:sqref>
        </x14:conditionalFormatting>
        <x14:conditionalFormatting xmlns:xm="http://schemas.microsoft.com/office/excel/2006/main">
          <x14:cfRule type="expression" priority="50" id="{741398C3-1925-421F-B8CF-4B440D15E68C}">
            <xm:f>'1PROJE'!$D$10=0</xm:f>
            <x14:dxf>
              <font>
                <color theme="0"/>
              </font>
              <fill>
                <patternFill patternType="solid">
                  <bgColor theme="0"/>
                </patternFill>
              </fill>
              <border>
                <left/>
                <right/>
                <top/>
                <bottom/>
                <vertical/>
                <horizontal/>
              </border>
            </x14:dxf>
          </x14:cfRule>
          <xm:sqref>L29:T47</xm:sqref>
        </x14:conditionalFormatting>
        <x14:conditionalFormatting xmlns:xm="http://schemas.microsoft.com/office/excel/2006/main">
          <x14:cfRule type="expression" priority="49" id="{66B5EE20-09BA-49A6-96E4-868D6FAC1830}">
            <xm:f>'1PROJE'!$D$11=0</xm:f>
            <x14:dxf>
              <font>
                <color theme="0"/>
              </font>
              <fill>
                <patternFill patternType="solid">
                  <bgColor theme="0"/>
                </patternFill>
              </fill>
              <border>
                <left/>
                <right/>
                <top/>
                <bottom/>
                <vertical/>
                <horizontal/>
              </border>
            </x14:dxf>
          </x14:cfRule>
          <xm:sqref>B49:J67</xm:sqref>
        </x14:conditionalFormatting>
        <x14:conditionalFormatting xmlns:xm="http://schemas.microsoft.com/office/excel/2006/main">
          <x14:cfRule type="expression" priority="48" id="{F43C6161-9181-41E7-8442-4C2B67A64A0B}">
            <xm:f>'1PROJE'!$D$12=0</xm:f>
            <x14:dxf>
              <font>
                <color theme="0"/>
              </font>
              <fill>
                <patternFill>
                  <bgColor theme="0"/>
                </patternFill>
              </fill>
              <border>
                <left/>
                <right/>
                <top/>
                <bottom/>
                <vertical/>
                <horizontal/>
              </border>
            </x14:dxf>
          </x14:cfRule>
          <xm:sqref>L49:T67</xm:sqref>
        </x14:conditionalFormatting>
        <x14:conditionalFormatting xmlns:xm="http://schemas.microsoft.com/office/excel/2006/main">
          <x14:cfRule type="expression" priority="47" id="{15EA87B2-3CEE-45C9-8527-A8F659EE8822}">
            <xm:f>'1PROJE'!$D$13=0</xm:f>
            <x14:dxf>
              <font>
                <color theme="0"/>
              </font>
              <fill>
                <patternFill>
                  <bgColor theme="0"/>
                </patternFill>
              </fill>
              <border>
                <left/>
                <right/>
                <top/>
                <bottom/>
                <vertical/>
                <horizontal/>
              </border>
            </x14:dxf>
          </x14:cfRule>
          <xm:sqref>B69:J87</xm:sqref>
        </x14:conditionalFormatting>
        <x14:conditionalFormatting xmlns:xm="http://schemas.microsoft.com/office/excel/2006/main">
          <x14:cfRule type="expression" priority="46" id="{1C8C46C1-A9E6-45A7-B02C-37781C4B25F6}">
            <xm:f>'1PROJE'!$D$14=0</xm:f>
            <x14:dxf>
              <font>
                <color theme="0"/>
              </font>
              <fill>
                <patternFill>
                  <bgColor theme="0"/>
                </patternFill>
              </fill>
              <border>
                <left/>
                <right/>
                <top/>
                <bottom/>
                <vertical/>
                <horizontal/>
              </border>
            </x14:dxf>
          </x14:cfRule>
          <xm:sqref>L69:T87</xm:sqref>
        </x14:conditionalFormatting>
        <x14:conditionalFormatting xmlns:xm="http://schemas.microsoft.com/office/excel/2006/main">
          <x14:cfRule type="expression" priority="45" id="{55552D4B-E052-4124-B285-30E852334F6A}">
            <xm:f>'1PROJE'!$D$15=0</xm:f>
            <x14:dxf>
              <font>
                <color theme="0"/>
              </font>
              <fill>
                <patternFill>
                  <bgColor theme="0"/>
                </patternFill>
              </fill>
              <border>
                <left/>
                <right/>
                <top/>
                <bottom/>
                <vertical/>
                <horizontal/>
              </border>
            </x14:dxf>
          </x14:cfRule>
          <xm:sqref>B89:J107</xm:sqref>
        </x14:conditionalFormatting>
        <x14:conditionalFormatting xmlns:xm="http://schemas.microsoft.com/office/excel/2006/main">
          <x14:cfRule type="expression" priority="44" id="{6170EF0E-A2BE-45FF-A3F2-4BB682CE4D8F}">
            <xm:f>'1PROJE'!$D$16=0</xm:f>
            <x14:dxf>
              <font>
                <color theme="0"/>
              </font>
              <fill>
                <patternFill>
                  <bgColor theme="0"/>
                </patternFill>
              </fill>
              <border>
                <left/>
                <right/>
                <top/>
                <bottom/>
                <vertical/>
                <horizontal/>
              </border>
            </x14:dxf>
          </x14:cfRule>
          <xm:sqref>L89:T107</xm:sqref>
        </x14:conditionalFormatting>
        <x14:conditionalFormatting xmlns:xm="http://schemas.microsoft.com/office/excel/2006/main">
          <x14:cfRule type="expression" priority="43" id="{C30D6B8B-E839-4ED9-9F0C-90D635EDE9E9}">
            <xm:f>'1PROJE'!$D$17=0</xm:f>
            <x14:dxf>
              <font>
                <color theme="0"/>
              </font>
              <fill>
                <patternFill>
                  <fgColor theme="0"/>
                  <bgColor theme="0"/>
                </patternFill>
              </fill>
              <border>
                <left/>
                <right/>
                <top/>
                <bottom/>
                <vertical/>
                <horizontal/>
              </border>
            </x14:dxf>
          </x14:cfRule>
          <xm:sqref>B109:J127</xm:sqref>
        </x14:conditionalFormatting>
        <x14:conditionalFormatting xmlns:xm="http://schemas.microsoft.com/office/excel/2006/main">
          <x14:cfRule type="expression" priority="42" id="{1D589F15-3C74-4D55-AE4F-C7BC40C3F26B}">
            <xm:f>'1PROJE'!$D$18=0</xm:f>
            <x14:dxf>
              <font>
                <color theme="0"/>
              </font>
              <fill>
                <patternFill>
                  <fgColor theme="0"/>
                  <bgColor theme="0"/>
                </patternFill>
              </fill>
              <border>
                <left/>
                <right/>
                <top/>
                <bottom/>
                <vertical/>
                <horizontal/>
              </border>
            </x14:dxf>
          </x14:cfRule>
          <xm:sqref>L109:T127</xm:sqref>
        </x14:conditionalFormatting>
        <x14:conditionalFormatting xmlns:xm="http://schemas.microsoft.com/office/excel/2006/main">
          <x14:cfRule type="expression" priority="41" id="{DEF7451A-48D2-42BC-BDDB-A4CE1303AB9A}">
            <xm:f>'1PROJE'!$D$19=0</xm:f>
            <x14:dxf>
              <font>
                <color theme="0"/>
              </font>
              <fill>
                <patternFill>
                  <fgColor theme="0"/>
                  <bgColor theme="0"/>
                </patternFill>
              </fill>
              <border>
                <left/>
                <right/>
                <top/>
                <bottom/>
                <vertical/>
                <horizontal/>
              </border>
            </x14:dxf>
          </x14:cfRule>
          <xm:sqref>B129:J147</xm:sqref>
        </x14:conditionalFormatting>
        <x14:conditionalFormatting xmlns:xm="http://schemas.microsoft.com/office/excel/2006/main">
          <x14:cfRule type="expression" priority="40" id="{DC90E8CE-4882-4F61-A80F-F40432C57CB2}">
            <xm:f>'1PROJE'!$D$20=0</xm:f>
            <x14:dxf>
              <font>
                <color theme="0"/>
              </font>
              <fill>
                <patternFill>
                  <fgColor theme="0"/>
                  <bgColor theme="0"/>
                </patternFill>
              </fill>
              <border>
                <left/>
                <right/>
                <top/>
                <bottom/>
                <vertical/>
                <horizontal/>
              </border>
            </x14:dxf>
          </x14:cfRule>
          <xm:sqref>L129:T147</xm:sqref>
        </x14:conditionalFormatting>
        <x14:conditionalFormatting xmlns:xm="http://schemas.microsoft.com/office/excel/2006/main">
          <x14:cfRule type="expression" priority="39" id="{0EC893B2-A8CF-46FD-B120-0BFF044A7D1A}">
            <xm:f>'1PROJE'!$D$21=0</xm:f>
            <x14:dxf>
              <font>
                <color theme="0"/>
              </font>
              <fill>
                <patternFill>
                  <fgColor theme="0"/>
                  <bgColor theme="0"/>
                </patternFill>
              </fill>
              <border>
                <left/>
                <right/>
                <top/>
                <bottom/>
                <vertical/>
                <horizontal/>
              </border>
            </x14:dxf>
          </x14:cfRule>
          <xm:sqref>B149:J167</xm:sqref>
        </x14:conditionalFormatting>
        <x14:conditionalFormatting xmlns:xm="http://schemas.microsoft.com/office/excel/2006/main">
          <x14:cfRule type="expression" priority="38" id="{67313771-786F-46D0-BDF0-7866735EE4A9}">
            <xm:f>'1PROJE'!$D$22=0</xm:f>
            <x14:dxf>
              <font>
                <color theme="0"/>
              </font>
              <fill>
                <patternFill>
                  <fgColor theme="0"/>
                  <bgColor theme="0"/>
                </patternFill>
              </fill>
              <border>
                <left/>
                <right/>
                <top/>
                <bottom/>
                <vertical/>
                <horizontal/>
              </border>
            </x14:dxf>
          </x14:cfRule>
          <xm:sqref>L149:T167</xm:sqref>
        </x14:conditionalFormatting>
        <x14:conditionalFormatting xmlns:xm="http://schemas.microsoft.com/office/excel/2006/main">
          <x14:cfRule type="expression" priority="37" id="{C6BB0F44-A067-4265-9099-A372ED141B0A}">
            <xm:f>'1PROJE'!$D$23=0</xm:f>
            <x14:dxf>
              <font>
                <color theme="0"/>
              </font>
              <fill>
                <patternFill>
                  <fgColor theme="0"/>
                  <bgColor theme="0"/>
                </patternFill>
              </fill>
              <border>
                <left/>
                <right/>
                <top/>
                <bottom/>
                <vertical/>
                <horizontal/>
              </border>
            </x14:dxf>
          </x14:cfRule>
          <xm:sqref>B169:J187</xm:sqref>
        </x14:conditionalFormatting>
        <x14:conditionalFormatting xmlns:xm="http://schemas.microsoft.com/office/excel/2006/main">
          <x14:cfRule type="expression" priority="36" id="{7F2379DD-7CB8-4CD8-9169-C6FD118EDDA4}">
            <xm:f>'1PROJE'!$D$24=0</xm:f>
            <x14:dxf>
              <font>
                <color theme="0"/>
              </font>
              <fill>
                <patternFill>
                  <fgColor theme="0"/>
                  <bgColor theme="0"/>
                </patternFill>
              </fill>
              <border>
                <left/>
                <right/>
                <top/>
                <bottom/>
                <vertical/>
                <horizontal/>
              </border>
            </x14:dxf>
          </x14:cfRule>
          <xm:sqref>L169:T187</xm:sqref>
        </x14:conditionalFormatting>
        <x14:conditionalFormatting xmlns:xm="http://schemas.microsoft.com/office/excel/2006/main">
          <x14:cfRule type="expression" priority="35" id="{850B9EC7-4088-4979-BADD-DB9C24314383}">
            <xm:f>'1PROJE'!$D$25=0</xm:f>
            <x14:dxf>
              <font>
                <color theme="0"/>
              </font>
              <fill>
                <patternFill patternType="solid">
                  <fgColor theme="0"/>
                  <bgColor theme="0"/>
                </patternFill>
              </fill>
              <border>
                <left/>
                <right/>
                <top/>
                <bottom/>
                <vertical/>
                <horizontal/>
              </border>
            </x14:dxf>
          </x14:cfRule>
          <xm:sqref>B189:J207</xm:sqref>
        </x14:conditionalFormatting>
        <x14:conditionalFormatting xmlns:xm="http://schemas.microsoft.com/office/excel/2006/main">
          <x14:cfRule type="expression" priority="34" id="{F6FE18B0-3E1F-454D-93B4-1188DB8BF9EC}">
            <xm:f>'1PROJE'!$D$26=0</xm:f>
            <x14:dxf>
              <font>
                <color theme="0"/>
              </font>
              <fill>
                <patternFill>
                  <fgColor theme="0"/>
                  <bgColor theme="0"/>
                </patternFill>
              </fill>
              <border>
                <left/>
                <right/>
                <top/>
                <bottom/>
                <vertical/>
                <horizontal/>
              </border>
            </x14:dxf>
          </x14:cfRule>
          <xm:sqref>L189:T207</xm:sqref>
        </x14:conditionalFormatting>
        <x14:conditionalFormatting xmlns:xm="http://schemas.microsoft.com/office/excel/2006/main">
          <x14:cfRule type="expression" priority="20" id="{6CF3A324-5B4E-4FA8-8C5D-77E8E87425C6}">
            <xm:f>'1PROJE'!$C$9="Zipline® Sky (Tavan)"</xm:f>
            <x14:dxf>
              <fill>
                <patternFill>
                  <bgColor theme="4"/>
                </patternFill>
              </fill>
            </x14:dxf>
          </x14:cfRule>
          <xm:sqref>D32:D44 E32:H32 H33:H44 E43:G43</xm:sqref>
        </x14:conditionalFormatting>
        <x14:conditionalFormatting xmlns:xm="http://schemas.microsoft.com/office/excel/2006/main">
          <x14:cfRule type="expression" priority="18" id="{5C01E5E7-D9D6-4098-841E-75F204324112}">
            <xm:f>'1PROJE'!$C$10="Zipline® Sky (Tavan)"</xm:f>
            <x14:dxf>
              <fill>
                <patternFill>
                  <bgColor theme="4"/>
                </patternFill>
              </fill>
            </x14:dxf>
          </x14:cfRule>
          <xm:sqref>R44 N32:N43 N44 O32:R32 R33:R44 O43:Q43</xm:sqref>
        </x14:conditionalFormatting>
        <x14:conditionalFormatting xmlns:xm="http://schemas.microsoft.com/office/excel/2006/main">
          <x14:cfRule type="expression" priority="17" id="{615DA73A-FB38-424B-BD1C-A9FD22E787CC}">
            <xm:f>'1PROJE'!$C$11="Zipline® Sky (Tavan)"</xm:f>
            <x14:dxf>
              <fill>
                <patternFill>
                  <bgColor theme="4"/>
                </patternFill>
              </fill>
            </x14:dxf>
          </x14:cfRule>
          <xm:sqref>D64 D52:D63 E52:H52 H53:H63 H62:H64 E63:G63</xm:sqref>
        </x14:conditionalFormatting>
        <x14:conditionalFormatting xmlns:xm="http://schemas.microsoft.com/office/excel/2006/main">
          <x14:cfRule type="expression" priority="16" id="{56053DBD-8221-4CDC-8DB6-015AEF1C3F6C}">
            <xm:f>'1PROJE'!$C$12="Zipline® Sky (Tavan)"</xm:f>
            <x14:dxf>
              <fill>
                <patternFill>
                  <bgColor theme="4"/>
                </patternFill>
              </fill>
            </x14:dxf>
          </x14:cfRule>
          <xm:sqref>N63 N52:N64 O52:R52 R53:R64 O63:Q63</xm:sqref>
        </x14:conditionalFormatting>
        <x14:conditionalFormatting xmlns:xm="http://schemas.microsoft.com/office/excel/2006/main">
          <x14:cfRule type="expression" priority="15" id="{C6C880A4-73F4-4CD7-B034-9C875092DCB1}">
            <xm:f>'1PROJE'!$C$13="Zipline® Sky (Tavan)"</xm:f>
            <x14:dxf>
              <fill>
                <patternFill>
                  <bgColor theme="4"/>
                </patternFill>
              </fill>
            </x14:dxf>
          </x14:cfRule>
          <xm:sqref>D80 D72:D84 E72:H72 H73:H84 E83:G83</xm:sqref>
        </x14:conditionalFormatting>
        <x14:conditionalFormatting xmlns:xm="http://schemas.microsoft.com/office/excel/2006/main">
          <x14:cfRule type="expression" priority="14" id="{F9FE7A69-FC5A-46A9-B645-5C14507660D2}">
            <xm:f>'1PROJE'!$C$14="Zipline® Sky (Tavan)"</xm:f>
            <x14:dxf>
              <fill>
                <patternFill>
                  <bgColor theme="4"/>
                </patternFill>
              </fill>
            </x14:dxf>
          </x14:cfRule>
          <xm:sqref>N75 N72:N84 O72:R72 R73:R84 O83:Q83</xm:sqref>
        </x14:conditionalFormatting>
        <x14:conditionalFormatting xmlns:xm="http://schemas.microsoft.com/office/excel/2006/main">
          <x14:cfRule type="expression" priority="13" id="{C6C46E27-42CB-4A07-812F-A29DAE87A276}">
            <xm:f>'1PROJE'!$C$15="Zipline® Sky (Tavan)"</xm:f>
            <x14:dxf>
              <fill>
                <patternFill>
                  <bgColor theme="4"/>
                </patternFill>
              </fill>
            </x14:dxf>
          </x14:cfRule>
          <xm:sqref>D104 D92:D103 E92:H92 H93:H104 E103:G103</xm:sqref>
        </x14:conditionalFormatting>
        <x14:conditionalFormatting xmlns:xm="http://schemas.microsoft.com/office/excel/2006/main">
          <x14:cfRule type="expression" priority="12" id="{9F73384E-3B4B-454C-8FDE-DD70B829B2A2}">
            <xm:f>'1PROJE'!$C$16="Zipline® Sky (Tavan)"</xm:f>
            <x14:dxf>
              <fill>
                <patternFill>
                  <bgColor theme="4"/>
                </patternFill>
              </fill>
            </x14:dxf>
          </x14:cfRule>
          <xm:sqref>N103 N92:N104 O92:R92 R93:R104 O103:Q103</xm:sqref>
        </x14:conditionalFormatting>
        <x14:conditionalFormatting xmlns:xm="http://schemas.microsoft.com/office/excel/2006/main">
          <x14:cfRule type="expression" priority="11" id="{DA591277-FC39-4613-90DB-CC78E4FE2816}">
            <xm:f>'1PROJE'!$C$17="Zipline® Sky (Tavan)"</xm:f>
            <x14:dxf>
              <fill>
                <patternFill>
                  <bgColor theme="4"/>
                </patternFill>
              </fill>
            </x14:dxf>
          </x14:cfRule>
          <xm:sqref>V101</xm:sqref>
        </x14:conditionalFormatting>
        <x14:conditionalFormatting xmlns:xm="http://schemas.microsoft.com/office/excel/2006/main">
          <x14:cfRule type="expression" priority="10" id="{FDD2D531-B390-4DE4-8ADB-F3421FE8CBC8}">
            <xm:f>'1PROJE'!$C$17="Zipline® Sky (Tavan)"</xm:f>
            <x14:dxf>
              <fill>
                <patternFill>
                  <bgColor theme="4"/>
                </patternFill>
              </fill>
            </x14:dxf>
          </x14:cfRule>
          <xm:sqref>D123 D112:D124 E112:H112 H113:H124 E123:G123</xm:sqref>
        </x14:conditionalFormatting>
        <x14:conditionalFormatting xmlns:xm="http://schemas.microsoft.com/office/excel/2006/main">
          <x14:cfRule type="expression" priority="9" id="{E8AC7448-ECE3-4F6F-A7EB-5EC3E6C9AF41}">
            <xm:f>'1PROJE'!$C$18="Zipline® Sky (Tavan)"</xm:f>
            <x14:dxf>
              <fill>
                <patternFill>
                  <bgColor theme="4"/>
                </patternFill>
              </fill>
            </x14:dxf>
          </x14:cfRule>
          <xm:sqref>N123 N112:N124 O112:R112 R113:R124 O123:Q123</xm:sqref>
        </x14:conditionalFormatting>
        <x14:conditionalFormatting xmlns:xm="http://schemas.microsoft.com/office/excel/2006/main">
          <x14:cfRule type="expression" priority="8" id="{0B840C4D-AEBA-4B56-B96D-7B8B0A741D92}">
            <xm:f>'1PROJE'!$C$19="Zipline® Sky (Tavan)"</xm:f>
            <x14:dxf>
              <fill>
                <patternFill>
                  <bgColor theme="4"/>
                </patternFill>
              </fill>
            </x14:dxf>
          </x14:cfRule>
          <xm:sqref>H132:H144 D132:G132 D133:D144 E143:G143</xm:sqref>
        </x14:conditionalFormatting>
        <x14:conditionalFormatting xmlns:xm="http://schemas.microsoft.com/office/excel/2006/main">
          <x14:cfRule type="expression" priority="7" id="{F399B25A-13A6-45A2-BFD2-30D22096DB10}">
            <xm:f>'1PROJE'!$C$20="Zipline® Sky (Tavan)"</xm:f>
            <x14:dxf>
              <fill>
                <patternFill>
                  <bgColor theme="4"/>
                </patternFill>
              </fill>
            </x14:dxf>
          </x14:cfRule>
          <xm:sqref>N132 N132:N144 O132:R132 R133:R144 O143:Q143</xm:sqref>
        </x14:conditionalFormatting>
        <x14:conditionalFormatting xmlns:xm="http://schemas.microsoft.com/office/excel/2006/main">
          <x14:cfRule type="expression" priority="6" id="{430E2EAB-0E50-420D-BEFB-122997AA8B73}">
            <xm:f>'1PROJE'!$C$21="Zipline® Sky (Tavan)"</xm:f>
            <x14:dxf>
              <fill>
                <patternFill>
                  <bgColor theme="4"/>
                </patternFill>
              </fill>
            </x14:dxf>
          </x14:cfRule>
          <xm:sqref>D152 D152:D164 E152:H152 H153:H164 E163:G163</xm:sqref>
        </x14:conditionalFormatting>
        <x14:conditionalFormatting xmlns:xm="http://schemas.microsoft.com/office/excel/2006/main">
          <x14:cfRule type="expression" priority="5" id="{D7B62FAE-1069-4B86-B5AD-D870110ED44C}">
            <xm:f>'1PROJE'!$C$22="Zipline® Sky (Tavan)"</xm:f>
            <x14:dxf>
              <fill>
                <patternFill>
                  <bgColor theme="4"/>
                </patternFill>
              </fill>
            </x14:dxf>
          </x14:cfRule>
          <xm:sqref>N152 N152:N164 O152:R152 R153:R164 O163:Q163</xm:sqref>
        </x14:conditionalFormatting>
        <x14:conditionalFormatting xmlns:xm="http://schemas.microsoft.com/office/excel/2006/main">
          <x14:cfRule type="expression" priority="4" id="{90C943AC-F997-4A74-8734-51EF18521DE4}">
            <xm:f>'1PROJE'!$C$23="Zipline® Sky (Tavan)"</xm:f>
            <x14:dxf>
              <fill>
                <patternFill>
                  <bgColor theme="4"/>
                </patternFill>
              </fill>
            </x14:dxf>
          </x14:cfRule>
          <xm:sqref>D172 D172:D184 E172:H172 H173:H184 E183:G183</xm:sqref>
        </x14:conditionalFormatting>
        <x14:conditionalFormatting xmlns:xm="http://schemas.microsoft.com/office/excel/2006/main">
          <x14:cfRule type="expression" priority="3" id="{243B617A-9ED3-4B2F-8030-8AA8725AB8E6}">
            <xm:f>'1PROJE'!$C$24="Zipline® Sky (Tavan)"</xm:f>
            <x14:dxf>
              <fill>
                <patternFill>
                  <bgColor theme="4"/>
                </patternFill>
              </fill>
            </x14:dxf>
          </x14:cfRule>
          <xm:sqref>N172 N172:N184 O172:R172 R173:R184 O183:Q183</xm:sqref>
        </x14:conditionalFormatting>
        <x14:conditionalFormatting xmlns:xm="http://schemas.microsoft.com/office/excel/2006/main">
          <x14:cfRule type="expression" priority="2" id="{CFB1118C-266B-4458-A055-59E9ADA4BCE9}">
            <xm:f>'1PROJE'!$C$25="Zipline® Sky (Tavan)"</xm:f>
            <x14:dxf>
              <fill>
                <patternFill>
                  <bgColor theme="4"/>
                </patternFill>
              </fill>
            </x14:dxf>
          </x14:cfRule>
          <xm:sqref>E192 D192:D204 E192:H192 H193:H203 E203:G203 H204</xm:sqref>
        </x14:conditionalFormatting>
        <x14:conditionalFormatting xmlns:xm="http://schemas.microsoft.com/office/excel/2006/main">
          <x14:cfRule type="expression" priority="1" id="{53FDA1CC-BF22-48DF-9411-F33A2D908576}">
            <xm:f>'1PROJE'!$C$26="Zipline® Sky (Tavan)"</xm:f>
            <x14:dxf>
              <fill>
                <patternFill>
                  <bgColor theme="4"/>
                </patternFill>
              </fill>
            </x14:dxf>
          </x14:cfRule>
          <xm:sqref>O192 N192:N204 O192:R192 R193:R204 O203:Q203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DB67C-48DF-4393-8634-A50EA0901906}">
  <sheetPr codeName="Sayfa9">
    <tabColor rgb="FF00B050"/>
    <pageSetUpPr fitToPage="1"/>
  </sheetPr>
  <dimension ref="B1:BY212"/>
  <sheetViews>
    <sheetView showGridLines="0" view="pageBreakPreview" zoomScale="85" zoomScaleNormal="70" zoomScaleSheetLayoutView="85" workbookViewId="0">
      <selection activeCell="Q23" sqref="Q23:Q24"/>
    </sheetView>
  </sheetViews>
  <sheetFormatPr defaultColWidth="9.125" defaultRowHeight="14.25"/>
  <cols>
    <col min="1" max="1" width="1.875" style="87" customWidth="1"/>
    <col min="2" max="2" width="2.875" style="87" customWidth="1"/>
    <col min="3" max="3" width="6.125" style="87" customWidth="1"/>
    <col min="4" max="4" width="1.125" style="87" customWidth="1"/>
    <col min="5" max="7" width="9.625" style="87" customWidth="1"/>
    <col min="8" max="8" width="1.125" style="87" customWidth="1"/>
    <col min="9" max="9" width="1.625" style="87" customWidth="1"/>
    <col min="10" max="10" width="13.375" style="87" customWidth="1"/>
    <col min="11" max="11" width="0.625" style="87" customWidth="1"/>
    <col min="12" max="12" width="0.25" style="87" customWidth="1"/>
    <col min="13" max="15" width="3.625" style="87" customWidth="1"/>
    <col min="16" max="16" width="3.125" style="87" customWidth="1"/>
    <col min="17" max="17" width="12.25" style="87" customWidth="1"/>
    <col min="18" max="19" width="1.875" style="87" customWidth="1"/>
    <col min="20" max="20" width="2.75" style="87" customWidth="1"/>
    <col min="21" max="21" width="6.125" style="87" customWidth="1"/>
    <col min="22" max="22" width="1.125" style="87" customWidth="1"/>
    <col min="23" max="25" width="9.625" style="87" customWidth="1"/>
    <col min="26" max="26" width="1.125" style="87" customWidth="1"/>
    <col min="27" max="27" width="1.625" style="87" customWidth="1"/>
    <col min="28" max="28" width="13.375" style="87" customWidth="1"/>
    <col min="29" max="30" width="0.625" style="87" customWidth="1"/>
    <col min="31" max="33" width="3.625" style="87" customWidth="1"/>
    <col min="34" max="34" width="3.125" style="87" customWidth="1"/>
    <col min="35" max="35" width="12.375" style="87" customWidth="1"/>
    <col min="36" max="36" width="1.875" style="87" customWidth="1"/>
    <col min="37" max="59" width="2" style="87" customWidth="1"/>
    <col min="60" max="62" width="9.125" style="87"/>
    <col min="63" max="63" width="14.375" style="87" customWidth="1"/>
    <col min="64" max="65" width="9.125" style="87"/>
    <col min="66" max="66" width="13.875" style="87" customWidth="1"/>
    <col min="67" max="16384" width="9.125" style="87"/>
  </cols>
  <sheetData>
    <row r="1" spans="2:77" ht="12" customHeight="1">
      <c r="B1" s="590"/>
      <c r="C1" s="590"/>
      <c r="D1" s="590"/>
      <c r="E1" s="590"/>
      <c r="F1" s="590"/>
      <c r="G1" s="590"/>
      <c r="H1" s="590"/>
      <c r="I1" s="590"/>
      <c r="J1" s="590"/>
      <c r="K1" s="590"/>
      <c r="L1" s="590"/>
      <c r="M1" s="590"/>
      <c r="N1" s="592" t="s">
        <v>622</v>
      </c>
      <c r="O1" s="593"/>
      <c r="P1" s="593"/>
      <c r="Q1" s="593"/>
      <c r="R1" s="593"/>
      <c r="S1" s="593"/>
      <c r="T1" s="593"/>
      <c r="U1" s="593"/>
      <c r="V1" s="593"/>
      <c r="W1" s="593"/>
      <c r="X1" s="594"/>
      <c r="Y1" s="591"/>
      <c r="Z1" s="591"/>
      <c r="AA1" s="591"/>
      <c r="AB1" s="591"/>
      <c r="AC1" s="591"/>
      <c r="AD1" s="591"/>
      <c r="AE1" s="591"/>
      <c r="AF1" s="591"/>
      <c r="AG1" s="591"/>
      <c r="AH1" s="591"/>
      <c r="AI1" s="591"/>
    </row>
    <row r="2" spans="2:77" ht="12" customHeight="1">
      <c r="B2" s="590"/>
      <c r="C2" s="590"/>
      <c r="D2" s="590"/>
      <c r="E2" s="590"/>
      <c r="F2" s="590"/>
      <c r="G2" s="590"/>
      <c r="H2" s="590"/>
      <c r="I2" s="590"/>
      <c r="J2" s="590"/>
      <c r="K2" s="590"/>
      <c r="L2" s="590"/>
      <c r="M2" s="590"/>
      <c r="N2" s="592"/>
      <c r="O2" s="593"/>
      <c r="P2" s="593"/>
      <c r="Q2" s="593"/>
      <c r="R2" s="593"/>
      <c r="S2" s="593"/>
      <c r="T2" s="593"/>
      <c r="U2" s="593"/>
      <c r="V2" s="593"/>
      <c r="W2" s="593"/>
      <c r="X2" s="594"/>
      <c r="Y2" s="591"/>
      <c r="Z2" s="591"/>
      <c r="AA2" s="591"/>
      <c r="AB2" s="591"/>
      <c r="AC2" s="591"/>
      <c r="AD2" s="591"/>
      <c r="AE2" s="591"/>
      <c r="AF2" s="591"/>
      <c r="AG2" s="591"/>
      <c r="AH2" s="591"/>
      <c r="AI2" s="591"/>
    </row>
    <row r="3" spans="2:77" ht="12" customHeight="1">
      <c r="B3" s="590"/>
      <c r="C3" s="590"/>
      <c r="D3" s="590"/>
      <c r="E3" s="590"/>
      <c r="F3" s="590"/>
      <c r="G3" s="590"/>
      <c r="H3" s="590"/>
      <c r="I3" s="590"/>
      <c r="J3" s="590"/>
      <c r="K3" s="590"/>
      <c r="L3" s="590"/>
      <c r="M3" s="590"/>
      <c r="N3" s="592"/>
      <c r="O3" s="593"/>
      <c r="P3" s="593"/>
      <c r="Q3" s="593"/>
      <c r="R3" s="593"/>
      <c r="S3" s="593"/>
      <c r="T3" s="593"/>
      <c r="U3" s="593"/>
      <c r="V3" s="593"/>
      <c r="W3" s="593"/>
      <c r="X3" s="594"/>
      <c r="Y3" s="591"/>
      <c r="Z3" s="591"/>
      <c r="AA3" s="591"/>
      <c r="AB3" s="591"/>
      <c r="AC3" s="591"/>
      <c r="AD3" s="591"/>
      <c r="AE3" s="591"/>
      <c r="AF3" s="591"/>
      <c r="AG3" s="591"/>
      <c r="AH3" s="591"/>
      <c r="AI3" s="591"/>
    </row>
    <row r="4" spans="2:77" ht="27" customHeight="1">
      <c r="B4" s="590"/>
      <c r="C4" s="590"/>
      <c r="D4" s="590"/>
      <c r="E4" s="590"/>
      <c r="F4" s="590"/>
      <c r="G4" s="590"/>
      <c r="H4" s="590"/>
      <c r="I4" s="590"/>
      <c r="J4" s="590"/>
      <c r="K4" s="590"/>
      <c r="L4" s="590"/>
      <c r="M4" s="590"/>
      <c r="N4" s="595"/>
      <c r="O4" s="596"/>
      <c r="P4" s="596"/>
      <c r="Q4" s="596"/>
      <c r="R4" s="596"/>
      <c r="S4" s="596"/>
      <c r="T4" s="596"/>
      <c r="U4" s="596"/>
      <c r="V4" s="596"/>
      <c r="W4" s="596"/>
      <c r="X4" s="597"/>
      <c r="Y4" s="591"/>
      <c r="Z4" s="591"/>
      <c r="AA4" s="591"/>
      <c r="AB4" s="591"/>
      <c r="AC4" s="591"/>
      <c r="AD4" s="591"/>
      <c r="AE4" s="591"/>
      <c r="AF4" s="591"/>
      <c r="AG4" s="591"/>
      <c r="AH4" s="591"/>
      <c r="AI4" s="591"/>
    </row>
    <row r="5" spans="2:77" ht="39.950000000000003" customHeight="1">
      <c r="B5" s="574" t="s">
        <v>185</v>
      </c>
      <c r="C5" s="574"/>
      <c r="D5" s="574"/>
      <c r="E5" s="574" t="s">
        <v>114</v>
      </c>
      <c r="F5" s="574"/>
      <c r="G5" s="574" t="s">
        <v>623</v>
      </c>
      <c r="H5" s="574"/>
      <c r="I5" s="574"/>
      <c r="J5" s="574"/>
      <c r="K5" s="574" t="s">
        <v>113</v>
      </c>
      <c r="L5" s="574"/>
      <c r="M5" s="574"/>
      <c r="N5" s="574"/>
      <c r="O5" s="574"/>
      <c r="P5" s="574"/>
      <c r="Q5" s="574"/>
      <c r="R5" s="574" t="s">
        <v>902</v>
      </c>
      <c r="S5" s="574"/>
      <c r="T5" s="574"/>
      <c r="U5" s="574"/>
      <c r="V5" s="574"/>
      <c r="W5" s="574"/>
      <c r="X5" s="575" t="s">
        <v>115</v>
      </c>
      <c r="Y5" s="575"/>
      <c r="Z5" s="576" t="s">
        <v>110</v>
      </c>
      <c r="AA5" s="576"/>
      <c r="AB5" s="576"/>
      <c r="AC5" s="576"/>
      <c r="AD5" s="576"/>
      <c r="AE5" s="576"/>
      <c r="AF5" s="552" t="s">
        <v>357</v>
      </c>
      <c r="AG5" s="553"/>
      <c r="AH5" s="553"/>
      <c r="AI5" s="336" t="s">
        <v>680</v>
      </c>
    </row>
    <row r="6" spans="2:77" ht="39.950000000000003" customHeight="1">
      <c r="B6" s="570"/>
      <c r="C6" s="571"/>
      <c r="D6" s="571"/>
      <c r="E6" s="572" t="str">
        <f>'2TEKLF'!E8</f>
        <v>Z 5001</v>
      </c>
      <c r="F6" s="572"/>
      <c r="G6" s="573" t="str">
        <f>'2TEKLF'!D11</f>
        <v>GÜNEŞ PEN</v>
      </c>
      <c r="H6" s="573"/>
      <c r="I6" s="573"/>
      <c r="J6" s="573"/>
      <c r="K6" s="561" t="str">
        <f>'2TEKLF'!M8</f>
        <v>GÜRKAN BEY</v>
      </c>
      <c r="L6" s="562"/>
      <c r="M6" s="562"/>
      <c r="N6" s="562"/>
      <c r="O6" s="562"/>
      <c r="P6" s="562"/>
      <c r="Q6" s="563"/>
      <c r="R6" s="564" t="str">
        <f>'2TEKLF'!K8</f>
        <v>CEREN ÖZYURT</v>
      </c>
      <c r="S6" s="564"/>
      <c r="T6" s="564"/>
      <c r="U6" s="564"/>
      <c r="V6" s="564"/>
      <c r="W6" s="564"/>
      <c r="X6" s="569" t="str">
        <f>'1PROJE'!H3</f>
        <v>ALTAN AYDINLAR</v>
      </c>
      <c r="Y6" s="569"/>
      <c r="Z6" s="577">
        <f ca="1">TODAY()</f>
        <v>46024</v>
      </c>
      <c r="AA6" s="578"/>
      <c r="AB6" s="578"/>
      <c r="AC6" s="578"/>
      <c r="AD6" s="578"/>
      <c r="AE6" s="579"/>
      <c r="AF6" s="541">
        <f>'2TEKLF'!M14</f>
        <v>1</v>
      </c>
      <c r="AG6" s="542"/>
      <c r="AH6" s="542"/>
      <c r="AI6" s="327">
        <f>'Poz Reçete'!K824</f>
        <v>22.288044240000001</v>
      </c>
    </row>
    <row r="7" spans="2:77" ht="30" customHeight="1">
      <c r="B7" s="554" t="s">
        <v>342</v>
      </c>
      <c r="C7" s="555"/>
      <c r="D7" s="555"/>
      <c r="E7" s="555"/>
      <c r="F7" s="556"/>
      <c r="G7" s="554" t="s">
        <v>892</v>
      </c>
      <c r="H7" s="555"/>
      <c r="I7" s="555"/>
      <c r="J7" s="556"/>
      <c r="K7" s="554" t="s">
        <v>1060</v>
      </c>
      <c r="L7" s="555"/>
      <c r="M7" s="555"/>
      <c r="N7" s="555"/>
      <c r="O7" s="555"/>
      <c r="P7" s="555"/>
      <c r="Q7" s="556"/>
      <c r="R7" s="554" t="s">
        <v>893</v>
      </c>
      <c r="S7" s="555"/>
      <c r="T7" s="555"/>
      <c r="U7" s="555"/>
      <c r="V7" s="555"/>
      <c r="W7" s="556"/>
      <c r="X7" s="554" t="s">
        <v>884</v>
      </c>
      <c r="Y7" s="556"/>
      <c r="Z7" s="580" t="s">
        <v>890</v>
      </c>
      <c r="AA7" s="581"/>
      <c r="AB7" s="581"/>
      <c r="AC7" s="581"/>
      <c r="AD7" s="581"/>
      <c r="AE7" s="582"/>
      <c r="AF7" s="580" t="s">
        <v>891</v>
      </c>
      <c r="AG7" s="581"/>
      <c r="AH7" s="581"/>
      <c r="AI7" s="582"/>
    </row>
    <row r="8" spans="2:77" ht="39.950000000000003" customHeight="1">
      <c r="B8" s="557" t="s">
        <v>340</v>
      </c>
      <c r="C8" s="558"/>
      <c r="D8" s="558"/>
      <c r="E8" s="558"/>
      <c r="F8" s="559"/>
      <c r="G8" s="560"/>
      <c r="H8" s="560"/>
      <c r="I8" s="560"/>
      <c r="J8" s="560"/>
      <c r="K8" s="561"/>
      <c r="L8" s="562"/>
      <c r="M8" s="562"/>
      <c r="N8" s="562"/>
      <c r="O8" s="562"/>
      <c r="P8" s="562"/>
      <c r="Q8" s="563"/>
      <c r="R8" s="564"/>
      <c r="S8" s="564"/>
      <c r="T8" s="564"/>
      <c r="U8" s="564"/>
      <c r="V8" s="564"/>
      <c r="W8" s="564"/>
      <c r="X8" s="565" t="str">
        <f>'1PROJE'!C3</f>
        <v>ULUKENT</v>
      </c>
      <c r="Y8" s="565"/>
      <c r="Z8" s="566">
        <f>(F27*C11+X27*U11+F47*C31+X47*U31+F67*C51+X67*U51+F87*C71+X87*U71+F110*C94+X110*U94+F130*C114+X130*U114+F150*C134+X150*U134+F170*C154+X170*U154+F191*C175+X191*U175+F211*C195+X211*U195)/1000</f>
        <v>1.2</v>
      </c>
      <c r="AA8" s="567"/>
      <c r="AB8" s="567"/>
      <c r="AC8" s="567"/>
      <c r="AD8" s="567"/>
      <c r="AE8" s="568"/>
      <c r="AF8" s="566">
        <f>(F27*C16*C11+X27*U16*U11+F47*C37*C31+X47*U37*U31+F67*C57*C51+X67*U57*U51+F87*C77*C71+X87*U77*U71+F110*C100*C94+X110*U100*U94+F130*C120*C114+X130*U120*U114+F150*C140*C134+X150*U140*U134+F170*C160*C154+X170*U160*U154+F191*C181*C175+X191*U181*U175+F211*C201*C195+X211*U201*U195)/1000000</f>
        <v>2.91</v>
      </c>
      <c r="AG8" s="567"/>
      <c r="AH8" s="567"/>
      <c r="AI8" s="568"/>
    </row>
    <row r="9" spans="2:77" ht="15" customHeight="1">
      <c r="B9" s="290"/>
      <c r="C9" s="290"/>
      <c r="D9" s="290"/>
      <c r="E9" s="291"/>
      <c r="F9" s="291"/>
      <c r="G9" s="292"/>
      <c r="H9" s="292"/>
      <c r="I9" s="292"/>
      <c r="J9" s="292"/>
      <c r="K9" s="292"/>
      <c r="L9" s="292"/>
      <c r="M9" s="292"/>
      <c r="N9" s="292"/>
      <c r="O9" s="292"/>
      <c r="P9" s="292"/>
      <c r="Q9" s="292"/>
      <c r="R9" s="293"/>
      <c r="S9" s="293"/>
      <c r="T9" s="293"/>
      <c r="U9" s="293"/>
      <c r="V9" s="293"/>
      <c r="W9" s="293"/>
      <c r="X9" s="294"/>
      <c r="Y9" s="294"/>
      <c r="Z9" s="295"/>
      <c r="AA9" s="296"/>
      <c r="AB9" s="296"/>
      <c r="AC9" s="296"/>
      <c r="AD9" s="296"/>
      <c r="AE9" s="296"/>
      <c r="AF9" s="297"/>
      <c r="AG9" s="297"/>
      <c r="AH9" s="297"/>
      <c r="AI9" s="297"/>
    </row>
    <row r="10" spans="2:77" ht="23.1" customHeight="1">
      <c r="B10" s="289" t="s">
        <v>823</v>
      </c>
      <c r="C10" s="299">
        <f>'1PROJE'!B7</f>
        <v>1</v>
      </c>
      <c r="D10" s="544" t="str">
        <f>'1PROJE'!C7</f>
        <v>Zipline® Neo 110 Wawe (Dikey)</v>
      </c>
      <c r="E10" s="545"/>
      <c r="F10" s="545"/>
      <c r="G10" s="545"/>
      <c r="H10" s="545"/>
      <c r="I10" s="545"/>
      <c r="J10" s="546"/>
      <c r="K10" s="124"/>
      <c r="L10" s="124"/>
      <c r="M10" s="125"/>
      <c r="N10" s="125"/>
      <c r="O10" s="125"/>
      <c r="P10" s="124"/>
      <c r="Q10" s="124"/>
      <c r="T10" s="289" t="s">
        <v>823</v>
      </c>
      <c r="U10" s="299">
        <f>'1PROJE'!B8</f>
        <v>2</v>
      </c>
      <c r="V10" s="544">
        <f>'1PROJE'!C8</f>
        <v>0</v>
      </c>
      <c r="W10" s="545"/>
      <c r="X10" s="545"/>
      <c r="Y10" s="545"/>
      <c r="Z10" s="545"/>
      <c r="AA10" s="545"/>
      <c r="AB10" s="546"/>
      <c r="AC10" s="124"/>
      <c r="AD10" s="124"/>
      <c r="AE10" s="125"/>
      <c r="AF10" s="125"/>
      <c r="AG10" s="125"/>
      <c r="AH10" s="125"/>
      <c r="AI10" s="125"/>
      <c r="BL10" s="591" t="s">
        <v>796</v>
      </c>
      <c r="BM10" s="591"/>
      <c r="BN10" s="591"/>
      <c r="BO10" s="591"/>
      <c r="BP10" s="591"/>
      <c r="BQ10" s="591"/>
      <c r="BR10" s="591"/>
      <c r="BS10" s="591"/>
      <c r="BT10" s="591"/>
      <c r="BU10" s="591"/>
      <c r="BV10" s="591"/>
      <c r="BW10" s="591"/>
      <c r="BX10" s="591"/>
      <c r="BY10" s="591"/>
    </row>
    <row r="11" spans="2:77" ht="39.950000000000003" customHeight="1">
      <c r="B11" s="90"/>
      <c r="C11" s="316">
        <f>'1PROJE'!D7</f>
        <v>1</v>
      </c>
      <c r="D11" s="584" t="s">
        <v>357</v>
      </c>
      <c r="E11" s="584"/>
      <c r="F11" s="585" t="s">
        <v>365</v>
      </c>
      <c r="G11" s="585"/>
      <c r="H11" s="92"/>
      <c r="J11" s="320" t="str">
        <f>IF('1PROJE'!T7="", "", '1PROJE'!T7)</f>
        <v/>
      </c>
      <c r="M11" s="532" t="s">
        <v>799</v>
      </c>
      <c r="N11" s="532"/>
      <c r="O11" s="532"/>
      <c r="P11" s="523">
        <f>F27+HLOOKUP(D10,$BL$13:$BY$17,2,0)</f>
        <v>1192</v>
      </c>
      <c r="Q11" s="523"/>
      <c r="T11" s="90"/>
      <c r="U11" s="316">
        <f>'1PROJE'!D8</f>
        <v>0</v>
      </c>
      <c r="V11" s="584" t="s">
        <v>357</v>
      </c>
      <c r="W11" s="584"/>
      <c r="X11" s="585" t="s">
        <v>365</v>
      </c>
      <c r="Y11" s="585"/>
      <c r="Z11" s="92"/>
      <c r="AB11" s="320" t="str">
        <f>IF('1PROJE'!T8="", "", '1PROJE'!T8)</f>
        <v/>
      </c>
      <c r="AE11" s="532" t="s">
        <v>799</v>
      </c>
      <c r="AF11" s="532"/>
      <c r="AG11" s="532"/>
      <c r="AH11" s="533" t="e">
        <f>X27+HLOOKUP(V10,$BL$13:$BY$17,2,0)</f>
        <v>#N/A</v>
      </c>
      <c r="AI11" s="533"/>
    </row>
    <row r="12" spans="2:77" ht="20.100000000000001" customHeight="1" thickBot="1">
      <c r="B12" s="94"/>
      <c r="C12" s="95"/>
      <c r="E12" s="613">
        <f>'1PROJE'!M7</f>
        <v>0</v>
      </c>
      <c r="F12" s="613"/>
      <c r="G12" s="613"/>
      <c r="H12" s="96"/>
      <c r="J12" s="93"/>
      <c r="M12" s="97"/>
      <c r="N12" s="97"/>
      <c r="O12" s="97"/>
      <c r="P12" s="126"/>
      <c r="Q12" s="126"/>
      <c r="T12" s="94"/>
      <c r="U12" s="95"/>
      <c r="W12" s="551">
        <f>'1PROJE'!M8</f>
        <v>0</v>
      </c>
      <c r="X12" s="551"/>
      <c r="Y12" s="551"/>
      <c r="Z12" s="96"/>
      <c r="AB12" s="93"/>
      <c r="AE12" s="98"/>
      <c r="AF12" s="98"/>
      <c r="AG12" s="98"/>
      <c r="AH12" s="127"/>
      <c r="AI12" s="127"/>
    </row>
    <row r="13" spans="2:77" ht="39.950000000000003" customHeight="1" thickBot="1">
      <c r="B13" s="94"/>
      <c r="C13" s="598" t="s">
        <v>850</v>
      </c>
      <c r="D13" s="99"/>
      <c r="E13" s="319" t="str">
        <f>IF(OR(E12="DIŞTAN BAKIŞ SOL",E12="İÇTEN BAKIŞ SAĞ"),"M","")</f>
        <v/>
      </c>
      <c r="F13" s="317">
        <f>VLOOKUP('1PROJE'!C7,'x Açılır Listeler'!A2:B15,2,0)</f>
        <v>110</v>
      </c>
      <c r="G13" s="318" t="str">
        <f>IF(OR(E12="DIŞTAN BAKIŞ SAĞ",E12="İÇTEN BAKIŞ SOL"),"M","")</f>
        <v/>
      </c>
      <c r="H13" s="100"/>
      <c r="J13" s="315" t="s">
        <v>368</v>
      </c>
      <c r="M13" s="532" t="s">
        <v>800</v>
      </c>
      <c r="N13" s="532"/>
      <c r="O13" s="532"/>
      <c r="P13" s="533">
        <f>C16+HLOOKUP(D10,$BL$13:$BY$17,3,0)</f>
        <v>2310</v>
      </c>
      <c r="Q13" s="533"/>
      <c r="T13" s="94"/>
      <c r="U13" s="598" t="s">
        <v>850</v>
      </c>
      <c r="V13" s="99"/>
      <c r="W13" s="319" t="str">
        <f>IF(OR(W12="DIŞTAN BAKIŞ SOL",W12="İÇTEN BAKIŞ SAĞ"),"M","")</f>
        <v/>
      </c>
      <c r="X13" s="317" t="e">
        <f>VLOOKUP('1PROJE'!C8,'x Açılır Listeler'!$A$2:$B$15,2,0)</f>
        <v>#N/A</v>
      </c>
      <c r="Y13" s="318" t="str">
        <f>IF(OR(W12="DIŞTAN BAKIŞ SAĞ",W12="İÇTEN BAKIŞ SOL"),"M","")</f>
        <v/>
      </c>
      <c r="Z13" s="100"/>
      <c r="AB13" s="315" t="s">
        <v>368</v>
      </c>
      <c r="AE13" s="532" t="s">
        <v>800</v>
      </c>
      <c r="AF13" s="532"/>
      <c r="AG13" s="532"/>
      <c r="AH13" s="533" t="e">
        <f>U16+HLOOKUP(V10,$BL$13:$BY$17,3,0)</f>
        <v>#N/A</v>
      </c>
      <c r="AI13" s="533"/>
      <c r="BL13" s="217" t="s">
        <v>123</v>
      </c>
      <c r="BM13" s="217" t="s">
        <v>124</v>
      </c>
      <c r="BN13" s="217" t="s">
        <v>125</v>
      </c>
      <c r="BO13" s="217" t="s">
        <v>128</v>
      </c>
      <c r="BP13" s="217" t="s">
        <v>120</v>
      </c>
      <c r="BQ13" s="217" t="s">
        <v>121</v>
      </c>
      <c r="BR13" s="217" t="s">
        <v>122</v>
      </c>
      <c r="BS13" s="217" t="s">
        <v>126</v>
      </c>
      <c r="BT13" s="217" t="s">
        <v>624</v>
      </c>
      <c r="BU13" s="217" t="s">
        <v>625</v>
      </c>
      <c r="BV13" s="217" t="s">
        <v>626</v>
      </c>
      <c r="BW13" s="217" t="s">
        <v>627</v>
      </c>
      <c r="BX13" s="217" t="s">
        <v>628</v>
      </c>
      <c r="BY13" s="217" t="s">
        <v>629</v>
      </c>
    </row>
    <row r="14" spans="2:77" ht="12.95" customHeight="1">
      <c r="B14" s="94"/>
      <c r="C14" s="598"/>
      <c r="D14" s="102"/>
      <c r="H14" s="103"/>
      <c r="J14" s="534">
        <f>'1PROJE'!H7</f>
        <v>7016</v>
      </c>
      <c r="K14" s="104"/>
      <c r="M14" s="97"/>
      <c r="N14" s="97"/>
      <c r="O14" s="97"/>
      <c r="P14" s="126"/>
      <c r="Q14" s="126"/>
      <c r="T14" s="94"/>
      <c r="U14" s="598"/>
      <c r="V14" s="102"/>
      <c r="Z14" s="103"/>
      <c r="AB14" s="534">
        <f>'1PROJE'!H8</f>
        <v>0</v>
      </c>
      <c r="AC14" s="104"/>
      <c r="AE14" s="98"/>
      <c r="AF14" s="98"/>
      <c r="AG14" s="98"/>
      <c r="AH14" s="127"/>
      <c r="AI14" s="127"/>
      <c r="BK14" s="87" t="s">
        <v>684</v>
      </c>
      <c r="BL14" s="98">
        <f>'x Malzemeler ve Özellikleri'!U62</f>
        <v>-8</v>
      </c>
      <c r="BM14" s="98">
        <f>BL14</f>
        <v>-8</v>
      </c>
      <c r="BN14" s="98">
        <f>BL14</f>
        <v>-8</v>
      </c>
      <c r="BO14" s="98"/>
      <c r="BP14" s="98">
        <f>'x Malzemeler ve Özellikleri'!U38</f>
        <v>-8</v>
      </c>
      <c r="BQ14" s="98">
        <f>BP14</f>
        <v>-8</v>
      </c>
      <c r="BR14" s="98">
        <f>BP14</f>
        <v>-8</v>
      </c>
      <c r="BS14" s="98">
        <f>'x Malzemeler ve Özellikleri'!U2</f>
        <v>-15</v>
      </c>
      <c r="BT14" s="98">
        <f>'x Malzemeler ve Özellikleri'!U87</f>
        <v>-8</v>
      </c>
      <c r="BU14" s="98">
        <f>BT14</f>
        <v>-8</v>
      </c>
      <c r="BV14" s="98">
        <f>BT14</f>
        <v>-8</v>
      </c>
      <c r="BW14" s="98">
        <f>'x Malzemeler ve Özellikleri'!U115</f>
        <v>-8</v>
      </c>
      <c r="BX14" s="98">
        <f>BW14</f>
        <v>-8</v>
      </c>
      <c r="BY14" s="98">
        <f>BW14</f>
        <v>-8</v>
      </c>
    </row>
    <row r="15" spans="2:77" ht="20.100000000000001" customHeight="1">
      <c r="B15" s="94"/>
      <c r="C15" s="598"/>
      <c r="D15" s="105"/>
      <c r="E15" s="599" t="str">
        <f>'1PROJE'!I7</f>
        <v>COPACO</v>
      </c>
      <c r="F15" s="600"/>
      <c r="G15" s="601"/>
      <c r="H15" s="106"/>
      <c r="J15" s="534"/>
      <c r="K15" s="104"/>
      <c r="M15" s="602" t="s">
        <v>801</v>
      </c>
      <c r="N15" s="602"/>
      <c r="O15" s="602"/>
      <c r="P15" s="533">
        <f>F27+HLOOKUP(D10,$BL$13:$BY$17,4,0)</f>
        <v>1088</v>
      </c>
      <c r="Q15" s="533"/>
      <c r="T15" s="94"/>
      <c r="U15" s="598"/>
      <c r="V15" s="105"/>
      <c r="W15" s="586">
        <f>'1PROJE'!I8</f>
        <v>0</v>
      </c>
      <c r="X15" s="587"/>
      <c r="Y15" s="588"/>
      <c r="Z15" s="106"/>
      <c r="AB15" s="534"/>
      <c r="AC15" s="104"/>
      <c r="AE15" s="602" t="s">
        <v>801</v>
      </c>
      <c r="AF15" s="602"/>
      <c r="AG15" s="602"/>
      <c r="AH15" s="603" t="e">
        <f>X27+HLOOKUP(V10,$BL$13:$BY$17,4,0)</f>
        <v>#N/A</v>
      </c>
      <c r="AI15" s="604"/>
      <c r="BK15" s="87" t="s">
        <v>28</v>
      </c>
      <c r="BL15" s="98">
        <f>'x Malzemeler ve Özellikleri'!U81</f>
        <v>-115</v>
      </c>
      <c r="BM15" s="98">
        <f t="shared" ref="BM15:BM17" si="0">BL15</f>
        <v>-115</v>
      </c>
      <c r="BN15" s="98">
        <f t="shared" ref="BN15:BN17" si="1">BL15</f>
        <v>-115</v>
      </c>
      <c r="BO15" s="98"/>
      <c r="BP15" s="98">
        <f>'x Malzemeler ve Özellikleri'!U55</f>
        <v>-108</v>
      </c>
      <c r="BQ15" s="98">
        <f t="shared" ref="BQ15:BQ17" si="2">BP15</f>
        <v>-108</v>
      </c>
      <c r="BR15" s="98">
        <f t="shared" ref="BR15:BR17" si="3">BP15</f>
        <v>-108</v>
      </c>
      <c r="BS15" s="98">
        <f>'x Malzemeler ve Özellikleri'!U6</f>
        <v>-210</v>
      </c>
      <c r="BT15" s="98">
        <f>'x Malzemeler ve Özellikleri'!U105</f>
        <v>-115</v>
      </c>
      <c r="BU15" s="98">
        <f t="shared" ref="BU15:BU17" si="4">BT15</f>
        <v>-115</v>
      </c>
      <c r="BV15" s="98">
        <f t="shared" ref="BV15:BV17" si="5">BT15</f>
        <v>-115</v>
      </c>
      <c r="BW15" s="98" t="s">
        <v>616</v>
      </c>
      <c r="BX15" s="98" t="str">
        <f t="shared" ref="BX15:BX17" si="6">BW15</f>
        <v>YOK</v>
      </c>
      <c r="BY15" s="98" t="str">
        <f t="shared" ref="BY15:BY17" si="7">BW15</f>
        <v>YOK</v>
      </c>
    </row>
    <row r="16" spans="2:77" ht="20.100000000000001" customHeight="1">
      <c r="B16" s="90"/>
      <c r="C16" s="543">
        <f>xHesaplama!Y27</f>
        <v>2425</v>
      </c>
      <c r="D16" s="105"/>
      <c r="E16" s="599"/>
      <c r="F16" s="600"/>
      <c r="G16" s="601"/>
      <c r="H16" s="107"/>
      <c r="J16" s="534"/>
      <c r="K16" s="109"/>
      <c r="M16" s="602"/>
      <c r="N16" s="602"/>
      <c r="O16" s="602"/>
      <c r="P16" s="533"/>
      <c r="Q16" s="533"/>
      <c r="T16" s="90"/>
      <c r="U16" s="543">
        <f>xHesaplama!Y28</f>
        <v>0</v>
      </c>
      <c r="V16" s="105"/>
      <c r="W16" s="586"/>
      <c r="X16" s="587"/>
      <c r="Y16" s="588"/>
      <c r="Z16" s="107"/>
      <c r="AB16" s="534"/>
      <c r="AC16" s="109"/>
      <c r="AE16" s="602"/>
      <c r="AF16" s="602"/>
      <c r="AG16" s="602"/>
      <c r="AH16" s="605"/>
      <c r="AI16" s="606"/>
      <c r="BK16" s="87" t="s">
        <v>685</v>
      </c>
      <c r="BL16" s="98">
        <f>'x Malzemeler ve Özellikleri'!U78</f>
        <v>-112</v>
      </c>
      <c r="BM16" s="98">
        <f t="shared" si="0"/>
        <v>-112</v>
      </c>
      <c r="BN16" s="98">
        <f t="shared" si="1"/>
        <v>-112</v>
      </c>
      <c r="BO16" s="98"/>
      <c r="BP16" s="98">
        <f>'x Malzemeler ve Özellikleri'!U49</f>
        <v>-122</v>
      </c>
      <c r="BQ16" s="98">
        <f t="shared" si="2"/>
        <v>-122</v>
      </c>
      <c r="BR16" s="98">
        <f t="shared" si="3"/>
        <v>-122</v>
      </c>
      <c r="BS16" s="98">
        <f>'x Malzemeler ve Özellikleri'!U4</f>
        <v>-155</v>
      </c>
      <c r="BT16" s="98">
        <f>'x Malzemeler ve Özellikleri'!U102</f>
        <v>-112</v>
      </c>
      <c r="BU16" s="98">
        <f t="shared" si="4"/>
        <v>-112</v>
      </c>
      <c r="BV16" s="98">
        <f t="shared" si="5"/>
        <v>-112</v>
      </c>
      <c r="BW16" s="98">
        <f>'x Malzemeler ve Özellikleri'!U127</f>
        <v>-55</v>
      </c>
      <c r="BX16" s="98">
        <f t="shared" si="6"/>
        <v>-55</v>
      </c>
      <c r="BY16" s="98">
        <f t="shared" si="7"/>
        <v>-55</v>
      </c>
    </row>
    <row r="17" spans="2:77" ht="12.95" customHeight="1">
      <c r="B17" s="94"/>
      <c r="C17" s="543"/>
      <c r="D17" s="105"/>
      <c r="E17" s="599"/>
      <c r="F17" s="600"/>
      <c r="G17" s="601"/>
      <c r="H17" s="107"/>
      <c r="J17" s="314" t="s">
        <v>366</v>
      </c>
      <c r="K17" s="111"/>
      <c r="M17" s="97"/>
      <c r="N17" s="97"/>
      <c r="O17" s="97"/>
      <c r="P17" s="126"/>
      <c r="Q17" s="126"/>
      <c r="T17" s="94"/>
      <c r="U17" s="543"/>
      <c r="V17" s="105"/>
      <c r="W17" s="586"/>
      <c r="X17" s="587"/>
      <c r="Y17" s="588"/>
      <c r="Z17" s="107"/>
      <c r="AB17" s="314" t="s">
        <v>366</v>
      </c>
      <c r="AC17" s="111"/>
      <c r="AE17" s="98"/>
      <c r="AF17" s="98"/>
      <c r="AG17" s="98"/>
      <c r="AH17" s="127"/>
      <c r="AI17" s="127"/>
      <c r="BK17" s="87" t="s">
        <v>29</v>
      </c>
      <c r="BL17" s="98">
        <f>'x Malzemeler ve Özellikleri'!U66</f>
        <v>-108</v>
      </c>
      <c r="BM17" s="98">
        <f t="shared" si="0"/>
        <v>-108</v>
      </c>
      <c r="BN17" s="98">
        <f t="shared" si="1"/>
        <v>-108</v>
      </c>
      <c r="BO17" s="98"/>
      <c r="BP17" s="98">
        <f>'x Malzemeler ve Özellikleri'!U43</f>
        <v>-120</v>
      </c>
      <c r="BQ17" s="98">
        <f t="shared" si="2"/>
        <v>-120</v>
      </c>
      <c r="BR17" s="98">
        <f t="shared" si="3"/>
        <v>-120</v>
      </c>
      <c r="BS17" s="98">
        <f>'x Malzemeler ve Özellikleri'!U7</f>
        <v>-183</v>
      </c>
      <c r="BT17" s="98">
        <f>'x Malzemeler ve Özellikleri'!U92</f>
        <v>-108</v>
      </c>
      <c r="BU17" s="98">
        <f t="shared" si="4"/>
        <v>-108</v>
      </c>
      <c r="BV17" s="98">
        <f t="shared" si="5"/>
        <v>-108</v>
      </c>
      <c r="BW17" s="98">
        <f>'x Malzemeler ve Özellikleri'!U119</f>
        <v>-105</v>
      </c>
      <c r="BX17" s="98">
        <f t="shared" si="6"/>
        <v>-105</v>
      </c>
      <c r="BY17" s="98">
        <f t="shared" si="7"/>
        <v>-105</v>
      </c>
    </row>
    <row r="18" spans="2:77" ht="20.100000000000001" customHeight="1">
      <c r="B18" s="94"/>
      <c r="C18" s="543"/>
      <c r="D18" s="105"/>
      <c r="F18" s="313">
        <f>'1PROJE'!K7</f>
        <v>0</v>
      </c>
      <c r="H18" s="112"/>
      <c r="J18" s="547" t="str">
        <f>'1PROJE'!L7</f>
        <v>FERRINI ALICILI - 20NM</v>
      </c>
      <c r="M18" s="532" t="s">
        <v>802</v>
      </c>
      <c r="N18" s="532"/>
      <c r="O18" s="532"/>
      <c r="P18" s="533">
        <f>F27+HLOOKUP(D10,$BL$13:$BY$17,5,0)</f>
        <v>1092</v>
      </c>
      <c r="Q18" s="533"/>
      <c r="T18" s="94"/>
      <c r="U18" s="543"/>
      <c r="V18" s="105"/>
      <c r="X18" s="313">
        <f>'1PROJE'!K8</f>
        <v>0</v>
      </c>
      <c r="Z18" s="112"/>
      <c r="AB18" s="547">
        <f>'1PROJE'!L8</f>
        <v>0</v>
      </c>
      <c r="AE18" s="607" t="s">
        <v>802</v>
      </c>
      <c r="AF18" s="608"/>
      <c r="AG18" s="609"/>
      <c r="AH18" s="603" t="e">
        <f>X27+HLOOKUP(V10,$BL$13:$BY$17,5,0)</f>
        <v>#N/A</v>
      </c>
      <c r="AI18" s="604"/>
      <c r="BK18" s="87" t="s">
        <v>797</v>
      </c>
      <c r="BL18" s="98">
        <v>-70</v>
      </c>
      <c r="BM18" s="98">
        <f>BL18</f>
        <v>-70</v>
      </c>
      <c r="BN18" s="98">
        <f>BL18</f>
        <v>-70</v>
      </c>
      <c r="BO18" s="98"/>
      <c r="BP18" s="98">
        <v>-82</v>
      </c>
      <c r="BQ18" s="98">
        <f>BP18</f>
        <v>-82</v>
      </c>
      <c r="BR18" s="98">
        <f>BP18</f>
        <v>-82</v>
      </c>
      <c r="BS18" s="98">
        <v>-115</v>
      </c>
      <c r="BT18" s="98">
        <f t="shared" ref="BT18:BV19" si="8">BL18</f>
        <v>-70</v>
      </c>
      <c r="BU18" s="98">
        <f t="shared" si="8"/>
        <v>-70</v>
      </c>
      <c r="BV18" s="98">
        <f t="shared" si="8"/>
        <v>-70</v>
      </c>
      <c r="BW18" s="98">
        <f>BW16</f>
        <v>-55</v>
      </c>
      <c r="BX18" s="98">
        <f t="shared" ref="BX18:BY18" si="9">BX16</f>
        <v>-55</v>
      </c>
      <c r="BY18" s="98">
        <f t="shared" si="9"/>
        <v>-55</v>
      </c>
    </row>
    <row r="19" spans="2:77" ht="20.100000000000001" customHeight="1">
      <c r="B19" s="94"/>
      <c r="C19" s="543"/>
      <c r="D19" s="105"/>
      <c r="E19" s="113"/>
      <c r="F19" s="312" t="str">
        <f>IF('1PROJE'!P7="VAR","BASKI"&amp;" "&amp;'1PROJE'!P7,"")</f>
        <v/>
      </c>
      <c r="G19" s="310"/>
      <c r="H19" s="106"/>
      <c r="J19" s="547"/>
      <c r="K19" s="104"/>
      <c r="M19" s="532"/>
      <c r="N19" s="532"/>
      <c r="O19" s="532"/>
      <c r="P19" s="533"/>
      <c r="Q19" s="533"/>
      <c r="T19" s="94"/>
      <c r="U19" s="543"/>
      <c r="V19" s="105"/>
      <c r="W19" s="113"/>
      <c r="X19" s="312" t="str">
        <f>IF('1PROJE'!P8="VAR","BASKI"&amp;" "&amp;'1PROJE'!P8,"")</f>
        <v/>
      </c>
      <c r="Y19" s="114"/>
      <c r="Z19" s="106"/>
      <c r="AB19" s="547"/>
      <c r="AC19" s="104"/>
      <c r="AE19" s="610"/>
      <c r="AF19" s="611"/>
      <c r="AG19" s="612"/>
      <c r="AH19" s="605"/>
      <c r="AI19" s="606"/>
      <c r="BK19" s="87" t="s">
        <v>798</v>
      </c>
      <c r="BL19" s="98">
        <v>190</v>
      </c>
      <c r="BM19" s="98">
        <f>BL19</f>
        <v>190</v>
      </c>
      <c r="BN19" s="98">
        <f>BL19</f>
        <v>190</v>
      </c>
      <c r="BO19" s="98"/>
      <c r="BP19" s="98">
        <v>195</v>
      </c>
      <c r="BQ19" s="98">
        <f>BP19</f>
        <v>195</v>
      </c>
      <c r="BR19" s="98">
        <f>BP19</f>
        <v>195</v>
      </c>
      <c r="BS19" s="98">
        <v>150</v>
      </c>
      <c r="BT19" s="98">
        <f t="shared" si="8"/>
        <v>190</v>
      </c>
      <c r="BU19" s="98">
        <f t="shared" si="8"/>
        <v>190</v>
      </c>
      <c r="BV19" s="98">
        <f t="shared" si="8"/>
        <v>190</v>
      </c>
      <c r="BW19" s="98">
        <f>BL19</f>
        <v>190</v>
      </c>
      <c r="BX19" s="98">
        <f t="shared" ref="BX19:BY19" si="10">BM19</f>
        <v>190</v>
      </c>
      <c r="BY19" s="98">
        <f t="shared" si="10"/>
        <v>190</v>
      </c>
    </row>
    <row r="20" spans="2:77" ht="12.95" customHeight="1">
      <c r="B20" s="94"/>
      <c r="C20" s="502" t="s">
        <v>1061</v>
      </c>
      <c r="D20" s="105"/>
      <c r="E20" s="113"/>
      <c r="F20" s="507"/>
      <c r="G20" s="114"/>
      <c r="H20" s="115"/>
      <c r="J20" s="547"/>
      <c r="K20" s="116"/>
      <c r="M20" s="97"/>
      <c r="N20" s="97"/>
      <c r="O20" s="97"/>
      <c r="P20" s="127"/>
      <c r="Q20" s="127"/>
      <c r="T20" s="94"/>
      <c r="U20" s="502" t="s">
        <v>1062</v>
      </c>
      <c r="V20" s="105"/>
      <c r="W20" s="113"/>
      <c r="X20" s="507"/>
      <c r="Y20" s="114"/>
      <c r="Z20" s="115"/>
      <c r="AB20" s="547"/>
      <c r="AC20" s="116"/>
      <c r="AE20" s="98"/>
      <c r="AF20" s="98"/>
      <c r="AG20" s="98"/>
      <c r="AH20" s="127"/>
      <c r="AI20" s="127"/>
    </row>
    <row r="21" spans="2:77" ht="30" customHeight="1">
      <c r="B21" s="94"/>
      <c r="C21" s="502"/>
      <c r="D21" s="105"/>
      <c r="E21" s="113"/>
      <c r="F21" s="507"/>
      <c r="G21" s="114"/>
      <c r="H21" s="115"/>
      <c r="J21" s="547"/>
      <c r="K21" s="111"/>
      <c r="M21" s="524" t="s">
        <v>803</v>
      </c>
      <c r="N21" s="524"/>
      <c r="O21" s="524"/>
      <c r="P21" s="524"/>
      <c r="Q21" s="524"/>
      <c r="T21" s="94"/>
      <c r="U21" s="502"/>
      <c r="V21" s="105"/>
      <c r="W21" s="113"/>
      <c r="X21" s="507"/>
      <c r="Y21" s="114"/>
      <c r="Z21" s="115"/>
      <c r="AB21" s="547"/>
      <c r="AC21" s="111"/>
      <c r="AE21" s="524" t="s">
        <v>803</v>
      </c>
      <c r="AF21" s="524"/>
      <c r="AG21" s="524"/>
      <c r="AH21" s="524"/>
      <c r="AI21" s="524"/>
    </row>
    <row r="22" spans="2:77" ht="30" customHeight="1">
      <c r="B22" s="94"/>
      <c r="C22" s="502"/>
      <c r="D22" s="118"/>
      <c r="E22" s="113"/>
      <c r="F22" s="507"/>
      <c r="G22" s="114"/>
      <c r="H22" s="115"/>
      <c r="J22" s="314" t="s">
        <v>367</v>
      </c>
      <c r="K22" s="104"/>
      <c r="M22" s="525" t="s">
        <v>21</v>
      </c>
      <c r="N22" s="525"/>
      <c r="O22" s="525"/>
      <c r="P22" s="525"/>
      <c r="Q22" s="311" t="s">
        <v>22</v>
      </c>
      <c r="T22" s="94"/>
      <c r="U22" s="502"/>
      <c r="V22" s="118"/>
      <c r="W22" s="113"/>
      <c r="X22" s="507"/>
      <c r="Y22" s="114"/>
      <c r="Z22" s="115"/>
      <c r="AB22" s="314" t="s">
        <v>367</v>
      </c>
      <c r="AC22" s="104"/>
      <c r="AE22" s="525" t="s">
        <v>21</v>
      </c>
      <c r="AF22" s="525"/>
      <c r="AG22" s="525"/>
      <c r="AH22" s="525"/>
      <c r="AI22" s="311" t="s">
        <v>22</v>
      </c>
      <c r="AN22" s="220"/>
    </row>
    <row r="23" spans="2:77" s="98" customFormat="1" ht="39.950000000000003" customHeight="1" thickBot="1">
      <c r="B23" s="132"/>
      <c r="C23" s="502"/>
      <c r="D23" s="133"/>
      <c r="F23" s="131"/>
      <c r="G23" s="131"/>
      <c r="H23" s="134"/>
      <c r="J23" s="547" t="str">
        <f>IF('1PROJE'!O7="","",'1PROJE'!O7&amp;" ADET "&amp;'1PROJE'!N7)</f>
        <v>1 ADET FERRINI 1 KANALLI</v>
      </c>
      <c r="K23" s="104"/>
      <c r="M23" s="523">
        <f>F27+HLOOKUP(D10,$BL$13:$BY$19,6,0)</f>
        <v>1130</v>
      </c>
      <c r="N23" s="523"/>
      <c r="O23" s="523"/>
      <c r="P23" s="523"/>
      <c r="Q23" s="523">
        <f>C16+HLOOKUP(D10,$BL$13:$BY$19,7,0)</f>
        <v>2615</v>
      </c>
      <c r="T23" s="132"/>
      <c r="U23" s="502"/>
      <c r="V23" s="133"/>
      <c r="X23" s="131"/>
      <c r="Y23" s="131"/>
      <c r="Z23" s="134"/>
      <c r="AB23" s="547" t="str">
        <f>IF('1PROJE'!O8="","",'1PROJE'!O8&amp;" ADET "&amp;'1PROJE'!N8)</f>
        <v/>
      </c>
      <c r="AC23" s="104"/>
      <c r="AE23" s="526" t="e">
        <f>X27+HLOOKUP(V10,$BL$13:$BY$19,6,0)</f>
        <v>#N/A</v>
      </c>
      <c r="AF23" s="527"/>
      <c r="AG23" s="527"/>
      <c r="AH23" s="528"/>
      <c r="AI23" s="523" t="e">
        <f>U16+HLOOKUP(V10,$BL$13:$BZ$19,7,0)</f>
        <v>#N/A</v>
      </c>
    </row>
    <row r="24" spans="2:77" s="98" customFormat="1" ht="8.4499999999999993" customHeight="1" thickBot="1">
      <c r="B24" s="132"/>
      <c r="C24" s="502"/>
      <c r="D24" s="133"/>
      <c r="E24" s="135"/>
      <c r="F24" s="136"/>
      <c r="G24" s="137"/>
      <c r="H24" s="133"/>
      <c r="J24" s="547"/>
      <c r="M24" s="523"/>
      <c r="N24" s="523"/>
      <c r="O24" s="523"/>
      <c r="P24" s="523"/>
      <c r="Q24" s="523"/>
      <c r="T24" s="132"/>
      <c r="U24" s="502"/>
      <c r="V24" s="133"/>
      <c r="W24" s="135"/>
      <c r="X24" s="136"/>
      <c r="Y24" s="137"/>
      <c r="Z24" s="133"/>
      <c r="AB24" s="547"/>
      <c r="AE24" s="529"/>
      <c r="AF24" s="530"/>
      <c r="AG24" s="530"/>
      <c r="AH24" s="531"/>
      <c r="AI24" s="523"/>
    </row>
    <row r="25" spans="2:77" ht="1.5" customHeight="1" thickBot="1">
      <c r="B25" s="94"/>
      <c r="D25" s="119"/>
      <c r="H25" s="119"/>
      <c r="J25" s="547"/>
      <c r="P25" s="88"/>
      <c r="Q25" s="88"/>
      <c r="T25" s="94"/>
      <c r="V25" s="119"/>
      <c r="Z25" s="119"/>
      <c r="AB25" s="547"/>
      <c r="AH25" s="88"/>
      <c r="AI25" s="88"/>
    </row>
    <row r="26" spans="2:77" ht="16.5" customHeight="1">
      <c r="B26" s="94"/>
      <c r="J26" s="547"/>
      <c r="P26" s="88"/>
      <c r="Q26" s="88"/>
      <c r="T26" s="94"/>
      <c r="AB26" s="547"/>
      <c r="AH26" s="88"/>
      <c r="AI26" s="88"/>
    </row>
    <row r="27" spans="2:77" ht="20.100000000000001" customHeight="1">
      <c r="B27" s="94"/>
      <c r="D27" s="237" t="s">
        <v>847</v>
      </c>
      <c r="E27" s="239" t="s">
        <v>848</v>
      </c>
      <c r="F27" s="339">
        <f>xHesaplama!X27</f>
        <v>1200</v>
      </c>
      <c r="G27" s="240" t="s">
        <v>848</v>
      </c>
      <c r="H27" s="87" t="s">
        <v>849</v>
      </c>
      <c r="J27" s="547"/>
      <c r="M27" s="522" t="str">
        <f>IFERROR(INDEX('Poz Reçete'!A3:H41,MATCH("78BOR",'Poz Reçete'!D3:D41,0),1),"//////////////////////////////")</f>
        <v>78 MM GALVANİZ ÇELİK BORU</v>
      </c>
      <c r="N27" s="522"/>
      <c r="O27" s="522"/>
      <c r="P27" s="522"/>
      <c r="Q27" s="522"/>
      <c r="T27" s="94"/>
      <c r="V27" s="237" t="s">
        <v>847</v>
      </c>
      <c r="W27" s="239" t="s">
        <v>848</v>
      </c>
      <c r="X27" s="339">
        <f>xHesaplama!X28</f>
        <v>0</v>
      </c>
      <c r="Y27" s="240" t="s">
        <v>848</v>
      </c>
      <c r="Z27" s="87" t="s">
        <v>849</v>
      </c>
      <c r="AB27" s="547"/>
      <c r="AE27" s="522" t="str">
        <f>IFERROR(INDEX('Poz Reçete'!A44:H82,MATCH("78BOR",'Poz Reçete'!D44:D82,0),1),"//////////////////////////////")</f>
        <v>//////////////////////////////</v>
      </c>
      <c r="AF27" s="522"/>
      <c r="AG27" s="522"/>
      <c r="AH27" s="522"/>
      <c r="AI27" s="522"/>
    </row>
    <row r="28" spans="2:77" ht="16.5" customHeight="1">
      <c r="B28" s="120"/>
      <c r="C28" s="121"/>
      <c r="D28" s="121"/>
      <c r="E28" s="121"/>
      <c r="F28" s="121"/>
      <c r="G28" s="121"/>
      <c r="H28" s="121"/>
      <c r="I28" s="121"/>
      <c r="J28" s="122"/>
      <c r="M28" s="589" t="str">
        <f>IFERROR(INDEX('Poz Reçete'!A3:H41,MATCH("100BOR",'Poz Reçete'!D3:D41,0),1),"//////////////////////////////")</f>
        <v>//////////////////////////////</v>
      </c>
      <c r="N28" s="589"/>
      <c r="O28" s="589"/>
      <c r="P28" s="589"/>
      <c r="Q28" s="589"/>
      <c r="T28" s="120"/>
      <c r="U28" s="121"/>
      <c r="V28" s="121"/>
      <c r="W28" s="121"/>
      <c r="X28" s="121"/>
      <c r="Y28" s="121"/>
      <c r="Z28" s="121"/>
      <c r="AA28" s="121"/>
      <c r="AB28" s="122"/>
      <c r="AE28" s="522" t="str">
        <f>IFERROR(INDEX('Poz Reçete'!A44:H82,MATCH("100BOR",'Poz Reçete'!D44:D82,0),1),"//////////////////////////////")</f>
        <v>//////////////////////////////</v>
      </c>
      <c r="AF28" s="522"/>
      <c r="AG28" s="522"/>
      <c r="AH28" s="522"/>
      <c r="AI28" s="522"/>
    </row>
    <row r="29" spans="2:77" ht="24.95" customHeight="1">
      <c r="P29" s="88"/>
      <c r="Q29" s="88"/>
      <c r="AH29" s="88"/>
      <c r="AI29" s="88"/>
    </row>
    <row r="30" spans="2:77" ht="23.1" customHeight="1">
      <c r="B30" s="130" t="s">
        <v>823</v>
      </c>
      <c r="C30" s="300">
        <f>'1PROJE'!B9</f>
        <v>3</v>
      </c>
      <c r="D30" s="548">
        <f>'1PROJE'!C9</f>
        <v>0</v>
      </c>
      <c r="E30" s="549"/>
      <c r="F30" s="549"/>
      <c r="G30" s="549"/>
      <c r="H30" s="549"/>
      <c r="I30" s="549"/>
      <c r="J30" s="550"/>
      <c r="K30" s="124"/>
      <c r="L30" s="124"/>
      <c r="M30" s="125"/>
      <c r="N30" s="125"/>
      <c r="O30" s="125"/>
      <c r="P30" s="125"/>
      <c r="Q30" s="125"/>
      <c r="T30" s="130" t="s">
        <v>823</v>
      </c>
      <c r="U30" s="300">
        <f>'1PROJE'!B10</f>
        <v>4</v>
      </c>
      <c r="V30" s="548">
        <f>'1PROJE'!C10</f>
        <v>0</v>
      </c>
      <c r="W30" s="549"/>
      <c r="X30" s="549"/>
      <c r="Y30" s="549"/>
      <c r="Z30" s="549"/>
      <c r="AA30" s="549"/>
      <c r="AB30" s="550"/>
      <c r="AC30" s="124"/>
      <c r="AD30" s="124"/>
      <c r="AE30" s="125"/>
      <c r="AF30" s="125"/>
      <c r="AG30" s="125"/>
      <c r="AH30" s="125"/>
      <c r="AI30" s="125"/>
    </row>
    <row r="31" spans="2:77" ht="39.950000000000003" customHeight="1">
      <c r="B31" s="90"/>
      <c r="C31" s="316">
        <f>'1PROJE'!D9</f>
        <v>0</v>
      </c>
      <c r="D31" s="584" t="s">
        <v>357</v>
      </c>
      <c r="E31" s="584"/>
      <c r="F31" s="585" t="s">
        <v>365</v>
      </c>
      <c r="G31" s="585"/>
      <c r="H31" s="92"/>
      <c r="J31" s="271" t="str">
        <f>IF('1PROJE'!T9="", "", '1PROJE'!T9)</f>
        <v/>
      </c>
      <c r="M31" s="532" t="s">
        <v>799</v>
      </c>
      <c r="N31" s="532"/>
      <c r="O31" s="532"/>
      <c r="P31" s="523" t="e">
        <f>F47+HLOOKUP(D30,$BL$13:$BY$17,2,0)</f>
        <v>#N/A</v>
      </c>
      <c r="Q31" s="523"/>
      <c r="T31" s="90"/>
      <c r="U31" s="316">
        <f>'1PROJE'!D10</f>
        <v>0</v>
      </c>
      <c r="V31" s="584" t="s">
        <v>357</v>
      </c>
      <c r="W31" s="584"/>
      <c r="X31" s="585" t="s">
        <v>365</v>
      </c>
      <c r="Y31" s="585"/>
      <c r="Z31" s="92"/>
      <c r="AB31" s="271" t="str">
        <f>IF('1PROJE'!T10="", "", '1PROJE'!T10)</f>
        <v/>
      </c>
      <c r="AE31" s="532" t="s">
        <v>799</v>
      </c>
      <c r="AF31" s="532"/>
      <c r="AG31" s="532"/>
      <c r="AH31" s="523" t="e">
        <f>X47+HLOOKUP(V30,$BL$13:$BY$17,2,0)</f>
        <v>#N/A</v>
      </c>
      <c r="AI31" s="523"/>
    </row>
    <row r="32" spans="2:77" ht="20.100000000000001" customHeight="1" thickBot="1">
      <c r="B32" s="94"/>
      <c r="C32" s="95"/>
      <c r="E32" s="551">
        <f>'1PROJE'!M9</f>
        <v>0</v>
      </c>
      <c r="F32" s="551"/>
      <c r="G32" s="551"/>
      <c r="H32" s="96"/>
      <c r="J32" s="93"/>
      <c r="M32" s="123"/>
      <c r="N32" s="123"/>
      <c r="O32" s="123"/>
      <c r="P32" s="128"/>
      <c r="Q32" s="128"/>
      <c r="T32" s="94"/>
      <c r="U32" s="95"/>
      <c r="W32" s="551">
        <f>'1PROJE'!M10</f>
        <v>0</v>
      </c>
      <c r="X32" s="551"/>
      <c r="Y32" s="551"/>
      <c r="Z32" s="96"/>
      <c r="AB32" s="93"/>
      <c r="AE32" s="123"/>
      <c r="AF32" s="123"/>
      <c r="AG32" s="123"/>
      <c r="AH32" s="128"/>
      <c r="AI32" s="128"/>
    </row>
    <row r="33" spans="2:76" ht="39.950000000000003" customHeight="1" thickBot="1">
      <c r="B33" s="94"/>
      <c r="C33" s="503" t="s">
        <v>905</v>
      </c>
      <c r="D33" s="99"/>
      <c r="E33" s="319" t="str">
        <f>IF(OR(E32="DIŞTAN BAKIŞ SOL",E32="İÇTEN BAKIŞ SAĞ"),"M","")</f>
        <v/>
      </c>
      <c r="F33" s="317" t="e">
        <f>VLOOKUP('1PROJE'!C9,'x Açılır Listeler'!$A$2:$B$15,2,0)</f>
        <v>#N/A</v>
      </c>
      <c r="G33" s="318" t="str">
        <f>IF(OR(E32="DIŞTAN BAKIŞ SAĞ",E32="İÇTEN BAKIŞ SOL"),"M","")</f>
        <v/>
      </c>
      <c r="H33" s="129"/>
      <c r="J33" s="315" t="s">
        <v>368</v>
      </c>
      <c r="M33" s="532" t="s">
        <v>800</v>
      </c>
      <c r="N33" s="532"/>
      <c r="O33" s="532"/>
      <c r="P33" s="533" t="e">
        <f>C37+HLOOKUP(D30,$BL$13:$BY$17,3,0)</f>
        <v>#N/A</v>
      </c>
      <c r="Q33" s="533"/>
      <c r="T33" s="94"/>
      <c r="U33" s="503" t="s">
        <v>905</v>
      </c>
      <c r="V33" s="99"/>
      <c r="W33" s="319" t="str">
        <f>IF(OR(W32="DIŞTAN BAKIŞ SOL",W32="İÇTEN BAKIŞ SAĞ"),"M","")</f>
        <v/>
      </c>
      <c r="X33" s="317" t="e">
        <f>VLOOKUP('1PROJE'!C10,'x Açılır Listeler'!$A$2:$B$15,2,0)</f>
        <v>#N/A</v>
      </c>
      <c r="Y33" s="318" t="str">
        <f>IF(OR(W32="DIŞTAN BAKIŞ SAĞ",W32="İÇTEN BAKIŞ SOL"),"M","")</f>
        <v/>
      </c>
      <c r="Z33" s="100"/>
      <c r="AB33" s="315" t="s">
        <v>368</v>
      </c>
      <c r="AE33" s="532" t="s">
        <v>800</v>
      </c>
      <c r="AF33" s="532"/>
      <c r="AG33" s="532"/>
      <c r="AH33" s="533" t="e">
        <f>U37+HLOOKUP(V30,$BL$13:$BY$17,3,0)</f>
        <v>#N/A</v>
      </c>
      <c r="AI33" s="533"/>
      <c r="BX33" s="104"/>
    </row>
    <row r="34" spans="2:76" ht="12.95" customHeight="1">
      <c r="B34" s="94"/>
      <c r="C34" s="503"/>
      <c r="D34" s="102"/>
      <c r="H34" s="103"/>
      <c r="J34" s="534">
        <f>'1PROJE'!H9</f>
        <v>0</v>
      </c>
      <c r="K34" s="104"/>
      <c r="M34" s="123"/>
      <c r="N34" s="123"/>
      <c r="O34" s="123"/>
      <c r="P34" s="128"/>
      <c r="Q34" s="128"/>
      <c r="T34" s="94"/>
      <c r="U34" s="503"/>
      <c r="V34" s="102"/>
      <c r="Z34" s="103"/>
      <c r="AB34" s="534">
        <f>'1PROJE'!H10</f>
        <v>0</v>
      </c>
      <c r="AC34" s="104"/>
      <c r="AE34" s="123"/>
      <c r="AF34" s="123"/>
      <c r="AG34" s="123"/>
      <c r="AH34" s="128"/>
      <c r="AI34" s="128"/>
    </row>
    <row r="35" spans="2:76" ht="20.100000000000001" customHeight="1">
      <c r="B35" s="94"/>
      <c r="C35" s="503"/>
      <c r="D35" s="105"/>
      <c r="E35" s="586">
        <f>'1PROJE'!I9</f>
        <v>0</v>
      </c>
      <c r="F35" s="587"/>
      <c r="G35" s="588"/>
      <c r="H35" s="106"/>
      <c r="J35" s="534"/>
      <c r="K35" s="104"/>
      <c r="M35" s="535" t="s">
        <v>801</v>
      </c>
      <c r="N35" s="536"/>
      <c r="O35" s="537"/>
      <c r="P35" s="533" t="e">
        <f>F47+HLOOKUP(D30,$BL$13:$BY$17,4,0)</f>
        <v>#N/A</v>
      </c>
      <c r="Q35" s="533"/>
      <c r="T35" s="94"/>
      <c r="U35" s="503"/>
      <c r="V35" s="105"/>
      <c r="W35" s="586">
        <f>'1PROJE'!I10</f>
        <v>0</v>
      </c>
      <c r="X35" s="587"/>
      <c r="Y35" s="588"/>
      <c r="Z35" s="106"/>
      <c r="AB35" s="534"/>
      <c r="AC35" s="104"/>
      <c r="AE35" s="535" t="s">
        <v>801</v>
      </c>
      <c r="AF35" s="536"/>
      <c r="AG35" s="537"/>
      <c r="AH35" s="533" t="e">
        <f>X47+HLOOKUP(V30,$BL$13:$BY$17,4,0)</f>
        <v>#N/A</v>
      </c>
      <c r="AI35" s="533"/>
    </row>
    <row r="36" spans="2:76" ht="20.100000000000001" customHeight="1">
      <c r="B36" s="90"/>
      <c r="C36" s="503"/>
      <c r="D36" s="105"/>
      <c r="E36" s="586"/>
      <c r="F36" s="587"/>
      <c r="G36" s="588"/>
      <c r="H36" s="107"/>
      <c r="J36" s="534"/>
      <c r="K36" s="109"/>
      <c r="M36" s="538"/>
      <c r="N36" s="539"/>
      <c r="O36" s="540"/>
      <c r="P36" s="533"/>
      <c r="Q36" s="533"/>
      <c r="T36" s="90"/>
      <c r="U36" s="503"/>
      <c r="V36" s="105"/>
      <c r="W36" s="586"/>
      <c r="X36" s="587"/>
      <c r="Y36" s="588"/>
      <c r="Z36" s="107"/>
      <c r="AB36" s="534"/>
      <c r="AC36" s="109"/>
      <c r="AE36" s="538"/>
      <c r="AF36" s="539"/>
      <c r="AG36" s="540"/>
      <c r="AH36" s="533"/>
      <c r="AI36" s="533"/>
    </row>
    <row r="37" spans="2:76" ht="12.95" customHeight="1">
      <c r="B37" s="94"/>
      <c r="C37" s="543">
        <f>xHesaplama!Y29</f>
        <v>0</v>
      </c>
      <c r="D37" s="105"/>
      <c r="E37" s="586"/>
      <c r="F37" s="587"/>
      <c r="G37" s="588"/>
      <c r="H37" s="107"/>
      <c r="J37" s="314" t="s">
        <v>366</v>
      </c>
      <c r="K37" s="111"/>
      <c r="M37" s="123"/>
      <c r="N37" s="123"/>
      <c r="O37" s="123"/>
      <c r="P37" s="128"/>
      <c r="Q37" s="128"/>
      <c r="T37" s="94"/>
      <c r="U37" s="543">
        <f>xHesaplama!Y30</f>
        <v>0</v>
      </c>
      <c r="V37" s="105"/>
      <c r="W37" s="586"/>
      <c r="X37" s="587"/>
      <c r="Y37" s="588"/>
      <c r="Z37" s="107"/>
      <c r="AB37" s="314" t="s">
        <v>366</v>
      </c>
      <c r="AC37" s="111"/>
      <c r="AE37" s="123"/>
      <c r="AF37" s="123"/>
      <c r="AG37" s="123"/>
      <c r="AH37" s="128"/>
      <c r="AI37" s="128"/>
    </row>
    <row r="38" spans="2:76" ht="20.100000000000001" customHeight="1">
      <c r="B38" s="94"/>
      <c r="C38" s="543"/>
      <c r="D38" s="105"/>
      <c r="F38" s="313">
        <f>'1PROJE'!K9</f>
        <v>0</v>
      </c>
      <c r="H38" s="112"/>
      <c r="J38" s="547">
        <f>'1PROJE'!L9</f>
        <v>0</v>
      </c>
      <c r="M38" s="532" t="s">
        <v>802</v>
      </c>
      <c r="N38" s="532"/>
      <c r="O38" s="532"/>
      <c r="P38" s="533" t="e">
        <f>F47+HLOOKUP(D30,$BL$13:$BY$17,5,0)</f>
        <v>#N/A</v>
      </c>
      <c r="Q38" s="533"/>
      <c r="T38" s="94"/>
      <c r="U38" s="543"/>
      <c r="V38" s="105"/>
      <c r="X38" s="313">
        <f>'1PROJE'!K10</f>
        <v>0</v>
      </c>
      <c r="Z38" s="112"/>
      <c r="AB38" s="547">
        <f>'1PROJE'!L10</f>
        <v>0</v>
      </c>
      <c r="AE38" s="532" t="s">
        <v>802</v>
      </c>
      <c r="AF38" s="532"/>
      <c r="AG38" s="532"/>
      <c r="AH38" s="533" t="e">
        <f>X47+HLOOKUP(V30,$BL$13:$BY$17,5,0)</f>
        <v>#N/A</v>
      </c>
      <c r="AI38" s="533"/>
    </row>
    <row r="39" spans="2:76" ht="20.100000000000001" customHeight="1">
      <c r="B39" s="94"/>
      <c r="C39" s="543"/>
      <c r="D39" s="105"/>
      <c r="E39" s="113"/>
      <c r="F39" s="312" t="str">
        <f>IF('1PROJE'!P9="VAR","BASKI"&amp;" "&amp;'1PROJE'!P9,"")</f>
        <v/>
      </c>
      <c r="G39" s="114"/>
      <c r="H39" s="106"/>
      <c r="J39" s="547"/>
      <c r="K39" s="104"/>
      <c r="M39" s="532"/>
      <c r="N39" s="532"/>
      <c r="O39" s="532"/>
      <c r="P39" s="533"/>
      <c r="Q39" s="533"/>
      <c r="T39" s="94"/>
      <c r="U39" s="543"/>
      <c r="V39" s="105"/>
      <c r="W39" s="113"/>
      <c r="X39" s="312" t="str">
        <f>IF('1PROJE'!P10="VAR","BASKI"&amp;" "&amp;'1PROJE'!P10,"")</f>
        <v/>
      </c>
      <c r="Y39" s="114"/>
      <c r="Z39" s="106"/>
      <c r="AB39" s="547"/>
      <c r="AC39" s="104"/>
      <c r="AE39" s="532"/>
      <c r="AF39" s="532"/>
      <c r="AG39" s="532"/>
      <c r="AH39" s="533"/>
      <c r="AI39" s="533"/>
    </row>
    <row r="40" spans="2:76" ht="12.95" customHeight="1">
      <c r="B40" s="94"/>
      <c r="C40" s="543"/>
      <c r="D40" s="105"/>
      <c r="E40" s="113"/>
      <c r="F40" s="507"/>
      <c r="G40" s="114"/>
      <c r="H40" s="115"/>
      <c r="J40" s="547"/>
      <c r="K40" s="116"/>
      <c r="M40" s="123"/>
      <c r="N40" s="123"/>
      <c r="O40" s="123"/>
      <c r="P40" s="127"/>
      <c r="Q40" s="127"/>
      <c r="T40" s="94"/>
      <c r="U40" s="543"/>
      <c r="V40" s="105"/>
      <c r="W40" s="113"/>
      <c r="X40" s="507"/>
      <c r="Y40" s="114"/>
      <c r="Z40" s="115"/>
      <c r="AB40" s="547"/>
      <c r="AC40" s="116"/>
      <c r="AE40" s="123"/>
      <c r="AF40" s="123"/>
      <c r="AG40" s="123"/>
      <c r="AH40" s="127"/>
      <c r="AI40" s="127"/>
    </row>
    <row r="41" spans="2:76" ht="30" customHeight="1">
      <c r="B41" s="94"/>
      <c r="C41" s="502" t="s">
        <v>904</v>
      </c>
      <c r="D41" s="105"/>
      <c r="E41" s="113"/>
      <c r="F41" s="507"/>
      <c r="G41" s="114"/>
      <c r="H41" s="115"/>
      <c r="J41" s="547"/>
      <c r="K41" s="111"/>
      <c r="M41" s="524" t="s">
        <v>803</v>
      </c>
      <c r="N41" s="524"/>
      <c r="O41" s="524"/>
      <c r="P41" s="524"/>
      <c r="Q41" s="524"/>
      <c r="T41" s="94"/>
      <c r="U41" s="502" t="s">
        <v>904</v>
      </c>
      <c r="V41" s="105"/>
      <c r="W41" s="113"/>
      <c r="X41" s="507"/>
      <c r="Y41" s="114"/>
      <c r="Z41" s="115"/>
      <c r="AB41" s="547"/>
      <c r="AC41" s="111"/>
      <c r="AE41" s="524" t="s">
        <v>803</v>
      </c>
      <c r="AF41" s="524"/>
      <c r="AG41" s="524"/>
      <c r="AH41" s="524"/>
      <c r="AI41" s="524"/>
    </row>
    <row r="42" spans="2:76" ht="30" customHeight="1">
      <c r="B42" s="94"/>
      <c r="C42" s="502"/>
      <c r="D42" s="118"/>
      <c r="E42" s="113"/>
      <c r="F42" s="507"/>
      <c r="G42" s="114"/>
      <c r="H42" s="115"/>
      <c r="J42" s="314" t="s">
        <v>367</v>
      </c>
      <c r="K42" s="104"/>
      <c r="M42" s="525" t="s">
        <v>21</v>
      </c>
      <c r="N42" s="525"/>
      <c r="O42" s="525"/>
      <c r="P42" s="525"/>
      <c r="Q42" s="311" t="s">
        <v>22</v>
      </c>
      <c r="T42" s="94"/>
      <c r="U42" s="502"/>
      <c r="V42" s="118"/>
      <c r="W42" s="113"/>
      <c r="X42" s="507"/>
      <c r="Y42" s="114"/>
      <c r="Z42" s="115"/>
      <c r="AB42" s="242" t="s">
        <v>367</v>
      </c>
      <c r="AC42" s="104"/>
      <c r="AE42" s="525" t="s">
        <v>21</v>
      </c>
      <c r="AF42" s="525"/>
      <c r="AG42" s="525"/>
      <c r="AH42" s="525"/>
      <c r="AI42" s="311" t="s">
        <v>22</v>
      </c>
    </row>
    <row r="43" spans="2:76" s="98" customFormat="1" ht="39.950000000000003" customHeight="1" thickBot="1">
      <c r="B43" s="132"/>
      <c r="C43" s="502"/>
      <c r="D43" s="133"/>
      <c r="F43" s="131"/>
      <c r="G43" s="131"/>
      <c r="H43" s="134"/>
      <c r="J43" s="547" t="str">
        <f>IF('1PROJE'!O9="","",'1PROJE'!O9&amp;" ADET "&amp;'1PROJE'!N9)</f>
        <v/>
      </c>
      <c r="K43" s="104"/>
      <c r="M43" s="526" t="e">
        <f>F47+HLOOKUP(D30,$BL$13:$BY$19,6,0)</f>
        <v>#N/A</v>
      </c>
      <c r="N43" s="527"/>
      <c r="O43" s="527"/>
      <c r="P43" s="528"/>
      <c r="Q43" s="523" t="e">
        <f>C37+HLOOKUP(D30,$BL$13:$BY$19,7,0)</f>
        <v>#N/A</v>
      </c>
      <c r="T43" s="132"/>
      <c r="U43" s="502"/>
      <c r="V43" s="133"/>
      <c r="X43" s="131"/>
      <c r="Y43" s="131"/>
      <c r="Z43" s="134"/>
      <c r="AB43" s="547">
        <f>'1PROJE'!N10</f>
        <v>0</v>
      </c>
      <c r="AC43" s="104"/>
      <c r="AE43" s="526" t="e">
        <f>X47+HLOOKUP(V30,$BL$13:$BY$19,6,0)</f>
        <v>#N/A</v>
      </c>
      <c r="AF43" s="527"/>
      <c r="AG43" s="527"/>
      <c r="AH43" s="528"/>
      <c r="AI43" s="523" t="e">
        <f>U37+HLOOKUP(V30,$BL$13:$BY$19,7,0)</f>
        <v>#N/A</v>
      </c>
    </row>
    <row r="44" spans="2:76" s="98" customFormat="1" ht="8.4499999999999993" customHeight="1" thickBot="1">
      <c r="B44" s="132"/>
      <c r="C44" s="502"/>
      <c r="D44" s="133"/>
      <c r="E44" s="135"/>
      <c r="F44" s="136"/>
      <c r="G44" s="137"/>
      <c r="H44" s="133"/>
      <c r="J44" s="547"/>
      <c r="M44" s="529"/>
      <c r="N44" s="530"/>
      <c r="O44" s="530"/>
      <c r="P44" s="531"/>
      <c r="Q44" s="523"/>
      <c r="T44" s="132"/>
      <c r="U44" s="502"/>
      <c r="V44" s="133"/>
      <c r="W44" s="135"/>
      <c r="X44" s="136"/>
      <c r="Y44" s="137"/>
      <c r="Z44" s="133"/>
      <c r="AB44" s="547"/>
      <c r="AE44" s="529"/>
      <c r="AF44" s="530"/>
      <c r="AG44" s="530"/>
      <c r="AH44" s="531"/>
      <c r="AI44" s="523"/>
    </row>
    <row r="45" spans="2:76" ht="1.5" customHeight="1" thickBot="1">
      <c r="B45" s="94"/>
      <c r="C45" s="502"/>
      <c r="D45" s="119"/>
      <c r="H45" s="119"/>
      <c r="J45" s="547"/>
      <c r="P45" s="88"/>
      <c r="Q45" s="88"/>
      <c r="T45" s="94"/>
      <c r="U45" s="502"/>
      <c r="V45" s="119"/>
      <c r="Z45" s="119"/>
      <c r="AB45" s="547"/>
      <c r="AH45" s="88"/>
      <c r="AI45" s="88"/>
    </row>
    <row r="46" spans="2:76" ht="16.5" customHeight="1">
      <c r="B46" s="94"/>
      <c r="J46" s="547"/>
      <c r="P46" s="88"/>
      <c r="Q46" s="88"/>
      <c r="T46" s="94"/>
      <c r="AB46" s="547"/>
      <c r="AH46" s="88"/>
      <c r="AI46" s="88"/>
    </row>
    <row r="47" spans="2:76" ht="20.100000000000001" customHeight="1">
      <c r="B47" s="94"/>
      <c r="D47" s="237" t="s">
        <v>847</v>
      </c>
      <c r="E47" s="239" t="s">
        <v>848</v>
      </c>
      <c r="F47" s="339">
        <f>xHesaplama!X29</f>
        <v>0</v>
      </c>
      <c r="G47" s="240" t="s">
        <v>848</v>
      </c>
      <c r="H47" s="87" t="s">
        <v>849</v>
      </c>
      <c r="J47" s="547"/>
      <c r="M47" s="522" t="str">
        <f>IFERROR(INDEX('Poz Reçete'!A85:H123,MATCH("78BOR",'Poz Reçete'!D85:D123,0),1),"//////////////////////////////")</f>
        <v>//////////////////////////////</v>
      </c>
      <c r="N47" s="522"/>
      <c r="O47" s="522"/>
      <c r="P47" s="522"/>
      <c r="Q47" s="522"/>
      <c r="T47" s="94"/>
      <c r="V47" s="237" t="s">
        <v>847</v>
      </c>
      <c r="W47" s="239" t="s">
        <v>848</v>
      </c>
      <c r="X47" s="339">
        <f>xHesaplama!X30</f>
        <v>0</v>
      </c>
      <c r="Y47" s="240" t="s">
        <v>848</v>
      </c>
      <c r="Z47" s="87" t="s">
        <v>849</v>
      </c>
      <c r="AB47" s="93"/>
      <c r="AE47" s="522" t="str">
        <f>IFERROR(INDEX('Poz Reçete'!A126:H164,MATCH("78BOR",'Poz Reçete'!D126:D164,0),1),"//////////////////////////////")</f>
        <v>//////////////////////////////</v>
      </c>
      <c r="AF47" s="522"/>
      <c r="AG47" s="522"/>
      <c r="AH47" s="522"/>
      <c r="AI47" s="522"/>
    </row>
    <row r="48" spans="2:76" ht="16.5" customHeight="1">
      <c r="B48" s="120"/>
      <c r="C48" s="121"/>
      <c r="D48" s="121"/>
      <c r="E48" s="121"/>
      <c r="F48" s="121"/>
      <c r="G48" s="121"/>
      <c r="H48" s="121"/>
      <c r="I48" s="121"/>
      <c r="J48" s="122"/>
      <c r="M48" s="522" t="str">
        <f>IFERROR(INDEX('Poz Reçete'!A85:H123,MATCH("100BOR",'Poz Reçete'!D85:D123,0),1),"//////////////////////////////")</f>
        <v>//////////////////////////////</v>
      </c>
      <c r="N48" s="522"/>
      <c r="O48" s="522"/>
      <c r="P48" s="522"/>
      <c r="Q48" s="522"/>
      <c r="T48" s="120"/>
      <c r="U48" s="121"/>
      <c r="V48" s="121"/>
      <c r="W48" s="121"/>
      <c r="X48" s="121"/>
      <c r="Y48" s="121"/>
      <c r="Z48" s="121"/>
      <c r="AA48" s="121"/>
      <c r="AB48" s="122"/>
      <c r="AE48" s="522" t="str">
        <f>IFERROR(INDEX('Poz Reçete'!A126:H164,MATCH("100BOR",'Poz Reçete'!D126:D164,0),1),"//////////////////////////////")</f>
        <v>//////////////////////////////</v>
      </c>
      <c r="AF48" s="522"/>
      <c r="AG48" s="522"/>
      <c r="AH48" s="522"/>
      <c r="AI48" s="522"/>
    </row>
    <row r="49" spans="2:35" ht="24.95" customHeight="1">
      <c r="P49" s="88"/>
      <c r="Q49" s="88"/>
      <c r="AH49" s="88"/>
      <c r="AI49" s="88"/>
    </row>
    <row r="50" spans="2:35" ht="23.25">
      <c r="B50" s="130" t="s">
        <v>823</v>
      </c>
      <c r="C50" s="300">
        <f>'1PROJE'!B11</f>
        <v>5</v>
      </c>
      <c r="D50" s="548">
        <f>'1PROJE'!C11</f>
        <v>0</v>
      </c>
      <c r="E50" s="549"/>
      <c r="F50" s="549"/>
      <c r="G50" s="549"/>
      <c r="H50" s="549"/>
      <c r="I50" s="549"/>
      <c r="J50" s="550"/>
      <c r="K50" s="124"/>
      <c r="L50" s="124"/>
      <c r="M50" s="125"/>
      <c r="N50" s="125"/>
      <c r="O50" s="125"/>
      <c r="P50" s="125"/>
      <c r="Q50" s="125"/>
      <c r="T50" s="130" t="s">
        <v>823</v>
      </c>
      <c r="U50" s="300">
        <f>'1PROJE'!B12</f>
        <v>6</v>
      </c>
      <c r="V50" s="548">
        <f>'1PROJE'!C12</f>
        <v>0</v>
      </c>
      <c r="W50" s="549"/>
      <c r="X50" s="549"/>
      <c r="Y50" s="549"/>
      <c r="Z50" s="549"/>
      <c r="AA50" s="549"/>
      <c r="AB50" s="550"/>
      <c r="AC50" s="124"/>
      <c r="AD50" s="124"/>
      <c r="AE50" s="125"/>
      <c r="AF50" s="125"/>
      <c r="AG50" s="125"/>
      <c r="AH50" s="125"/>
      <c r="AI50" s="125"/>
    </row>
    <row r="51" spans="2:35" ht="39.950000000000003" customHeight="1">
      <c r="B51" s="90"/>
      <c r="C51" s="316">
        <f>'1PROJE'!D11</f>
        <v>0</v>
      </c>
      <c r="D51" s="584" t="s">
        <v>357</v>
      </c>
      <c r="E51" s="584"/>
      <c r="F51" s="585" t="s">
        <v>365</v>
      </c>
      <c r="G51" s="585"/>
      <c r="H51" s="92"/>
      <c r="J51" s="271" t="str">
        <f>IF('1PROJE'!T11="", "", '1PROJE'!T11)</f>
        <v/>
      </c>
      <c r="M51" s="532" t="s">
        <v>799</v>
      </c>
      <c r="N51" s="532"/>
      <c r="O51" s="532"/>
      <c r="P51" s="523" t="e">
        <f>F67+HLOOKUP(D50,$BL$13:$BY$17,2,0)</f>
        <v>#N/A</v>
      </c>
      <c r="Q51" s="523"/>
      <c r="T51" s="90"/>
      <c r="U51" s="316">
        <f>'1PROJE'!D12</f>
        <v>0</v>
      </c>
      <c r="V51" s="584" t="s">
        <v>357</v>
      </c>
      <c r="W51" s="584"/>
      <c r="X51" s="585" t="s">
        <v>365</v>
      </c>
      <c r="Y51" s="585"/>
      <c r="Z51" s="92"/>
      <c r="AB51" s="271" t="str">
        <f>IF('1PROJE'!T12="", "", '1PROJE'!T12)</f>
        <v/>
      </c>
      <c r="AE51" s="532" t="s">
        <v>799</v>
      </c>
      <c r="AF51" s="532"/>
      <c r="AG51" s="532"/>
      <c r="AH51" s="523" t="e">
        <f>X67+HLOOKUP(V50,$BL$13:$BY$17,2,0)</f>
        <v>#N/A</v>
      </c>
      <c r="AI51" s="523"/>
    </row>
    <row r="52" spans="2:35" ht="20.100000000000001" customHeight="1" thickBot="1">
      <c r="B52" s="94"/>
      <c r="C52" s="95"/>
      <c r="E52" s="551">
        <f>'1PROJE'!M11</f>
        <v>0</v>
      </c>
      <c r="F52" s="551"/>
      <c r="G52" s="551"/>
      <c r="H52" s="96"/>
      <c r="J52" s="93"/>
      <c r="M52" s="123"/>
      <c r="N52" s="123"/>
      <c r="O52" s="123"/>
      <c r="P52" s="128"/>
      <c r="Q52" s="128"/>
      <c r="T52" s="94"/>
      <c r="U52" s="95"/>
      <c r="W52" s="551">
        <f>'1PROJE'!M12</f>
        <v>0</v>
      </c>
      <c r="X52" s="551"/>
      <c r="Y52" s="551"/>
      <c r="Z52" s="96"/>
      <c r="AB52" s="93"/>
      <c r="AE52" s="123"/>
      <c r="AF52" s="123"/>
      <c r="AG52" s="123"/>
      <c r="AH52" s="128"/>
      <c r="AI52" s="128"/>
    </row>
    <row r="53" spans="2:35" ht="39.950000000000003" customHeight="1" thickBot="1">
      <c r="B53" s="94"/>
      <c r="C53" s="503" t="s">
        <v>905</v>
      </c>
      <c r="D53" s="99"/>
      <c r="E53" s="319" t="str">
        <f>IF(OR(E52="DIŞTAN BAKIŞ SOL",E52="İÇTEN BAKIŞ SAĞ"),"M","")</f>
        <v/>
      </c>
      <c r="F53" s="317" t="e">
        <f>VLOOKUP('1PROJE'!C11,'x Açılır Listeler'!$A$2:$B$15,2,0)</f>
        <v>#N/A</v>
      </c>
      <c r="G53" s="318" t="str">
        <f>IF(OR(E52="DIŞTAN BAKIŞ SAĞ",E52="İÇTEN BAKIŞ SOL"),"M","")</f>
        <v/>
      </c>
      <c r="H53" s="100"/>
      <c r="J53" s="315" t="s">
        <v>368</v>
      </c>
      <c r="M53" s="532" t="s">
        <v>800</v>
      </c>
      <c r="N53" s="532"/>
      <c r="O53" s="532"/>
      <c r="P53" s="533" t="e">
        <f>C57+HLOOKUP(D50,$BL$13:$BY$17,3,0)</f>
        <v>#N/A</v>
      </c>
      <c r="Q53" s="533"/>
      <c r="T53" s="94"/>
      <c r="U53" s="503" t="s">
        <v>905</v>
      </c>
      <c r="V53" s="99"/>
      <c r="W53" s="319" t="str">
        <f>IF(OR(W52="DIŞTAN BAKIŞ SOL",W52="İÇTEN BAKIŞ SAĞ"),"M","")</f>
        <v/>
      </c>
      <c r="X53" s="317" t="e">
        <f>VLOOKUP('1PROJE'!C12,'x Açılır Listeler'!$A$2:$B$15,2,0)</f>
        <v>#N/A</v>
      </c>
      <c r="Y53" s="318" t="str">
        <f>IF(OR(W52="DIŞTAN BAKIŞ SAĞ",W52="İÇTEN BAKIŞ SOL"),"M","")</f>
        <v/>
      </c>
      <c r="Z53" s="100"/>
      <c r="AB53" s="315" t="s">
        <v>368</v>
      </c>
      <c r="AE53" s="532" t="s">
        <v>800</v>
      </c>
      <c r="AF53" s="532"/>
      <c r="AG53" s="532"/>
      <c r="AH53" s="533" t="e">
        <f>U57+HLOOKUP(V50,$BL$13:$BY$17,3,0)</f>
        <v>#N/A</v>
      </c>
      <c r="AI53" s="533"/>
    </row>
    <row r="54" spans="2:35" ht="12.95" customHeight="1">
      <c r="B54" s="94"/>
      <c r="C54" s="503"/>
      <c r="D54" s="102"/>
      <c r="H54" s="103"/>
      <c r="J54" s="534">
        <f>'1PROJE'!H11</f>
        <v>0</v>
      </c>
      <c r="K54" s="104"/>
      <c r="M54" s="123"/>
      <c r="N54" s="123"/>
      <c r="O54" s="123"/>
      <c r="P54" s="128"/>
      <c r="Q54" s="128"/>
      <c r="T54" s="94"/>
      <c r="U54" s="503"/>
      <c r="V54" s="102"/>
      <c r="Z54" s="103"/>
      <c r="AB54" s="534">
        <f>'1PROJE'!H12</f>
        <v>0</v>
      </c>
      <c r="AC54" s="104"/>
      <c r="AE54" s="123"/>
      <c r="AF54" s="123"/>
      <c r="AG54" s="123"/>
      <c r="AH54" s="128"/>
      <c r="AI54" s="128"/>
    </row>
    <row r="55" spans="2:35" ht="20.100000000000001" customHeight="1">
      <c r="B55" s="94"/>
      <c r="C55" s="503"/>
      <c r="D55" s="105"/>
      <c r="E55" s="586">
        <f>'1PROJE'!I11</f>
        <v>0</v>
      </c>
      <c r="F55" s="587"/>
      <c r="G55" s="588"/>
      <c r="H55" s="106"/>
      <c r="J55" s="534"/>
      <c r="K55" s="104"/>
      <c r="M55" s="535" t="s">
        <v>801</v>
      </c>
      <c r="N55" s="536"/>
      <c r="O55" s="537"/>
      <c r="P55" s="533" t="e">
        <f>F67+HLOOKUP(D50,$BL$13:$BY$17,4,0)</f>
        <v>#N/A</v>
      </c>
      <c r="Q55" s="533"/>
      <c r="T55" s="94"/>
      <c r="U55" s="503"/>
      <c r="V55" s="105"/>
      <c r="W55" s="586">
        <f>'1PROJE'!I12</f>
        <v>0</v>
      </c>
      <c r="X55" s="587"/>
      <c r="Y55" s="588"/>
      <c r="Z55" s="106"/>
      <c r="AB55" s="534"/>
      <c r="AC55" s="104"/>
      <c r="AE55" s="535" t="s">
        <v>801</v>
      </c>
      <c r="AF55" s="536"/>
      <c r="AG55" s="537"/>
      <c r="AH55" s="533" t="e">
        <f>X67+HLOOKUP(V50,$BL$13:$BY$17,4,0)</f>
        <v>#N/A</v>
      </c>
      <c r="AI55" s="533"/>
    </row>
    <row r="56" spans="2:35" ht="20.100000000000001" customHeight="1">
      <c r="B56" s="90"/>
      <c r="C56" s="503"/>
      <c r="D56" s="105"/>
      <c r="E56" s="586"/>
      <c r="F56" s="587"/>
      <c r="G56" s="588"/>
      <c r="H56" s="107"/>
      <c r="J56" s="534"/>
      <c r="K56" s="109"/>
      <c r="M56" s="538"/>
      <c r="N56" s="539"/>
      <c r="O56" s="540"/>
      <c r="P56" s="533"/>
      <c r="Q56" s="533"/>
      <c r="T56" s="90"/>
      <c r="U56" s="503"/>
      <c r="V56" s="105"/>
      <c r="W56" s="586"/>
      <c r="X56" s="587"/>
      <c r="Y56" s="588"/>
      <c r="Z56" s="107"/>
      <c r="AB56" s="534"/>
      <c r="AC56" s="109"/>
      <c r="AE56" s="538"/>
      <c r="AF56" s="539"/>
      <c r="AG56" s="540"/>
      <c r="AH56" s="533"/>
      <c r="AI56" s="533"/>
    </row>
    <row r="57" spans="2:35" ht="12.95" customHeight="1">
      <c r="B57" s="94"/>
      <c r="C57" s="543">
        <f>xHesaplama!Y31</f>
        <v>0</v>
      </c>
      <c r="D57" s="105"/>
      <c r="E57" s="586"/>
      <c r="F57" s="587"/>
      <c r="G57" s="588"/>
      <c r="H57" s="107"/>
      <c r="J57" s="314" t="s">
        <v>366</v>
      </c>
      <c r="K57" s="111"/>
      <c r="M57" s="123"/>
      <c r="N57" s="123"/>
      <c r="O57" s="123"/>
      <c r="P57" s="128"/>
      <c r="Q57" s="128"/>
      <c r="T57" s="94"/>
      <c r="U57" s="543">
        <f>xHesaplama!Y32</f>
        <v>0</v>
      </c>
      <c r="V57" s="105"/>
      <c r="W57" s="586"/>
      <c r="X57" s="587"/>
      <c r="Y57" s="588"/>
      <c r="Z57" s="107"/>
      <c r="AB57" s="314" t="s">
        <v>366</v>
      </c>
      <c r="AC57" s="111"/>
      <c r="AE57" s="123"/>
      <c r="AF57" s="123"/>
      <c r="AG57" s="123"/>
      <c r="AH57" s="128"/>
      <c r="AI57" s="128"/>
    </row>
    <row r="58" spans="2:35" ht="20.100000000000001" customHeight="1">
      <c r="B58" s="94"/>
      <c r="C58" s="543"/>
      <c r="D58" s="105"/>
      <c r="F58" s="313">
        <f>'1PROJE'!K11</f>
        <v>0</v>
      </c>
      <c r="H58" s="112"/>
      <c r="J58" s="547">
        <f>'1PROJE'!L11</f>
        <v>0</v>
      </c>
      <c r="M58" s="532" t="s">
        <v>802</v>
      </c>
      <c r="N58" s="532"/>
      <c r="O58" s="532"/>
      <c r="P58" s="533" t="e">
        <f>F67+HLOOKUP(D50,$BL$13:$BY$17,5,0)</f>
        <v>#N/A</v>
      </c>
      <c r="Q58" s="533"/>
      <c r="T58" s="94"/>
      <c r="U58" s="543"/>
      <c r="V58" s="105"/>
      <c r="X58" s="313">
        <f>'1PROJE'!K12</f>
        <v>0</v>
      </c>
      <c r="Z58" s="112"/>
      <c r="AB58" s="547">
        <f>'1PROJE'!L12</f>
        <v>0</v>
      </c>
      <c r="AE58" s="532" t="s">
        <v>802</v>
      </c>
      <c r="AF58" s="532"/>
      <c r="AG58" s="532"/>
      <c r="AH58" s="533" t="e">
        <f>X67+HLOOKUP(V50,$BL$13:$BY$17,5,0)</f>
        <v>#N/A</v>
      </c>
      <c r="AI58" s="533"/>
    </row>
    <row r="59" spans="2:35" ht="20.100000000000001" customHeight="1">
      <c r="B59" s="94"/>
      <c r="C59" s="543"/>
      <c r="D59" s="105"/>
      <c r="E59" s="113"/>
      <c r="F59" s="312" t="str">
        <f>IF('1PROJE'!P11="VAR","BASKI"&amp;" "&amp;'1PROJE'!P11,"")</f>
        <v/>
      </c>
      <c r="G59" s="114"/>
      <c r="H59" s="106"/>
      <c r="J59" s="547"/>
      <c r="K59" s="104"/>
      <c r="M59" s="532"/>
      <c r="N59" s="532"/>
      <c r="O59" s="532"/>
      <c r="P59" s="533"/>
      <c r="Q59" s="533"/>
      <c r="T59" s="94"/>
      <c r="U59" s="543"/>
      <c r="V59" s="105"/>
      <c r="W59" s="113"/>
      <c r="X59" s="312" t="str">
        <f>IF('1PROJE'!P12="VAR","BASKI"&amp;" "&amp;'1PROJE'!P12,"")</f>
        <v/>
      </c>
      <c r="Y59" s="114"/>
      <c r="Z59" s="106"/>
      <c r="AB59" s="547"/>
      <c r="AC59" s="104"/>
      <c r="AE59" s="532"/>
      <c r="AF59" s="532"/>
      <c r="AG59" s="532"/>
      <c r="AH59" s="533"/>
      <c r="AI59" s="533"/>
    </row>
    <row r="60" spans="2:35" ht="12.95" customHeight="1">
      <c r="B60" s="94"/>
      <c r="C60" s="543"/>
      <c r="D60" s="105"/>
      <c r="E60" s="113"/>
      <c r="F60" s="507"/>
      <c r="G60" s="114"/>
      <c r="H60" s="115"/>
      <c r="J60" s="547"/>
      <c r="K60" s="116"/>
      <c r="M60" s="123"/>
      <c r="N60" s="123"/>
      <c r="O60" s="123"/>
      <c r="P60" s="127"/>
      <c r="Q60" s="127"/>
      <c r="T60" s="94"/>
      <c r="U60" s="543"/>
      <c r="V60" s="105"/>
      <c r="W60" s="113"/>
      <c r="X60" s="507"/>
      <c r="Y60" s="114"/>
      <c r="Z60" s="115"/>
      <c r="AB60" s="547"/>
      <c r="AC60" s="116"/>
      <c r="AE60" s="123"/>
      <c r="AF60" s="123"/>
      <c r="AG60" s="123"/>
      <c r="AH60" s="127"/>
      <c r="AI60" s="127"/>
    </row>
    <row r="61" spans="2:35" ht="30" customHeight="1">
      <c r="B61" s="94"/>
      <c r="C61" s="502" t="s">
        <v>903</v>
      </c>
      <c r="D61" s="105"/>
      <c r="E61" s="113"/>
      <c r="F61" s="507"/>
      <c r="G61" s="114"/>
      <c r="H61" s="115"/>
      <c r="J61" s="547"/>
      <c r="K61" s="111"/>
      <c r="M61" s="524" t="s">
        <v>803</v>
      </c>
      <c r="N61" s="524"/>
      <c r="O61" s="524"/>
      <c r="P61" s="524"/>
      <c r="Q61" s="524"/>
      <c r="T61" s="94"/>
      <c r="U61" s="502" t="s">
        <v>903</v>
      </c>
      <c r="V61" s="105"/>
      <c r="W61" s="113"/>
      <c r="X61" s="507"/>
      <c r="Y61" s="114"/>
      <c r="Z61" s="115"/>
      <c r="AB61" s="547"/>
      <c r="AC61" s="111"/>
      <c r="AE61" s="524" t="s">
        <v>803</v>
      </c>
      <c r="AF61" s="524"/>
      <c r="AG61" s="524"/>
      <c r="AH61" s="524"/>
      <c r="AI61" s="524"/>
    </row>
    <row r="62" spans="2:35" ht="30" customHeight="1">
      <c r="B62" s="94"/>
      <c r="C62" s="502"/>
      <c r="D62" s="118"/>
      <c r="E62" s="113"/>
      <c r="F62" s="507"/>
      <c r="G62" s="114"/>
      <c r="H62" s="115"/>
      <c r="J62" s="242" t="s">
        <v>367</v>
      </c>
      <c r="K62" s="104"/>
      <c r="M62" s="525" t="s">
        <v>21</v>
      </c>
      <c r="N62" s="525"/>
      <c r="O62" s="525"/>
      <c r="P62" s="525"/>
      <c r="Q62" s="311" t="s">
        <v>22</v>
      </c>
      <c r="T62" s="94"/>
      <c r="U62" s="502"/>
      <c r="V62" s="118"/>
      <c r="W62" s="113"/>
      <c r="X62" s="507"/>
      <c r="Y62" s="114"/>
      <c r="Z62" s="115"/>
      <c r="AB62" s="242"/>
      <c r="AC62" s="104"/>
      <c r="AE62" s="525" t="s">
        <v>21</v>
      </c>
      <c r="AF62" s="525"/>
      <c r="AG62" s="525"/>
      <c r="AH62" s="525"/>
      <c r="AI62" s="311" t="s">
        <v>22</v>
      </c>
    </row>
    <row r="63" spans="2:35" s="98" customFormat="1" ht="39.950000000000003" customHeight="1" thickBot="1">
      <c r="B63" s="132"/>
      <c r="C63" s="502"/>
      <c r="D63" s="133"/>
      <c r="F63" s="131"/>
      <c r="G63" s="131"/>
      <c r="H63" s="134"/>
      <c r="J63" s="583">
        <f>'1PROJE'!N11</f>
        <v>0</v>
      </c>
      <c r="K63" s="104"/>
      <c r="M63" s="526" t="e">
        <f>F67+HLOOKUP(D50,$BL$13:$BY$19,6,0)</f>
        <v>#N/A</v>
      </c>
      <c r="N63" s="527"/>
      <c r="O63" s="527"/>
      <c r="P63" s="528"/>
      <c r="Q63" s="523" t="e">
        <f>C57+HLOOKUP(D50,$BL$13:$BY$19,7,0)</f>
        <v>#N/A</v>
      </c>
      <c r="T63" s="132"/>
      <c r="U63" s="502"/>
      <c r="V63" s="133"/>
      <c r="X63" s="131"/>
      <c r="Y63" s="131"/>
      <c r="Z63" s="134"/>
      <c r="AB63" s="583"/>
      <c r="AC63" s="104"/>
      <c r="AE63" s="526" t="e">
        <f>X67+HLOOKUP(V50,$BL$13:$BY$19,6,0)</f>
        <v>#N/A</v>
      </c>
      <c r="AF63" s="527"/>
      <c r="AG63" s="527"/>
      <c r="AH63" s="528"/>
      <c r="AI63" s="523" t="e">
        <f>U57+HLOOKUP(V50,$BL$13:$BY$19,7,0)</f>
        <v>#N/A</v>
      </c>
    </row>
    <row r="64" spans="2:35" s="98" customFormat="1" ht="8.4499999999999993" customHeight="1" thickBot="1">
      <c r="B64" s="132"/>
      <c r="C64" s="502"/>
      <c r="D64" s="133"/>
      <c r="E64" s="135"/>
      <c r="F64" s="136"/>
      <c r="G64" s="137"/>
      <c r="H64" s="133"/>
      <c r="J64" s="583"/>
      <c r="M64" s="529"/>
      <c r="N64" s="530"/>
      <c r="O64" s="530"/>
      <c r="P64" s="531"/>
      <c r="Q64" s="523"/>
      <c r="T64" s="132"/>
      <c r="U64" s="502"/>
      <c r="V64" s="133"/>
      <c r="W64" s="135"/>
      <c r="X64" s="136"/>
      <c r="Y64" s="137"/>
      <c r="Z64" s="133"/>
      <c r="AB64" s="583"/>
      <c r="AE64" s="529"/>
      <c r="AF64" s="530"/>
      <c r="AG64" s="530"/>
      <c r="AH64" s="531"/>
      <c r="AI64" s="523"/>
    </row>
    <row r="65" spans="2:63" ht="1.5" customHeight="1" thickBot="1">
      <c r="B65" s="94"/>
      <c r="C65" s="502"/>
      <c r="D65" s="119"/>
      <c r="H65" s="119"/>
      <c r="J65" s="583"/>
      <c r="P65" s="88"/>
      <c r="Q65" s="88"/>
      <c r="T65" s="94"/>
      <c r="U65" s="502"/>
      <c r="V65" s="119"/>
      <c r="Z65" s="119"/>
      <c r="AB65" s="583"/>
      <c r="AH65" s="88"/>
      <c r="AI65" s="88"/>
    </row>
    <row r="66" spans="2:63" ht="16.5" customHeight="1">
      <c r="B66" s="94"/>
      <c r="J66" s="583"/>
      <c r="P66" s="88"/>
      <c r="Q66" s="88"/>
      <c r="T66" s="94"/>
      <c r="AB66" s="583"/>
      <c r="AH66" s="88"/>
      <c r="AI66" s="88"/>
    </row>
    <row r="67" spans="2:63" ht="20.100000000000001" customHeight="1">
      <c r="B67" s="94"/>
      <c r="D67" s="237" t="s">
        <v>847</v>
      </c>
      <c r="E67" s="239" t="s">
        <v>848</v>
      </c>
      <c r="F67" s="339">
        <f>xHesaplama!X31</f>
        <v>0</v>
      </c>
      <c r="G67" s="240" t="s">
        <v>848</v>
      </c>
      <c r="H67" s="87" t="s">
        <v>849</v>
      </c>
      <c r="J67" s="93"/>
      <c r="M67" s="522" t="str">
        <f>IFERROR(INDEX('Poz Reçete'!A167:H205,MATCH("78BOR",'Poz Reçete'!D167:D205,0),1),"//////////////////////////////")</f>
        <v>//////////////////////////////</v>
      </c>
      <c r="N67" s="522"/>
      <c r="O67" s="522"/>
      <c r="P67" s="522"/>
      <c r="Q67" s="522"/>
      <c r="T67" s="94"/>
      <c r="V67" s="237" t="s">
        <v>847</v>
      </c>
      <c r="W67" s="239" t="s">
        <v>848</v>
      </c>
      <c r="X67" s="339">
        <f>xHesaplama!X32</f>
        <v>0</v>
      </c>
      <c r="Y67" s="240" t="s">
        <v>848</v>
      </c>
      <c r="Z67" s="87" t="s">
        <v>849</v>
      </c>
      <c r="AB67" s="93"/>
      <c r="AE67" s="522" t="str">
        <f>IFERROR(INDEX('Poz Reçete'!A208:H246,MATCH("78BOR",'Poz Reçete'!D208:D246,0),1),"//////////////////////////////")</f>
        <v>//////////////////////////////</v>
      </c>
      <c r="AF67" s="522"/>
      <c r="AG67" s="522"/>
      <c r="AH67" s="522"/>
      <c r="AI67" s="522"/>
    </row>
    <row r="68" spans="2:63" ht="16.5" customHeight="1">
      <c r="B68" s="120"/>
      <c r="C68" s="121"/>
      <c r="D68" s="121"/>
      <c r="E68" s="121"/>
      <c r="F68" s="121"/>
      <c r="G68" s="121"/>
      <c r="H68" s="121"/>
      <c r="I68" s="121"/>
      <c r="J68" s="122"/>
      <c r="M68" s="522" t="str">
        <f>IFERROR(INDEX('Poz Reçete'!A167:H205,MATCH("100BOR",'Poz Reçete'!D167:D205,0),1),"//////////////////////////////")</f>
        <v>//////////////////////////////</v>
      </c>
      <c r="N68" s="522"/>
      <c r="O68" s="522"/>
      <c r="P68" s="522"/>
      <c r="Q68" s="522"/>
      <c r="T68" s="120"/>
      <c r="U68" s="121"/>
      <c r="V68" s="121"/>
      <c r="W68" s="121"/>
      <c r="X68" s="121"/>
      <c r="Y68" s="121"/>
      <c r="Z68" s="121"/>
      <c r="AA68" s="121"/>
      <c r="AB68" s="122"/>
      <c r="AE68" s="522" t="str">
        <f>IFERROR(INDEX('Poz Reçete'!A208:H246,MATCH("100BOR",'Poz Reçete'!D208:D246,0),1),"//////////////////////////////")</f>
        <v>//////////////////////////////</v>
      </c>
      <c r="AF68" s="522"/>
      <c r="AG68" s="522"/>
      <c r="AH68" s="522"/>
      <c r="AI68" s="522"/>
    </row>
    <row r="69" spans="2:63" ht="24.95" customHeight="1">
      <c r="P69" s="88"/>
      <c r="Q69" s="88"/>
      <c r="AH69" s="88"/>
      <c r="AI69" s="88"/>
    </row>
    <row r="70" spans="2:63" ht="23.1" customHeight="1">
      <c r="B70" s="130" t="s">
        <v>823</v>
      </c>
      <c r="C70" s="300">
        <f>'1PROJE'!B13</f>
        <v>7</v>
      </c>
      <c r="D70" s="548">
        <f>'1PROJE'!C13</f>
        <v>0</v>
      </c>
      <c r="E70" s="549"/>
      <c r="F70" s="549"/>
      <c r="G70" s="549"/>
      <c r="H70" s="549"/>
      <c r="I70" s="549"/>
      <c r="J70" s="550"/>
      <c r="K70" s="124"/>
      <c r="L70" s="124"/>
      <c r="M70" s="125"/>
      <c r="N70" s="125"/>
      <c r="O70" s="125"/>
      <c r="P70" s="125"/>
      <c r="Q70" s="125"/>
      <c r="T70" s="130" t="s">
        <v>823</v>
      </c>
      <c r="U70" s="300">
        <f>'1PROJE'!B14</f>
        <v>8</v>
      </c>
      <c r="V70" s="548">
        <f>'1PROJE'!C14</f>
        <v>0</v>
      </c>
      <c r="W70" s="549"/>
      <c r="X70" s="549"/>
      <c r="Y70" s="549"/>
      <c r="Z70" s="549"/>
      <c r="AA70" s="549"/>
      <c r="AB70" s="550"/>
      <c r="AC70" s="124"/>
      <c r="AD70" s="124"/>
      <c r="AE70" s="125"/>
      <c r="AF70" s="125"/>
      <c r="AG70" s="125"/>
      <c r="AH70" s="125"/>
      <c r="AI70" s="125"/>
    </row>
    <row r="71" spans="2:63" ht="39.950000000000003" customHeight="1">
      <c r="B71" s="90"/>
      <c r="C71" s="316">
        <f>'1PROJE'!D13</f>
        <v>0</v>
      </c>
      <c r="D71" s="584" t="s">
        <v>357</v>
      </c>
      <c r="E71" s="584"/>
      <c r="F71" s="585" t="s">
        <v>365</v>
      </c>
      <c r="G71" s="585"/>
      <c r="H71" s="92"/>
      <c r="J71" s="271" t="str">
        <f>IF('1PROJE'!T13="", "", '1PROJE'!T13)</f>
        <v/>
      </c>
      <c r="M71" s="532" t="s">
        <v>799</v>
      </c>
      <c r="N71" s="532"/>
      <c r="O71" s="532"/>
      <c r="P71" s="523" t="e">
        <f>F87+HLOOKUP(D70,$BL$13:$BY$17,2,0)</f>
        <v>#N/A</v>
      </c>
      <c r="Q71" s="523"/>
      <c r="T71" s="90"/>
      <c r="U71" s="316">
        <f>'1PROJE'!D14</f>
        <v>0</v>
      </c>
      <c r="V71" s="584" t="s">
        <v>357</v>
      </c>
      <c r="W71" s="584"/>
      <c r="X71" s="585" t="s">
        <v>365</v>
      </c>
      <c r="Y71" s="585"/>
      <c r="Z71" s="92"/>
      <c r="AB71" s="271" t="str">
        <f>IF('1PROJE'!T14="", "", '1PROJE'!T14)</f>
        <v/>
      </c>
      <c r="AE71" s="532" t="s">
        <v>799</v>
      </c>
      <c r="AF71" s="532"/>
      <c r="AG71" s="532"/>
      <c r="AH71" s="523" t="e">
        <f>X87+HLOOKUP(V70,$BL$13:$BY$17,2,0)</f>
        <v>#N/A</v>
      </c>
      <c r="AI71" s="523"/>
    </row>
    <row r="72" spans="2:63" ht="20.100000000000001" customHeight="1" thickBot="1">
      <c r="B72" s="94"/>
      <c r="C72" s="95"/>
      <c r="E72" s="551">
        <f>'1PROJE'!M13</f>
        <v>0</v>
      </c>
      <c r="F72" s="551"/>
      <c r="G72" s="551"/>
      <c r="H72" s="96"/>
      <c r="J72" s="93"/>
      <c r="M72" s="123"/>
      <c r="N72" s="123"/>
      <c r="O72" s="123"/>
      <c r="P72" s="128"/>
      <c r="Q72" s="128"/>
      <c r="T72" s="94"/>
      <c r="U72" s="95"/>
      <c r="W72" s="551">
        <f>'1PROJE'!M14</f>
        <v>0</v>
      </c>
      <c r="X72" s="551"/>
      <c r="Y72" s="551"/>
      <c r="Z72" s="96"/>
      <c r="AB72" s="93"/>
      <c r="AE72" s="123"/>
      <c r="AF72" s="123"/>
      <c r="AG72" s="123"/>
      <c r="AH72" s="128"/>
      <c r="AI72" s="128"/>
    </row>
    <row r="73" spans="2:63" ht="39.950000000000003" customHeight="1" thickBot="1">
      <c r="B73" s="94"/>
      <c r="C73" s="503" t="s">
        <v>905</v>
      </c>
      <c r="D73" s="99"/>
      <c r="E73" s="319" t="str">
        <f>IF(OR(E72="DIŞTAN BAKIŞ SOL",E72="İÇTEN BAKIŞ SAĞ"),"M","")</f>
        <v/>
      </c>
      <c r="F73" s="317" t="e">
        <f>VLOOKUP('1PROJE'!C13,'x Açılır Listeler'!$A$2:$B$15,2,0)</f>
        <v>#N/A</v>
      </c>
      <c r="G73" s="318" t="str">
        <f>IF(OR(E72="DIŞTAN BAKIŞ SAĞ",E72="İÇTEN BAKIŞ SOL"),"M","")</f>
        <v/>
      </c>
      <c r="H73" s="100"/>
      <c r="J73" s="315" t="s">
        <v>368</v>
      </c>
      <c r="M73" s="532" t="s">
        <v>800</v>
      </c>
      <c r="N73" s="532"/>
      <c r="O73" s="532"/>
      <c r="P73" s="533" t="e">
        <f>C77+HLOOKUP(D70,$BL$13:$BY$17,3,0)</f>
        <v>#N/A</v>
      </c>
      <c r="Q73" s="533"/>
      <c r="T73" s="94"/>
      <c r="U73" s="503" t="s">
        <v>905</v>
      </c>
      <c r="V73" s="99"/>
      <c r="W73" s="319" t="str">
        <f>IF(OR(W72="DIŞTAN BAKIŞ SOL",W72="İÇTEN BAKIŞ SAĞ"),"M","")</f>
        <v/>
      </c>
      <c r="X73" s="317" t="e">
        <f>VLOOKUP('1PROJE'!C14,'x Açılır Listeler'!$A$2:$B$15,2,0)</f>
        <v>#N/A</v>
      </c>
      <c r="Y73" s="318" t="str">
        <f>IF(OR(W72="DIŞTAN BAKIŞ SAĞ",W72="İÇTEN BAKIŞ SOL"),"M","")</f>
        <v/>
      </c>
      <c r="Z73" s="100"/>
      <c r="AB73" s="315" t="s">
        <v>368</v>
      </c>
      <c r="AE73" s="532" t="s">
        <v>800</v>
      </c>
      <c r="AF73" s="532"/>
      <c r="AG73" s="532"/>
      <c r="AH73" s="533" t="e">
        <f>U77+HLOOKUP(V70,$BL$13:$BY$17,3,0)</f>
        <v>#N/A</v>
      </c>
      <c r="AI73" s="533"/>
    </row>
    <row r="74" spans="2:63" ht="12.95" customHeight="1">
      <c r="B74" s="94"/>
      <c r="C74" s="503"/>
      <c r="D74" s="102"/>
      <c r="H74" s="103"/>
      <c r="J74" s="534">
        <f>'1PROJE'!H13</f>
        <v>0</v>
      </c>
      <c r="K74" s="104"/>
      <c r="M74" s="123"/>
      <c r="N74" s="123"/>
      <c r="O74" s="123"/>
      <c r="P74" s="128"/>
      <c r="Q74" s="128"/>
      <c r="T74" s="94"/>
      <c r="U74" s="503"/>
      <c r="V74" s="102"/>
      <c r="Z74" s="103"/>
      <c r="AB74" s="534">
        <f>'1PROJE'!H14</f>
        <v>0</v>
      </c>
      <c r="AC74" s="104"/>
      <c r="AE74" s="123"/>
      <c r="AF74" s="123"/>
      <c r="AG74" s="123"/>
      <c r="AH74" s="128"/>
      <c r="AI74" s="128"/>
    </row>
    <row r="75" spans="2:63" ht="20.100000000000001" customHeight="1">
      <c r="B75" s="94"/>
      <c r="C75" s="503"/>
      <c r="D75" s="105"/>
      <c r="E75" s="586">
        <f>'1PROJE'!I13</f>
        <v>0</v>
      </c>
      <c r="F75" s="587"/>
      <c r="G75" s="588"/>
      <c r="H75" s="106"/>
      <c r="J75" s="534"/>
      <c r="K75" s="104"/>
      <c r="M75" s="535" t="s">
        <v>801</v>
      </c>
      <c r="N75" s="536"/>
      <c r="O75" s="537"/>
      <c r="P75" s="533" t="e">
        <f>F87+HLOOKUP(D70,$BL$13:$BY$17,4,0)</f>
        <v>#N/A</v>
      </c>
      <c r="Q75" s="533"/>
      <c r="T75" s="94"/>
      <c r="U75" s="503"/>
      <c r="V75" s="105"/>
      <c r="W75" s="586">
        <f>'1PROJE'!I14</f>
        <v>0</v>
      </c>
      <c r="X75" s="587"/>
      <c r="Y75" s="588"/>
      <c r="Z75" s="106"/>
      <c r="AB75" s="534"/>
      <c r="AC75" s="104"/>
      <c r="AE75" s="535" t="s">
        <v>801</v>
      </c>
      <c r="AF75" s="536"/>
      <c r="AG75" s="537"/>
      <c r="AH75" s="533" t="e">
        <f>X87+HLOOKUP(V70,$BL$13:$BY$17,4,0)</f>
        <v>#N/A</v>
      </c>
      <c r="AI75" s="533"/>
    </row>
    <row r="76" spans="2:63" ht="20.100000000000001" customHeight="1">
      <c r="B76" s="90"/>
      <c r="C76" s="503"/>
      <c r="D76" s="105"/>
      <c r="E76" s="586"/>
      <c r="F76" s="587"/>
      <c r="G76" s="588"/>
      <c r="H76" s="107"/>
      <c r="J76" s="534"/>
      <c r="K76" s="109"/>
      <c r="M76" s="538"/>
      <c r="N76" s="539"/>
      <c r="O76" s="540"/>
      <c r="P76" s="533"/>
      <c r="Q76" s="533"/>
      <c r="T76" s="90"/>
      <c r="U76" s="503"/>
      <c r="V76" s="105"/>
      <c r="W76" s="586"/>
      <c r="X76" s="587"/>
      <c r="Y76" s="588"/>
      <c r="Z76" s="107"/>
      <c r="AB76" s="534"/>
      <c r="AC76" s="109"/>
      <c r="AE76" s="538"/>
      <c r="AF76" s="539"/>
      <c r="AG76" s="540"/>
      <c r="AH76" s="533"/>
      <c r="AI76" s="533"/>
      <c r="BK76" s="87" t="s">
        <v>822</v>
      </c>
    </row>
    <row r="77" spans="2:63" ht="12.95" customHeight="1">
      <c r="B77" s="94"/>
      <c r="C77" s="543">
        <f>xHesaplama!Y33</f>
        <v>0</v>
      </c>
      <c r="D77" s="105"/>
      <c r="E77" s="586"/>
      <c r="F77" s="587"/>
      <c r="G77" s="588"/>
      <c r="H77" s="107"/>
      <c r="J77" s="314" t="s">
        <v>366</v>
      </c>
      <c r="K77" s="111"/>
      <c r="M77" s="123"/>
      <c r="N77" s="123"/>
      <c r="O77" s="123"/>
      <c r="P77" s="128"/>
      <c r="Q77" s="128"/>
      <c r="T77" s="94"/>
      <c r="U77" s="543">
        <f>xHesaplama!Y34</f>
        <v>0</v>
      </c>
      <c r="V77" s="105"/>
      <c r="W77" s="586"/>
      <c r="X77" s="587"/>
      <c r="Y77" s="588"/>
      <c r="Z77" s="107"/>
      <c r="AB77" s="314" t="s">
        <v>366</v>
      </c>
      <c r="AC77" s="111"/>
      <c r="AE77" s="123"/>
      <c r="AF77" s="123"/>
      <c r="AG77" s="123"/>
      <c r="AH77" s="128"/>
      <c r="AI77" s="128"/>
    </row>
    <row r="78" spans="2:63" ht="20.100000000000001" customHeight="1">
      <c r="B78" s="94"/>
      <c r="C78" s="543"/>
      <c r="D78" s="105"/>
      <c r="F78" s="313">
        <f>'1PROJE'!K13</f>
        <v>0</v>
      </c>
      <c r="H78" s="112"/>
      <c r="J78" s="547">
        <f>'1PROJE'!L13</f>
        <v>0</v>
      </c>
      <c r="M78" s="532" t="s">
        <v>802</v>
      </c>
      <c r="N78" s="532"/>
      <c r="O78" s="532"/>
      <c r="P78" s="533" t="e">
        <f>F87+HLOOKUP(D70,$BL$13:$BY$17,5,0)</f>
        <v>#N/A</v>
      </c>
      <c r="Q78" s="533"/>
      <c r="T78" s="94"/>
      <c r="U78" s="543"/>
      <c r="V78" s="105"/>
      <c r="X78" s="313">
        <f>'1PROJE'!K14</f>
        <v>0</v>
      </c>
      <c r="Z78" s="112"/>
      <c r="AB78" s="547">
        <f>'1PROJE'!L14</f>
        <v>0</v>
      </c>
      <c r="AE78" s="532" t="s">
        <v>802</v>
      </c>
      <c r="AF78" s="532"/>
      <c r="AG78" s="532"/>
      <c r="AH78" s="533" t="e">
        <f>X87+HLOOKUP(V70,$BL$13:$BY$17,5,0)</f>
        <v>#N/A</v>
      </c>
      <c r="AI78" s="533"/>
    </row>
    <row r="79" spans="2:63" ht="20.100000000000001" customHeight="1">
      <c r="B79" s="94"/>
      <c r="C79" s="543"/>
      <c r="D79" s="105"/>
      <c r="E79" s="113"/>
      <c r="F79" s="312" t="str">
        <f>IF('1PROJE'!P13="VAR","BASKI"&amp;" "&amp;'1PROJE'!P13,"")</f>
        <v/>
      </c>
      <c r="G79" s="114"/>
      <c r="H79" s="106"/>
      <c r="J79" s="547"/>
      <c r="K79" s="104"/>
      <c r="M79" s="532"/>
      <c r="N79" s="532"/>
      <c r="O79" s="532"/>
      <c r="P79" s="533"/>
      <c r="Q79" s="533"/>
      <c r="T79" s="94"/>
      <c r="U79" s="543"/>
      <c r="V79" s="105"/>
      <c r="W79" s="113"/>
      <c r="X79" s="312" t="str">
        <f>IF('1PROJE'!P14="VAR","BASKI"&amp;" "&amp;'1PROJE'!P14,"")</f>
        <v/>
      </c>
      <c r="Y79" s="114"/>
      <c r="Z79" s="106"/>
      <c r="AB79" s="547"/>
      <c r="AC79" s="104"/>
      <c r="AE79" s="532"/>
      <c r="AF79" s="532"/>
      <c r="AG79" s="532"/>
      <c r="AH79" s="533"/>
      <c r="AI79" s="533"/>
    </row>
    <row r="80" spans="2:63" ht="12.95" customHeight="1">
      <c r="B80" s="94"/>
      <c r="C80" s="543"/>
      <c r="D80" s="105"/>
      <c r="E80" s="113"/>
      <c r="F80" s="507"/>
      <c r="G80" s="114"/>
      <c r="H80" s="115"/>
      <c r="J80" s="547"/>
      <c r="K80" s="116"/>
      <c r="M80" s="123"/>
      <c r="N80" s="123"/>
      <c r="O80" s="123"/>
      <c r="P80" s="127"/>
      <c r="Q80" s="127"/>
      <c r="T80" s="94"/>
      <c r="U80" s="543"/>
      <c r="V80" s="105"/>
      <c r="W80" s="113"/>
      <c r="X80" s="507"/>
      <c r="Y80" s="114"/>
      <c r="Z80" s="115"/>
      <c r="AB80" s="547"/>
      <c r="AC80" s="116"/>
      <c r="AE80" s="123"/>
      <c r="AF80" s="123"/>
      <c r="AG80" s="123"/>
      <c r="AH80" s="127"/>
      <c r="AI80" s="127"/>
    </row>
    <row r="81" spans="2:35" ht="30" customHeight="1">
      <c r="B81" s="94"/>
      <c r="C81" s="502" t="s">
        <v>903</v>
      </c>
      <c r="D81" s="105"/>
      <c r="E81" s="113"/>
      <c r="F81" s="507"/>
      <c r="G81" s="114"/>
      <c r="H81" s="115"/>
      <c r="J81" s="547"/>
      <c r="K81" s="111"/>
      <c r="M81" s="524" t="s">
        <v>803</v>
      </c>
      <c r="N81" s="524"/>
      <c r="O81" s="524"/>
      <c r="P81" s="524"/>
      <c r="Q81" s="524"/>
      <c r="T81" s="94"/>
      <c r="U81" s="502" t="s">
        <v>903</v>
      </c>
      <c r="V81" s="105"/>
      <c r="W81" s="113"/>
      <c r="X81" s="507"/>
      <c r="Y81" s="114"/>
      <c r="Z81" s="115"/>
      <c r="AB81" s="547"/>
      <c r="AC81" s="111"/>
      <c r="AE81" s="524" t="s">
        <v>803</v>
      </c>
      <c r="AF81" s="524"/>
      <c r="AG81" s="524"/>
      <c r="AH81" s="524"/>
      <c r="AI81" s="524"/>
    </row>
    <row r="82" spans="2:35" ht="30" customHeight="1">
      <c r="B82" s="94"/>
      <c r="C82" s="502"/>
      <c r="D82" s="118"/>
      <c r="E82" s="113"/>
      <c r="F82" s="507"/>
      <c r="G82" s="114"/>
      <c r="H82" s="115"/>
      <c r="J82" s="242"/>
      <c r="K82" s="104"/>
      <c r="M82" s="525" t="s">
        <v>21</v>
      </c>
      <c r="N82" s="525"/>
      <c r="O82" s="525"/>
      <c r="P82" s="525"/>
      <c r="Q82" s="311" t="s">
        <v>22</v>
      </c>
      <c r="T82" s="94"/>
      <c r="U82" s="502"/>
      <c r="V82" s="118"/>
      <c r="W82" s="113"/>
      <c r="X82" s="507"/>
      <c r="Y82" s="114"/>
      <c r="Z82" s="115"/>
      <c r="AB82" s="242"/>
      <c r="AC82" s="104"/>
      <c r="AE82" s="525" t="s">
        <v>21</v>
      </c>
      <c r="AF82" s="525"/>
      <c r="AG82" s="525"/>
      <c r="AH82" s="525"/>
      <c r="AI82" s="311" t="s">
        <v>22</v>
      </c>
    </row>
    <row r="83" spans="2:35" s="98" customFormat="1" ht="39.950000000000003" customHeight="1" thickBot="1">
      <c r="B83" s="132"/>
      <c r="C83" s="502"/>
      <c r="D83" s="133"/>
      <c r="F83" s="131"/>
      <c r="G83" s="131"/>
      <c r="H83" s="134"/>
      <c r="J83" s="583"/>
      <c r="K83" s="104"/>
      <c r="M83" s="526" t="e">
        <f>F87+HLOOKUP(D70,$BL$13:$BY$19,6,0)</f>
        <v>#N/A</v>
      </c>
      <c r="N83" s="527"/>
      <c r="O83" s="527"/>
      <c r="P83" s="528"/>
      <c r="Q83" s="523" t="e">
        <f>C77+HLOOKUP(D70,$BL$13:$BY$19,7,0)</f>
        <v>#N/A</v>
      </c>
      <c r="T83" s="132"/>
      <c r="U83" s="502"/>
      <c r="V83" s="133"/>
      <c r="X83" s="131"/>
      <c r="Y83" s="131"/>
      <c r="Z83" s="134"/>
      <c r="AB83" s="583"/>
      <c r="AC83" s="104"/>
      <c r="AE83" s="526" t="e">
        <f>X87+HLOOKUP(V70,$BL$13:$BY$19,6,0)</f>
        <v>#N/A</v>
      </c>
      <c r="AF83" s="527"/>
      <c r="AG83" s="527"/>
      <c r="AH83" s="528"/>
      <c r="AI83" s="523" t="e">
        <f>U77+HLOOKUP(V70,$BL$13:$BY$19,7,0)</f>
        <v>#N/A</v>
      </c>
    </row>
    <row r="84" spans="2:35" s="98" customFormat="1" ht="8.4499999999999993" customHeight="1" thickBot="1">
      <c r="B84" s="132"/>
      <c r="C84" s="502"/>
      <c r="D84" s="133"/>
      <c r="E84" s="135"/>
      <c r="F84" s="136"/>
      <c r="G84" s="137"/>
      <c r="H84" s="133"/>
      <c r="J84" s="583"/>
      <c r="M84" s="529"/>
      <c r="N84" s="530"/>
      <c r="O84" s="530"/>
      <c r="P84" s="531"/>
      <c r="Q84" s="523"/>
      <c r="T84" s="132"/>
      <c r="U84" s="502"/>
      <c r="V84" s="133"/>
      <c r="W84" s="135"/>
      <c r="X84" s="136"/>
      <c r="Y84" s="137"/>
      <c r="Z84" s="133"/>
      <c r="AB84" s="583"/>
      <c r="AE84" s="529"/>
      <c r="AF84" s="530"/>
      <c r="AG84" s="530"/>
      <c r="AH84" s="531"/>
      <c r="AI84" s="523"/>
    </row>
    <row r="85" spans="2:35" ht="1.5" customHeight="1" thickBot="1">
      <c r="B85" s="94"/>
      <c r="C85" s="502"/>
      <c r="D85" s="119"/>
      <c r="H85" s="119"/>
      <c r="J85" s="583"/>
      <c r="P85" s="88"/>
      <c r="Q85" s="88"/>
      <c r="T85" s="94"/>
      <c r="U85" s="502"/>
      <c r="V85" s="119"/>
      <c r="Z85" s="119"/>
      <c r="AB85" s="583"/>
      <c r="AH85" s="88"/>
      <c r="AI85" s="88"/>
    </row>
    <row r="86" spans="2:35" ht="16.5" customHeight="1">
      <c r="B86" s="94"/>
      <c r="J86" s="583"/>
      <c r="P86" s="88"/>
      <c r="Q86" s="88"/>
      <c r="T86" s="94"/>
      <c r="AB86" s="583"/>
      <c r="AH86" s="88"/>
      <c r="AI86" s="88"/>
    </row>
    <row r="87" spans="2:35" ht="20.100000000000001" customHeight="1">
      <c r="B87" s="94"/>
      <c r="D87" s="237" t="s">
        <v>847</v>
      </c>
      <c r="E87" s="239" t="s">
        <v>848</v>
      </c>
      <c r="F87" s="339">
        <f>xHesaplama!X33</f>
        <v>0</v>
      </c>
      <c r="G87" s="240" t="s">
        <v>848</v>
      </c>
      <c r="H87" s="87" t="s">
        <v>849</v>
      </c>
      <c r="J87" s="93"/>
      <c r="M87" s="522" t="str">
        <f>IFERROR(INDEX('Poz Reçete'!A249:H287,MATCH("78BOR",'Poz Reçete'!D249:D287,0),1),"//////////////////////////////")</f>
        <v>//////////////////////////////</v>
      </c>
      <c r="N87" s="522"/>
      <c r="O87" s="522"/>
      <c r="P87" s="522"/>
      <c r="Q87" s="522"/>
      <c r="T87" s="94"/>
      <c r="V87" s="237" t="s">
        <v>847</v>
      </c>
      <c r="W87" s="239" t="s">
        <v>848</v>
      </c>
      <c r="X87" s="339">
        <f>xHesaplama!X34</f>
        <v>0</v>
      </c>
      <c r="Y87" s="240" t="s">
        <v>848</v>
      </c>
      <c r="Z87" s="87" t="s">
        <v>849</v>
      </c>
      <c r="AB87" s="93"/>
      <c r="AE87" s="522" t="str">
        <f>IFERROR(INDEX('Poz Reçete'!A290:H328,MATCH("78BOR",'Poz Reçete'!D290:D328,0),1),"//////////////////////////////")</f>
        <v>//////////////////////////////</v>
      </c>
      <c r="AF87" s="522"/>
      <c r="AG87" s="522"/>
      <c r="AH87" s="522"/>
      <c r="AI87" s="522"/>
    </row>
    <row r="88" spans="2:35" ht="16.5" customHeight="1">
      <c r="B88" s="120"/>
      <c r="C88" s="121"/>
      <c r="D88" s="121"/>
      <c r="E88" s="121"/>
      <c r="F88" s="121"/>
      <c r="G88" s="121"/>
      <c r="H88" s="121"/>
      <c r="I88" s="121"/>
      <c r="J88" s="122"/>
      <c r="M88" s="522" t="str">
        <f>IFERROR(INDEX('Poz Reçete'!A249:H287,MATCH("100BOR",'Poz Reçete'!D249:D287,0),1),"//////////////////////////////")</f>
        <v>//////////////////////////////</v>
      </c>
      <c r="N88" s="522"/>
      <c r="O88" s="522"/>
      <c r="P88" s="522"/>
      <c r="Q88" s="522"/>
      <c r="T88" s="120"/>
      <c r="U88" s="121"/>
      <c r="V88" s="121"/>
      <c r="W88" s="121"/>
      <c r="X88" s="121"/>
      <c r="Y88" s="121"/>
      <c r="Z88" s="121"/>
      <c r="AA88" s="121"/>
      <c r="AB88" s="122"/>
      <c r="AE88" s="522" t="str">
        <f>IFERROR(INDEX('Poz Reçete'!A290:H328,MATCH("100BOR",'Poz Reçete'!D290:D328,0),1),"//////////////////////////////")</f>
        <v>//////////////////////////////</v>
      </c>
      <c r="AF88" s="522"/>
      <c r="AG88" s="522"/>
      <c r="AH88" s="522"/>
      <c r="AI88" s="522"/>
    </row>
    <row r="89" spans="2:35" ht="15">
      <c r="AH89" s="88"/>
      <c r="AI89" s="88"/>
    </row>
    <row r="90" spans="2:35" ht="23.1" customHeight="1">
      <c r="AH90" s="88"/>
      <c r="AI90" s="88"/>
    </row>
    <row r="91" spans="2:35" ht="28.5" customHeight="1">
      <c r="AH91" s="88"/>
      <c r="AI91" s="88"/>
    </row>
    <row r="92" spans="2:35" ht="12.6" customHeight="1">
      <c r="AH92" s="88"/>
      <c r="AI92" s="88"/>
    </row>
    <row r="93" spans="2:35" ht="23.1" customHeight="1">
      <c r="B93" s="218" t="s">
        <v>823</v>
      </c>
      <c r="C93" s="300">
        <f>'1PROJE'!B15</f>
        <v>9</v>
      </c>
      <c r="D93" s="614">
        <f>'1PROJE'!C15</f>
        <v>0</v>
      </c>
      <c r="E93" s="615"/>
      <c r="F93" s="615"/>
      <c r="G93" s="615"/>
      <c r="H93" s="615"/>
      <c r="I93" s="615"/>
      <c r="J93" s="615"/>
      <c r="K93" s="615"/>
      <c r="L93" s="615"/>
      <c r="M93" s="615"/>
      <c r="N93" s="615"/>
      <c r="O93" s="125"/>
      <c r="P93" s="124"/>
      <c r="Q93" s="124"/>
      <c r="T93" s="218" t="s">
        <v>823</v>
      </c>
      <c r="U93" s="300">
        <f>'1PROJE'!B16</f>
        <v>10</v>
      </c>
      <c r="V93" s="548">
        <f>'1PROJE'!C16</f>
        <v>0</v>
      </c>
      <c r="W93" s="549"/>
      <c r="X93" s="549"/>
      <c r="Y93" s="549"/>
      <c r="Z93" s="549"/>
      <c r="AA93" s="549"/>
      <c r="AB93" s="550"/>
      <c r="AC93" s="124"/>
      <c r="AD93" s="124"/>
      <c r="AE93" s="125"/>
      <c r="AF93" s="125"/>
      <c r="AG93" s="125"/>
      <c r="AH93" s="124"/>
      <c r="AI93" s="124"/>
    </row>
    <row r="94" spans="2:35" ht="39.950000000000003" customHeight="1">
      <c r="B94" s="90"/>
      <c r="C94" s="316">
        <f>'1PROJE'!D15</f>
        <v>0</v>
      </c>
      <c r="D94" s="584" t="s">
        <v>357</v>
      </c>
      <c r="E94" s="584"/>
      <c r="F94" s="585" t="s">
        <v>365</v>
      </c>
      <c r="G94" s="585"/>
      <c r="H94" s="92"/>
      <c r="J94" s="271" t="str">
        <f>IF('1PROJE'!T15="", "", '1PROJE'!T15)</f>
        <v/>
      </c>
      <c r="M94" s="532" t="s">
        <v>799</v>
      </c>
      <c r="N94" s="532"/>
      <c r="O94" s="532"/>
      <c r="P94" s="523" t="e">
        <f>F110+HLOOKUP(D93,$BL$13:$BY$17,2,0)</f>
        <v>#N/A</v>
      </c>
      <c r="Q94" s="523"/>
      <c r="T94" s="90"/>
      <c r="U94" s="316">
        <f>'1PROJE'!D16</f>
        <v>0</v>
      </c>
      <c r="V94" s="584" t="s">
        <v>357</v>
      </c>
      <c r="W94" s="584"/>
      <c r="X94" s="585" t="s">
        <v>365</v>
      </c>
      <c r="Y94" s="585"/>
      <c r="Z94" s="92"/>
      <c r="AB94" s="271" t="str">
        <f>IF('1PROJE'!T16="", "", '1PROJE'!T16)</f>
        <v/>
      </c>
      <c r="AE94" s="532" t="s">
        <v>799</v>
      </c>
      <c r="AF94" s="532"/>
      <c r="AG94" s="532"/>
      <c r="AH94" s="523" t="e">
        <f>X110+HLOOKUP(V93,$BL$13:$BY$17,2,0)</f>
        <v>#N/A</v>
      </c>
      <c r="AI94" s="523"/>
    </row>
    <row r="95" spans="2:35" ht="20.100000000000001" customHeight="1" thickBot="1">
      <c r="B95" s="94"/>
      <c r="C95" s="95"/>
      <c r="E95" s="551">
        <f>'1PROJE'!M15</f>
        <v>0</v>
      </c>
      <c r="F95" s="551"/>
      <c r="G95" s="551"/>
      <c r="H95" s="96"/>
      <c r="J95" s="93"/>
      <c r="M95" s="123"/>
      <c r="N95" s="123"/>
      <c r="O95" s="123"/>
      <c r="P95" s="219"/>
      <c r="Q95" s="219"/>
      <c r="T95" s="94"/>
      <c r="U95" s="95"/>
      <c r="W95" s="551">
        <f>'1PROJE'!M16</f>
        <v>0</v>
      </c>
      <c r="X95" s="551"/>
      <c r="Y95" s="551"/>
      <c r="Z95" s="96"/>
      <c r="AB95" s="93"/>
      <c r="AE95" s="123"/>
      <c r="AF95" s="123"/>
      <c r="AG95" s="123"/>
      <c r="AH95" s="219"/>
      <c r="AI95" s="219"/>
    </row>
    <row r="96" spans="2:35" ht="39.950000000000003" customHeight="1" thickBot="1">
      <c r="B96" s="94"/>
      <c r="C96" s="503" t="s">
        <v>853</v>
      </c>
      <c r="D96" s="99"/>
      <c r="E96" s="319" t="str">
        <f>IF(OR(E95="DIŞTAN BAKIŞ SOL",E95="İÇTEN BAKIŞ SAĞ"),"M","")</f>
        <v/>
      </c>
      <c r="F96" s="317" t="e">
        <f>VLOOKUP('1PROJE'!C15,'x Açılır Listeler'!$A$2:$B$15,2,0)</f>
        <v>#N/A</v>
      </c>
      <c r="G96" s="318" t="str">
        <f>IF(OR(E95="DIŞTAN BAKIŞ SAĞ",E95="İÇTEN BAKIŞ SOL"),"M","")</f>
        <v/>
      </c>
      <c r="H96" s="100"/>
      <c r="J96" s="315" t="s">
        <v>368</v>
      </c>
      <c r="M96" s="532" t="s">
        <v>800</v>
      </c>
      <c r="N96" s="532"/>
      <c r="O96" s="532"/>
      <c r="P96" s="533" t="e">
        <f>C100+HLOOKUP(D93,$BL$13:$BY$17,3,0)</f>
        <v>#N/A</v>
      </c>
      <c r="Q96" s="533"/>
      <c r="T96" s="94"/>
      <c r="U96" s="503" t="s">
        <v>853</v>
      </c>
      <c r="V96" s="99"/>
      <c r="W96" s="319" t="str">
        <f>IF(OR(W95="DIŞTAN BAKIŞ SOL",W95="İÇTEN BAKIŞ SAĞ"),"M","")</f>
        <v/>
      </c>
      <c r="X96" s="317" t="e">
        <f>VLOOKUP('1PROJE'!C16,'x Açılır Listeler'!$A$2:$B$15,2,0)</f>
        <v>#N/A</v>
      </c>
      <c r="Y96" s="318" t="str">
        <f>IF(OR(W95="DIŞTAN BAKIŞ SAĞ",W95="İÇTEN BAKIŞ SOL"),"M","")</f>
        <v/>
      </c>
      <c r="Z96" s="100"/>
      <c r="AB96" s="315" t="s">
        <v>368</v>
      </c>
      <c r="AE96" s="532" t="s">
        <v>800</v>
      </c>
      <c r="AF96" s="532"/>
      <c r="AG96" s="532"/>
      <c r="AH96" s="533" t="e">
        <f>U100+HLOOKUP(V93,$BL$13:$BY$17,3,0)</f>
        <v>#N/A</v>
      </c>
      <c r="AI96" s="533"/>
    </row>
    <row r="97" spans="2:35" ht="12.75" customHeight="1">
      <c r="B97" s="94"/>
      <c r="C97" s="503"/>
      <c r="D97" s="102"/>
      <c r="H97" s="103"/>
      <c r="J97" s="534">
        <f>'1PROJE'!H15</f>
        <v>0</v>
      </c>
      <c r="K97" s="104"/>
      <c r="M97" s="123"/>
      <c r="N97" s="123"/>
      <c r="O97" s="123"/>
      <c r="P97" s="219"/>
      <c r="Q97" s="219"/>
      <c r="T97" s="94"/>
      <c r="U97" s="503"/>
      <c r="V97" s="102"/>
      <c r="Z97" s="103"/>
      <c r="AB97" s="534">
        <f>'1PROJE'!H16</f>
        <v>0</v>
      </c>
      <c r="AC97" s="104"/>
      <c r="AE97" s="123"/>
      <c r="AF97" s="123"/>
      <c r="AG97" s="123"/>
      <c r="AH97" s="219"/>
      <c r="AI97" s="219"/>
    </row>
    <row r="98" spans="2:35" ht="20.100000000000001" customHeight="1">
      <c r="B98" s="94"/>
      <c r="C98" s="503"/>
      <c r="D98" s="105"/>
      <c r="E98" s="586">
        <f>'1PROJE'!I15</f>
        <v>0</v>
      </c>
      <c r="F98" s="587"/>
      <c r="G98" s="588"/>
      <c r="H98" s="106"/>
      <c r="J98" s="534"/>
      <c r="K98" s="104"/>
      <c r="M98" s="535" t="s">
        <v>801</v>
      </c>
      <c r="N98" s="536"/>
      <c r="O98" s="537"/>
      <c r="P98" s="533" t="e">
        <f>F110+HLOOKUP(D93,$BL$13:$BY$17,4,0)</f>
        <v>#N/A</v>
      </c>
      <c r="Q98" s="533"/>
      <c r="T98" s="94"/>
      <c r="U98" s="503"/>
      <c r="V98" s="105"/>
      <c r="W98" s="586">
        <f>'1PROJE'!I16</f>
        <v>0</v>
      </c>
      <c r="X98" s="587"/>
      <c r="Y98" s="588"/>
      <c r="Z98" s="106"/>
      <c r="AB98" s="534"/>
      <c r="AC98" s="104"/>
      <c r="AE98" s="535" t="s">
        <v>801</v>
      </c>
      <c r="AF98" s="536"/>
      <c r="AG98" s="537"/>
      <c r="AH98" s="533" t="e">
        <f>X110+HLOOKUP(V93,$BL$13:$BY$17,4,0)</f>
        <v>#N/A</v>
      </c>
      <c r="AI98" s="533"/>
    </row>
    <row r="99" spans="2:35" ht="20.100000000000001" customHeight="1">
      <c r="B99" s="90"/>
      <c r="C99" s="503"/>
      <c r="D99" s="105"/>
      <c r="E99" s="586"/>
      <c r="F99" s="587"/>
      <c r="G99" s="588"/>
      <c r="H99" s="107"/>
      <c r="J99" s="534"/>
      <c r="K99" s="109"/>
      <c r="M99" s="538"/>
      <c r="N99" s="539"/>
      <c r="O99" s="540"/>
      <c r="P99" s="533"/>
      <c r="Q99" s="533"/>
      <c r="T99" s="90"/>
      <c r="U99" s="503"/>
      <c r="V99" s="105"/>
      <c r="W99" s="586"/>
      <c r="X99" s="587"/>
      <c r="Y99" s="588"/>
      <c r="Z99" s="107"/>
      <c r="AB99" s="534"/>
      <c r="AC99" s="109"/>
      <c r="AE99" s="538"/>
      <c r="AF99" s="539"/>
      <c r="AG99" s="540"/>
      <c r="AH99" s="533"/>
      <c r="AI99" s="533"/>
    </row>
    <row r="100" spans="2:35" ht="12.95" customHeight="1">
      <c r="B100" s="94"/>
      <c r="C100" s="543">
        <f>xHesaplama!Y35</f>
        <v>0</v>
      </c>
      <c r="D100" s="105"/>
      <c r="E100" s="586"/>
      <c r="F100" s="587"/>
      <c r="G100" s="588"/>
      <c r="H100" s="107"/>
      <c r="J100" s="314" t="s">
        <v>366</v>
      </c>
      <c r="K100" s="111"/>
      <c r="M100" s="123"/>
      <c r="N100" s="123"/>
      <c r="O100" s="123"/>
      <c r="P100" s="219"/>
      <c r="Q100" s="219"/>
      <c r="T100" s="94"/>
      <c r="U100" s="543">
        <f>xHesaplama!Y36</f>
        <v>0</v>
      </c>
      <c r="V100" s="105"/>
      <c r="W100" s="586"/>
      <c r="X100" s="587"/>
      <c r="Y100" s="588"/>
      <c r="Z100" s="107"/>
      <c r="AB100" s="314" t="s">
        <v>366</v>
      </c>
      <c r="AC100" s="111"/>
      <c r="AE100" s="123"/>
      <c r="AF100" s="123"/>
      <c r="AG100" s="123"/>
      <c r="AH100" s="219"/>
      <c r="AI100" s="219"/>
    </row>
    <row r="101" spans="2:35" ht="20.100000000000001" customHeight="1">
      <c r="B101" s="94"/>
      <c r="C101" s="543"/>
      <c r="D101" s="105"/>
      <c r="F101" s="313">
        <f>'1PROJE'!K15</f>
        <v>0</v>
      </c>
      <c r="H101" s="112"/>
      <c r="J101" s="547">
        <f>'1PROJE'!L15</f>
        <v>0</v>
      </c>
      <c r="M101" s="532" t="s">
        <v>802</v>
      </c>
      <c r="N101" s="532"/>
      <c r="O101" s="532"/>
      <c r="P101" s="533" t="e">
        <f>F110+HLOOKUP(D93,$BL$13:$BY$17,5,0)</f>
        <v>#N/A</v>
      </c>
      <c r="Q101" s="533"/>
      <c r="T101" s="94"/>
      <c r="U101" s="543"/>
      <c r="V101" s="105"/>
      <c r="X101" s="313">
        <f>'1PROJE'!K16</f>
        <v>0</v>
      </c>
      <c r="Z101" s="112"/>
      <c r="AB101" s="547">
        <f>'1PROJE'!L16</f>
        <v>0</v>
      </c>
      <c r="AE101" s="532" t="s">
        <v>802</v>
      </c>
      <c r="AF101" s="532"/>
      <c r="AG101" s="532"/>
      <c r="AH101" s="533" t="e">
        <f>X110+HLOOKUP(V93,$BL$13:$BY$17,5,0)</f>
        <v>#N/A</v>
      </c>
      <c r="AI101" s="533"/>
    </row>
    <row r="102" spans="2:35" ht="20.100000000000001" customHeight="1">
      <c r="B102" s="94"/>
      <c r="C102" s="543"/>
      <c r="D102" s="105"/>
      <c r="E102" s="113"/>
      <c r="F102" s="312" t="str">
        <f>IF('1PROJE'!P15="VAR","BASKI"&amp;" "&amp;'1PROJE'!P15,"")</f>
        <v/>
      </c>
      <c r="G102" s="114"/>
      <c r="H102" s="106"/>
      <c r="J102" s="547"/>
      <c r="K102" s="104"/>
      <c r="M102" s="532"/>
      <c r="N102" s="532"/>
      <c r="O102" s="532"/>
      <c r="P102" s="533"/>
      <c r="Q102" s="533"/>
      <c r="T102" s="94"/>
      <c r="U102" s="543"/>
      <c r="V102" s="105"/>
      <c r="W102" s="113"/>
      <c r="X102" s="312" t="str">
        <f>IF('1PROJE'!P16="VAR","BASKI"&amp;" "&amp;'1PROJE'!P16,"")</f>
        <v/>
      </c>
      <c r="Y102" s="114"/>
      <c r="Z102" s="106"/>
      <c r="AB102" s="547"/>
      <c r="AC102" s="104"/>
      <c r="AE102" s="532"/>
      <c r="AF102" s="532"/>
      <c r="AG102" s="532"/>
      <c r="AH102" s="533"/>
      <c r="AI102" s="533"/>
    </row>
    <row r="103" spans="2:35" ht="12.95" customHeight="1">
      <c r="B103" s="94"/>
      <c r="C103" s="543"/>
      <c r="D103" s="105"/>
      <c r="E103" s="113"/>
      <c r="F103" s="507"/>
      <c r="G103" s="114"/>
      <c r="H103" s="115"/>
      <c r="J103" s="547"/>
      <c r="K103" s="116"/>
      <c r="M103" s="123"/>
      <c r="N103" s="123"/>
      <c r="O103" s="123"/>
      <c r="P103" s="220"/>
      <c r="Q103" s="220"/>
      <c r="T103" s="94"/>
      <c r="U103" s="543"/>
      <c r="V103" s="105"/>
      <c r="W103" s="113"/>
      <c r="X103" s="507"/>
      <c r="Y103" s="114"/>
      <c r="Z103" s="115"/>
      <c r="AB103" s="547"/>
      <c r="AC103" s="116"/>
      <c r="AE103" s="123"/>
      <c r="AF103" s="123"/>
      <c r="AG103" s="123"/>
      <c r="AH103" s="220"/>
      <c r="AI103" s="220"/>
    </row>
    <row r="104" spans="2:35" ht="30" customHeight="1">
      <c r="B104" s="94"/>
      <c r="C104" s="502" t="s">
        <v>1063</v>
      </c>
      <c r="D104" s="105"/>
      <c r="E104" s="113"/>
      <c r="F104" s="507"/>
      <c r="G104" s="114"/>
      <c r="H104" s="115"/>
      <c r="J104" s="547"/>
      <c r="K104" s="111"/>
      <c r="M104" s="524" t="s">
        <v>803</v>
      </c>
      <c r="N104" s="524"/>
      <c r="O104" s="524"/>
      <c r="P104" s="524"/>
      <c r="Q104" s="524"/>
      <c r="T104" s="94"/>
      <c r="U104" s="502" t="s">
        <v>1063</v>
      </c>
      <c r="V104" s="105"/>
      <c r="W104" s="113"/>
      <c r="X104" s="507"/>
      <c r="Y104" s="114"/>
      <c r="Z104" s="115"/>
      <c r="AB104" s="547"/>
      <c r="AC104" s="111"/>
      <c r="AE104" s="524" t="s">
        <v>803</v>
      </c>
      <c r="AF104" s="524"/>
      <c r="AG104" s="524"/>
      <c r="AH104" s="524"/>
      <c r="AI104" s="524"/>
    </row>
    <row r="105" spans="2:35" ht="30" customHeight="1">
      <c r="B105" s="94"/>
      <c r="C105" s="502"/>
      <c r="D105" s="118"/>
      <c r="E105" s="113"/>
      <c r="F105" s="507"/>
      <c r="G105" s="114"/>
      <c r="H105" s="115"/>
      <c r="J105" s="242"/>
      <c r="K105" s="104"/>
      <c r="M105" s="525" t="s">
        <v>21</v>
      </c>
      <c r="N105" s="525"/>
      <c r="O105" s="525"/>
      <c r="P105" s="525"/>
      <c r="Q105" s="311" t="s">
        <v>22</v>
      </c>
      <c r="T105" s="94"/>
      <c r="U105" s="502"/>
      <c r="V105" s="118"/>
      <c r="W105" s="113"/>
      <c r="X105" s="507"/>
      <c r="Y105" s="114"/>
      <c r="Z105" s="115"/>
      <c r="AB105" s="242"/>
      <c r="AC105" s="104"/>
      <c r="AE105" s="525" t="s">
        <v>21</v>
      </c>
      <c r="AF105" s="525"/>
      <c r="AG105" s="525"/>
      <c r="AH105" s="525"/>
      <c r="AI105" s="311" t="s">
        <v>22</v>
      </c>
    </row>
    <row r="106" spans="2:35" ht="39.950000000000003" customHeight="1" thickBot="1">
      <c r="B106" s="94"/>
      <c r="C106" s="502"/>
      <c r="D106" s="105"/>
      <c r="F106" s="213"/>
      <c r="G106" s="213"/>
      <c r="H106" s="214"/>
      <c r="J106" s="583"/>
      <c r="K106" s="104"/>
      <c r="M106" s="526" t="e">
        <f>F110+HLOOKUP(D93,$BL$13:$BY$19,6,0)</f>
        <v>#N/A</v>
      </c>
      <c r="N106" s="527"/>
      <c r="O106" s="527"/>
      <c r="P106" s="528"/>
      <c r="Q106" s="523" t="e">
        <f>C100+HLOOKUP(D93,$BL$13:$BY$19,7,0)</f>
        <v>#N/A</v>
      </c>
      <c r="T106" s="94"/>
      <c r="U106" s="502"/>
      <c r="V106" s="105"/>
      <c r="X106" s="213"/>
      <c r="Y106" s="213"/>
      <c r="Z106" s="214"/>
      <c r="AB106" s="583"/>
      <c r="AC106" s="104"/>
      <c r="AE106" s="526" t="e">
        <f>X110+HLOOKUP(V93,$BL$13:$BY$19,6,0)</f>
        <v>#N/A</v>
      </c>
      <c r="AF106" s="527"/>
      <c r="AG106" s="527"/>
      <c r="AH106" s="528"/>
      <c r="AI106" s="523" t="e">
        <f>U100+HLOOKUP(V93,$BL$13:$BY$19,7,0)</f>
        <v>#N/A</v>
      </c>
    </row>
    <row r="107" spans="2:35" ht="8.4499999999999993" customHeight="1" thickBot="1">
      <c r="B107" s="94"/>
      <c r="C107" s="502"/>
      <c r="D107" s="105"/>
      <c r="E107" s="99"/>
      <c r="F107" s="215"/>
      <c r="G107" s="216"/>
      <c r="H107" s="105"/>
      <c r="J107" s="583"/>
      <c r="M107" s="529"/>
      <c r="N107" s="530"/>
      <c r="O107" s="530"/>
      <c r="P107" s="531"/>
      <c r="Q107" s="523"/>
      <c r="T107" s="94"/>
      <c r="U107" s="502"/>
      <c r="V107" s="105"/>
      <c r="W107" s="99"/>
      <c r="X107" s="215"/>
      <c r="Y107" s="216"/>
      <c r="Z107" s="105"/>
      <c r="AB107" s="583"/>
      <c r="AE107" s="529"/>
      <c r="AF107" s="530"/>
      <c r="AG107" s="530"/>
      <c r="AH107" s="531"/>
      <c r="AI107" s="523"/>
    </row>
    <row r="108" spans="2:35" ht="1.5" customHeight="1" thickBot="1">
      <c r="B108" s="94"/>
      <c r="C108" s="502"/>
      <c r="D108" s="119"/>
      <c r="H108" s="119"/>
      <c r="J108" s="583"/>
      <c r="T108" s="94"/>
      <c r="U108" s="502"/>
      <c r="V108" s="119"/>
      <c r="Z108" s="119"/>
      <c r="AB108" s="583"/>
    </row>
    <row r="109" spans="2:35" ht="16.5" customHeight="1">
      <c r="B109" s="94"/>
      <c r="J109" s="583"/>
      <c r="T109" s="94"/>
      <c r="AB109" s="583"/>
    </row>
    <row r="110" spans="2:35" ht="20.100000000000001" customHeight="1">
      <c r="B110" s="94"/>
      <c r="D110" s="237" t="s">
        <v>847</v>
      </c>
      <c r="E110" s="239" t="s">
        <v>848</v>
      </c>
      <c r="F110" s="339">
        <f>xHesaplama!X35</f>
        <v>0</v>
      </c>
      <c r="G110" s="240" t="s">
        <v>848</v>
      </c>
      <c r="H110" s="87" t="s">
        <v>849</v>
      </c>
      <c r="J110" s="93"/>
      <c r="M110" s="522" t="str">
        <f>IFERROR(INDEX('Poz Reçete'!A331:H369,MATCH("78BOR",'Poz Reçete'!D331:D369,0),1),"//////////////////////////////")</f>
        <v>//////////////////////////////</v>
      </c>
      <c r="N110" s="522"/>
      <c r="O110" s="522"/>
      <c r="P110" s="522"/>
      <c r="Q110" s="522"/>
      <c r="T110" s="94"/>
      <c r="V110" s="237" t="s">
        <v>847</v>
      </c>
      <c r="W110" s="239" t="s">
        <v>848</v>
      </c>
      <c r="X110" s="339">
        <f>xHesaplama!X36</f>
        <v>0</v>
      </c>
      <c r="Y110" s="240" t="s">
        <v>848</v>
      </c>
      <c r="Z110" s="87" t="s">
        <v>849</v>
      </c>
      <c r="AB110" s="93"/>
      <c r="AE110" s="522" t="str">
        <f>IFERROR(INDEX('Poz Reçete'!A372:H410,MATCH("78BOR",'Poz Reçete'!D372:D410,0),1),"//////////////////////////////")</f>
        <v>//////////////////////////////</v>
      </c>
      <c r="AF110" s="522"/>
      <c r="AG110" s="522"/>
      <c r="AH110" s="522"/>
      <c r="AI110" s="522"/>
    </row>
    <row r="111" spans="2:35" ht="16.5" customHeight="1">
      <c r="B111" s="120"/>
      <c r="C111" s="121"/>
      <c r="D111" s="121"/>
      <c r="E111" s="121"/>
      <c r="F111" s="121"/>
      <c r="G111" s="121"/>
      <c r="H111" s="121"/>
      <c r="I111" s="121"/>
      <c r="J111" s="122"/>
      <c r="M111" s="589" t="str">
        <f>IFERROR(INDEX('Poz Reçete'!A331:H369,MATCH("100BOR",'Poz Reçete'!D331:D369,0),1),"//////////////////////////////")</f>
        <v>//////////////////////////////</v>
      </c>
      <c r="N111" s="589"/>
      <c r="O111" s="589"/>
      <c r="P111" s="589"/>
      <c r="Q111" s="589"/>
      <c r="T111" s="120"/>
      <c r="U111" s="121"/>
      <c r="V111" s="121"/>
      <c r="W111" s="121"/>
      <c r="X111" s="121"/>
      <c r="Y111" s="121"/>
      <c r="Z111" s="121"/>
      <c r="AA111" s="121"/>
      <c r="AB111" s="122"/>
      <c r="AE111" s="522" t="str">
        <f>IFERROR(INDEX('Poz Reçete'!A372:H410,MATCH("100BOR",'Poz Reçete'!D372:D410,0),1),"//////////////////////////////")</f>
        <v>//////////////////////////////</v>
      </c>
      <c r="AF111" s="522"/>
      <c r="AG111" s="522"/>
      <c r="AH111" s="522"/>
      <c r="AI111" s="522"/>
    </row>
    <row r="112" spans="2:35" ht="30" customHeight="1">
      <c r="AH112" s="88"/>
      <c r="AI112" s="88"/>
    </row>
    <row r="113" spans="2:35" ht="23.1" customHeight="1">
      <c r="B113" s="218" t="s">
        <v>823</v>
      </c>
      <c r="C113" s="300">
        <f>'1PROJE'!B17</f>
        <v>11</v>
      </c>
      <c r="D113" s="548">
        <f>'1PROJE'!C17</f>
        <v>0</v>
      </c>
      <c r="E113" s="549"/>
      <c r="F113" s="549"/>
      <c r="G113" s="549"/>
      <c r="H113" s="549"/>
      <c r="I113" s="549"/>
      <c r="J113" s="550"/>
      <c r="K113" s="124"/>
      <c r="L113" s="124"/>
      <c r="M113" s="125"/>
      <c r="N113" s="125"/>
      <c r="O113" s="125"/>
      <c r="P113" s="124"/>
      <c r="Q113" s="124"/>
      <c r="T113" s="218" t="s">
        <v>823</v>
      </c>
      <c r="U113" s="300">
        <f>'1PROJE'!B18</f>
        <v>12</v>
      </c>
      <c r="V113" s="548">
        <f>'1PROJE'!C18</f>
        <v>0</v>
      </c>
      <c r="W113" s="549"/>
      <c r="X113" s="549"/>
      <c r="Y113" s="549"/>
      <c r="Z113" s="549"/>
      <c r="AA113" s="549"/>
      <c r="AB113" s="550"/>
      <c r="AC113" s="124"/>
      <c r="AD113" s="124"/>
      <c r="AE113" s="125"/>
      <c r="AF113" s="125"/>
      <c r="AG113" s="125"/>
      <c r="AH113" s="124"/>
      <c r="AI113" s="124"/>
    </row>
    <row r="114" spans="2:35" ht="39.950000000000003" customHeight="1">
      <c r="B114" s="90"/>
      <c r="C114" s="316">
        <f>'1PROJE'!D17</f>
        <v>0</v>
      </c>
      <c r="D114" s="584" t="s">
        <v>357</v>
      </c>
      <c r="E114" s="584"/>
      <c r="F114" s="585" t="s">
        <v>365</v>
      </c>
      <c r="G114" s="585"/>
      <c r="H114" s="92"/>
      <c r="J114" s="271" t="str">
        <f>IF('1PROJE'!T17="", "", '1PROJE'!T17)</f>
        <v/>
      </c>
      <c r="M114" s="532" t="s">
        <v>799</v>
      </c>
      <c r="N114" s="532"/>
      <c r="O114" s="532"/>
      <c r="P114" s="523" t="e">
        <f>F130+HLOOKUP(D113,$BL$13:$BY$17,2,0)</f>
        <v>#N/A</v>
      </c>
      <c r="Q114" s="523"/>
      <c r="T114" s="90"/>
      <c r="U114" s="316">
        <f>'1PROJE'!D18</f>
        <v>0</v>
      </c>
      <c r="V114" s="584" t="s">
        <v>357</v>
      </c>
      <c r="W114" s="584"/>
      <c r="X114" s="585" t="s">
        <v>365</v>
      </c>
      <c r="Y114" s="585"/>
      <c r="Z114" s="92"/>
      <c r="AB114" s="271" t="str">
        <f>IF('1PROJE'!T18="", "", '1PROJE'!T18)</f>
        <v/>
      </c>
      <c r="AE114" s="532" t="s">
        <v>799</v>
      </c>
      <c r="AF114" s="532"/>
      <c r="AG114" s="532"/>
      <c r="AH114" s="523" t="e">
        <f>X130+HLOOKUP(V113,$BL$13:$BY$17,2,0)</f>
        <v>#N/A</v>
      </c>
      <c r="AI114" s="523"/>
    </row>
    <row r="115" spans="2:35" ht="20.100000000000001" customHeight="1" thickBot="1">
      <c r="B115" s="94"/>
      <c r="C115" s="95"/>
      <c r="E115" s="551">
        <f>'1PROJE'!M17</f>
        <v>0</v>
      </c>
      <c r="F115" s="551"/>
      <c r="G115" s="551"/>
      <c r="H115" s="96"/>
      <c r="J115" s="93"/>
      <c r="M115" s="123"/>
      <c r="N115" s="123"/>
      <c r="O115" s="123"/>
      <c r="P115" s="219"/>
      <c r="Q115" s="219"/>
      <c r="T115" s="94"/>
      <c r="U115" s="95"/>
      <c r="W115" s="551">
        <f>'1PROJE'!M18</f>
        <v>0</v>
      </c>
      <c r="X115" s="551"/>
      <c r="Y115" s="551"/>
      <c r="Z115" s="96"/>
      <c r="AB115" s="93"/>
      <c r="AE115" s="123"/>
      <c r="AF115" s="123"/>
      <c r="AG115" s="123"/>
      <c r="AH115" s="219"/>
      <c r="AI115" s="219"/>
    </row>
    <row r="116" spans="2:35" ht="39.950000000000003" customHeight="1" thickBot="1">
      <c r="B116" s="94"/>
      <c r="C116" s="503" t="s">
        <v>853</v>
      </c>
      <c r="D116" s="99"/>
      <c r="E116" s="319" t="str">
        <f>IF(OR(E115="DIŞTAN BAKIŞ SOL",E115="İÇTEN BAKIŞ SAĞ"),"M","")</f>
        <v/>
      </c>
      <c r="F116" s="317" t="e">
        <f>VLOOKUP('1PROJE'!C17,'x Açılır Listeler'!$A$2:$B$15,2,0)</f>
        <v>#N/A</v>
      </c>
      <c r="G116" s="318" t="str">
        <f>IF(OR(E115="DIŞTAN BAKIŞ SAĞ",E115="İÇTEN BAKIŞ SOL"),"M","")</f>
        <v/>
      </c>
      <c r="H116" s="100"/>
      <c r="J116" s="315" t="s">
        <v>368</v>
      </c>
      <c r="M116" s="532" t="s">
        <v>800</v>
      </c>
      <c r="N116" s="532"/>
      <c r="O116" s="532"/>
      <c r="P116" s="533" t="e">
        <f>C120+HLOOKUP(D113,$BL$13:$BY$17,3,0)</f>
        <v>#N/A</v>
      </c>
      <c r="Q116" s="533"/>
      <c r="T116" s="94"/>
      <c r="U116" s="503" t="s">
        <v>853</v>
      </c>
      <c r="V116" s="99"/>
      <c r="W116" s="319" t="str">
        <f>IF(OR(W115="DIŞTAN BAKIŞ SOL",W115="İÇTEN BAKIŞ SAĞ"),"M","")</f>
        <v/>
      </c>
      <c r="X116" s="317" t="e">
        <f>VLOOKUP('1PROJE'!C18,'x Açılır Listeler'!$A$2:$B$15,2,0)</f>
        <v>#N/A</v>
      </c>
      <c r="Y116" s="318" t="str">
        <f>IF(OR(W115="DIŞTAN BAKIŞ SAĞ",W115="İÇTEN BAKIŞ SOL"),"M","")</f>
        <v/>
      </c>
      <c r="Z116" s="100"/>
      <c r="AB116" s="315" t="s">
        <v>368</v>
      </c>
      <c r="AE116" s="532" t="s">
        <v>800</v>
      </c>
      <c r="AF116" s="532"/>
      <c r="AG116" s="532"/>
      <c r="AH116" s="533" t="e">
        <f>U120+HLOOKUP(V113,$BL$13:$BY$17,3,0)</f>
        <v>#N/A</v>
      </c>
      <c r="AI116" s="533"/>
    </row>
    <row r="117" spans="2:35" ht="12.95" customHeight="1">
      <c r="B117" s="94"/>
      <c r="C117" s="503"/>
      <c r="D117" s="102"/>
      <c r="H117" s="103"/>
      <c r="J117" s="534">
        <f>'1PROJE'!H17</f>
        <v>0</v>
      </c>
      <c r="K117" s="104"/>
      <c r="M117" s="123"/>
      <c r="N117" s="123"/>
      <c r="O117" s="123"/>
      <c r="P117" s="219"/>
      <c r="Q117" s="219"/>
      <c r="T117" s="94"/>
      <c r="U117" s="503"/>
      <c r="V117" s="102"/>
      <c r="Z117" s="103"/>
      <c r="AB117" s="534">
        <f>'1PROJE'!H18</f>
        <v>0</v>
      </c>
      <c r="AC117" s="104"/>
      <c r="AE117" s="123"/>
      <c r="AF117" s="123"/>
      <c r="AG117" s="123"/>
      <c r="AH117" s="219"/>
      <c r="AI117" s="219"/>
    </row>
    <row r="118" spans="2:35" ht="20.100000000000001" customHeight="1">
      <c r="B118" s="94"/>
      <c r="C118" s="503"/>
      <c r="D118" s="105"/>
      <c r="E118" s="586">
        <f>'1PROJE'!I17</f>
        <v>0</v>
      </c>
      <c r="F118" s="587"/>
      <c r="G118" s="588"/>
      <c r="H118" s="106"/>
      <c r="J118" s="534"/>
      <c r="K118" s="104"/>
      <c r="M118" s="535" t="s">
        <v>801</v>
      </c>
      <c r="N118" s="536"/>
      <c r="O118" s="537"/>
      <c r="P118" s="533" t="e">
        <f>F130+HLOOKUP(D113,$BL$13:$BY$17,4,0)</f>
        <v>#N/A</v>
      </c>
      <c r="Q118" s="533"/>
      <c r="T118" s="94"/>
      <c r="U118" s="503"/>
      <c r="V118" s="105"/>
      <c r="W118" s="586">
        <f>'1PROJE'!I18</f>
        <v>0</v>
      </c>
      <c r="X118" s="587"/>
      <c r="Y118" s="588"/>
      <c r="Z118" s="106"/>
      <c r="AB118" s="534"/>
      <c r="AC118" s="104"/>
      <c r="AE118" s="535" t="s">
        <v>801</v>
      </c>
      <c r="AF118" s="536"/>
      <c r="AG118" s="537"/>
      <c r="AH118" s="533" t="e">
        <f>X130+HLOOKUP(V113,$BL$13:$BY$17,4,0)</f>
        <v>#N/A</v>
      </c>
      <c r="AI118" s="533"/>
    </row>
    <row r="119" spans="2:35" ht="20.100000000000001" customHeight="1">
      <c r="B119" s="90"/>
      <c r="C119" s="503"/>
      <c r="D119" s="105"/>
      <c r="E119" s="586"/>
      <c r="F119" s="587"/>
      <c r="G119" s="588"/>
      <c r="H119" s="107"/>
      <c r="J119" s="534"/>
      <c r="K119" s="109"/>
      <c r="M119" s="538"/>
      <c r="N119" s="539"/>
      <c r="O119" s="540"/>
      <c r="P119" s="533"/>
      <c r="Q119" s="533"/>
      <c r="T119" s="90"/>
      <c r="U119" s="503"/>
      <c r="V119" s="105"/>
      <c r="W119" s="586"/>
      <c r="X119" s="587"/>
      <c r="Y119" s="588"/>
      <c r="Z119" s="107"/>
      <c r="AB119" s="534"/>
      <c r="AC119" s="109"/>
      <c r="AE119" s="538"/>
      <c r="AF119" s="539"/>
      <c r="AG119" s="540"/>
      <c r="AH119" s="533"/>
      <c r="AI119" s="533"/>
    </row>
    <row r="120" spans="2:35" ht="12.95" customHeight="1">
      <c r="B120" s="94"/>
      <c r="C120" s="543">
        <f>xHesaplama!Y37</f>
        <v>0</v>
      </c>
      <c r="D120" s="105"/>
      <c r="E120" s="586"/>
      <c r="F120" s="587"/>
      <c r="G120" s="588"/>
      <c r="H120" s="107"/>
      <c r="J120" s="314" t="s">
        <v>366</v>
      </c>
      <c r="K120" s="111"/>
      <c r="M120" s="123"/>
      <c r="N120" s="123"/>
      <c r="O120" s="123"/>
      <c r="P120" s="219"/>
      <c r="Q120" s="219"/>
      <c r="T120" s="94"/>
      <c r="U120" s="543">
        <f>xHesaplama!Y38</f>
        <v>0</v>
      </c>
      <c r="V120" s="105"/>
      <c r="W120" s="586"/>
      <c r="X120" s="587"/>
      <c r="Y120" s="588"/>
      <c r="Z120" s="107"/>
      <c r="AB120" s="314" t="s">
        <v>366</v>
      </c>
      <c r="AC120" s="111"/>
      <c r="AE120" s="123"/>
      <c r="AF120" s="123"/>
      <c r="AG120" s="123"/>
      <c r="AH120" s="219"/>
      <c r="AI120" s="219"/>
    </row>
    <row r="121" spans="2:35" ht="20.100000000000001" customHeight="1">
      <c r="B121" s="94"/>
      <c r="C121" s="543"/>
      <c r="D121" s="105"/>
      <c r="F121" s="313">
        <f>'1PROJE'!K17</f>
        <v>0</v>
      </c>
      <c r="H121" s="112"/>
      <c r="J121" s="547">
        <f>'1PROJE'!L17</f>
        <v>0</v>
      </c>
      <c r="M121" s="532" t="s">
        <v>802</v>
      </c>
      <c r="N121" s="532"/>
      <c r="O121" s="532"/>
      <c r="P121" s="533" t="e">
        <f>F130+HLOOKUP(D113,$BL$13:$BY$17,5,0)</f>
        <v>#N/A</v>
      </c>
      <c r="Q121" s="533"/>
      <c r="T121" s="94"/>
      <c r="U121" s="543"/>
      <c r="V121" s="105"/>
      <c r="X121" s="313">
        <f>'1PROJE'!K18</f>
        <v>0</v>
      </c>
      <c r="Z121" s="112"/>
      <c r="AB121" s="547">
        <f>'1PROJE'!L18</f>
        <v>0</v>
      </c>
      <c r="AE121" s="532" t="s">
        <v>802</v>
      </c>
      <c r="AF121" s="532"/>
      <c r="AG121" s="532"/>
      <c r="AH121" s="533" t="e">
        <f>X130+HLOOKUP(V113,$BL$13:$BY$17,5,0)</f>
        <v>#N/A</v>
      </c>
      <c r="AI121" s="533"/>
    </row>
    <row r="122" spans="2:35" ht="20.100000000000001" customHeight="1">
      <c r="B122" s="94"/>
      <c r="C122" s="543"/>
      <c r="D122" s="105"/>
      <c r="E122" s="113"/>
      <c r="F122" s="312" t="str">
        <f>IF('1PROJE'!P17="VAR","BASKI"&amp;" "&amp;'1PROJE'!P17,"")</f>
        <v/>
      </c>
      <c r="G122" s="114"/>
      <c r="H122" s="106"/>
      <c r="J122" s="547"/>
      <c r="K122" s="104"/>
      <c r="M122" s="532"/>
      <c r="N122" s="532"/>
      <c r="O122" s="532"/>
      <c r="P122" s="533"/>
      <c r="Q122" s="533"/>
      <c r="T122" s="94"/>
      <c r="U122" s="543"/>
      <c r="V122" s="105"/>
      <c r="W122" s="113"/>
      <c r="X122" s="312" t="str">
        <f>IF('1PROJE'!P18="VAR","BASKI"&amp;" "&amp;'1PROJE'!P18,"")</f>
        <v/>
      </c>
      <c r="Y122" s="114"/>
      <c r="Z122" s="106"/>
      <c r="AB122" s="547"/>
      <c r="AC122" s="104"/>
      <c r="AE122" s="532"/>
      <c r="AF122" s="532"/>
      <c r="AG122" s="532"/>
      <c r="AH122" s="533"/>
      <c r="AI122" s="533"/>
    </row>
    <row r="123" spans="2:35" ht="12.95" customHeight="1">
      <c r="B123" s="94"/>
      <c r="C123" s="543"/>
      <c r="D123" s="105"/>
      <c r="E123" s="113"/>
      <c r="F123" s="507"/>
      <c r="G123" s="114"/>
      <c r="H123" s="115"/>
      <c r="J123" s="547"/>
      <c r="K123" s="116"/>
      <c r="M123" s="123"/>
      <c r="N123" s="123"/>
      <c r="O123" s="123"/>
      <c r="P123" s="220"/>
      <c r="Q123" s="220"/>
      <c r="T123" s="94"/>
      <c r="U123" s="543"/>
      <c r="V123" s="105"/>
      <c r="W123" s="113"/>
      <c r="X123" s="507"/>
      <c r="Y123" s="114"/>
      <c r="Z123" s="115"/>
      <c r="AB123" s="547"/>
      <c r="AC123" s="116"/>
      <c r="AE123" s="123"/>
      <c r="AF123" s="123"/>
      <c r="AG123" s="123"/>
      <c r="AH123" s="220"/>
      <c r="AI123" s="220"/>
    </row>
    <row r="124" spans="2:35" ht="30" customHeight="1">
      <c r="B124" s="94"/>
      <c r="C124" s="502" t="s">
        <v>1063</v>
      </c>
      <c r="D124" s="105"/>
      <c r="E124" s="113"/>
      <c r="F124" s="507"/>
      <c r="G124" s="114"/>
      <c r="H124" s="115"/>
      <c r="J124" s="547"/>
      <c r="K124" s="111"/>
      <c r="M124" s="524" t="s">
        <v>803</v>
      </c>
      <c r="N124" s="524"/>
      <c r="O124" s="524"/>
      <c r="P124" s="524"/>
      <c r="Q124" s="524"/>
      <c r="T124" s="94"/>
      <c r="U124" s="502" t="s">
        <v>1063</v>
      </c>
      <c r="V124" s="105"/>
      <c r="W124" s="113"/>
      <c r="X124" s="507"/>
      <c r="Y124" s="114"/>
      <c r="Z124" s="115"/>
      <c r="AB124" s="547"/>
      <c r="AC124" s="111"/>
      <c r="AE124" s="524" t="s">
        <v>803</v>
      </c>
      <c r="AF124" s="524"/>
      <c r="AG124" s="524"/>
      <c r="AH124" s="524"/>
      <c r="AI124" s="524"/>
    </row>
    <row r="125" spans="2:35" ht="30" customHeight="1">
      <c r="B125" s="94"/>
      <c r="C125" s="502"/>
      <c r="D125" s="118"/>
      <c r="E125" s="113"/>
      <c r="F125" s="507"/>
      <c r="G125" s="114"/>
      <c r="H125" s="115"/>
      <c r="J125" s="242"/>
      <c r="K125" s="104"/>
      <c r="M125" s="525" t="s">
        <v>21</v>
      </c>
      <c r="N125" s="525"/>
      <c r="O125" s="525"/>
      <c r="P125" s="525"/>
      <c r="Q125" s="311" t="s">
        <v>22</v>
      </c>
      <c r="T125" s="94"/>
      <c r="U125" s="502"/>
      <c r="V125" s="118"/>
      <c r="W125" s="113"/>
      <c r="X125" s="507"/>
      <c r="Y125" s="114"/>
      <c r="Z125" s="115"/>
      <c r="AB125" s="242"/>
      <c r="AC125" s="104"/>
      <c r="AE125" s="525" t="s">
        <v>21</v>
      </c>
      <c r="AF125" s="525"/>
      <c r="AG125" s="525"/>
      <c r="AH125" s="525"/>
      <c r="AI125" s="311" t="s">
        <v>22</v>
      </c>
    </row>
    <row r="126" spans="2:35" ht="39.950000000000003" customHeight="1" thickBot="1">
      <c r="B126" s="94"/>
      <c r="C126" s="502"/>
      <c r="D126" s="105"/>
      <c r="F126" s="213"/>
      <c r="G126" s="213"/>
      <c r="H126" s="214"/>
      <c r="J126" s="583"/>
      <c r="K126" s="104"/>
      <c r="M126" s="526" t="e">
        <f>F130+HLOOKUP(D113,$BL$13:$BY$19,6,0)</f>
        <v>#N/A</v>
      </c>
      <c r="N126" s="527"/>
      <c r="O126" s="527"/>
      <c r="P126" s="528"/>
      <c r="Q126" s="523" t="e">
        <f>C120+HLOOKUP(D113,$BL$13:$BY$19,7,0)</f>
        <v>#N/A</v>
      </c>
      <c r="T126" s="94"/>
      <c r="U126" s="502"/>
      <c r="V126" s="105"/>
      <c r="X126" s="213"/>
      <c r="Y126" s="213"/>
      <c r="Z126" s="214"/>
      <c r="AB126" s="583"/>
      <c r="AC126" s="104"/>
      <c r="AE126" s="526" t="e">
        <f>X130+HLOOKUP(V113,$BL$13:$BY$19,6,0)</f>
        <v>#N/A</v>
      </c>
      <c r="AF126" s="527"/>
      <c r="AG126" s="527"/>
      <c r="AH126" s="528"/>
      <c r="AI126" s="523" t="e">
        <f>U120+HLOOKUP(V113,$BL$13:$BY$19,7,0)</f>
        <v>#N/A</v>
      </c>
    </row>
    <row r="127" spans="2:35" ht="8.4499999999999993" customHeight="1" thickBot="1">
      <c r="B127" s="94"/>
      <c r="C127" s="502"/>
      <c r="D127" s="105"/>
      <c r="E127" s="99"/>
      <c r="F127" s="215"/>
      <c r="G127" s="216"/>
      <c r="H127" s="105"/>
      <c r="J127" s="583"/>
      <c r="M127" s="529"/>
      <c r="N127" s="530"/>
      <c r="O127" s="530"/>
      <c r="P127" s="531"/>
      <c r="Q127" s="523"/>
      <c r="T127" s="94"/>
      <c r="U127" s="502"/>
      <c r="V127" s="105"/>
      <c r="W127" s="99"/>
      <c r="X127" s="215"/>
      <c r="Y127" s="216"/>
      <c r="Z127" s="105"/>
      <c r="AB127" s="583"/>
      <c r="AE127" s="529"/>
      <c r="AF127" s="530"/>
      <c r="AG127" s="530"/>
      <c r="AH127" s="531"/>
      <c r="AI127" s="523"/>
    </row>
    <row r="128" spans="2:35" ht="1.5" customHeight="1" thickBot="1">
      <c r="B128" s="94"/>
      <c r="C128" s="502"/>
      <c r="D128" s="119"/>
      <c r="H128" s="119"/>
      <c r="J128" s="583"/>
      <c r="T128" s="94"/>
      <c r="U128" s="502"/>
      <c r="V128" s="119"/>
      <c r="Z128" s="119"/>
      <c r="AB128" s="583"/>
    </row>
    <row r="129" spans="2:35" ht="16.5" customHeight="1">
      <c r="B129" s="94"/>
      <c r="J129" s="583"/>
      <c r="T129" s="94"/>
      <c r="X129" s="340"/>
      <c r="AB129" s="583"/>
    </row>
    <row r="130" spans="2:35" ht="20.100000000000001" customHeight="1">
      <c r="B130" s="94"/>
      <c r="D130" s="237" t="s">
        <v>847</v>
      </c>
      <c r="E130" s="239" t="s">
        <v>848</v>
      </c>
      <c r="F130" s="339">
        <f>xHesaplama!X37</f>
        <v>0</v>
      </c>
      <c r="G130" s="240" t="s">
        <v>848</v>
      </c>
      <c r="H130" s="87" t="s">
        <v>849</v>
      </c>
      <c r="J130" s="93"/>
      <c r="M130" s="522" t="str">
        <f>IFERROR(INDEX('Poz Reçete'!A413:H451,MATCH("78BOR",'Poz Reçete'!D413:D451,0),1),"//////////////////////////////")</f>
        <v>//////////////////////////////</v>
      </c>
      <c r="N130" s="522"/>
      <c r="O130" s="522"/>
      <c r="P130" s="522"/>
      <c r="Q130" s="522"/>
      <c r="T130" s="94"/>
      <c r="V130" s="237" t="s">
        <v>847</v>
      </c>
      <c r="W130" s="239" t="s">
        <v>848</v>
      </c>
      <c r="X130" s="339">
        <f>xHesaplama!X38</f>
        <v>0</v>
      </c>
      <c r="Y130" s="240" t="s">
        <v>848</v>
      </c>
      <c r="Z130" s="87" t="s">
        <v>849</v>
      </c>
      <c r="AB130" s="93"/>
      <c r="AE130" s="522" t="str">
        <f>IFERROR(INDEX('Poz Reçete'!A454:H492,MATCH("78BOR",'Poz Reçete'!D454:D492,0),1),"//////////////////////////////")</f>
        <v>//////////////////////////////</v>
      </c>
      <c r="AF130" s="522"/>
      <c r="AG130" s="522"/>
      <c r="AH130" s="522"/>
      <c r="AI130" s="522"/>
    </row>
    <row r="131" spans="2:35" ht="16.5" customHeight="1">
      <c r="B131" s="120"/>
      <c r="C131" s="121"/>
      <c r="D131" s="121"/>
      <c r="E131" s="121"/>
      <c r="F131" s="121"/>
      <c r="G131" s="121"/>
      <c r="H131" s="121"/>
      <c r="I131" s="121"/>
      <c r="J131" s="122"/>
      <c r="M131" s="589" t="str">
        <f>IFERROR(INDEX('Poz Reçete'!A413:H451,MATCH("100BOR",'Poz Reçete'!D413:D451,0),1),"//////////////////////////////")</f>
        <v>//////////////////////////////</v>
      </c>
      <c r="N131" s="589"/>
      <c r="O131" s="589"/>
      <c r="P131" s="589"/>
      <c r="Q131" s="589"/>
      <c r="T131" s="120"/>
      <c r="U131" s="121"/>
      <c r="V131" s="121"/>
      <c r="W131" s="121"/>
      <c r="X131" s="121"/>
      <c r="Y131" s="121"/>
      <c r="Z131" s="121"/>
      <c r="AA131" s="121"/>
      <c r="AB131" s="122"/>
      <c r="AE131" s="522" t="str">
        <f>IFERROR(INDEX('Poz Reçete'!A454:H492,MATCH("100BOR",'Poz Reçete'!D454:D492,0),1),"//////////////////////////////")</f>
        <v>//////////////////////////////</v>
      </c>
      <c r="AF131" s="522"/>
      <c r="AG131" s="522"/>
      <c r="AH131" s="522"/>
      <c r="AI131" s="522"/>
    </row>
    <row r="132" spans="2:35" ht="30" customHeight="1">
      <c r="AH132" s="88"/>
      <c r="AI132" s="88"/>
    </row>
    <row r="133" spans="2:35" ht="23.1" customHeight="1">
      <c r="B133" s="218" t="s">
        <v>823</v>
      </c>
      <c r="C133" s="300">
        <f>'1PROJE'!B19</f>
        <v>13</v>
      </c>
      <c r="D133" s="548">
        <f>'1PROJE'!C19</f>
        <v>0</v>
      </c>
      <c r="E133" s="549"/>
      <c r="F133" s="549"/>
      <c r="G133" s="549"/>
      <c r="H133" s="549"/>
      <c r="I133" s="549"/>
      <c r="J133" s="550"/>
      <c r="K133" s="124"/>
      <c r="L133" s="124"/>
      <c r="M133" s="125"/>
      <c r="N133" s="125"/>
      <c r="O133" s="125"/>
      <c r="P133" s="124"/>
      <c r="Q133" s="124"/>
      <c r="T133" s="218" t="s">
        <v>823</v>
      </c>
      <c r="U133" s="300">
        <f>'1PROJE'!B20</f>
        <v>14</v>
      </c>
      <c r="V133" s="548">
        <f>'1PROJE'!C20</f>
        <v>0</v>
      </c>
      <c r="W133" s="549"/>
      <c r="X133" s="549"/>
      <c r="Y133" s="549"/>
      <c r="Z133" s="549"/>
      <c r="AA133" s="549"/>
      <c r="AB133" s="550"/>
      <c r="AC133" s="124"/>
      <c r="AD133" s="124"/>
      <c r="AE133" s="125"/>
      <c r="AF133" s="125"/>
      <c r="AG133" s="125"/>
      <c r="AH133" s="124"/>
      <c r="AI133" s="124"/>
    </row>
    <row r="134" spans="2:35" ht="39.950000000000003" customHeight="1">
      <c r="B134" s="90"/>
      <c r="C134" s="316">
        <f>'1PROJE'!D19</f>
        <v>0</v>
      </c>
      <c r="D134" s="584" t="s">
        <v>357</v>
      </c>
      <c r="E134" s="584"/>
      <c r="F134" s="585" t="s">
        <v>365</v>
      </c>
      <c r="G134" s="585"/>
      <c r="H134" s="92"/>
      <c r="J134" s="271" t="str">
        <f>IF('1PROJE'!T19="", "", '1PROJE'!T19)</f>
        <v/>
      </c>
      <c r="M134" s="532" t="s">
        <v>799</v>
      </c>
      <c r="N134" s="532"/>
      <c r="O134" s="532"/>
      <c r="P134" s="523" t="e">
        <f>F150+HLOOKUP(D133,$BL$13:$BY$17,2,0)</f>
        <v>#N/A</v>
      </c>
      <c r="Q134" s="523"/>
      <c r="T134" s="90"/>
      <c r="U134" s="316">
        <f>'1PROJE'!D20</f>
        <v>0</v>
      </c>
      <c r="V134" s="584" t="s">
        <v>357</v>
      </c>
      <c r="W134" s="584"/>
      <c r="X134" s="585" t="s">
        <v>365</v>
      </c>
      <c r="Y134" s="585"/>
      <c r="Z134" s="92"/>
      <c r="AB134" s="271" t="str">
        <f>IF('1PROJE'!T20="", "", '1PROJE'!T20)</f>
        <v/>
      </c>
      <c r="AE134" s="532" t="s">
        <v>799</v>
      </c>
      <c r="AF134" s="532"/>
      <c r="AG134" s="532"/>
      <c r="AH134" s="523" t="e">
        <f>X150+HLOOKUP(V133,$BL$13:$BY$17,2,0)</f>
        <v>#N/A</v>
      </c>
      <c r="AI134" s="523"/>
    </row>
    <row r="135" spans="2:35" ht="20.100000000000001" customHeight="1" thickBot="1">
      <c r="B135" s="94"/>
      <c r="C135" s="95"/>
      <c r="E135" s="551">
        <f>'1PROJE'!M19</f>
        <v>0</v>
      </c>
      <c r="F135" s="551"/>
      <c r="G135" s="551"/>
      <c r="H135" s="96"/>
      <c r="J135" s="93"/>
      <c r="M135" s="123"/>
      <c r="N135" s="123"/>
      <c r="O135" s="123"/>
      <c r="P135" s="219"/>
      <c r="Q135" s="219"/>
      <c r="T135" s="94"/>
      <c r="U135" s="95"/>
      <c r="W135" s="551">
        <f>'1PROJE'!M20</f>
        <v>0</v>
      </c>
      <c r="X135" s="551"/>
      <c r="Y135" s="551"/>
      <c r="Z135" s="96"/>
      <c r="AB135" s="93"/>
      <c r="AE135" s="123"/>
      <c r="AF135" s="123"/>
      <c r="AG135" s="123"/>
      <c r="AH135" s="219"/>
      <c r="AI135" s="219"/>
    </row>
    <row r="136" spans="2:35" ht="39.950000000000003" customHeight="1" thickBot="1">
      <c r="B136" s="94"/>
      <c r="C136" s="503" t="s">
        <v>853</v>
      </c>
      <c r="D136" s="99"/>
      <c r="E136" s="319" t="str">
        <f>IF(OR(E135="DIŞTAN BAKIŞ SOL",E135="İÇTEN BAKIŞ SAĞ"),"M","")</f>
        <v/>
      </c>
      <c r="F136" s="317" t="e">
        <f>VLOOKUP('1PROJE'!C19,'x Açılır Listeler'!$A$2:$B$15,2,0)</f>
        <v>#N/A</v>
      </c>
      <c r="G136" s="318" t="str">
        <f>IF(OR(E135="DIŞTAN BAKIŞ SAĞ",E135="İÇTEN BAKIŞ SOL"),"M","")</f>
        <v/>
      </c>
      <c r="H136" s="100"/>
      <c r="J136" s="315" t="s">
        <v>368</v>
      </c>
      <c r="M136" s="532" t="s">
        <v>800</v>
      </c>
      <c r="N136" s="532"/>
      <c r="O136" s="532"/>
      <c r="P136" s="533" t="e">
        <f>C140+HLOOKUP(D133,$BL$13:$BY$17,3,0)</f>
        <v>#N/A</v>
      </c>
      <c r="Q136" s="533"/>
      <c r="T136" s="94"/>
      <c r="U136" s="503" t="s">
        <v>853</v>
      </c>
      <c r="V136" s="99"/>
      <c r="W136" s="319" t="str">
        <f>IF(OR(W135="DIŞTAN BAKIŞ SOL",W135="İÇTEN BAKIŞ SAĞ"),"M","")</f>
        <v/>
      </c>
      <c r="X136" s="317" t="e">
        <f>VLOOKUP('1PROJE'!C20,'x Açılır Listeler'!$A$2:$B$15,2,0)</f>
        <v>#N/A</v>
      </c>
      <c r="Y136" s="318" t="str">
        <f>IF(OR(W135="DIŞTAN BAKIŞ SAĞ",W135="İÇTEN BAKIŞ SOL"),"M","")</f>
        <v/>
      </c>
      <c r="Z136" s="100"/>
      <c r="AB136" s="315" t="s">
        <v>368</v>
      </c>
      <c r="AE136" s="532" t="s">
        <v>800</v>
      </c>
      <c r="AF136" s="532"/>
      <c r="AG136" s="532"/>
      <c r="AH136" s="533" t="e">
        <f>U140+HLOOKUP(V133,$BL$13:$BY$17,3,0)</f>
        <v>#N/A</v>
      </c>
      <c r="AI136" s="533"/>
    </row>
    <row r="137" spans="2:35" ht="12.95" customHeight="1">
      <c r="B137" s="94"/>
      <c r="C137" s="503"/>
      <c r="D137" s="102"/>
      <c r="H137" s="103"/>
      <c r="J137" s="534">
        <f>'1PROJE'!H19</f>
        <v>0</v>
      </c>
      <c r="K137" s="104"/>
      <c r="M137" s="123"/>
      <c r="N137" s="123"/>
      <c r="O137" s="123"/>
      <c r="P137" s="219"/>
      <c r="Q137" s="219"/>
      <c r="T137" s="94"/>
      <c r="U137" s="503"/>
      <c r="V137" s="102"/>
      <c r="Z137" s="103"/>
      <c r="AB137" s="534">
        <f>'1PROJE'!H20</f>
        <v>0</v>
      </c>
      <c r="AC137" s="104"/>
      <c r="AE137" s="123"/>
      <c r="AF137" s="123"/>
      <c r="AG137" s="123"/>
      <c r="AH137" s="219"/>
      <c r="AI137" s="219"/>
    </row>
    <row r="138" spans="2:35" ht="20.100000000000001" customHeight="1">
      <c r="B138" s="94"/>
      <c r="C138" s="503"/>
      <c r="D138" s="105"/>
      <c r="E138" s="586">
        <f>'1PROJE'!I19</f>
        <v>0</v>
      </c>
      <c r="F138" s="587"/>
      <c r="G138" s="588"/>
      <c r="H138" s="106"/>
      <c r="J138" s="534"/>
      <c r="K138" s="104"/>
      <c r="M138" s="535" t="s">
        <v>801</v>
      </c>
      <c r="N138" s="536"/>
      <c r="O138" s="537"/>
      <c r="P138" s="533" t="e">
        <f>F150+HLOOKUP(D133,$BL$13:$BY$17,4,0)</f>
        <v>#N/A</v>
      </c>
      <c r="Q138" s="533"/>
      <c r="T138" s="94"/>
      <c r="U138" s="503"/>
      <c r="V138" s="105"/>
      <c r="W138" s="586">
        <f>'1PROJE'!I20</f>
        <v>0</v>
      </c>
      <c r="X138" s="587"/>
      <c r="Y138" s="588"/>
      <c r="Z138" s="106"/>
      <c r="AB138" s="534"/>
      <c r="AC138" s="104"/>
      <c r="AE138" s="535" t="s">
        <v>801</v>
      </c>
      <c r="AF138" s="536"/>
      <c r="AG138" s="537"/>
      <c r="AH138" s="533" t="e">
        <f>X150+HLOOKUP(V133,$BL$13:$BY$17,4,0)</f>
        <v>#N/A</v>
      </c>
      <c r="AI138" s="533"/>
    </row>
    <row r="139" spans="2:35" ht="20.100000000000001" customHeight="1">
      <c r="B139" s="90"/>
      <c r="C139" s="503"/>
      <c r="D139" s="105"/>
      <c r="E139" s="586"/>
      <c r="F139" s="587"/>
      <c r="G139" s="588"/>
      <c r="H139" s="107"/>
      <c r="J139" s="534"/>
      <c r="K139" s="109"/>
      <c r="M139" s="538"/>
      <c r="N139" s="539"/>
      <c r="O139" s="540"/>
      <c r="P139" s="533"/>
      <c r="Q139" s="533"/>
      <c r="T139" s="90"/>
      <c r="U139" s="503"/>
      <c r="V139" s="105"/>
      <c r="W139" s="586"/>
      <c r="X139" s="587"/>
      <c r="Y139" s="588"/>
      <c r="Z139" s="107"/>
      <c r="AB139" s="534"/>
      <c r="AC139" s="109"/>
      <c r="AE139" s="538"/>
      <c r="AF139" s="539"/>
      <c r="AG139" s="540"/>
      <c r="AH139" s="533"/>
      <c r="AI139" s="533"/>
    </row>
    <row r="140" spans="2:35" ht="12.95" customHeight="1">
      <c r="B140" s="94"/>
      <c r="C140" s="543">
        <f>xHesaplama!Y39</f>
        <v>0</v>
      </c>
      <c r="D140" s="105"/>
      <c r="E140" s="586"/>
      <c r="F140" s="587"/>
      <c r="G140" s="588"/>
      <c r="H140" s="107"/>
      <c r="J140" s="314" t="s">
        <v>366</v>
      </c>
      <c r="K140" s="111"/>
      <c r="M140" s="123"/>
      <c r="N140" s="123"/>
      <c r="O140" s="123"/>
      <c r="P140" s="219"/>
      <c r="Q140" s="219"/>
      <c r="T140" s="94"/>
      <c r="U140" s="543">
        <f>xHesaplama!Y40</f>
        <v>0</v>
      </c>
      <c r="V140" s="105"/>
      <c r="W140" s="586"/>
      <c r="X140" s="587"/>
      <c r="Y140" s="588"/>
      <c r="Z140" s="107"/>
      <c r="AB140" s="314" t="s">
        <v>366</v>
      </c>
      <c r="AC140" s="111"/>
      <c r="AE140" s="123"/>
      <c r="AF140" s="123"/>
      <c r="AG140" s="123"/>
      <c r="AH140" s="219"/>
      <c r="AI140" s="219"/>
    </row>
    <row r="141" spans="2:35" ht="20.100000000000001" customHeight="1">
      <c r="B141" s="94"/>
      <c r="C141" s="543"/>
      <c r="D141" s="105"/>
      <c r="F141" s="313">
        <f>'1PROJE'!K19</f>
        <v>0</v>
      </c>
      <c r="H141" s="112"/>
      <c r="J141" s="547">
        <f>'1PROJE'!L19</f>
        <v>0</v>
      </c>
      <c r="M141" s="532" t="s">
        <v>802</v>
      </c>
      <c r="N141" s="532"/>
      <c r="O141" s="532"/>
      <c r="P141" s="533" t="e">
        <f>F150+HLOOKUP(D133,$BL$13:$BY$17,5,0)</f>
        <v>#N/A</v>
      </c>
      <c r="Q141" s="533"/>
      <c r="T141" s="94"/>
      <c r="U141" s="543"/>
      <c r="V141" s="105"/>
      <c r="X141" s="313">
        <f>'1PROJE'!K20</f>
        <v>0</v>
      </c>
      <c r="Z141" s="112"/>
      <c r="AB141" s="547">
        <f>'1PROJE'!L20</f>
        <v>0</v>
      </c>
      <c r="AE141" s="532" t="s">
        <v>802</v>
      </c>
      <c r="AF141" s="532"/>
      <c r="AG141" s="532"/>
      <c r="AH141" s="533" t="e">
        <f>X150+HLOOKUP(V133,$BL$13:$BY$17,5,0)</f>
        <v>#N/A</v>
      </c>
      <c r="AI141" s="533"/>
    </row>
    <row r="142" spans="2:35" ht="20.100000000000001" customHeight="1">
      <c r="B142" s="94"/>
      <c r="C142" s="543"/>
      <c r="D142" s="105"/>
      <c r="E142" s="113"/>
      <c r="F142" s="312" t="str">
        <f>IF('1PROJE'!P19="VAR","BASKI"&amp;" "&amp;'1PROJE'!P19,"")</f>
        <v/>
      </c>
      <c r="G142" s="114"/>
      <c r="H142" s="106"/>
      <c r="J142" s="547"/>
      <c r="K142" s="104"/>
      <c r="M142" s="532"/>
      <c r="N142" s="532"/>
      <c r="O142" s="532"/>
      <c r="P142" s="533"/>
      <c r="Q142" s="533"/>
      <c r="T142" s="94"/>
      <c r="U142" s="543"/>
      <c r="V142" s="105"/>
      <c r="W142" s="113"/>
      <c r="X142" s="312" t="str">
        <f>IF('1PROJE'!P20="VAR","BASKI"&amp;" "&amp;'1PROJE'!P20,"")</f>
        <v/>
      </c>
      <c r="Y142" s="114"/>
      <c r="Z142" s="106"/>
      <c r="AB142" s="547"/>
      <c r="AC142" s="104"/>
      <c r="AE142" s="532"/>
      <c r="AF142" s="532"/>
      <c r="AG142" s="532"/>
      <c r="AH142" s="533"/>
      <c r="AI142" s="533"/>
    </row>
    <row r="143" spans="2:35" ht="12.95" customHeight="1">
      <c r="B143" s="94"/>
      <c r="C143" s="543"/>
      <c r="D143" s="105"/>
      <c r="E143" s="113"/>
      <c r="F143" s="507"/>
      <c r="G143" s="114"/>
      <c r="H143" s="115"/>
      <c r="J143" s="547"/>
      <c r="K143" s="116"/>
      <c r="M143" s="123"/>
      <c r="N143" s="123"/>
      <c r="O143" s="123"/>
      <c r="P143" s="220"/>
      <c r="Q143" s="220"/>
      <c r="T143" s="94"/>
      <c r="U143" s="543"/>
      <c r="V143" s="105"/>
      <c r="W143" s="113"/>
      <c r="X143" s="507"/>
      <c r="Y143" s="114"/>
      <c r="Z143" s="115"/>
      <c r="AB143" s="547"/>
      <c r="AC143" s="116"/>
      <c r="AE143" s="123"/>
      <c r="AF143" s="123"/>
      <c r="AG143" s="123"/>
      <c r="AH143" s="220"/>
      <c r="AI143" s="220"/>
    </row>
    <row r="144" spans="2:35" ht="30" customHeight="1">
      <c r="B144" s="94"/>
      <c r="C144" s="502" t="s">
        <v>1063</v>
      </c>
      <c r="D144" s="105"/>
      <c r="E144" s="113"/>
      <c r="F144" s="507"/>
      <c r="G144" s="114"/>
      <c r="H144" s="115"/>
      <c r="J144" s="547"/>
      <c r="K144" s="111"/>
      <c r="M144" s="524" t="s">
        <v>803</v>
      </c>
      <c r="N144" s="524"/>
      <c r="O144" s="524"/>
      <c r="P144" s="524"/>
      <c r="Q144" s="524"/>
      <c r="T144" s="94"/>
      <c r="U144" s="502" t="s">
        <v>1063</v>
      </c>
      <c r="V144" s="105"/>
      <c r="W144" s="113"/>
      <c r="X144" s="507"/>
      <c r="Y144" s="114"/>
      <c r="Z144" s="115"/>
      <c r="AB144" s="547"/>
      <c r="AC144" s="111"/>
      <c r="AE144" s="524" t="s">
        <v>803</v>
      </c>
      <c r="AF144" s="524"/>
      <c r="AG144" s="524"/>
      <c r="AH144" s="524"/>
      <c r="AI144" s="524"/>
    </row>
    <row r="145" spans="2:35" ht="30" customHeight="1">
      <c r="B145" s="94"/>
      <c r="C145" s="502"/>
      <c r="D145" s="118"/>
      <c r="E145" s="113"/>
      <c r="F145" s="507"/>
      <c r="G145" s="114"/>
      <c r="H145" s="115"/>
      <c r="J145" s="242"/>
      <c r="K145" s="104"/>
      <c r="M145" s="525" t="s">
        <v>21</v>
      </c>
      <c r="N145" s="525"/>
      <c r="O145" s="525"/>
      <c r="P145" s="525"/>
      <c r="Q145" s="311" t="s">
        <v>22</v>
      </c>
      <c r="T145" s="94"/>
      <c r="U145" s="502"/>
      <c r="V145" s="118"/>
      <c r="W145" s="113"/>
      <c r="X145" s="507"/>
      <c r="Y145" s="114"/>
      <c r="Z145" s="115"/>
      <c r="AB145" s="242"/>
      <c r="AC145" s="104"/>
      <c r="AE145" s="525" t="s">
        <v>21</v>
      </c>
      <c r="AF145" s="525"/>
      <c r="AG145" s="525"/>
      <c r="AH145" s="525"/>
      <c r="AI145" s="311" t="s">
        <v>22</v>
      </c>
    </row>
    <row r="146" spans="2:35" ht="39.950000000000003" customHeight="1" thickBot="1">
      <c r="B146" s="94"/>
      <c r="C146" s="502"/>
      <c r="D146" s="105"/>
      <c r="F146" s="213"/>
      <c r="G146" s="213"/>
      <c r="H146" s="214"/>
      <c r="J146" s="583"/>
      <c r="K146" s="104"/>
      <c r="M146" s="526" t="e">
        <f>F150+HLOOKUP(D133,$BL$13:$BY$19,6,0)</f>
        <v>#N/A</v>
      </c>
      <c r="N146" s="527"/>
      <c r="O146" s="527"/>
      <c r="P146" s="528"/>
      <c r="Q146" s="523" t="e">
        <f>C140+HLOOKUP(D133,$BL$13:$BY$19,7,0)</f>
        <v>#N/A</v>
      </c>
      <c r="T146" s="94"/>
      <c r="U146" s="502"/>
      <c r="V146" s="105"/>
      <c r="X146" s="213"/>
      <c r="Y146" s="213"/>
      <c r="Z146" s="214"/>
      <c r="AB146" s="583"/>
      <c r="AC146" s="104"/>
      <c r="AE146" s="526" t="e">
        <f>X150+HLOOKUP(V133,$BL$13:$BY$19,6,0)</f>
        <v>#N/A</v>
      </c>
      <c r="AF146" s="527"/>
      <c r="AG146" s="527"/>
      <c r="AH146" s="528"/>
      <c r="AI146" s="523" t="e">
        <f>U140+HLOOKUP(V133,$BL$13:$BY$19,7,0)</f>
        <v>#N/A</v>
      </c>
    </row>
    <row r="147" spans="2:35" ht="8.4499999999999993" customHeight="1" thickBot="1">
      <c r="B147" s="94"/>
      <c r="C147" s="502"/>
      <c r="D147" s="105"/>
      <c r="E147" s="99"/>
      <c r="F147" s="215"/>
      <c r="G147" s="216"/>
      <c r="H147" s="105"/>
      <c r="J147" s="583"/>
      <c r="M147" s="529"/>
      <c r="N147" s="530"/>
      <c r="O147" s="530"/>
      <c r="P147" s="531"/>
      <c r="Q147" s="523"/>
      <c r="T147" s="94"/>
      <c r="U147" s="502"/>
      <c r="V147" s="105"/>
      <c r="W147" s="99"/>
      <c r="X147" s="215"/>
      <c r="Y147" s="216"/>
      <c r="Z147" s="105"/>
      <c r="AB147" s="583"/>
      <c r="AE147" s="529"/>
      <c r="AF147" s="530"/>
      <c r="AG147" s="530"/>
      <c r="AH147" s="531"/>
      <c r="AI147" s="523"/>
    </row>
    <row r="148" spans="2:35" ht="1.5" customHeight="1" thickBot="1">
      <c r="B148" s="94"/>
      <c r="C148" s="502"/>
      <c r="D148" s="119"/>
      <c r="H148" s="119"/>
      <c r="J148" s="583"/>
      <c r="T148" s="94"/>
      <c r="U148" s="502"/>
      <c r="V148" s="119"/>
      <c r="Z148" s="119"/>
      <c r="AB148" s="583"/>
    </row>
    <row r="149" spans="2:35" ht="5.0999999999999996" customHeight="1">
      <c r="B149" s="94"/>
      <c r="J149" s="583"/>
      <c r="T149" s="94"/>
      <c r="AB149" s="583"/>
    </row>
    <row r="150" spans="2:35" ht="20.100000000000001" customHeight="1">
      <c r="B150" s="94"/>
      <c r="D150" s="237" t="s">
        <v>847</v>
      </c>
      <c r="E150" s="239" t="s">
        <v>848</v>
      </c>
      <c r="F150" s="339">
        <f>xHesaplama!X39</f>
        <v>0</v>
      </c>
      <c r="G150" s="240" t="s">
        <v>848</v>
      </c>
      <c r="H150" s="87" t="s">
        <v>849</v>
      </c>
      <c r="J150" s="93"/>
      <c r="M150" s="522" t="str">
        <f>IFERROR(INDEX('Poz Reçete'!A495:H533,MATCH("78BOR",'Poz Reçete'!D495:D533,0),1),"//////////////////////////////")</f>
        <v>//////////////////////////////</v>
      </c>
      <c r="N150" s="522"/>
      <c r="O150" s="522"/>
      <c r="P150" s="522"/>
      <c r="Q150" s="522"/>
      <c r="T150" s="94"/>
      <c r="V150" s="237" t="s">
        <v>847</v>
      </c>
      <c r="W150" s="239" t="s">
        <v>848</v>
      </c>
      <c r="X150" s="339">
        <f>xHesaplama!X40</f>
        <v>0</v>
      </c>
      <c r="Y150" s="240" t="s">
        <v>848</v>
      </c>
      <c r="Z150" s="87" t="s">
        <v>849</v>
      </c>
      <c r="AB150" s="93"/>
      <c r="AE150" s="522" t="str">
        <f>IFERROR(INDEX('Poz Reçete'!A536:H574,MATCH("78BOR",'Poz Reçete'!D536:D574,0),1),"//////////////////////////////")</f>
        <v>//////////////////////////////</v>
      </c>
      <c r="AF150" s="522"/>
      <c r="AG150" s="522"/>
      <c r="AH150" s="522"/>
      <c r="AI150" s="522"/>
    </row>
    <row r="151" spans="2:35" ht="16.5" customHeight="1">
      <c r="B151" s="120"/>
      <c r="C151" s="121"/>
      <c r="D151" s="121"/>
      <c r="E151" s="121"/>
      <c r="F151" s="121"/>
      <c r="G151" s="121"/>
      <c r="H151" s="121"/>
      <c r="I151" s="121"/>
      <c r="J151" s="122"/>
      <c r="M151" s="522" t="str">
        <f>IFERROR(INDEX('Poz Reçete'!A495:H533,MATCH("100BOR",'Poz Reçete'!D495:D533,0),1),"//////////////////////////////")</f>
        <v>//////////////////////////////</v>
      </c>
      <c r="N151" s="522"/>
      <c r="O151" s="522"/>
      <c r="P151" s="522"/>
      <c r="Q151" s="522"/>
      <c r="T151" s="120"/>
      <c r="U151" s="121"/>
      <c r="V151" s="121"/>
      <c r="W151" s="121"/>
      <c r="X151" s="121"/>
      <c r="Y151" s="121"/>
      <c r="Z151" s="121"/>
      <c r="AA151" s="121"/>
      <c r="AB151" s="122"/>
      <c r="AE151" s="522" t="str">
        <f>IFERROR(INDEX('Poz Reçete'!A536:H574,MATCH("100BOR",'Poz Reçete'!D536:D574,0),1),"//////////////////////////////")</f>
        <v>//////////////////////////////</v>
      </c>
      <c r="AF151" s="522"/>
      <c r="AG151" s="522"/>
      <c r="AH151" s="522"/>
      <c r="AI151" s="522"/>
    </row>
    <row r="152" spans="2:35" ht="30" customHeight="1">
      <c r="AH152" s="88"/>
      <c r="AI152" s="88"/>
    </row>
    <row r="153" spans="2:35" ht="23.1" customHeight="1">
      <c r="B153" s="218" t="s">
        <v>823</v>
      </c>
      <c r="C153" s="300">
        <f>'1PROJE'!B21</f>
        <v>15</v>
      </c>
      <c r="D153" s="548">
        <f>'1PROJE'!C21</f>
        <v>0</v>
      </c>
      <c r="E153" s="549"/>
      <c r="F153" s="549"/>
      <c r="G153" s="549"/>
      <c r="H153" s="549"/>
      <c r="I153" s="549"/>
      <c r="J153" s="550"/>
      <c r="K153" s="124"/>
      <c r="L153" s="124"/>
      <c r="M153" s="125"/>
      <c r="N153" s="125"/>
      <c r="O153" s="125"/>
      <c r="P153" s="124"/>
      <c r="Q153" s="124"/>
      <c r="T153" s="218" t="s">
        <v>823</v>
      </c>
      <c r="U153" s="300">
        <f>'1PROJE'!B22</f>
        <v>16</v>
      </c>
      <c r="V153" s="548">
        <f>'1PROJE'!C22</f>
        <v>0</v>
      </c>
      <c r="W153" s="549"/>
      <c r="X153" s="549"/>
      <c r="Y153" s="549"/>
      <c r="Z153" s="549"/>
      <c r="AA153" s="549"/>
      <c r="AB153" s="550"/>
      <c r="AC153" s="124"/>
      <c r="AD153" s="124"/>
      <c r="AE153" s="125"/>
      <c r="AF153" s="125"/>
      <c r="AG153" s="125"/>
      <c r="AH153" s="124"/>
      <c r="AI153" s="124"/>
    </row>
    <row r="154" spans="2:35" ht="39.950000000000003" customHeight="1">
      <c r="B154" s="90"/>
      <c r="C154" s="316">
        <f>'1PROJE'!D21</f>
        <v>0</v>
      </c>
      <c r="D154" s="584" t="s">
        <v>357</v>
      </c>
      <c r="E154" s="584"/>
      <c r="F154" s="585" t="s">
        <v>365</v>
      </c>
      <c r="G154" s="585"/>
      <c r="H154" s="92"/>
      <c r="J154" s="271" t="str">
        <f>IF('1PROJE'!T21="", "", '1PROJE'!T21)</f>
        <v/>
      </c>
      <c r="M154" s="532" t="s">
        <v>799</v>
      </c>
      <c r="N154" s="532"/>
      <c r="O154" s="532"/>
      <c r="P154" s="523" t="e">
        <f>F170+HLOOKUP(D153,$BL$13:$BY$17,2,0)</f>
        <v>#N/A</v>
      </c>
      <c r="Q154" s="523"/>
      <c r="T154" s="90"/>
      <c r="U154" s="316">
        <f>'1PROJE'!D22</f>
        <v>0</v>
      </c>
      <c r="V154" s="584" t="s">
        <v>357</v>
      </c>
      <c r="W154" s="584"/>
      <c r="X154" s="585" t="s">
        <v>365</v>
      </c>
      <c r="Y154" s="585"/>
      <c r="Z154" s="92"/>
      <c r="AB154" s="271" t="str">
        <f>IF('1PROJE'!T22="", "", '1PROJE'!T22)</f>
        <v/>
      </c>
      <c r="AE154" s="532" t="s">
        <v>799</v>
      </c>
      <c r="AF154" s="532"/>
      <c r="AG154" s="532"/>
      <c r="AH154" s="523" t="e">
        <f>X170+HLOOKUP(V153,$BL$13:$BY$17,2,0)</f>
        <v>#N/A</v>
      </c>
      <c r="AI154" s="523"/>
    </row>
    <row r="155" spans="2:35" ht="20.100000000000001" customHeight="1" thickBot="1">
      <c r="B155" s="94"/>
      <c r="C155" s="95"/>
      <c r="E155" s="551">
        <f>'1PROJE'!M21</f>
        <v>0</v>
      </c>
      <c r="F155" s="551"/>
      <c r="G155" s="551"/>
      <c r="H155" s="96"/>
      <c r="J155" s="93"/>
      <c r="M155" s="123"/>
      <c r="N155" s="123"/>
      <c r="O155" s="123"/>
      <c r="P155" s="219"/>
      <c r="Q155" s="219"/>
      <c r="T155" s="94"/>
      <c r="U155" s="95"/>
      <c r="W155" s="551">
        <f>'1PROJE'!M22</f>
        <v>0</v>
      </c>
      <c r="X155" s="551"/>
      <c r="Y155" s="551"/>
      <c r="Z155" s="96"/>
      <c r="AB155" s="93"/>
      <c r="AE155" s="123"/>
      <c r="AF155" s="123"/>
      <c r="AG155" s="123"/>
      <c r="AH155" s="219"/>
      <c r="AI155" s="219"/>
    </row>
    <row r="156" spans="2:35" ht="39.950000000000003" customHeight="1" thickBot="1">
      <c r="B156" s="94"/>
      <c r="C156" s="503" t="s">
        <v>853</v>
      </c>
      <c r="D156" s="99"/>
      <c r="E156" s="319" t="str">
        <f>IF(OR(E155="DIŞTAN BAKIŞ SOL",E155="İÇTEN BAKIŞ SAĞ"),"M","")</f>
        <v/>
      </c>
      <c r="F156" s="317" t="e">
        <f>VLOOKUP('1PROJE'!C21,'x Açılır Listeler'!$A$2:$B$15,2,0)</f>
        <v>#N/A</v>
      </c>
      <c r="G156" s="318" t="str">
        <f>IF(OR(E155="DIŞTAN BAKIŞ SAĞ",E155="İÇTEN BAKIŞ SOL"),"M","")</f>
        <v/>
      </c>
      <c r="H156" s="100"/>
      <c r="J156" s="315" t="s">
        <v>368</v>
      </c>
      <c r="M156" s="532" t="s">
        <v>800</v>
      </c>
      <c r="N156" s="532"/>
      <c r="O156" s="532"/>
      <c r="P156" s="533" t="e">
        <f>C160+HLOOKUP(D153,$BL$13:$BY$17,3,0)</f>
        <v>#N/A</v>
      </c>
      <c r="Q156" s="533"/>
      <c r="T156" s="94"/>
      <c r="U156" s="503" t="s">
        <v>853</v>
      </c>
      <c r="V156" s="99"/>
      <c r="W156" s="319" t="str">
        <f>IF(OR(W155="DIŞTAN BAKIŞ SOL",W155="İÇTEN BAKIŞ SAĞ"),"M","")</f>
        <v/>
      </c>
      <c r="X156" s="317" t="e">
        <f>VLOOKUP('1PROJE'!C22,'x Açılır Listeler'!$A$2:$B$15,2,0)</f>
        <v>#N/A</v>
      </c>
      <c r="Y156" s="318" t="str">
        <f>IF(OR(W155="DIŞTAN BAKIŞ SAĞ",W155="İÇTEN BAKIŞ SOL"),"M","")</f>
        <v/>
      </c>
      <c r="Z156" s="100"/>
      <c r="AB156" s="315" t="s">
        <v>368</v>
      </c>
      <c r="AE156" s="532" t="s">
        <v>800</v>
      </c>
      <c r="AF156" s="532"/>
      <c r="AG156" s="532"/>
      <c r="AH156" s="533" t="e">
        <f>U160+HLOOKUP(V153,$BL$13:$BY$17,3,0)</f>
        <v>#N/A</v>
      </c>
      <c r="AI156" s="533"/>
    </row>
    <row r="157" spans="2:35" ht="12.95" customHeight="1">
      <c r="B157" s="94"/>
      <c r="C157" s="503"/>
      <c r="D157" s="102"/>
      <c r="H157" s="103"/>
      <c r="J157" s="534">
        <f>'1PROJE'!H21</f>
        <v>0</v>
      </c>
      <c r="K157" s="104"/>
      <c r="M157" s="123"/>
      <c r="N157" s="123"/>
      <c r="O157" s="123"/>
      <c r="P157" s="219"/>
      <c r="Q157" s="219"/>
      <c r="T157" s="94"/>
      <c r="U157" s="503"/>
      <c r="V157" s="102"/>
      <c r="Z157" s="103"/>
      <c r="AB157" s="534">
        <f>'1PROJE'!H22</f>
        <v>0</v>
      </c>
      <c r="AC157" s="104"/>
      <c r="AE157" s="123"/>
      <c r="AF157" s="123"/>
      <c r="AG157" s="123"/>
      <c r="AH157" s="219"/>
      <c r="AI157" s="219"/>
    </row>
    <row r="158" spans="2:35" ht="20.100000000000001" customHeight="1">
      <c r="B158" s="94"/>
      <c r="C158" s="503"/>
      <c r="D158" s="105"/>
      <c r="E158" s="586">
        <f>'1PROJE'!I21</f>
        <v>0</v>
      </c>
      <c r="F158" s="587"/>
      <c r="G158" s="588"/>
      <c r="H158" s="106"/>
      <c r="J158" s="534"/>
      <c r="K158" s="104"/>
      <c r="M158" s="535" t="s">
        <v>801</v>
      </c>
      <c r="N158" s="536"/>
      <c r="O158" s="537"/>
      <c r="P158" s="533" t="e">
        <f>F170+HLOOKUP(D153,$BL$13:$BY$17,4,0)</f>
        <v>#N/A</v>
      </c>
      <c r="Q158" s="533"/>
      <c r="T158" s="94"/>
      <c r="U158" s="503"/>
      <c r="V158" s="105"/>
      <c r="W158" s="586">
        <f>'1PROJE'!I22</f>
        <v>0</v>
      </c>
      <c r="X158" s="587"/>
      <c r="Y158" s="588"/>
      <c r="Z158" s="106"/>
      <c r="AB158" s="534"/>
      <c r="AC158" s="104"/>
      <c r="AE158" s="535" t="s">
        <v>801</v>
      </c>
      <c r="AF158" s="536"/>
      <c r="AG158" s="537"/>
      <c r="AH158" s="533" t="e">
        <f>X170+HLOOKUP(V153,$BL$13:$BY$17,4,0)</f>
        <v>#N/A</v>
      </c>
      <c r="AI158" s="533"/>
    </row>
    <row r="159" spans="2:35" ht="20.100000000000001" customHeight="1">
      <c r="B159" s="90"/>
      <c r="C159" s="503"/>
      <c r="D159" s="105"/>
      <c r="E159" s="586"/>
      <c r="F159" s="587"/>
      <c r="G159" s="588"/>
      <c r="H159" s="107"/>
      <c r="J159" s="534"/>
      <c r="K159" s="109"/>
      <c r="M159" s="538"/>
      <c r="N159" s="539"/>
      <c r="O159" s="540"/>
      <c r="P159" s="533"/>
      <c r="Q159" s="533"/>
      <c r="T159" s="90"/>
      <c r="U159" s="503"/>
      <c r="V159" s="105"/>
      <c r="W159" s="586"/>
      <c r="X159" s="587"/>
      <c r="Y159" s="588"/>
      <c r="Z159" s="107"/>
      <c r="AB159" s="534"/>
      <c r="AC159" s="109"/>
      <c r="AE159" s="538"/>
      <c r="AF159" s="539"/>
      <c r="AG159" s="540"/>
      <c r="AH159" s="533"/>
      <c r="AI159" s="533"/>
    </row>
    <row r="160" spans="2:35" ht="12.95" customHeight="1">
      <c r="B160" s="94"/>
      <c r="C160" s="543">
        <f>xHesaplama!Y41</f>
        <v>0</v>
      </c>
      <c r="D160" s="105"/>
      <c r="E160" s="586"/>
      <c r="F160" s="587"/>
      <c r="G160" s="588"/>
      <c r="H160" s="107"/>
      <c r="J160" s="314" t="s">
        <v>366</v>
      </c>
      <c r="K160" s="111"/>
      <c r="M160" s="123"/>
      <c r="N160" s="123"/>
      <c r="O160" s="123"/>
      <c r="P160" s="219"/>
      <c r="Q160" s="219"/>
      <c r="T160" s="94"/>
      <c r="U160" s="543">
        <f>xHesaplama!Y42</f>
        <v>0</v>
      </c>
      <c r="V160" s="105"/>
      <c r="W160" s="586"/>
      <c r="X160" s="587"/>
      <c r="Y160" s="588"/>
      <c r="Z160" s="107"/>
      <c r="AB160" s="314" t="s">
        <v>366</v>
      </c>
      <c r="AC160" s="111"/>
      <c r="AE160" s="123"/>
      <c r="AF160" s="123"/>
      <c r="AG160" s="123"/>
      <c r="AH160" s="219"/>
      <c r="AI160" s="219"/>
    </row>
    <row r="161" spans="2:35" ht="20.100000000000001" customHeight="1">
      <c r="B161" s="94"/>
      <c r="C161" s="543"/>
      <c r="D161" s="105"/>
      <c r="F161" s="313">
        <f>'1PROJE'!K21</f>
        <v>0</v>
      </c>
      <c r="H161" s="112"/>
      <c r="J161" s="547">
        <f>'1PROJE'!L21</f>
        <v>0</v>
      </c>
      <c r="M161" s="532" t="s">
        <v>802</v>
      </c>
      <c r="N161" s="532"/>
      <c r="O161" s="532"/>
      <c r="P161" s="533" t="e">
        <f>F170+HLOOKUP(D153,$BL$13:$BY$17,5,0)</f>
        <v>#N/A</v>
      </c>
      <c r="Q161" s="533"/>
      <c r="T161" s="94"/>
      <c r="U161" s="543"/>
      <c r="V161" s="105"/>
      <c r="X161" s="313">
        <f>'1PROJE'!K22</f>
        <v>0</v>
      </c>
      <c r="Z161" s="112"/>
      <c r="AB161" s="547">
        <f>'1PROJE'!L22</f>
        <v>0</v>
      </c>
      <c r="AE161" s="532" t="s">
        <v>802</v>
      </c>
      <c r="AF161" s="532"/>
      <c r="AG161" s="532"/>
      <c r="AH161" s="533" t="e">
        <f>X170+HLOOKUP(V153,$BL$13:$BY$17,5,0)</f>
        <v>#N/A</v>
      </c>
      <c r="AI161" s="533"/>
    </row>
    <row r="162" spans="2:35" ht="20.100000000000001" customHeight="1">
      <c r="B162" s="94"/>
      <c r="C162" s="543"/>
      <c r="D162" s="105"/>
      <c r="E162" s="113"/>
      <c r="F162" s="312" t="str">
        <f>IF('1PROJE'!P21="VAR","BASKI"&amp;" "&amp;'1PROJE'!P21,"")</f>
        <v/>
      </c>
      <c r="G162" s="114"/>
      <c r="H162" s="106"/>
      <c r="J162" s="547"/>
      <c r="K162" s="104"/>
      <c r="M162" s="532"/>
      <c r="N162" s="532"/>
      <c r="O162" s="532"/>
      <c r="P162" s="533"/>
      <c r="Q162" s="533"/>
      <c r="T162" s="94"/>
      <c r="U162" s="543"/>
      <c r="V162" s="105"/>
      <c r="W162" s="113"/>
      <c r="X162" s="312" t="str">
        <f>IF('1PROJE'!P22="VAR","BASKI"&amp;" "&amp;'1PROJE'!P22,"")</f>
        <v/>
      </c>
      <c r="Y162" s="114"/>
      <c r="Z162" s="106"/>
      <c r="AB162" s="547"/>
      <c r="AC162" s="104"/>
      <c r="AE162" s="532"/>
      <c r="AF162" s="532"/>
      <c r="AG162" s="532"/>
      <c r="AH162" s="533"/>
      <c r="AI162" s="533"/>
    </row>
    <row r="163" spans="2:35" ht="12.95" customHeight="1">
      <c r="B163" s="94"/>
      <c r="C163" s="543"/>
      <c r="D163" s="105"/>
      <c r="E163" s="113"/>
      <c r="F163" s="507"/>
      <c r="G163" s="114"/>
      <c r="H163" s="115"/>
      <c r="J163" s="547"/>
      <c r="K163" s="116"/>
      <c r="M163" s="123"/>
      <c r="N163" s="123"/>
      <c r="O163" s="123"/>
      <c r="P163" s="220"/>
      <c r="Q163" s="220"/>
      <c r="T163" s="94"/>
      <c r="U163" s="543"/>
      <c r="V163" s="105"/>
      <c r="W163" s="113"/>
      <c r="X163" s="507"/>
      <c r="Y163" s="114"/>
      <c r="Z163" s="115"/>
      <c r="AB163" s="547"/>
      <c r="AC163" s="116"/>
      <c r="AE163" s="123"/>
      <c r="AF163" s="123"/>
      <c r="AG163" s="123"/>
      <c r="AH163" s="220"/>
      <c r="AI163" s="220"/>
    </row>
    <row r="164" spans="2:35" ht="30" customHeight="1">
      <c r="B164" s="94"/>
      <c r="C164" s="502" t="s">
        <v>1063</v>
      </c>
      <c r="D164" s="105"/>
      <c r="E164" s="113"/>
      <c r="F164" s="507"/>
      <c r="G164" s="114"/>
      <c r="H164" s="115"/>
      <c r="J164" s="547"/>
      <c r="K164" s="111"/>
      <c r="M164" s="524" t="s">
        <v>803</v>
      </c>
      <c r="N164" s="524"/>
      <c r="O164" s="524"/>
      <c r="P164" s="524"/>
      <c r="Q164" s="524"/>
      <c r="T164" s="94"/>
      <c r="U164" s="502" t="s">
        <v>1063</v>
      </c>
      <c r="V164" s="105"/>
      <c r="W164" s="113"/>
      <c r="X164" s="507"/>
      <c r="Y164" s="114"/>
      <c r="Z164" s="115"/>
      <c r="AB164" s="547"/>
      <c r="AC164" s="111"/>
      <c r="AE164" s="524" t="s">
        <v>803</v>
      </c>
      <c r="AF164" s="524"/>
      <c r="AG164" s="524"/>
      <c r="AH164" s="524"/>
      <c r="AI164" s="524"/>
    </row>
    <row r="165" spans="2:35" ht="30" customHeight="1">
      <c r="B165" s="94"/>
      <c r="C165" s="502"/>
      <c r="D165" s="118"/>
      <c r="E165" s="113"/>
      <c r="F165" s="507"/>
      <c r="G165" s="114"/>
      <c r="H165" s="115"/>
      <c r="J165" s="242"/>
      <c r="K165" s="104"/>
      <c r="M165" s="525" t="s">
        <v>21</v>
      </c>
      <c r="N165" s="525"/>
      <c r="O165" s="525"/>
      <c r="P165" s="525"/>
      <c r="Q165" s="311" t="s">
        <v>22</v>
      </c>
      <c r="T165" s="94"/>
      <c r="U165" s="502"/>
      <c r="V165" s="118"/>
      <c r="W165" s="113"/>
      <c r="X165" s="507"/>
      <c r="Y165" s="114"/>
      <c r="Z165" s="115"/>
      <c r="AB165" s="242"/>
      <c r="AC165" s="104"/>
      <c r="AE165" s="525" t="s">
        <v>21</v>
      </c>
      <c r="AF165" s="525"/>
      <c r="AG165" s="525"/>
      <c r="AH165" s="525"/>
      <c r="AI165" s="311" t="s">
        <v>22</v>
      </c>
    </row>
    <row r="166" spans="2:35" ht="39.950000000000003" customHeight="1" thickBot="1">
      <c r="B166" s="94"/>
      <c r="C166" s="502"/>
      <c r="D166" s="105"/>
      <c r="F166" s="213"/>
      <c r="G166" s="213"/>
      <c r="H166" s="214"/>
      <c r="J166" s="583"/>
      <c r="K166" s="104"/>
      <c r="M166" s="526" t="e">
        <f>F170+HLOOKUP(D153,$BL$13:$BY$19,6,0)</f>
        <v>#N/A</v>
      </c>
      <c r="N166" s="527"/>
      <c r="O166" s="527"/>
      <c r="P166" s="528"/>
      <c r="Q166" s="523" t="e">
        <f>C160+HLOOKUP(D153,$BL$13:$BY$19,7,0)</f>
        <v>#N/A</v>
      </c>
      <c r="T166" s="94"/>
      <c r="U166" s="502"/>
      <c r="V166" s="105"/>
      <c r="X166" s="213"/>
      <c r="Y166" s="213"/>
      <c r="Z166" s="214"/>
      <c r="AB166" s="583"/>
      <c r="AC166" s="104"/>
      <c r="AE166" s="526" t="e">
        <f>X170+HLOOKUP(V153,$BL$13:$BY$19,6,0)</f>
        <v>#N/A</v>
      </c>
      <c r="AF166" s="527"/>
      <c r="AG166" s="527"/>
      <c r="AH166" s="528"/>
      <c r="AI166" s="523" t="e">
        <f>U160+HLOOKUP(V153,$BL$13:$BY$19,7,0)</f>
        <v>#N/A</v>
      </c>
    </row>
    <row r="167" spans="2:35" ht="8.4499999999999993" customHeight="1" thickBot="1">
      <c r="B167" s="94"/>
      <c r="C167" s="502"/>
      <c r="D167" s="105"/>
      <c r="E167" s="99"/>
      <c r="F167" s="215"/>
      <c r="G167" s="216"/>
      <c r="H167" s="105"/>
      <c r="J167" s="583"/>
      <c r="M167" s="529"/>
      <c r="N167" s="530"/>
      <c r="O167" s="530"/>
      <c r="P167" s="531"/>
      <c r="Q167" s="523"/>
      <c r="T167" s="94"/>
      <c r="U167" s="502"/>
      <c r="V167" s="105"/>
      <c r="W167" s="99"/>
      <c r="X167" s="215"/>
      <c r="Y167" s="216"/>
      <c r="Z167" s="105"/>
      <c r="AB167" s="583"/>
      <c r="AE167" s="529"/>
      <c r="AF167" s="530"/>
      <c r="AG167" s="530"/>
      <c r="AH167" s="531"/>
      <c r="AI167" s="523"/>
    </row>
    <row r="168" spans="2:35" ht="1.5" customHeight="1" thickBot="1">
      <c r="B168" s="94"/>
      <c r="C168" s="502"/>
      <c r="D168" s="119"/>
      <c r="H168" s="119"/>
      <c r="J168" s="583"/>
      <c r="T168" s="94"/>
      <c r="U168" s="502"/>
      <c r="V168" s="119"/>
      <c r="Z168" s="119"/>
      <c r="AB168" s="583"/>
    </row>
    <row r="169" spans="2:35" ht="5.0999999999999996" customHeight="1">
      <c r="B169" s="94"/>
      <c r="J169" s="583"/>
      <c r="T169" s="94"/>
      <c r="AB169" s="583"/>
    </row>
    <row r="170" spans="2:35" ht="20.100000000000001" customHeight="1">
      <c r="B170" s="94"/>
      <c r="D170" s="237" t="s">
        <v>847</v>
      </c>
      <c r="E170" s="239" t="s">
        <v>848</v>
      </c>
      <c r="F170" s="339">
        <f>xHesaplama!X41</f>
        <v>0</v>
      </c>
      <c r="G170" s="240" t="s">
        <v>848</v>
      </c>
      <c r="H170" s="87" t="s">
        <v>849</v>
      </c>
      <c r="J170" s="93"/>
      <c r="M170" s="522" t="str">
        <f>IFERROR(INDEX('Poz Reçete'!A577:H615,MATCH("78BOR",'Poz Reçete'!D577:D615,0),1),"//////////////////////////////")</f>
        <v>//////////////////////////////</v>
      </c>
      <c r="N170" s="522"/>
      <c r="O170" s="522"/>
      <c r="P170" s="522"/>
      <c r="Q170" s="522"/>
      <c r="T170" s="94"/>
      <c r="V170" s="237" t="s">
        <v>847</v>
      </c>
      <c r="W170" s="239" t="s">
        <v>848</v>
      </c>
      <c r="X170" s="339">
        <f>xHesaplama!X42</f>
        <v>0</v>
      </c>
      <c r="Y170" s="240" t="s">
        <v>848</v>
      </c>
      <c r="Z170" s="87" t="s">
        <v>849</v>
      </c>
      <c r="AB170" s="93"/>
      <c r="AE170" s="522" t="str">
        <f>IFERROR(INDEX('Poz Reçete'!A618:H656,MATCH("78BOR",'Poz Reçete'!D618:D656,0),1),"//////////////////////////////")</f>
        <v>//////////////////////////////</v>
      </c>
      <c r="AF170" s="522"/>
      <c r="AG170" s="522"/>
      <c r="AH170" s="522"/>
      <c r="AI170" s="522"/>
    </row>
    <row r="171" spans="2:35" ht="16.5" customHeight="1">
      <c r="B171" s="120"/>
      <c r="C171" s="121"/>
      <c r="D171" s="121"/>
      <c r="E171" s="121"/>
      <c r="F171" s="121"/>
      <c r="G171" s="121"/>
      <c r="H171" s="121"/>
      <c r="I171" s="121"/>
      <c r="J171" s="122"/>
      <c r="M171" s="522" t="str">
        <f>IFERROR(INDEX('Poz Reçete'!A577:H615,MATCH("100BOR",'Poz Reçete'!D577:D615,0),1),"//////////////////////////////")</f>
        <v>//////////////////////////////</v>
      </c>
      <c r="N171" s="522"/>
      <c r="O171" s="522"/>
      <c r="P171" s="522"/>
      <c r="Q171" s="522"/>
      <c r="T171" s="120"/>
      <c r="U171" s="121"/>
      <c r="V171" s="121"/>
      <c r="W171" s="121"/>
      <c r="X171" s="121"/>
      <c r="Y171" s="121"/>
      <c r="Z171" s="121"/>
      <c r="AA171" s="121"/>
      <c r="AB171" s="122"/>
      <c r="AE171" s="522" t="str">
        <f>IFERROR(INDEX('Poz Reçete'!A618:H656,MATCH("100BOR",'Poz Reçete'!D618:D656,0),1),"//////////////////////////////")</f>
        <v>//////////////////////////////</v>
      </c>
      <c r="AF171" s="522"/>
      <c r="AG171" s="522"/>
      <c r="AH171" s="522"/>
      <c r="AI171" s="522"/>
    </row>
    <row r="172" spans="2:35" ht="15" customHeight="1">
      <c r="AH172" s="88"/>
      <c r="AI172" s="88"/>
    </row>
    <row r="173" spans="2:35" ht="15" customHeight="1">
      <c r="AH173" s="88"/>
      <c r="AI173" s="88"/>
    </row>
    <row r="174" spans="2:35" ht="23.1" customHeight="1">
      <c r="B174" s="218" t="s">
        <v>823</v>
      </c>
      <c r="C174" s="300">
        <f>'1PROJE'!B23</f>
        <v>17</v>
      </c>
      <c r="D174" s="548">
        <f>'1PROJE'!C23</f>
        <v>0</v>
      </c>
      <c r="E174" s="549"/>
      <c r="F174" s="549"/>
      <c r="G174" s="549"/>
      <c r="H174" s="549"/>
      <c r="I174" s="549"/>
      <c r="J174" s="550"/>
      <c r="K174" s="124"/>
      <c r="L174" s="124"/>
      <c r="M174" s="125"/>
      <c r="N174" s="125"/>
      <c r="O174" s="125"/>
      <c r="P174" s="124"/>
      <c r="Q174" s="124"/>
      <c r="T174" s="218" t="s">
        <v>823</v>
      </c>
      <c r="U174" s="300">
        <f>'1PROJE'!B24</f>
        <v>18</v>
      </c>
      <c r="V174" s="548">
        <f>'1PROJE'!C24</f>
        <v>0</v>
      </c>
      <c r="W174" s="549"/>
      <c r="X174" s="549"/>
      <c r="Y174" s="549"/>
      <c r="Z174" s="549"/>
      <c r="AA174" s="549"/>
      <c r="AB174" s="550"/>
      <c r="AC174" s="124"/>
      <c r="AD174" s="124"/>
      <c r="AE174" s="125"/>
      <c r="AF174" s="125"/>
      <c r="AG174" s="125"/>
      <c r="AH174" s="124"/>
      <c r="AI174" s="124"/>
    </row>
    <row r="175" spans="2:35" ht="39.950000000000003" customHeight="1">
      <c r="B175" s="90"/>
      <c r="C175" s="316">
        <f>'1PROJE'!D23</f>
        <v>0</v>
      </c>
      <c r="D175" s="584" t="s">
        <v>357</v>
      </c>
      <c r="E175" s="584"/>
      <c r="F175" s="585" t="s">
        <v>365</v>
      </c>
      <c r="G175" s="585"/>
      <c r="H175" s="92"/>
      <c r="J175" s="271" t="str">
        <f>IF('1PROJE'!T23="", "", '1PROJE'!T23)</f>
        <v/>
      </c>
      <c r="M175" s="532" t="s">
        <v>799</v>
      </c>
      <c r="N175" s="532"/>
      <c r="O175" s="532"/>
      <c r="P175" s="523" t="e">
        <f>F191+HLOOKUP(D174,$BL$13:$BY$17,2,0)</f>
        <v>#N/A</v>
      </c>
      <c r="Q175" s="523"/>
      <c r="T175" s="90"/>
      <c r="U175" s="316">
        <f>'1PROJE'!D24</f>
        <v>0</v>
      </c>
      <c r="V175" s="584" t="s">
        <v>357</v>
      </c>
      <c r="W175" s="584"/>
      <c r="X175" s="585" t="s">
        <v>365</v>
      </c>
      <c r="Y175" s="585"/>
      <c r="Z175" s="92"/>
      <c r="AB175" s="271" t="str">
        <f>IF('1PROJE'!T24="", "", '1PROJE'!T24)</f>
        <v/>
      </c>
      <c r="AE175" s="532" t="s">
        <v>799</v>
      </c>
      <c r="AF175" s="532"/>
      <c r="AG175" s="532"/>
      <c r="AH175" s="523" t="e">
        <f>X191+HLOOKUP(V174,$BL$13:$BY$17,2,0)</f>
        <v>#N/A</v>
      </c>
      <c r="AI175" s="523"/>
    </row>
    <row r="176" spans="2:35" ht="20.100000000000001" customHeight="1" thickBot="1">
      <c r="B176" s="94"/>
      <c r="C176" s="95"/>
      <c r="E176" s="551">
        <f>'1PROJE'!M23</f>
        <v>0</v>
      </c>
      <c r="F176" s="551"/>
      <c r="G176" s="551"/>
      <c r="H176" s="96"/>
      <c r="J176" s="93"/>
      <c r="M176" s="123"/>
      <c r="N176" s="123"/>
      <c r="O176" s="123"/>
      <c r="P176" s="219"/>
      <c r="Q176" s="219"/>
      <c r="T176" s="94"/>
      <c r="U176" s="95"/>
      <c r="W176" s="551">
        <f>'1PROJE'!M24</f>
        <v>0</v>
      </c>
      <c r="X176" s="551"/>
      <c r="Y176" s="551"/>
      <c r="Z176" s="96"/>
      <c r="AB176" s="93"/>
      <c r="AE176" s="123"/>
      <c r="AF176" s="123"/>
      <c r="AG176" s="123"/>
      <c r="AH176" s="219"/>
      <c r="AI176" s="219"/>
    </row>
    <row r="177" spans="2:35" ht="39.950000000000003" customHeight="1" thickBot="1">
      <c r="B177" s="94"/>
      <c r="C177" s="503" t="s">
        <v>853</v>
      </c>
      <c r="D177" s="99"/>
      <c r="E177" s="319" t="str">
        <f>IF(OR(E176="DIŞTAN BAKIŞ SOL",E176="İÇTEN BAKIŞ SAĞ"),"M","")</f>
        <v/>
      </c>
      <c r="F177" s="317" t="e">
        <f>VLOOKUP('1PROJE'!C23,'x Açılır Listeler'!$A$2:$B$15,2,0)</f>
        <v>#N/A</v>
      </c>
      <c r="G177" s="318" t="str">
        <f>IF(OR(E176="DIŞTAN BAKIŞ SAĞ",E176="İÇTEN BAKIŞ SOL"),"M","")</f>
        <v/>
      </c>
      <c r="H177" s="100"/>
      <c r="J177" s="315" t="s">
        <v>368</v>
      </c>
      <c r="M177" s="532" t="s">
        <v>800</v>
      </c>
      <c r="N177" s="532"/>
      <c r="O177" s="532"/>
      <c r="P177" s="533" t="e">
        <f>C181+HLOOKUP(D174,$BL$13:$BY$17,3,0)</f>
        <v>#N/A</v>
      </c>
      <c r="Q177" s="533"/>
      <c r="T177" s="94"/>
      <c r="U177" s="503" t="s">
        <v>853</v>
      </c>
      <c r="V177" s="99"/>
      <c r="W177" s="319" t="str">
        <f>IF(OR(W176="DIŞTAN BAKIŞ SOL",W176="İÇTEN BAKIŞ SAĞ"),"M","")</f>
        <v/>
      </c>
      <c r="X177" s="317" t="e">
        <f>VLOOKUP('1PROJE'!C24,'x Açılır Listeler'!$A$2:$B$15,2,0)</f>
        <v>#N/A</v>
      </c>
      <c r="Y177" s="318" t="str">
        <f>IF(OR(W176="DIŞTAN BAKIŞ SAĞ",W176="İÇTEN BAKIŞ SOL"),"M","")</f>
        <v/>
      </c>
      <c r="Z177" s="100"/>
      <c r="AB177" s="315" t="s">
        <v>368</v>
      </c>
      <c r="AE177" s="532" t="s">
        <v>800</v>
      </c>
      <c r="AF177" s="532"/>
      <c r="AG177" s="532"/>
      <c r="AH177" s="533" t="e">
        <f>U181+HLOOKUP(V174,$BL$13:$BY$17,3,0)</f>
        <v>#N/A</v>
      </c>
      <c r="AI177" s="533"/>
    </row>
    <row r="178" spans="2:35" ht="12.95" customHeight="1">
      <c r="B178" s="94"/>
      <c r="C178" s="503"/>
      <c r="D178" s="102"/>
      <c r="H178" s="103"/>
      <c r="J178" s="534">
        <f>'1PROJE'!H23</f>
        <v>0</v>
      </c>
      <c r="K178" s="104"/>
      <c r="M178" s="123"/>
      <c r="N178" s="123"/>
      <c r="O178" s="123"/>
      <c r="P178" s="219"/>
      <c r="Q178" s="219"/>
      <c r="T178" s="94"/>
      <c r="U178" s="503"/>
      <c r="V178" s="102"/>
      <c r="Z178" s="103"/>
      <c r="AB178" s="534">
        <f>'1PROJE'!H24</f>
        <v>0</v>
      </c>
      <c r="AC178" s="104"/>
      <c r="AE178" s="123"/>
      <c r="AF178" s="123"/>
      <c r="AG178" s="123"/>
      <c r="AH178" s="219"/>
      <c r="AI178" s="219"/>
    </row>
    <row r="179" spans="2:35" ht="20.100000000000001" customHeight="1">
      <c r="B179" s="94"/>
      <c r="C179" s="503"/>
      <c r="D179" s="105"/>
      <c r="E179" s="586">
        <f>'1PROJE'!I23</f>
        <v>0</v>
      </c>
      <c r="F179" s="587"/>
      <c r="G179" s="588"/>
      <c r="H179" s="106"/>
      <c r="J179" s="534"/>
      <c r="K179" s="104"/>
      <c r="M179" s="535" t="s">
        <v>801</v>
      </c>
      <c r="N179" s="536"/>
      <c r="O179" s="537"/>
      <c r="P179" s="533" t="e">
        <f>F191+HLOOKUP(D174,$BL$13:$BY$17,4,0)</f>
        <v>#N/A</v>
      </c>
      <c r="Q179" s="533"/>
      <c r="T179" s="94"/>
      <c r="U179" s="503"/>
      <c r="V179" s="105"/>
      <c r="W179" s="586">
        <f>'1PROJE'!I24</f>
        <v>0</v>
      </c>
      <c r="X179" s="587"/>
      <c r="Y179" s="588"/>
      <c r="Z179" s="106"/>
      <c r="AB179" s="534"/>
      <c r="AC179" s="104"/>
      <c r="AE179" s="535" t="s">
        <v>801</v>
      </c>
      <c r="AF179" s="536"/>
      <c r="AG179" s="537"/>
      <c r="AH179" s="533" t="e">
        <f>X191+HLOOKUP(V174,$BL$13:$BY$17,4,0)</f>
        <v>#N/A</v>
      </c>
      <c r="AI179" s="533"/>
    </row>
    <row r="180" spans="2:35" ht="20.100000000000001" customHeight="1">
      <c r="B180" s="90"/>
      <c r="C180" s="503"/>
      <c r="D180" s="105"/>
      <c r="E180" s="586"/>
      <c r="F180" s="587"/>
      <c r="G180" s="588"/>
      <c r="H180" s="107"/>
      <c r="J180" s="534"/>
      <c r="K180" s="109"/>
      <c r="M180" s="538"/>
      <c r="N180" s="539"/>
      <c r="O180" s="540"/>
      <c r="P180" s="533"/>
      <c r="Q180" s="533"/>
      <c r="T180" s="90"/>
      <c r="U180" s="503"/>
      <c r="V180" s="105"/>
      <c r="W180" s="586"/>
      <c r="X180" s="587"/>
      <c r="Y180" s="588"/>
      <c r="Z180" s="107"/>
      <c r="AB180" s="534"/>
      <c r="AC180" s="109"/>
      <c r="AE180" s="538"/>
      <c r="AF180" s="539"/>
      <c r="AG180" s="540"/>
      <c r="AH180" s="533"/>
      <c r="AI180" s="533"/>
    </row>
    <row r="181" spans="2:35" ht="12.95" customHeight="1">
      <c r="B181" s="94"/>
      <c r="C181" s="543">
        <f>xHesaplama!Y43</f>
        <v>0</v>
      </c>
      <c r="D181" s="105"/>
      <c r="E181" s="586"/>
      <c r="F181" s="587"/>
      <c r="G181" s="588"/>
      <c r="H181" s="107"/>
      <c r="J181" s="314" t="s">
        <v>366</v>
      </c>
      <c r="K181" s="111"/>
      <c r="M181" s="123"/>
      <c r="N181" s="123"/>
      <c r="O181" s="123"/>
      <c r="P181" s="219"/>
      <c r="Q181" s="219"/>
      <c r="T181" s="94"/>
      <c r="U181" s="543">
        <f>xHesaplama!Y44</f>
        <v>0</v>
      </c>
      <c r="V181" s="105"/>
      <c r="W181" s="586"/>
      <c r="X181" s="587"/>
      <c r="Y181" s="588"/>
      <c r="Z181" s="107"/>
      <c r="AB181" s="314" t="s">
        <v>366</v>
      </c>
      <c r="AC181" s="111"/>
      <c r="AE181" s="123"/>
      <c r="AF181" s="123"/>
      <c r="AG181" s="123"/>
      <c r="AH181" s="219"/>
      <c r="AI181" s="219"/>
    </row>
    <row r="182" spans="2:35" ht="20.100000000000001" customHeight="1">
      <c r="B182" s="94"/>
      <c r="C182" s="543"/>
      <c r="D182" s="105"/>
      <c r="F182" s="313">
        <f>'1PROJE'!K23</f>
        <v>0</v>
      </c>
      <c r="H182" s="112"/>
      <c r="J182" s="547">
        <f>'1PROJE'!L23</f>
        <v>0</v>
      </c>
      <c r="M182" s="532" t="s">
        <v>802</v>
      </c>
      <c r="N182" s="532"/>
      <c r="O182" s="532"/>
      <c r="P182" s="533" t="e">
        <f>F191+HLOOKUP(D174,$BL$13:$BY$17,5,0)</f>
        <v>#N/A</v>
      </c>
      <c r="Q182" s="533"/>
      <c r="T182" s="94"/>
      <c r="U182" s="543"/>
      <c r="V182" s="105"/>
      <c r="X182" s="313">
        <f>'1PROJE'!K24</f>
        <v>0</v>
      </c>
      <c r="Z182" s="112"/>
      <c r="AB182" s="547">
        <f>'1PROJE'!L24</f>
        <v>0</v>
      </c>
      <c r="AE182" s="532" t="s">
        <v>802</v>
      </c>
      <c r="AF182" s="532"/>
      <c r="AG182" s="532"/>
      <c r="AH182" s="533" t="e">
        <f>X191+HLOOKUP(V174,$BL$13:$BY$17,5,0)</f>
        <v>#N/A</v>
      </c>
      <c r="AI182" s="533"/>
    </row>
    <row r="183" spans="2:35" ht="20.100000000000001" customHeight="1">
      <c r="B183" s="94"/>
      <c r="C183" s="543"/>
      <c r="D183" s="105"/>
      <c r="E183" s="113"/>
      <c r="F183" s="312" t="str">
        <f>IF('1PROJE'!P23="VAR","BASKI"&amp;" "&amp;'1PROJE'!P23,"")</f>
        <v/>
      </c>
      <c r="G183" s="114"/>
      <c r="H183" s="106"/>
      <c r="J183" s="547"/>
      <c r="K183" s="104"/>
      <c r="M183" s="532"/>
      <c r="N183" s="532"/>
      <c r="O183" s="532"/>
      <c r="P183" s="533"/>
      <c r="Q183" s="533"/>
      <c r="T183" s="94"/>
      <c r="U183" s="543"/>
      <c r="V183" s="105"/>
      <c r="W183" s="113"/>
      <c r="X183" s="312" t="str">
        <f>IF('1PROJE'!P24="VAR","BASKI"&amp;" "&amp;'1PROJE'!P24,"")</f>
        <v/>
      </c>
      <c r="Y183" s="114"/>
      <c r="Z183" s="106"/>
      <c r="AB183" s="547"/>
      <c r="AC183" s="104"/>
      <c r="AE183" s="532"/>
      <c r="AF183" s="532"/>
      <c r="AG183" s="532"/>
      <c r="AH183" s="533"/>
      <c r="AI183" s="533"/>
    </row>
    <row r="184" spans="2:35" ht="12.95" customHeight="1">
      <c r="B184" s="94"/>
      <c r="C184" s="543"/>
      <c r="D184" s="105"/>
      <c r="E184" s="113"/>
      <c r="F184" s="507"/>
      <c r="G184" s="114"/>
      <c r="H184" s="115"/>
      <c r="J184" s="547"/>
      <c r="K184" s="116"/>
      <c r="M184" s="123"/>
      <c r="N184" s="123"/>
      <c r="O184" s="123"/>
      <c r="P184" s="220"/>
      <c r="Q184" s="220"/>
      <c r="T184" s="94"/>
      <c r="U184" s="543"/>
      <c r="V184" s="105"/>
      <c r="W184" s="113"/>
      <c r="X184" s="507"/>
      <c r="Y184" s="114"/>
      <c r="Z184" s="115"/>
      <c r="AB184" s="547"/>
      <c r="AC184" s="116"/>
      <c r="AE184" s="123"/>
      <c r="AF184" s="123"/>
      <c r="AG184" s="123"/>
      <c r="AH184" s="220"/>
      <c r="AI184" s="220"/>
    </row>
    <row r="185" spans="2:35" ht="30" customHeight="1">
      <c r="B185" s="94"/>
      <c r="C185" s="502" t="s">
        <v>1063</v>
      </c>
      <c r="D185" s="105"/>
      <c r="E185" s="113"/>
      <c r="F185" s="507"/>
      <c r="G185" s="114"/>
      <c r="H185" s="115"/>
      <c r="J185" s="547"/>
      <c r="K185" s="111"/>
      <c r="M185" s="524" t="s">
        <v>803</v>
      </c>
      <c r="N185" s="524"/>
      <c r="O185" s="524"/>
      <c r="P185" s="524"/>
      <c r="Q185" s="524"/>
      <c r="T185" s="94"/>
      <c r="U185" s="502" t="s">
        <v>1063</v>
      </c>
      <c r="V185" s="105"/>
      <c r="W185" s="113"/>
      <c r="X185" s="507"/>
      <c r="Y185" s="114"/>
      <c r="Z185" s="115"/>
      <c r="AB185" s="547"/>
      <c r="AC185" s="111"/>
      <c r="AE185" s="524" t="s">
        <v>803</v>
      </c>
      <c r="AF185" s="524"/>
      <c r="AG185" s="524"/>
      <c r="AH185" s="524"/>
      <c r="AI185" s="524"/>
    </row>
    <row r="186" spans="2:35" ht="30" customHeight="1">
      <c r="B186" s="94"/>
      <c r="C186" s="502"/>
      <c r="D186" s="118"/>
      <c r="E186" s="113"/>
      <c r="F186" s="507"/>
      <c r="G186" s="114"/>
      <c r="H186" s="115"/>
      <c r="J186" s="242"/>
      <c r="K186" s="104"/>
      <c r="M186" s="525" t="s">
        <v>21</v>
      </c>
      <c r="N186" s="525"/>
      <c r="O186" s="525"/>
      <c r="P186" s="525"/>
      <c r="Q186" s="311" t="s">
        <v>22</v>
      </c>
      <c r="T186" s="94"/>
      <c r="U186" s="502"/>
      <c r="V186" s="118"/>
      <c r="W186" s="113"/>
      <c r="X186" s="507"/>
      <c r="Y186" s="114"/>
      <c r="Z186" s="115"/>
      <c r="AB186" s="242"/>
      <c r="AC186" s="104"/>
      <c r="AE186" s="525" t="s">
        <v>21</v>
      </c>
      <c r="AF186" s="525"/>
      <c r="AG186" s="525"/>
      <c r="AH186" s="525"/>
      <c r="AI186" s="311" t="s">
        <v>22</v>
      </c>
    </row>
    <row r="187" spans="2:35" ht="39.950000000000003" customHeight="1" thickBot="1">
      <c r="B187" s="94"/>
      <c r="C187" s="502"/>
      <c r="D187" s="105"/>
      <c r="F187" s="213"/>
      <c r="G187" s="213"/>
      <c r="H187" s="214"/>
      <c r="J187" s="583"/>
      <c r="K187" s="104"/>
      <c r="M187" s="526" t="e">
        <f>F191+HLOOKUP(D174,$BL$13:$BY$19,6,0)</f>
        <v>#N/A</v>
      </c>
      <c r="N187" s="527"/>
      <c r="O187" s="527"/>
      <c r="P187" s="528"/>
      <c r="Q187" s="523" t="e">
        <f>C181+HLOOKUP(D174,$BL$13:$BY$19,7,0)</f>
        <v>#N/A</v>
      </c>
      <c r="T187" s="94"/>
      <c r="U187" s="502"/>
      <c r="V187" s="105"/>
      <c r="X187" s="213"/>
      <c r="Y187" s="213"/>
      <c r="Z187" s="214"/>
      <c r="AB187" s="583"/>
      <c r="AC187" s="104"/>
      <c r="AE187" s="526" t="e">
        <f>X191+HLOOKUP(V174,$BL$13:$BY$19,6,0)</f>
        <v>#N/A</v>
      </c>
      <c r="AF187" s="527"/>
      <c r="AG187" s="527"/>
      <c r="AH187" s="528"/>
      <c r="AI187" s="523" t="e">
        <f>U181+HLOOKUP(V174,$BL$13:$BY$19,7,0)</f>
        <v>#N/A</v>
      </c>
    </row>
    <row r="188" spans="2:35" ht="8.4499999999999993" customHeight="1" thickBot="1">
      <c r="B188" s="94"/>
      <c r="C188" s="502"/>
      <c r="D188" s="105"/>
      <c r="E188" s="99"/>
      <c r="F188" s="215"/>
      <c r="G188" s="216"/>
      <c r="H188" s="105"/>
      <c r="J188" s="583"/>
      <c r="M188" s="529"/>
      <c r="N188" s="530"/>
      <c r="O188" s="530"/>
      <c r="P188" s="531"/>
      <c r="Q188" s="523"/>
      <c r="T188" s="94"/>
      <c r="U188" s="502"/>
      <c r="V188" s="105"/>
      <c r="W188" s="99"/>
      <c r="X188" s="215"/>
      <c r="Y188" s="216"/>
      <c r="Z188" s="105"/>
      <c r="AB188" s="583"/>
      <c r="AE188" s="529"/>
      <c r="AF188" s="530"/>
      <c r="AG188" s="530"/>
      <c r="AH188" s="531"/>
      <c r="AI188" s="523"/>
    </row>
    <row r="189" spans="2:35" ht="1.5" customHeight="1" thickBot="1">
      <c r="B189" s="94"/>
      <c r="C189" s="502"/>
      <c r="D189" s="119"/>
      <c r="H189" s="119"/>
      <c r="J189" s="583"/>
      <c r="T189" s="94"/>
      <c r="U189" s="502"/>
      <c r="V189" s="119"/>
      <c r="Z189" s="119"/>
      <c r="AB189" s="583"/>
    </row>
    <row r="190" spans="2:35" ht="5.0999999999999996" customHeight="1">
      <c r="B190" s="94"/>
      <c r="J190" s="583"/>
      <c r="T190" s="94"/>
      <c r="AB190" s="583"/>
    </row>
    <row r="191" spans="2:35" ht="20.100000000000001" customHeight="1">
      <c r="B191" s="94"/>
      <c r="D191" s="237" t="s">
        <v>847</v>
      </c>
      <c r="E191" s="239" t="s">
        <v>848</v>
      </c>
      <c r="F191" s="339">
        <f>xHesaplama!X43</f>
        <v>0</v>
      </c>
      <c r="G191" s="240" t="s">
        <v>848</v>
      </c>
      <c r="H191" s="87" t="s">
        <v>849</v>
      </c>
      <c r="J191" s="93"/>
      <c r="M191" s="522" t="str">
        <f>IFERROR(INDEX('Poz Reçete'!A659:H697,MATCH("78BOR",'Poz Reçete'!D659:D697,0),1),"//////////////////////////////")</f>
        <v>//////////////////////////////</v>
      </c>
      <c r="N191" s="522"/>
      <c r="O191" s="522"/>
      <c r="P191" s="522"/>
      <c r="Q191" s="522"/>
      <c r="T191" s="94"/>
      <c r="V191" s="237" t="s">
        <v>847</v>
      </c>
      <c r="W191" s="239" t="s">
        <v>848</v>
      </c>
      <c r="X191" s="339">
        <f>xHesaplama!X44</f>
        <v>0</v>
      </c>
      <c r="Y191" s="240" t="s">
        <v>848</v>
      </c>
      <c r="Z191" s="87" t="s">
        <v>849</v>
      </c>
      <c r="AB191" s="93"/>
      <c r="AE191" s="522" t="str">
        <f>IFERROR(INDEX('Poz Reçete'!A700:H738,MATCH("78BOR",'Poz Reçete'!D700:D738,0),1),"//////////////////////////////")</f>
        <v>//////////////////////////////</v>
      </c>
      <c r="AF191" s="522"/>
      <c r="AG191" s="522"/>
      <c r="AH191" s="522"/>
      <c r="AI191" s="522"/>
    </row>
    <row r="192" spans="2:35" ht="16.5" customHeight="1">
      <c r="B192" s="120"/>
      <c r="C192" s="121"/>
      <c r="D192" s="121"/>
      <c r="E192" s="121"/>
      <c r="F192" s="121"/>
      <c r="G192" s="121"/>
      <c r="H192" s="121"/>
      <c r="I192" s="121"/>
      <c r="J192" s="122"/>
      <c r="M192" s="522" t="str">
        <f>IFERROR(INDEX('Poz Reçete'!A659:H697,MATCH("100BOR",'Poz Reçete'!D659:D697,0),1),"//////////////////////////////")</f>
        <v>//////////////////////////////</v>
      </c>
      <c r="N192" s="522"/>
      <c r="O192" s="522"/>
      <c r="P192" s="522"/>
      <c r="Q192" s="522"/>
      <c r="T192" s="120"/>
      <c r="U192" s="121"/>
      <c r="V192" s="121"/>
      <c r="W192" s="121"/>
      <c r="X192" s="121"/>
      <c r="Y192" s="121"/>
      <c r="Z192" s="121"/>
      <c r="AA192" s="121"/>
      <c r="AB192" s="122"/>
      <c r="AE192" s="522" t="str">
        <f>IFERROR(INDEX('Poz Reçete'!A700:H738,MATCH("100BOR",'Poz Reçete'!D700:D738,0),1),"//////////////////////////////")</f>
        <v>//////////////////////////////</v>
      </c>
      <c r="AF192" s="522"/>
      <c r="AG192" s="522"/>
      <c r="AH192" s="522"/>
      <c r="AI192" s="522"/>
    </row>
    <row r="193" spans="2:35" ht="30" customHeight="1">
      <c r="AH193" s="88"/>
      <c r="AI193" s="88"/>
    </row>
    <row r="194" spans="2:35" ht="23.1" customHeight="1">
      <c r="B194" s="218" t="s">
        <v>823</v>
      </c>
      <c r="C194" s="300">
        <f>'1PROJE'!B25</f>
        <v>19</v>
      </c>
      <c r="D194" s="548">
        <f>'1PROJE'!C25</f>
        <v>0</v>
      </c>
      <c r="E194" s="549"/>
      <c r="F194" s="549"/>
      <c r="G194" s="549"/>
      <c r="H194" s="549"/>
      <c r="I194" s="549"/>
      <c r="J194" s="550"/>
      <c r="K194" s="124"/>
      <c r="L194" s="124"/>
      <c r="M194" s="125"/>
      <c r="N194" s="125"/>
      <c r="O194" s="125"/>
      <c r="P194" s="124"/>
      <c r="Q194" s="124"/>
      <c r="T194" s="218" t="s">
        <v>823</v>
      </c>
      <c r="U194" s="300">
        <f>'1PROJE'!B26</f>
        <v>20</v>
      </c>
      <c r="V194" s="548">
        <f>'1PROJE'!C26</f>
        <v>0</v>
      </c>
      <c r="W194" s="549"/>
      <c r="X194" s="549"/>
      <c r="Y194" s="549"/>
      <c r="Z194" s="549"/>
      <c r="AA194" s="549"/>
      <c r="AB194" s="550"/>
      <c r="AC194" s="124"/>
      <c r="AD194" s="124"/>
      <c r="AE194" s="125"/>
      <c r="AF194" s="125"/>
      <c r="AG194" s="125"/>
      <c r="AH194" s="124"/>
      <c r="AI194" s="124"/>
    </row>
    <row r="195" spans="2:35" ht="39.950000000000003" customHeight="1">
      <c r="B195" s="90"/>
      <c r="C195" s="316">
        <f>'1PROJE'!D25</f>
        <v>0</v>
      </c>
      <c r="D195" s="584" t="s">
        <v>357</v>
      </c>
      <c r="E195" s="584"/>
      <c r="F195" s="585" t="s">
        <v>365</v>
      </c>
      <c r="G195" s="585"/>
      <c r="H195" s="92"/>
      <c r="J195" s="271" t="str">
        <f>IF('1PROJE'!T25="", "", '1PROJE'!T25)</f>
        <v/>
      </c>
      <c r="M195" s="532" t="s">
        <v>799</v>
      </c>
      <c r="N195" s="532"/>
      <c r="O195" s="532"/>
      <c r="P195" s="523" t="e">
        <f>F211+HLOOKUP(D194,$BL$13:$BY$17,2,0)</f>
        <v>#N/A</v>
      </c>
      <c r="Q195" s="523"/>
      <c r="T195" s="90"/>
      <c r="U195" s="316">
        <f>'1PROJE'!D26</f>
        <v>0</v>
      </c>
      <c r="V195" s="584" t="s">
        <v>357</v>
      </c>
      <c r="W195" s="584"/>
      <c r="X195" s="585" t="s">
        <v>365</v>
      </c>
      <c r="Y195" s="585"/>
      <c r="Z195" s="92"/>
      <c r="AB195" s="271" t="str">
        <f>IF('1PROJE'!T26="", "", '1PROJE'!T26)</f>
        <v/>
      </c>
      <c r="AE195" s="532" t="s">
        <v>799</v>
      </c>
      <c r="AF195" s="532"/>
      <c r="AG195" s="532"/>
      <c r="AH195" s="523" t="e">
        <f>X211+HLOOKUP(V194,$BL$13:$BY$17,2,0)</f>
        <v>#N/A</v>
      </c>
      <c r="AI195" s="523"/>
    </row>
    <row r="196" spans="2:35" ht="20.100000000000001" customHeight="1" thickBot="1">
      <c r="B196" s="94"/>
      <c r="C196" s="95"/>
      <c r="E196" s="551">
        <f>'1PROJE'!M25</f>
        <v>0</v>
      </c>
      <c r="F196" s="551"/>
      <c r="G196" s="551"/>
      <c r="H196" s="96"/>
      <c r="J196" s="93"/>
      <c r="M196" s="123"/>
      <c r="N196" s="123"/>
      <c r="O196" s="123"/>
      <c r="P196" s="219"/>
      <c r="Q196" s="219"/>
      <c r="T196" s="94"/>
      <c r="U196" s="95"/>
      <c r="W196" s="551">
        <f>'1PROJE'!M26</f>
        <v>0</v>
      </c>
      <c r="X196" s="551"/>
      <c r="Y196" s="551"/>
      <c r="Z196" s="96"/>
      <c r="AB196" s="93"/>
      <c r="AE196" s="123"/>
      <c r="AF196" s="123"/>
      <c r="AG196" s="123"/>
      <c r="AH196" s="321"/>
      <c r="AI196" s="321"/>
    </row>
    <row r="197" spans="2:35" ht="39.950000000000003" customHeight="1" thickBot="1">
      <c r="B197" s="94"/>
      <c r="C197" s="503" t="s">
        <v>853</v>
      </c>
      <c r="D197" s="99"/>
      <c r="E197" s="319" t="str">
        <f>IF(OR(E196="DIŞTAN BAKIŞ SOL",E196="İÇTEN BAKIŞ SAĞ"),"M","")</f>
        <v/>
      </c>
      <c r="F197" s="317" t="e">
        <f>VLOOKUP('1PROJE'!C25,'x Açılır Listeler'!$A$2:$B$15,2,0)</f>
        <v>#N/A</v>
      </c>
      <c r="G197" s="318" t="str">
        <f>IF(OR(E196="DIŞTAN BAKIŞ SAĞ",E196="İÇTEN BAKIŞ SOL"),"M","")</f>
        <v/>
      </c>
      <c r="H197" s="100"/>
      <c r="J197" s="315" t="s">
        <v>368</v>
      </c>
      <c r="M197" s="532" t="s">
        <v>800</v>
      </c>
      <c r="N197" s="532"/>
      <c r="O197" s="532"/>
      <c r="P197" s="533" t="e">
        <f>C201+HLOOKUP(D194,$BL$13:$BY$17,3,0)</f>
        <v>#N/A</v>
      </c>
      <c r="Q197" s="533"/>
      <c r="T197" s="94"/>
      <c r="U197" s="503" t="s">
        <v>853</v>
      </c>
      <c r="V197" s="99"/>
      <c r="W197" s="319" t="str">
        <f>IF(OR(W196="DIŞTAN BAKIŞ SOL",W196="İÇTEN BAKIŞ SAĞ"),"M","")</f>
        <v/>
      </c>
      <c r="X197" s="317" t="e">
        <f>VLOOKUP('1PROJE'!C26,'x Açılır Listeler'!$A$2:$B$15,2,0)</f>
        <v>#N/A</v>
      </c>
      <c r="Y197" s="318" t="str">
        <f>IF(OR(W196="DIŞTAN BAKIŞ SAĞ",W196="İÇTEN BAKIŞ SOL"),"M","")</f>
        <v/>
      </c>
      <c r="Z197" s="100"/>
      <c r="AB197" s="315" t="s">
        <v>368</v>
      </c>
      <c r="AE197" s="532" t="s">
        <v>800</v>
      </c>
      <c r="AF197" s="532"/>
      <c r="AG197" s="532"/>
      <c r="AH197" s="533" t="e">
        <f>U201+HLOOKUP(V194,$BL$13:$BY$17,3,0)</f>
        <v>#N/A</v>
      </c>
      <c r="AI197" s="533"/>
    </row>
    <row r="198" spans="2:35" ht="12.95" customHeight="1">
      <c r="B198" s="94"/>
      <c r="C198" s="503"/>
      <c r="D198" s="102"/>
      <c r="H198" s="103"/>
      <c r="J198" s="534">
        <f>'1PROJE'!H25</f>
        <v>0</v>
      </c>
      <c r="K198" s="104"/>
      <c r="M198" s="123"/>
      <c r="N198" s="123"/>
      <c r="O198" s="123"/>
      <c r="P198" s="219"/>
      <c r="Q198" s="219"/>
      <c r="T198" s="94"/>
      <c r="U198" s="503"/>
      <c r="V198" s="102"/>
      <c r="Z198" s="103"/>
      <c r="AB198" s="534">
        <f>'1PROJE'!H26</f>
        <v>0</v>
      </c>
      <c r="AC198" s="104"/>
      <c r="AE198" s="123"/>
      <c r="AF198" s="123"/>
      <c r="AG198" s="123"/>
      <c r="AH198" s="321"/>
      <c r="AI198" s="321"/>
    </row>
    <row r="199" spans="2:35" ht="20.100000000000001" customHeight="1">
      <c r="B199" s="94"/>
      <c r="C199" s="503"/>
      <c r="D199" s="105"/>
      <c r="E199" s="586">
        <f>'1PROJE'!I25</f>
        <v>0</v>
      </c>
      <c r="F199" s="587"/>
      <c r="G199" s="588"/>
      <c r="H199" s="106"/>
      <c r="J199" s="534"/>
      <c r="K199" s="104"/>
      <c r="M199" s="535" t="s">
        <v>801</v>
      </c>
      <c r="N199" s="536"/>
      <c r="O199" s="537"/>
      <c r="P199" s="533" t="e">
        <f>F211+HLOOKUP(D194,$BL$13:$BY$17,4,0)</f>
        <v>#N/A</v>
      </c>
      <c r="Q199" s="533"/>
      <c r="T199" s="94"/>
      <c r="U199" s="503"/>
      <c r="V199" s="105"/>
      <c r="W199" s="586">
        <f>'1PROJE'!I26</f>
        <v>0</v>
      </c>
      <c r="X199" s="587"/>
      <c r="Y199" s="588"/>
      <c r="Z199" s="106"/>
      <c r="AB199" s="534"/>
      <c r="AC199" s="104"/>
      <c r="AE199" s="535" t="s">
        <v>801</v>
      </c>
      <c r="AF199" s="536"/>
      <c r="AG199" s="537"/>
      <c r="AH199" s="533" t="e">
        <f>X211+HLOOKUP(V194,$BL$13:$BY$17,4,0)</f>
        <v>#N/A</v>
      </c>
      <c r="AI199" s="533"/>
    </row>
    <row r="200" spans="2:35" ht="20.100000000000001" customHeight="1">
      <c r="B200" s="90"/>
      <c r="C200" s="503"/>
      <c r="D200" s="105"/>
      <c r="E200" s="586"/>
      <c r="F200" s="587"/>
      <c r="G200" s="588"/>
      <c r="H200" s="107"/>
      <c r="J200" s="534"/>
      <c r="K200" s="109"/>
      <c r="M200" s="538"/>
      <c r="N200" s="539"/>
      <c r="O200" s="540"/>
      <c r="P200" s="533"/>
      <c r="Q200" s="533"/>
      <c r="T200" s="90"/>
      <c r="U200" s="503"/>
      <c r="V200" s="105"/>
      <c r="W200" s="586"/>
      <c r="X200" s="587"/>
      <c r="Y200" s="588"/>
      <c r="Z200" s="107"/>
      <c r="AB200" s="534"/>
      <c r="AC200" s="109"/>
      <c r="AE200" s="538"/>
      <c r="AF200" s="539"/>
      <c r="AG200" s="540"/>
      <c r="AH200" s="533"/>
      <c r="AI200" s="533"/>
    </row>
    <row r="201" spans="2:35" ht="12.95" customHeight="1">
      <c r="B201" s="94"/>
      <c r="C201" s="543">
        <f>xHesaplama!Y45</f>
        <v>0</v>
      </c>
      <c r="D201" s="105"/>
      <c r="E201" s="586"/>
      <c r="F201" s="587"/>
      <c r="G201" s="588"/>
      <c r="H201" s="107"/>
      <c r="J201" s="314" t="s">
        <v>366</v>
      </c>
      <c r="K201" s="111"/>
      <c r="M201" s="123"/>
      <c r="N201" s="123"/>
      <c r="O201" s="123"/>
      <c r="P201" s="219"/>
      <c r="Q201" s="219"/>
      <c r="T201" s="94"/>
      <c r="U201" s="543">
        <f>xHesaplama!Y46</f>
        <v>0</v>
      </c>
      <c r="V201" s="105"/>
      <c r="W201" s="586"/>
      <c r="X201" s="587"/>
      <c r="Y201" s="588"/>
      <c r="Z201" s="107"/>
      <c r="AB201" s="314" t="s">
        <v>366</v>
      </c>
      <c r="AC201" s="111"/>
      <c r="AE201" s="123"/>
      <c r="AF201" s="123"/>
      <c r="AG201" s="123"/>
      <c r="AH201" s="321"/>
      <c r="AI201" s="321"/>
    </row>
    <row r="202" spans="2:35" ht="20.100000000000001" customHeight="1">
      <c r="B202" s="94"/>
      <c r="C202" s="543"/>
      <c r="D202" s="105"/>
      <c r="F202" s="313">
        <f>'1PROJE'!K25</f>
        <v>0</v>
      </c>
      <c r="H202" s="112"/>
      <c r="J202" s="547">
        <f>'1PROJE'!L25</f>
        <v>0</v>
      </c>
      <c r="M202" s="532" t="s">
        <v>802</v>
      </c>
      <c r="N202" s="532"/>
      <c r="O202" s="532"/>
      <c r="P202" s="533" t="e">
        <f>F211+HLOOKUP(D194,$BL$13:$BY$17,5,0)</f>
        <v>#N/A</v>
      </c>
      <c r="Q202" s="533"/>
      <c r="T202" s="94"/>
      <c r="U202" s="543"/>
      <c r="V202" s="105"/>
      <c r="X202" s="313">
        <f>'1PROJE'!K26</f>
        <v>0</v>
      </c>
      <c r="Z202" s="112"/>
      <c r="AB202" s="547">
        <f>'1PROJE'!L26</f>
        <v>0</v>
      </c>
      <c r="AE202" s="532" t="s">
        <v>802</v>
      </c>
      <c r="AF202" s="532"/>
      <c r="AG202" s="532"/>
      <c r="AH202" s="533" t="e">
        <f>X211+HLOOKUP(V194,$BL$13:$BY$17,5,0)</f>
        <v>#N/A</v>
      </c>
      <c r="AI202" s="533"/>
    </row>
    <row r="203" spans="2:35" ht="20.100000000000001" customHeight="1">
      <c r="B203" s="94"/>
      <c r="C203" s="543"/>
      <c r="D203" s="105"/>
      <c r="E203" s="113"/>
      <c r="F203" s="312" t="str">
        <f>IF('1PROJE'!P25="VAR","BASKI"&amp;" "&amp;'1PROJE'!P25,"")</f>
        <v/>
      </c>
      <c r="G203" s="114"/>
      <c r="H203" s="106"/>
      <c r="J203" s="547"/>
      <c r="K203" s="104"/>
      <c r="M203" s="532"/>
      <c r="N203" s="532"/>
      <c r="O203" s="532"/>
      <c r="P203" s="533"/>
      <c r="Q203" s="533"/>
      <c r="T203" s="94"/>
      <c r="U203" s="543"/>
      <c r="V203" s="105"/>
      <c r="W203" s="113"/>
      <c r="X203" s="312" t="str">
        <f>IF('1PROJE'!P26="VAR","BASKI"&amp;" "&amp;'1PROJE'!P26,"")</f>
        <v/>
      </c>
      <c r="Y203" s="114"/>
      <c r="Z203" s="106"/>
      <c r="AB203" s="547"/>
      <c r="AC203" s="104"/>
      <c r="AE203" s="532"/>
      <c r="AF203" s="532"/>
      <c r="AG203" s="532"/>
      <c r="AH203" s="533"/>
      <c r="AI203" s="533"/>
    </row>
    <row r="204" spans="2:35" ht="12.95" customHeight="1">
      <c r="B204" s="94"/>
      <c r="C204" s="543"/>
      <c r="D204" s="105"/>
      <c r="E204" s="113"/>
      <c r="F204" s="507"/>
      <c r="G204" s="114"/>
      <c r="H204" s="115"/>
      <c r="J204" s="547"/>
      <c r="K204" s="116"/>
      <c r="M204" s="123"/>
      <c r="N204" s="123"/>
      <c r="O204" s="123"/>
      <c r="P204" s="220"/>
      <c r="Q204" s="220"/>
      <c r="T204" s="94"/>
      <c r="U204" s="543"/>
      <c r="V204" s="105"/>
      <c r="W204" s="113"/>
      <c r="X204" s="507" t="e">
        <f>INDEX('x Açılır Listeler'!$Y$1:$Z$96,MATCH('5IMALAT'!$F$18,'x Açılır Listeler'!$Y$1:$Y$96,0),2)</f>
        <v>#N/A</v>
      </c>
      <c r="Y204" s="114"/>
      <c r="Z204" s="115"/>
      <c r="AB204" s="547"/>
      <c r="AC204" s="116"/>
      <c r="AE204" s="123"/>
      <c r="AF204" s="123"/>
      <c r="AG204" s="123"/>
      <c r="AH204" s="220"/>
      <c r="AI204" s="220"/>
    </row>
    <row r="205" spans="2:35" ht="30" customHeight="1">
      <c r="B205" s="94"/>
      <c r="C205" s="502" t="s">
        <v>1063</v>
      </c>
      <c r="D205" s="105"/>
      <c r="E205" s="113"/>
      <c r="F205" s="507"/>
      <c r="G205" s="114"/>
      <c r="H205" s="115"/>
      <c r="J205" s="547"/>
      <c r="K205" s="111"/>
      <c r="M205" s="524" t="s">
        <v>803</v>
      </c>
      <c r="N205" s="524"/>
      <c r="O205" s="524"/>
      <c r="P205" s="524"/>
      <c r="Q205" s="524"/>
      <c r="T205" s="94"/>
      <c r="U205" s="502" t="s">
        <v>1063</v>
      </c>
      <c r="V205" s="105"/>
      <c r="W205" s="113"/>
      <c r="X205" s="507"/>
      <c r="Y205" s="114"/>
      <c r="Z205" s="115"/>
      <c r="AB205" s="547"/>
      <c r="AC205" s="111"/>
      <c r="AE205" s="524" t="s">
        <v>803</v>
      </c>
      <c r="AF205" s="524"/>
      <c r="AG205" s="524"/>
      <c r="AH205" s="524"/>
      <c r="AI205" s="524"/>
    </row>
    <row r="206" spans="2:35" ht="30" customHeight="1">
      <c r="B206" s="94"/>
      <c r="C206" s="502"/>
      <c r="D206" s="118"/>
      <c r="E206" s="113"/>
      <c r="F206" s="507"/>
      <c r="G206" s="114"/>
      <c r="H206" s="115"/>
      <c r="J206" s="242"/>
      <c r="K206" s="104"/>
      <c r="M206" s="525" t="s">
        <v>21</v>
      </c>
      <c r="N206" s="525"/>
      <c r="O206" s="525"/>
      <c r="P206" s="525"/>
      <c r="Q206" s="311" t="s">
        <v>22</v>
      </c>
      <c r="T206" s="94"/>
      <c r="U206" s="502"/>
      <c r="V206" s="118"/>
      <c r="W206" s="113"/>
      <c r="X206" s="507"/>
      <c r="Y206" s="114"/>
      <c r="Z206" s="115"/>
      <c r="AB206" s="242"/>
      <c r="AC206" s="104"/>
      <c r="AE206" s="525" t="s">
        <v>21</v>
      </c>
      <c r="AF206" s="525"/>
      <c r="AG206" s="525"/>
      <c r="AH206" s="525"/>
      <c r="AI206" s="311" t="s">
        <v>22</v>
      </c>
    </row>
    <row r="207" spans="2:35" ht="39.950000000000003" customHeight="1" thickBot="1">
      <c r="B207" s="94"/>
      <c r="C207" s="502"/>
      <c r="D207" s="105"/>
      <c r="F207" s="213"/>
      <c r="G207" s="213"/>
      <c r="H207" s="214"/>
      <c r="J207" s="583"/>
      <c r="K207" s="104"/>
      <c r="M207" s="526" t="e">
        <f>F211+HLOOKUP(D194,$BL$13:$BY$19,6,0)</f>
        <v>#N/A</v>
      </c>
      <c r="N207" s="527"/>
      <c r="O207" s="527"/>
      <c r="P207" s="528"/>
      <c r="Q207" s="523" t="e">
        <f>C201+HLOOKUP(D194,$BL$13:$BY$19,7,0)</f>
        <v>#N/A</v>
      </c>
      <c r="T207" s="94"/>
      <c r="U207" s="502"/>
      <c r="V207" s="105"/>
      <c r="X207" s="213"/>
      <c r="Y207" s="213"/>
      <c r="Z207" s="214"/>
      <c r="AB207" s="583"/>
      <c r="AC207" s="104"/>
      <c r="AE207" s="526" t="e">
        <f>X211+HLOOKUP(V194,$BL$13:$BY$19,6,0)</f>
        <v>#N/A</v>
      </c>
      <c r="AF207" s="527"/>
      <c r="AG207" s="527"/>
      <c r="AH207" s="528"/>
      <c r="AI207" s="523" t="e">
        <f>U201+HLOOKUP(V194,$BL$13:$BY$19,7,0)</f>
        <v>#N/A</v>
      </c>
    </row>
    <row r="208" spans="2:35" ht="8.4499999999999993" customHeight="1" thickBot="1">
      <c r="B208" s="94"/>
      <c r="C208" s="502"/>
      <c r="D208" s="105"/>
      <c r="E208" s="99"/>
      <c r="F208" s="215"/>
      <c r="G208" s="216"/>
      <c r="H208" s="105"/>
      <c r="J208" s="583"/>
      <c r="M208" s="529"/>
      <c r="N208" s="530"/>
      <c r="O208" s="530"/>
      <c r="P208" s="531"/>
      <c r="Q208" s="523"/>
      <c r="T208" s="94"/>
      <c r="U208" s="502"/>
      <c r="V208" s="105"/>
      <c r="W208" s="99"/>
      <c r="X208" s="215"/>
      <c r="Y208" s="216"/>
      <c r="Z208" s="105"/>
      <c r="AB208" s="583"/>
      <c r="AE208" s="529"/>
      <c r="AF208" s="530"/>
      <c r="AG208" s="530"/>
      <c r="AH208" s="531"/>
      <c r="AI208" s="523"/>
    </row>
    <row r="209" spans="2:35" ht="1.5" customHeight="1" thickBot="1">
      <c r="B209" s="94"/>
      <c r="C209" s="502"/>
      <c r="D209" s="119"/>
      <c r="H209" s="119"/>
      <c r="J209" s="583"/>
      <c r="T209" s="94"/>
      <c r="U209" s="502"/>
      <c r="V209" s="119"/>
      <c r="Z209" s="119"/>
      <c r="AB209" s="583"/>
    </row>
    <row r="210" spans="2:35" ht="5.0999999999999996" customHeight="1">
      <c r="B210" s="94"/>
      <c r="J210" s="583"/>
      <c r="T210" s="94"/>
      <c r="AB210" s="583"/>
    </row>
    <row r="211" spans="2:35" ht="20.100000000000001" customHeight="1">
      <c r="D211" s="237" t="s">
        <v>847</v>
      </c>
      <c r="E211" s="239" t="s">
        <v>848</v>
      </c>
      <c r="F211" s="339">
        <f>xHesaplama!X45</f>
        <v>0</v>
      </c>
      <c r="G211" s="240" t="s">
        <v>848</v>
      </c>
      <c r="H211" s="87" t="s">
        <v>849</v>
      </c>
      <c r="J211" s="93"/>
      <c r="M211" s="522" t="str">
        <f>IFERROR(INDEX('Poz Reçete'!A741:H779,MATCH("78BOR",'Poz Reçete'!D741:D779,0),1),"//////////////////////////////")</f>
        <v>//////////////////////////////</v>
      </c>
      <c r="N211" s="522"/>
      <c r="O211" s="522"/>
      <c r="P211" s="522"/>
      <c r="Q211" s="522"/>
      <c r="T211" s="94"/>
      <c r="V211" s="237" t="s">
        <v>847</v>
      </c>
      <c r="W211" s="239" t="s">
        <v>848</v>
      </c>
      <c r="X211" s="339">
        <f>xHesaplama!X46</f>
        <v>0</v>
      </c>
      <c r="Y211" s="240" t="s">
        <v>848</v>
      </c>
      <c r="Z211" s="87" t="s">
        <v>849</v>
      </c>
      <c r="AE211" s="522" t="str">
        <f>IFERROR(INDEX('Poz Reçete'!A782:H820,MATCH("78BOR",'Poz Reçete'!D782:D820,0),1),"//////////////////////////////")</f>
        <v>//////////////////////////////</v>
      </c>
      <c r="AF211" s="522"/>
      <c r="AG211" s="522"/>
      <c r="AH211" s="522"/>
      <c r="AI211" s="522"/>
    </row>
    <row r="212" spans="2:35" ht="15">
      <c r="M212" s="522" t="str">
        <f>IFERROR(INDEX('Poz Reçete'!A741:H779,MATCH("100BOR",'Poz Reçete'!D741:D779,0),1),"//////////////////////////////")</f>
        <v>//////////////////////////////</v>
      </c>
      <c r="N212" s="522"/>
      <c r="O212" s="522"/>
      <c r="P212" s="522"/>
      <c r="Q212" s="522"/>
      <c r="AE212" s="522" t="str">
        <f>IFERROR(INDEX('Poz Reçete'!A782:H820,MATCH("100BOR",'Poz Reçete'!D782:D820,0),1),"//////////////////////////////")</f>
        <v>//////////////////////////////</v>
      </c>
      <c r="AF212" s="522"/>
      <c r="AG212" s="522"/>
      <c r="AH212" s="522"/>
      <c r="AI212" s="522"/>
    </row>
  </sheetData>
  <mergeCells count="554">
    <mergeCell ref="W176:Y176"/>
    <mergeCell ref="P175:Q175"/>
    <mergeCell ref="AB78:AB81"/>
    <mergeCell ref="AB83:AB86"/>
    <mergeCell ref="D93:N93"/>
    <mergeCell ref="V93:AB93"/>
    <mergeCell ref="F80:F82"/>
    <mergeCell ref="V153:AB153"/>
    <mergeCell ref="M126:P127"/>
    <mergeCell ref="Q126:Q127"/>
    <mergeCell ref="D133:J133"/>
    <mergeCell ref="V94:W94"/>
    <mergeCell ref="X94:Y94"/>
    <mergeCell ref="M94:O94"/>
    <mergeCell ref="U81:U85"/>
    <mergeCell ref="M96:O96"/>
    <mergeCell ref="P96:Q96"/>
    <mergeCell ref="M98:O99"/>
    <mergeCell ref="E135:G135"/>
    <mergeCell ref="M134:O134"/>
    <mergeCell ref="P134:Q134"/>
    <mergeCell ref="M136:O136"/>
    <mergeCell ref="D175:E175"/>
    <mergeCell ref="Q166:Q167"/>
    <mergeCell ref="D153:J153"/>
    <mergeCell ref="P177:Q177"/>
    <mergeCell ref="M179:O180"/>
    <mergeCell ref="M177:O177"/>
    <mergeCell ref="M154:O154"/>
    <mergeCell ref="P154:Q154"/>
    <mergeCell ref="M156:O156"/>
    <mergeCell ref="P156:Q156"/>
    <mergeCell ref="M158:O159"/>
    <mergeCell ref="P158:Q159"/>
    <mergeCell ref="M161:O162"/>
    <mergeCell ref="P161:Q162"/>
    <mergeCell ref="P179:Q180"/>
    <mergeCell ref="E179:G181"/>
    <mergeCell ref="J178:J180"/>
    <mergeCell ref="D154:E154"/>
    <mergeCell ref="J97:J99"/>
    <mergeCell ref="P136:Q136"/>
    <mergeCell ref="M138:O139"/>
    <mergeCell ref="P138:Q139"/>
    <mergeCell ref="U100:U103"/>
    <mergeCell ref="W98:Y100"/>
    <mergeCell ref="W95:Y95"/>
    <mergeCell ref="M105:P105"/>
    <mergeCell ref="M106:P107"/>
    <mergeCell ref="Q106:Q107"/>
    <mergeCell ref="V114:W114"/>
    <mergeCell ref="U104:U108"/>
    <mergeCell ref="W118:Y120"/>
    <mergeCell ref="M104:Q104"/>
    <mergeCell ref="X103:X105"/>
    <mergeCell ref="W135:Y135"/>
    <mergeCell ref="X134:Y134"/>
    <mergeCell ref="W138:Y140"/>
    <mergeCell ref="M130:Q130"/>
    <mergeCell ref="M131:Q131"/>
    <mergeCell ref="V133:AB133"/>
    <mergeCell ref="AB121:AB124"/>
    <mergeCell ref="V134:W134"/>
    <mergeCell ref="AB137:AB139"/>
    <mergeCell ref="D10:J10"/>
    <mergeCell ref="J18:J21"/>
    <mergeCell ref="AB18:AB21"/>
    <mergeCell ref="J38:J41"/>
    <mergeCell ref="AB38:AB41"/>
    <mergeCell ref="X31:Y31"/>
    <mergeCell ref="X51:Y51"/>
    <mergeCell ref="X20:X22"/>
    <mergeCell ref="M22:P22"/>
    <mergeCell ref="D50:J50"/>
    <mergeCell ref="D51:E51"/>
    <mergeCell ref="V11:W11"/>
    <mergeCell ref="E12:G12"/>
    <mergeCell ref="J14:J16"/>
    <mergeCell ref="AB14:AB16"/>
    <mergeCell ref="F20:F22"/>
    <mergeCell ref="P38:Q39"/>
    <mergeCell ref="D30:J30"/>
    <mergeCell ref="M43:P44"/>
    <mergeCell ref="J34:J36"/>
    <mergeCell ref="E35:G37"/>
    <mergeCell ref="U37:U40"/>
    <mergeCell ref="U33:U36"/>
    <mergeCell ref="W35:Y37"/>
    <mergeCell ref="C13:C15"/>
    <mergeCell ref="U20:U24"/>
    <mergeCell ref="C41:C45"/>
    <mergeCell ref="U41:U45"/>
    <mergeCell ref="M23:P24"/>
    <mergeCell ref="C20:C24"/>
    <mergeCell ref="AB34:AB36"/>
    <mergeCell ref="C33:C36"/>
    <mergeCell ref="C16:C19"/>
    <mergeCell ref="C37:C40"/>
    <mergeCell ref="M28:Q28"/>
    <mergeCell ref="M27:Q27"/>
    <mergeCell ref="J23:J27"/>
    <mergeCell ref="E32:G32"/>
    <mergeCell ref="M41:Q41"/>
    <mergeCell ref="M42:P42"/>
    <mergeCell ref="P33:Q33"/>
    <mergeCell ref="W15:Y17"/>
    <mergeCell ref="C124:C128"/>
    <mergeCell ref="D114:E114"/>
    <mergeCell ref="C120:C123"/>
    <mergeCell ref="M118:O119"/>
    <mergeCell ref="P118:Q119"/>
    <mergeCell ref="M121:O122"/>
    <mergeCell ref="P121:Q122"/>
    <mergeCell ref="U116:U119"/>
    <mergeCell ref="J117:J119"/>
    <mergeCell ref="E118:G120"/>
    <mergeCell ref="M125:P125"/>
    <mergeCell ref="U120:U123"/>
    <mergeCell ref="C116:C119"/>
    <mergeCell ref="M114:O114"/>
    <mergeCell ref="P114:Q114"/>
    <mergeCell ref="M116:O116"/>
    <mergeCell ref="P116:Q116"/>
    <mergeCell ref="U124:U128"/>
    <mergeCell ref="AB117:AB119"/>
    <mergeCell ref="J126:J129"/>
    <mergeCell ref="M124:Q124"/>
    <mergeCell ref="J137:J139"/>
    <mergeCell ref="D134:E134"/>
    <mergeCell ref="F134:G134"/>
    <mergeCell ref="F123:F125"/>
    <mergeCell ref="X123:X125"/>
    <mergeCell ref="M35:O36"/>
    <mergeCell ref="P35:Q36"/>
    <mergeCell ref="M38:O39"/>
    <mergeCell ref="Q43:Q44"/>
    <mergeCell ref="X40:X42"/>
    <mergeCell ref="V50:AB50"/>
    <mergeCell ref="U53:U56"/>
    <mergeCell ref="F51:G51"/>
    <mergeCell ref="M51:O51"/>
    <mergeCell ref="P51:Q51"/>
    <mergeCell ref="E52:G52"/>
    <mergeCell ref="J43:J47"/>
    <mergeCell ref="X80:X82"/>
    <mergeCell ref="J83:J86"/>
    <mergeCell ref="U77:U80"/>
    <mergeCell ref="M82:P82"/>
    <mergeCell ref="AB126:AB129"/>
    <mergeCell ref="J121:J124"/>
    <mergeCell ref="AB207:AB210"/>
    <mergeCell ref="AE94:AG94"/>
    <mergeCell ref="AB101:AB104"/>
    <mergeCell ref="AE121:AG122"/>
    <mergeCell ref="AH121:AI122"/>
    <mergeCell ref="AB106:AB109"/>
    <mergeCell ref="AH94:AI94"/>
    <mergeCell ref="AE96:AG96"/>
    <mergeCell ref="AE104:AI104"/>
    <mergeCell ref="AE105:AH105"/>
    <mergeCell ref="AE106:AH107"/>
    <mergeCell ref="AI106:AI107"/>
    <mergeCell ref="AE118:AG119"/>
    <mergeCell ref="AH118:AI119"/>
    <mergeCell ref="AE116:AG116"/>
    <mergeCell ref="AH96:AI96"/>
    <mergeCell ref="AE98:AG99"/>
    <mergeCell ref="AH98:AI99"/>
    <mergeCell ref="AH116:AI116"/>
    <mergeCell ref="AI126:AI127"/>
    <mergeCell ref="AE124:AI124"/>
    <mergeCell ref="AE125:AH125"/>
    <mergeCell ref="AE166:AH167"/>
    <mergeCell ref="AE161:AG162"/>
    <mergeCell ref="AH161:AI162"/>
    <mergeCell ref="AE114:AG114"/>
    <mergeCell ref="AE207:AH208"/>
    <mergeCell ref="AI207:AI208"/>
    <mergeCell ref="AE195:AG195"/>
    <mergeCell ref="AH195:AI195"/>
    <mergeCell ref="AE197:AG197"/>
    <mergeCell ref="AH197:AI197"/>
    <mergeCell ref="AE199:AG200"/>
    <mergeCell ref="AH199:AI200"/>
    <mergeCell ref="AE202:AG203"/>
    <mergeCell ref="AH202:AI203"/>
    <mergeCell ref="AE205:AI205"/>
    <mergeCell ref="AE206:AH206"/>
    <mergeCell ref="AE182:AG183"/>
    <mergeCell ref="AH182:AI183"/>
    <mergeCell ref="AE177:AG177"/>
    <mergeCell ref="AH177:AI177"/>
    <mergeCell ref="AE179:AG180"/>
    <mergeCell ref="AH179:AI180"/>
    <mergeCell ref="AH114:AI114"/>
    <mergeCell ref="AI166:AI167"/>
    <mergeCell ref="E196:G196"/>
    <mergeCell ref="W196:Y196"/>
    <mergeCell ref="E155:G155"/>
    <mergeCell ref="W155:Y155"/>
    <mergeCell ref="E115:G115"/>
    <mergeCell ref="W115:Y115"/>
    <mergeCell ref="AE11:AG11"/>
    <mergeCell ref="F195:G195"/>
    <mergeCell ref="M182:O183"/>
    <mergeCell ref="P182:Q183"/>
    <mergeCell ref="AE15:AG16"/>
    <mergeCell ref="AE18:AG19"/>
    <mergeCell ref="F40:F42"/>
    <mergeCell ref="AE21:AI21"/>
    <mergeCell ref="AE22:AH22"/>
    <mergeCell ref="AE23:AH24"/>
    <mergeCell ref="AE13:AG13"/>
    <mergeCell ref="AE31:AG31"/>
    <mergeCell ref="AH31:AI31"/>
    <mergeCell ref="AE33:AG33"/>
    <mergeCell ref="AH33:AI33"/>
    <mergeCell ref="AE35:AG36"/>
    <mergeCell ref="U136:U139"/>
    <mergeCell ref="U185:U189"/>
    <mergeCell ref="P202:Q203"/>
    <mergeCell ref="AB198:AB200"/>
    <mergeCell ref="J198:J200"/>
    <mergeCell ref="M191:Q191"/>
    <mergeCell ref="M192:Q192"/>
    <mergeCell ref="BL10:BY10"/>
    <mergeCell ref="P11:Q11"/>
    <mergeCell ref="P13:Q13"/>
    <mergeCell ref="M11:O11"/>
    <mergeCell ref="M13:O13"/>
    <mergeCell ref="M15:O16"/>
    <mergeCell ref="M18:O19"/>
    <mergeCell ref="AH13:AI13"/>
    <mergeCell ref="AH15:AI16"/>
    <mergeCell ref="AH18:AI19"/>
    <mergeCell ref="AH11:AI11"/>
    <mergeCell ref="AI23:AI24"/>
    <mergeCell ref="AH38:AI39"/>
    <mergeCell ref="AI43:AI44"/>
    <mergeCell ref="AE41:AI41"/>
    <mergeCell ref="AE42:AH42"/>
    <mergeCell ref="AE101:AG102"/>
    <mergeCell ref="X184:X186"/>
    <mergeCell ref="AE154:AG154"/>
    <mergeCell ref="E98:G100"/>
    <mergeCell ref="V195:W195"/>
    <mergeCell ref="X204:X206"/>
    <mergeCell ref="J187:J190"/>
    <mergeCell ref="M195:O195"/>
    <mergeCell ref="P195:Q195"/>
    <mergeCell ref="D194:J194"/>
    <mergeCell ref="V194:AB194"/>
    <mergeCell ref="J202:J205"/>
    <mergeCell ref="AB202:AB205"/>
    <mergeCell ref="X195:Y195"/>
    <mergeCell ref="M205:Q205"/>
    <mergeCell ref="E199:G201"/>
    <mergeCell ref="W199:Y201"/>
    <mergeCell ref="M197:O197"/>
    <mergeCell ref="P197:Q197"/>
    <mergeCell ref="M199:O200"/>
    <mergeCell ref="P199:Q200"/>
    <mergeCell ref="M202:O203"/>
    <mergeCell ref="D113:J113"/>
    <mergeCell ref="V113:AB113"/>
    <mergeCell ref="X114:Y114"/>
    <mergeCell ref="F114:G114"/>
    <mergeCell ref="AB146:AB149"/>
    <mergeCell ref="C144:C148"/>
    <mergeCell ref="C164:C168"/>
    <mergeCell ref="C185:C189"/>
    <mergeCell ref="C140:C143"/>
    <mergeCell ref="U140:U143"/>
    <mergeCell ref="F154:G154"/>
    <mergeCell ref="X154:Y154"/>
    <mergeCell ref="J146:J149"/>
    <mergeCell ref="M141:O142"/>
    <mergeCell ref="P141:Q142"/>
    <mergeCell ref="C181:C184"/>
    <mergeCell ref="M185:Q185"/>
    <mergeCell ref="U181:U184"/>
    <mergeCell ref="V154:W154"/>
    <mergeCell ref="V175:W175"/>
    <mergeCell ref="U160:U163"/>
    <mergeCell ref="W158:Y160"/>
    <mergeCell ref="X163:X165"/>
    <mergeCell ref="V174:AB174"/>
    <mergeCell ref="U164:U168"/>
    <mergeCell ref="X175:Y175"/>
    <mergeCell ref="AB182:AB185"/>
    <mergeCell ref="W179:Y181"/>
    <mergeCell ref="AB187:AB190"/>
    <mergeCell ref="AB141:AB144"/>
    <mergeCell ref="U144:U148"/>
    <mergeCell ref="M145:P145"/>
    <mergeCell ref="J141:J144"/>
    <mergeCell ref="Q187:Q188"/>
    <mergeCell ref="M175:O175"/>
    <mergeCell ref="Q146:Q147"/>
    <mergeCell ref="E138:G140"/>
    <mergeCell ref="J182:J185"/>
    <mergeCell ref="F143:F145"/>
    <mergeCell ref="X143:X145"/>
    <mergeCell ref="M146:P147"/>
    <mergeCell ref="AB157:AB159"/>
    <mergeCell ref="AB166:AB169"/>
    <mergeCell ref="AB161:AB164"/>
    <mergeCell ref="AB178:AB180"/>
    <mergeCell ref="E176:G176"/>
    <mergeCell ref="M144:Q144"/>
    <mergeCell ref="M186:P186"/>
    <mergeCell ref="J157:J159"/>
    <mergeCell ref="E158:G160"/>
    <mergeCell ref="M164:Q164"/>
    <mergeCell ref="M165:P165"/>
    <mergeCell ref="M166:P167"/>
    <mergeCell ref="C136:C139"/>
    <mergeCell ref="B1:M4"/>
    <mergeCell ref="W12:Y12"/>
    <mergeCell ref="D31:E31"/>
    <mergeCell ref="V31:W31"/>
    <mergeCell ref="Q23:Q24"/>
    <mergeCell ref="P15:Q16"/>
    <mergeCell ref="P18:Q19"/>
    <mergeCell ref="M31:O31"/>
    <mergeCell ref="P31:Q31"/>
    <mergeCell ref="F31:G31"/>
    <mergeCell ref="F11:G11"/>
    <mergeCell ref="D11:E11"/>
    <mergeCell ref="Y1:AI4"/>
    <mergeCell ref="AF7:AI7"/>
    <mergeCell ref="N1:X4"/>
    <mergeCell ref="U13:U15"/>
    <mergeCell ref="B5:D5"/>
    <mergeCell ref="E5:F5"/>
    <mergeCell ref="G5:J5"/>
    <mergeCell ref="K5:Q5"/>
    <mergeCell ref="M21:Q21"/>
    <mergeCell ref="X11:Y11"/>
    <mergeCell ref="E15:G17"/>
    <mergeCell ref="AE71:AG71"/>
    <mergeCell ref="AH71:AI71"/>
    <mergeCell ref="AE73:AG73"/>
    <mergeCell ref="AH73:AI73"/>
    <mergeCell ref="V51:W51"/>
    <mergeCell ref="AB54:AB56"/>
    <mergeCell ref="W52:Y52"/>
    <mergeCell ref="M73:O73"/>
    <mergeCell ref="P73:Q73"/>
    <mergeCell ref="M61:Q61"/>
    <mergeCell ref="M63:P64"/>
    <mergeCell ref="AE51:AG51"/>
    <mergeCell ref="AH51:AI51"/>
    <mergeCell ref="AE53:AG53"/>
    <mergeCell ref="AH53:AI53"/>
    <mergeCell ref="AE55:AG56"/>
    <mergeCell ref="AH55:AI56"/>
    <mergeCell ref="AE58:AG59"/>
    <mergeCell ref="AH58:AI59"/>
    <mergeCell ref="AI63:AI64"/>
    <mergeCell ref="AE63:AH64"/>
    <mergeCell ref="W55:Y57"/>
    <mergeCell ref="D71:E71"/>
    <mergeCell ref="J63:J66"/>
    <mergeCell ref="J58:J61"/>
    <mergeCell ref="U61:U65"/>
    <mergeCell ref="U57:U60"/>
    <mergeCell ref="M58:O59"/>
    <mergeCell ref="P58:Q59"/>
    <mergeCell ref="AH78:AI79"/>
    <mergeCell ref="AE61:AI61"/>
    <mergeCell ref="AE62:AH62"/>
    <mergeCell ref="W75:Y77"/>
    <mergeCell ref="V71:W71"/>
    <mergeCell ref="X60:X62"/>
    <mergeCell ref="V70:AB70"/>
    <mergeCell ref="W72:Y72"/>
    <mergeCell ref="AB58:AB61"/>
    <mergeCell ref="X71:Y71"/>
    <mergeCell ref="AB74:AB76"/>
    <mergeCell ref="AB63:AB66"/>
    <mergeCell ref="AE67:AI67"/>
    <mergeCell ref="AE68:AI68"/>
    <mergeCell ref="Q63:Q64"/>
    <mergeCell ref="M67:Q67"/>
    <mergeCell ref="M68:Q68"/>
    <mergeCell ref="AH134:AI134"/>
    <mergeCell ref="AE136:AG136"/>
    <mergeCell ref="AH136:AI136"/>
    <mergeCell ref="AE138:AG139"/>
    <mergeCell ref="AH138:AI139"/>
    <mergeCell ref="AI146:AI147"/>
    <mergeCell ref="AE144:AI144"/>
    <mergeCell ref="AE145:AH145"/>
    <mergeCell ref="AE146:AH147"/>
    <mergeCell ref="AE141:AG142"/>
    <mergeCell ref="AH141:AI142"/>
    <mergeCell ref="AE134:AG134"/>
    <mergeCell ref="AE126:AH127"/>
    <mergeCell ref="AH154:AI154"/>
    <mergeCell ref="AE156:AG156"/>
    <mergeCell ref="AH156:AI156"/>
    <mergeCell ref="AE158:AG159"/>
    <mergeCell ref="AH158:AI159"/>
    <mergeCell ref="C100:C103"/>
    <mergeCell ref="J106:J109"/>
    <mergeCell ref="J74:J76"/>
    <mergeCell ref="J101:J104"/>
    <mergeCell ref="C81:C85"/>
    <mergeCell ref="C104:C108"/>
    <mergeCell ref="D94:E94"/>
    <mergeCell ref="E95:G95"/>
    <mergeCell ref="J78:J81"/>
    <mergeCell ref="E75:G77"/>
    <mergeCell ref="F103:F105"/>
    <mergeCell ref="AE87:AI87"/>
    <mergeCell ref="AE88:AI88"/>
    <mergeCell ref="M110:Q110"/>
    <mergeCell ref="M111:Q111"/>
    <mergeCell ref="AE110:AI110"/>
    <mergeCell ref="AE111:AI111"/>
    <mergeCell ref="U73:U76"/>
    <mergeCell ref="C57:C60"/>
    <mergeCell ref="P98:Q99"/>
    <mergeCell ref="E72:G72"/>
    <mergeCell ref="C61:C65"/>
    <mergeCell ref="J54:J56"/>
    <mergeCell ref="C53:C56"/>
    <mergeCell ref="M71:O71"/>
    <mergeCell ref="C73:C76"/>
    <mergeCell ref="M62:P62"/>
    <mergeCell ref="M81:Q81"/>
    <mergeCell ref="M53:O53"/>
    <mergeCell ref="C96:C99"/>
    <mergeCell ref="P53:Q53"/>
    <mergeCell ref="F60:F62"/>
    <mergeCell ref="E55:G57"/>
    <mergeCell ref="F94:G94"/>
    <mergeCell ref="M55:O56"/>
    <mergeCell ref="P55:Q56"/>
    <mergeCell ref="F71:G71"/>
    <mergeCell ref="P94:Q94"/>
    <mergeCell ref="M87:Q87"/>
    <mergeCell ref="P71:Q71"/>
    <mergeCell ref="D70:J70"/>
    <mergeCell ref="C77:C80"/>
    <mergeCell ref="C205:C209"/>
    <mergeCell ref="U205:U209"/>
    <mergeCell ref="C156:C159"/>
    <mergeCell ref="U156:U159"/>
    <mergeCell ref="C177:C180"/>
    <mergeCell ref="U177:U180"/>
    <mergeCell ref="C197:C200"/>
    <mergeCell ref="U197:U200"/>
    <mergeCell ref="J166:J169"/>
    <mergeCell ref="F163:F165"/>
    <mergeCell ref="M206:P206"/>
    <mergeCell ref="J207:J210"/>
    <mergeCell ref="M207:P208"/>
    <mergeCell ref="Q207:Q208"/>
    <mergeCell ref="C201:C204"/>
    <mergeCell ref="C160:C163"/>
    <mergeCell ref="D174:J174"/>
    <mergeCell ref="J161:J164"/>
    <mergeCell ref="U201:U204"/>
    <mergeCell ref="D195:E195"/>
    <mergeCell ref="F204:F206"/>
    <mergeCell ref="M187:P188"/>
    <mergeCell ref="F175:G175"/>
    <mergeCell ref="F184:F186"/>
    <mergeCell ref="AF5:AH5"/>
    <mergeCell ref="B7:F7"/>
    <mergeCell ref="B8:F8"/>
    <mergeCell ref="G8:J8"/>
    <mergeCell ref="K8:Q8"/>
    <mergeCell ref="R8:W8"/>
    <mergeCell ref="X8:Y8"/>
    <mergeCell ref="Z8:AE8"/>
    <mergeCell ref="AF8:AI8"/>
    <mergeCell ref="X6:Y6"/>
    <mergeCell ref="X7:Y7"/>
    <mergeCell ref="R6:W6"/>
    <mergeCell ref="R7:W7"/>
    <mergeCell ref="B6:D6"/>
    <mergeCell ref="E6:F6"/>
    <mergeCell ref="G6:J6"/>
    <mergeCell ref="G7:J7"/>
    <mergeCell ref="K6:Q6"/>
    <mergeCell ref="K7:Q7"/>
    <mergeCell ref="R5:W5"/>
    <mergeCell ref="X5:Y5"/>
    <mergeCell ref="Z5:AE5"/>
    <mergeCell ref="Z6:AE6"/>
    <mergeCell ref="Z7:AE7"/>
    <mergeCell ref="AE27:AI27"/>
    <mergeCell ref="AE28:AI28"/>
    <mergeCell ref="M47:Q47"/>
    <mergeCell ref="M48:Q48"/>
    <mergeCell ref="AE47:AI47"/>
    <mergeCell ref="AE48:AI48"/>
    <mergeCell ref="AF6:AH6"/>
    <mergeCell ref="U16:U19"/>
    <mergeCell ref="V10:AB10"/>
    <mergeCell ref="AB43:AB46"/>
    <mergeCell ref="AB23:AB27"/>
    <mergeCell ref="V30:AB30"/>
    <mergeCell ref="AE43:AH44"/>
    <mergeCell ref="AH35:AI36"/>
    <mergeCell ref="AE38:AG39"/>
    <mergeCell ref="M33:O33"/>
    <mergeCell ref="W32:Y32"/>
    <mergeCell ref="AI83:AI84"/>
    <mergeCell ref="AH101:AI102"/>
    <mergeCell ref="AE81:AI81"/>
    <mergeCell ref="AE82:AH82"/>
    <mergeCell ref="AE83:AH84"/>
    <mergeCell ref="AB97:AB99"/>
    <mergeCell ref="U96:U99"/>
    <mergeCell ref="P101:Q102"/>
    <mergeCell ref="M75:O76"/>
    <mergeCell ref="P75:Q76"/>
    <mergeCell ref="M78:O79"/>
    <mergeCell ref="P78:Q79"/>
    <mergeCell ref="M101:O102"/>
    <mergeCell ref="M88:Q88"/>
    <mergeCell ref="AE75:AG76"/>
    <mergeCell ref="AH75:AI76"/>
    <mergeCell ref="AE78:AG79"/>
    <mergeCell ref="M83:P84"/>
    <mergeCell ref="Q83:Q84"/>
    <mergeCell ref="AE191:AI191"/>
    <mergeCell ref="AE192:AI192"/>
    <mergeCell ref="M211:Q211"/>
    <mergeCell ref="M212:Q212"/>
    <mergeCell ref="AE211:AI211"/>
    <mergeCell ref="AE212:AI212"/>
    <mergeCell ref="AE130:AI130"/>
    <mergeCell ref="AE131:AI131"/>
    <mergeCell ref="M150:Q150"/>
    <mergeCell ref="M151:Q151"/>
    <mergeCell ref="AE150:AI150"/>
    <mergeCell ref="AE151:AI151"/>
    <mergeCell ref="M170:Q170"/>
    <mergeCell ref="M171:Q171"/>
    <mergeCell ref="AE170:AI170"/>
    <mergeCell ref="AE171:AI171"/>
    <mergeCell ref="AI187:AI188"/>
    <mergeCell ref="AE185:AI185"/>
    <mergeCell ref="AE186:AH186"/>
    <mergeCell ref="AE187:AH188"/>
    <mergeCell ref="AE164:AI164"/>
    <mergeCell ref="AE165:AH165"/>
    <mergeCell ref="AE175:AG175"/>
    <mergeCell ref="AH175:AI175"/>
  </mergeCells>
  <conditionalFormatting sqref="BL13:BY13">
    <cfRule type="cellIs" dxfId="79" priority="21" operator="equal">
      <formula>1</formula>
    </cfRule>
  </conditionalFormatting>
  <printOptions horizontalCentered="1"/>
  <pageMargins left="0" right="0" top="0" bottom="0" header="0" footer="0"/>
  <pageSetup paperSize="9" scale="53" fitToHeight="0" orientation="portrait" r:id="rId1"/>
  <headerFooter scaleWithDoc="0" alignWithMargins="0">
    <oddFooter>Sayfa &amp;P / &amp;N</oddFooter>
  </headerFooter>
  <rowBreaks count="8" manualBreakCount="8">
    <brk id="67" min="65" max="85" man="1"/>
    <brk id="69" max="35" man="1"/>
    <brk id="127" min="65" max="85" man="1"/>
    <brk id="132" max="35" man="1"/>
    <brk id="188" min="65" max="85" man="1"/>
    <brk id="249" max="35" man="1"/>
    <brk id="309" max="35" man="1"/>
    <brk id="369" max="35" man="1"/>
  </rowBreaks>
  <drawing r:id="rId2"/>
  <extLst>
    <ext xmlns:x14="http://schemas.microsoft.com/office/spreadsheetml/2009/9/main" uri="{78C0D931-6437-407d-A8EE-F0AAD7539E65}">
      <x14:conditionalFormattings>
        <x14:conditionalFormatting xmlns:xm="http://schemas.microsoft.com/office/excel/2006/main">
          <x14:cfRule type="expression" priority="19" id="{B97CDF8D-2EBF-4D14-A073-7AA98D513636}">
            <xm:f>'1PROJE'!$D$8=0</xm:f>
            <x14:dxf>
              <font>
                <color theme="0"/>
              </font>
              <fill>
                <patternFill patternType="solid">
                  <fgColor theme="0"/>
                  <bgColor theme="0"/>
                </patternFill>
              </fill>
              <border>
                <left/>
                <right/>
                <top/>
                <bottom/>
                <vertical/>
                <horizontal/>
              </border>
            </x14:dxf>
          </x14:cfRule>
          <xm:sqref>T10:AI22 T28:AI28 T23:AA27 AC23:AI27</xm:sqref>
        </x14:conditionalFormatting>
        <x14:conditionalFormatting xmlns:xm="http://schemas.microsoft.com/office/excel/2006/main">
          <x14:cfRule type="expression" priority="18" id="{FCC0B56B-0B94-4BB8-8D1E-6F121330DE75}">
            <xm:f>'1PROJE'!$D$9=0</xm:f>
            <x14:dxf>
              <font>
                <color theme="0"/>
              </font>
              <fill>
                <patternFill>
                  <fgColor theme="0"/>
                  <bgColor theme="0"/>
                </patternFill>
              </fill>
              <border>
                <left/>
                <right/>
                <top/>
                <bottom/>
                <vertical/>
                <horizontal/>
              </border>
            </x14:dxf>
          </x14:cfRule>
          <xm:sqref>B30:Q42 B48:Q48 B43:I47 K43:Q47</xm:sqref>
        </x14:conditionalFormatting>
        <x14:conditionalFormatting xmlns:xm="http://schemas.microsoft.com/office/excel/2006/main">
          <x14:cfRule type="expression" priority="17" id="{22915CF6-FDE9-4ED9-B39C-EB3228A81FD2}">
            <xm:f>'1PROJE'!$D$10=0</xm:f>
            <x14:dxf>
              <font>
                <color theme="0"/>
              </font>
              <fill>
                <patternFill>
                  <fgColor theme="0"/>
                  <bgColor theme="0"/>
                </patternFill>
              </fill>
              <border>
                <left/>
                <right/>
                <top/>
                <bottom/>
                <vertical/>
                <horizontal/>
              </border>
            </x14:dxf>
          </x14:cfRule>
          <xm:sqref>T30:AI48</xm:sqref>
        </x14:conditionalFormatting>
        <x14:conditionalFormatting xmlns:xm="http://schemas.microsoft.com/office/excel/2006/main">
          <x14:cfRule type="expression" priority="16" id="{9A4E0AD2-84DE-47A3-A3BF-AB3A49C0D7B5}">
            <xm:f>'1PROJE'!$D$11=0</xm:f>
            <x14:dxf>
              <font>
                <color theme="0"/>
              </font>
              <fill>
                <patternFill>
                  <fgColor theme="0"/>
                  <bgColor theme="0"/>
                </patternFill>
              </fill>
              <border>
                <left/>
                <right/>
                <top/>
                <bottom/>
                <vertical/>
                <horizontal/>
              </border>
            </x14:dxf>
          </x14:cfRule>
          <xm:sqref>B50:Q68</xm:sqref>
        </x14:conditionalFormatting>
        <x14:conditionalFormatting xmlns:xm="http://schemas.microsoft.com/office/excel/2006/main">
          <x14:cfRule type="expression" priority="15" id="{C2B791AE-3D68-4BE0-8B33-798CE7D02636}">
            <xm:f>'1PROJE'!$D$12=0</xm:f>
            <x14:dxf>
              <font>
                <color theme="0"/>
              </font>
              <fill>
                <patternFill>
                  <fgColor theme="0"/>
                  <bgColor theme="0"/>
                </patternFill>
              </fill>
              <border>
                <left/>
                <right/>
                <top/>
                <bottom/>
                <vertical/>
                <horizontal/>
              </border>
            </x14:dxf>
          </x14:cfRule>
          <xm:sqref>T50:AI68</xm:sqref>
        </x14:conditionalFormatting>
        <x14:conditionalFormatting xmlns:xm="http://schemas.microsoft.com/office/excel/2006/main">
          <x14:cfRule type="expression" priority="14" id="{E62F82CE-8C48-4FBA-9C26-4EBB21F28AD9}">
            <xm:f>'1PROJE'!$D$13=0</xm:f>
            <x14:dxf>
              <font>
                <color theme="0"/>
              </font>
              <fill>
                <patternFill>
                  <fgColor theme="0"/>
                  <bgColor theme="0"/>
                </patternFill>
              </fill>
              <border>
                <left/>
                <right/>
                <top/>
                <bottom/>
                <vertical/>
                <horizontal/>
              </border>
            </x14:dxf>
          </x14:cfRule>
          <xm:sqref>B70:Q88</xm:sqref>
        </x14:conditionalFormatting>
        <x14:conditionalFormatting xmlns:xm="http://schemas.microsoft.com/office/excel/2006/main">
          <x14:cfRule type="expression" priority="13" id="{15F7BCB6-14C3-4753-B4E2-8DDD97CFEF9A}">
            <xm:f>'1PROJE'!$D$14=0</xm:f>
            <x14:dxf>
              <font>
                <color theme="0"/>
              </font>
              <fill>
                <patternFill>
                  <fgColor theme="0"/>
                  <bgColor theme="0"/>
                </patternFill>
              </fill>
              <border>
                <left/>
                <right/>
                <top/>
                <bottom/>
                <vertical/>
                <horizontal/>
              </border>
            </x14:dxf>
          </x14:cfRule>
          <xm:sqref>T70:AI88</xm:sqref>
        </x14:conditionalFormatting>
        <x14:conditionalFormatting xmlns:xm="http://schemas.microsoft.com/office/excel/2006/main">
          <x14:cfRule type="expression" priority="12" id="{ECFEB56E-7FCE-4D83-99DE-60787146D80C}">
            <xm:f>'1PROJE'!$D$15=0</xm:f>
            <x14:dxf>
              <font>
                <color theme="0"/>
              </font>
              <fill>
                <patternFill>
                  <fgColor theme="0"/>
                  <bgColor theme="0"/>
                </patternFill>
              </fill>
              <border>
                <left/>
                <right/>
                <top/>
                <bottom/>
                <vertical/>
                <horizontal/>
              </border>
            </x14:dxf>
          </x14:cfRule>
          <xm:sqref>B93:Q111</xm:sqref>
        </x14:conditionalFormatting>
        <x14:conditionalFormatting xmlns:xm="http://schemas.microsoft.com/office/excel/2006/main">
          <x14:cfRule type="expression" priority="11" id="{8DCBA14D-9106-405F-94C3-B587C251EEB8}">
            <xm:f>'1PROJE'!$D$16=0</xm:f>
            <x14:dxf>
              <font>
                <color theme="0"/>
              </font>
              <fill>
                <patternFill>
                  <fgColor theme="0"/>
                  <bgColor theme="0"/>
                </patternFill>
              </fill>
              <border>
                <left/>
                <right/>
                <top/>
                <bottom/>
                <vertical/>
                <horizontal/>
              </border>
            </x14:dxf>
          </x14:cfRule>
          <xm:sqref>T93:AI111</xm:sqref>
        </x14:conditionalFormatting>
        <x14:conditionalFormatting xmlns:xm="http://schemas.microsoft.com/office/excel/2006/main">
          <x14:cfRule type="expression" priority="10" id="{278E2E0C-8DF8-40B9-AC94-E260846C4C75}">
            <xm:f>'1PROJE'!$D$17=0</xm:f>
            <x14:dxf>
              <font>
                <color theme="0"/>
              </font>
              <fill>
                <patternFill>
                  <fgColor theme="0"/>
                  <bgColor theme="0"/>
                </patternFill>
              </fill>
              <border>
                <left/>
                <right/>
                <top/>
                <bottom/>
                <vertical/>
                <horizontal/>
              </border>
            </x14:dxf>
          </x14:cfRule>
          <xm:sqref>B113:Q131</xm:sqref>
        </x14:conditionalFormatting>
        <x14:conditionalFormatting xmlns:xm="http://schemas.microsoft.com/office/excel/2006/main">
          <x14:cfRule type="expression" priority="9" id="{C30DEC9F-11AB-4AB0-9543-33584ABC26CD}">
            <xm:f>'1PROJE'!$D$18=0</xm:f>
            <x14:dxf>
              <font>
                <color theme="0"/>
              </font>
              <fill>
                <patternFill>
                  <fgColor theme="0"/>
                  <bgColor theme="0"/>
                </patternFill>
              </fill>
              <border>
                <left/>
                <right/>
                <top/>
                <bottom/>
                <vertical/>
                <horizontal/>
              </border>
            </x14:dxf>
          </x14:cfRule>
          <xm:sqref>T113:AI131</xm:sqref>
        </x14:conditionalFormatting>
        <x14:conditionalFormatting xmlns:xm="http://schemas.microsoft.com/office/excel/2006/main">
          <x14:cfRule type="expression" priority="8" id="{23EF3330-9251-4B4D-9AD3-2EA7C0F881A9}">
            <xm:f>'1PROJE'!$D$19=0</xm:f>
            <x14:dxf>
              <font>
                <color theme="0"/>
              </font>
              <fill>
                <patternFill>
                  <fgColor theme="0"/>
                  <bgColor theme="0"/>
                </patternFill>
              </fill>
              <border>
                <left/>
                <right/>
                <top/>
                <bottom/>
                <vertical/>
                <horizontal/>
              </border>
            </x14:dxf>
          </x14:cfRule>
          <xm:sqref>B133:Q151</xm:sqref>
        </x14:conditionalFormatting>
        <x14:conditionalFormatting xmlns:xm="http://schemas.microsoft.com/office/excel/2006/main">
          <x14:cfRule type="expression" priority="7" id="{73923003-9955-41E5-9EC2-A832BFA81686}">
            <xm:f>'1PROJE'!$D$20=0</xm:f>
            <x14:dxf>
              <font>
                <color theme="0"/>
              </font>
              <fill>
                <patternFill>
                  <fgColor theme="0"/>
                  <bgColor theme="0"/>
                </patternFill>
              </fill>
              <border>
                <left/>
                <right/>
                <top/>
                <bottom/>
                <vertical/>
                <horizontal/>
              </border>
            </x14:dxf>
          </x14:cfRule>
          <xm:sqref>T133:AI151</xm:sqref>
        </x14:conditionalFormatting>
        <x14:conditionalFormatting xmlns:xm="http://schemas.microsoft.com/office/excel/2006/main">
          <x14:cfRule type="expression" priority="6" id="{16055A86-3EC1-49A5-A976-F38CE8C74188}">
            <xm:f>'1PROJE'!$D$21=0</xm:f>
            <x14:dxf>
              <font>
                <color theme="0"/>
              </font>
              <fill>
                <patternFill>
                  <fgColor theme="0"/>
                  <bgColor theme="0"/>
                </patternFill>
              </fill>
              <border>
                <left/>
                <right/>
                <top/>
                <bottom/>
                <vertical/>
                <horizontal/>
              </border>
            </x14:dxf>
          </x14:cfRule>
          <xm:sqref>B153:Q171</xm:sqref>
        </x14:conditionalFormatting>
        <x14:conditionalFormatting xmlns:xm="http://schemas.microsoft.com/office/excel/2006/main">
          <x14:cfRule type="expression" priority="5" id="{496FF373-A7DA-48A0-86E1-508A0DB43A79}">
            <xm:f>'1PROJE'!$D$22=0</xm:f>
            <x14:dxf>
              <font>
                <color theme="0"/>
              </font>
              <fill>
                <patternFill>
                  <fgColor theme="0"/>
                  <bgColor theme="0"/>
                </patternFill>
              </fill>
              <border>
                <left/>
                <right/>
                <top/>
                <bottom/>
                <vertical/>
                <horizontal/>
              </border>
            </x14:dxf>
          </x14:cfRule>
          <xm:sqref>T153:AI171</xm:sqref>
        </x14:conditionalFormatting>
        <x14:conditionalFormatting xmlns:xm="http://schemas.microsoft.com/office/excel/2006/main">
          <x14:cfRule type="expression" priority="4" id="{2968BCD7-7A3C-46F6-8E8B-42E05156BE1A}">
            <xm:f>'1PROJE'!$D$23=0</xm:f>
            <x14:dxf>
              <font>
                <color theme="0"/>
              </font>
              <fill>
                <patternFill>
                  <fgColor theme="0"/>
                  <bgColor theme="0"/>
                </patternFill>
              </fill>
              <border>
                <left/>
                <right/>
                <top/>
                <bottom/>
                <vertical/>
                <horizontal/>
              </border>
            </x14:dxf>
          </x14:cfRule>
          <xm:sqref>B174:Q192</xm:sqref>
        </x14:conditionalFormatting>
        <x14:conditionalFormatting xmlns:xm="http://schemas.microsoft.com/office/excel/2006/main">
          <x14:cfRule type="expression" priority="3" id="{150C564F-AA5D-4DC0-8F9D-8CD6EF5D08CE}">
            <xm:f>'1PROJE'!$D$24=0</xm:f>
            <x14:dxf>
              <font>
                <color theme="0"/>
              </font>
              <fill>
                <patternFill>
                  <fgColor theme="0"/>
                  <bgColor theme="0"/>
                </patternFill>
              </fill>
              <border>
                <left/>
                <right/>
                <top/>
                <bottom/>
                <vertical/>
                <horizontal/>
              </border>
            </x14:dxf>
          </x14:cfRule>
          <xm:sqref>T174:AI192</xm:sqref>
        </x14:conditionalFormatting>
        <x14:conditionalFormatting xmlns:xm="http://schemas.microsoft.com/office/excel/2006/main">
          <x14:cfRule type="expression" priority="2" id="{F840B915-9D96-47FB-A213-C6C52C9C6A07}">
            <xm:f>'1PROJE'!$D$25=0</xm:f>
            <x14:dxf>
              <font>
                <color theme="0"/>
              </font>
              <fill>
                <patternFill>
                  <fgColor theme="0"/>
                  <bgColor theme="0"/>
                </patternFill>
              </fill>
              <border>
                <left/>
                <right/>
                <top/>
                <bottom/>
                <vertical/>
                <horizontal/>
              </border>
            </x14:dxf>
          </x14:cfRule>
          <xm:sqref>B194:Q212</xm:sqref>
        </x14:conditionalFormatting>
        <x14:conditionalFormatting xmlns:xm="http://schemas.microsoft.com/office/excel/2006/main">
          <x14:cfRule type="expression" priority="1" id="{5510383E-A045-438F-A5F8-CF45B7C6D2D2}">
            <xm:f>'1PROJE'!$D$26=0</xm:f>
            <x14:dxf>
              <font>
                <color theme="0"/>
              </font>
              <fill>
                <patternFill>
                  <fgColor theme="0"/>
                  <bgColor theme="0"/>
                </patternFill>
              </fill>
              <border>
                <left/>
                <right/>
                <top/>
                <bottom/>
                <vertical/>
                <horizontal/>
              </border>
            </x14:dxf>
          </x14:cfRule>
          <xm:sqref>T194:AI212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7D572-5C5D-4559-9B22-67C481BC06D4}">
  <sheetPr codeName="Sayfa4">
    <tabColor rgb="FFFF0000"/>
  </sheetPr>
  <dimension ref="A1:FQ2074"/>
  <sheetViews>
    <sheetView topLeftCell="CG13" zoomScale="115" zoomScaleNormal="115" workbookViewId="0">
      <selection activeCell="CR27" sqref="CR27"/>
    </sheetView>
  </sheetViews>
  <sheetFormatPr defaultRowHeight="14.25"/>
  <cols>
    <col min="2" max="2" width="11.375" customWidth="1"/>
    <col min="9" max="9" width="26.125" customWidth="1"/>
    <col min="20" max="20" width="9.125"/>
    <col min="22" max="22" width="9.125" customWidth="1"/>
    <col min="24" max="24" width="35.125" customWidth="1"/>
    <col min="25" max="25" width="9.125" customWidth="1"/>
    <col min="27" max="27" width="13.875" customWidth="1"/>
    <col min="28" max="28" width="9.125" customWidth="1"/>
    <col min="29" max="30" width="12" customWidth="1"/>
    <col min="31" max="32" width="20.625" customWidth="1"/>
    <col min="33" max="33" width="11.5" customWidth="1"/>
    <col min="34" max="34" width="16.125" customWidth="1"/>
    <col min="68" max="68" width="9.625" customWidth="1"/>
    <col min="69" max="69" width="9.5" customWidth="1"/>
    <col min="70" max="70" width="9.625" customWidth="1"/>
    <col min="71" max="72" width="9.5" customWidth="1"/>
    <col min="73" max="73" width="9.625" customWidth="1"/>
    <col min="74" max="74" width="9.5" customWidth="1"/>
    <col min="75" max="76" width="9.625" customWidth="1"/>
    <col min="77" max="77" width="9.5" customWidth="1"/>
    <col min="78" max="81" width="9.625" customWidth="1"/>
    <col min="83" max="83" width="9.875" customWidth="1"/>
    <col min="84" max="84" width="9.625" customWidth="1"/>
    <col min="85" max="85" width="10.125" customWidth="1"/>
    <col min="86" max="86" width="9.5" customWidth="1"/>
    <col min="87" max="88" width="9.625" customWidth="1"/>
    <col min="91" max="92" width="9.625" customWidth="1"/>
    <col min="93" max="94" width="10" customWidth="1"/>
    <col min="95" max="95" width="9.625" customWidth="1"/>
    <col min="96" max="96" width="10.125" customWidth="1"/>
    <col min="97" max="97" width="9.625" customWidth="1"/>
    <col min="98" max="98" width="9.5" customWidth="1"/>
    <col min="99" max="100" width="9.625" customWidth="1"/>
    <col min="101" max="101" width="9.5" customWidth="1"/>
    <col min="102" max="102" width="9.625" customWidth="1"/>
    <col min="103" max="103" width="10.125" bestFit="1" customWidth="1"/>
    <col min="104" max="104" width="9.5" customWidth="1"/>
    <col min="105" max="105" width="9.625" customWidth="1"/>
    <col min="106" max="106" width="9.5" customWidth="1"/>
    <col min="107" max="107" width="10" customWidth="1"/>
    <col min="108" max="109" width="9.625" customWidth="1"/>
    <col min="110" max="110" width="10" customWidth="1"/>
    <col min="111" max="111" width="9.625" customWidth="1"/>
    <col min="112" max="113" width="10" customWidth="1"/>
    <col min="114" max="115" width="9.625" customWidth="1"/>
    <col min="116" max="116" width="10.875" customWidth="1"/>
    <col min="117" max="117" width="10.625" customWidth="1"/>
    <col min="118" max="118" width="10.375" customWidth="1"/>
    <col min="119" max="119" width="12" customWidth="1"/>
    <col min="120" max="120" width="11.125" customWidth="1"/>
    <col min="121" max="121" width="10.375" customWidth="1"/>
    <col min="122" max="124" width="10.125" customWidth="1"/>
    <col min="125" max="125" width="10.625" customWidth="1"/>
    <col min="126" max="126" width="11.125" customWidth="1"/>
    <col min="127" max="127" width="10.875" customWidth="1"/>
    <col min="128" max="128" width="10.375" customWidth="1"/>
    <col min="129" max="129" width="10.125" customWidth="1"/>
    <col min="130" max="131" width="10.625" customWidth="1"/>
    <col min="132" max="134" width="10.125" customWidth="1"/>
    <col min="135" max="135" width="9.625" customWidth="1"/>
    <col min="136" max="137" width="10.125" customWidth="1"/>
    <col min="138" max="138" width="9.625" customWidth="1"/>
    <col min="139" max="139" width="10.125" customWidth="1"/>
    <col min="140" max="140" width="10.625" customWidth="1"/>
    <col min="141" max="141" width="9.625" customWidth="1"/>
    <col min="142" max="144" width="10.125" customWidth="1"/>
    <col min="145" max="145" width="10.375" customWidth="1"/>
    <col min="146" max="146" width="10.625" customWidth="1"/>
    <col min="147" max="147" width="10.5" customWidth="1"/>
    <col min="148" max="148" width="10.625" customWidth="1"/>
    <col min="149" max="149" width="10.5" customWidth="1"/>
    <col min="150" max="150" width="10.625" customWidth="1"/>
    <col min="151" max="151" width="10.5" customWidth="1"/>
    <col min="152" max="152" width="10.375" customWidth="1"/>
    <col min="153" max="156" width="10.125" customWidth="1"/>
    <col min="157" max="157" width="10" customWidth="1"/>
    <col min="158" max="158" width="9.625" customWidth="1"/>
    <col min="159" max="161" width="10.125" customWidth="1"/>
    <col min="162" max="162" width="10" customWidth="1"/>
    <col min="163" max="163" width="10.125" customWidth="1"/>
    <col min="164" max="164" width="9.625" customWidth="1"/>
    <col min="165" max="165" width="10.25" bestFit="1" customWidth="1"/>
    <col min="168" max="168" width="10.125" bestFit="1" customWidth="1"/>
    <col min="173" max="173" width="9.625" bestFit="1" customWidth="1"/>
  </cols>
  <sheetData>
    <row r="1" spans="22:36" ht="45">
      <c r="Y1" s="27" t="s">
        <v>123</v>
      </c>
      <c r="Z1">
        <v>9</v>
      </c>
    </row>
    <row r="2" spans="22:36" ht="45">
      <c r="V2" s="149" t="s">
        <v>843</v>
      </c>
      <c r="Y2" s="27" t="s">
        <v>124</v>
      </c>
      <c r="Z2">
        <v>10</v>
      </c>
    </row>
    <row r="3" spans="22:36" ht="45">
      <c r="V3" t="str">
        <f>'1PROJE'!G3</f>
        <v>Z 5001</v>
      </c>
      <c r="Y3" s="27" t="s">
        <v>125</v>
      </c>
      <c r="Z3">
        <v>11</v>
      </c>
    </row>
    <row r="4" spans="22:36" ht="45">
      <c r="Y4" s="27" t="s">
        <v>128</v>
      </c>
      <c r="Z4">
        <v>12</v>
      </c>
    </row>
    <row r="5" spans="22:36" ht="33.75">
      <c r="V5" t="str">
        <f>V2 &amp; "" &amp;V3 &amp; "\"</f>
        <v>C:\Zipperde\Z 5001\</v>
      </c>
      <c r="Y5" s="27" t="s">
        <v>120</v>
      </c>
      <c r="Z5">
        <v>13</v>
      </c>
    </row>
    <row r="6" spans="22:36" ht="45">
      <c r="Y6" s="27" t="s">
        <v>121</v>
      </c>
      <c r="Z6">
        <v>14</v>
      </c>
    </row>
    <row r="7" spans="22:36" ht="33.75">
      <c r="Y7" s="27" t="s">
        <v>122</v>
      </c>
      <c r="Z7">
        <v>15</v>
      </c>
    </row>
    <row r="8" spans="22:36" ht="33.75">
      <c r="Y8" s="27" t="s">
        <v>126</v>
      </c>
      <c r="Z8">
        <v>16</v>
      </c>
    </row>
    <row r="9" spans="22:36" ht="56.25">
      <c r="Y9" s="27" t="s">
        <v>624</v>
      </c>
      <c r="Z9">
        <v>17</v>
      </c>
    </row>
    <row r="10" spans="22:36" ht="56.25">
      <c r="Y10" s="27" t="s">
        <v>625</v>
      </c>
      <c r="Z10">
        <v>18</v>
      </c>
      <c r="AH10" t="s">
        <v>679</v>
      </c>
      <c r="AI10" s="37">
        <v>100</v>
      </c>
    </row>
    <row r="11" spans="22:36" ht="56.25">
      <c r="Y11" s="27" t="s">
        <v>626</v>
      </c>
      <c r="Z11">
        <v>19</v>
      </c>
      <c r="AE11" t="str">
        <f>L27</f>
        <v>FERRINI 1 KANALLI</v>
      </c>
      <c r="AF11" s="37">
        <f>VLOOKUP(AE11,'x Malzemeler ve Özellikleri'!$N$168:$R$183,5,0)</f>
        <v>12</v>
      </c>
      <c r="AH11" s="16" t="s">
        <v>671</v>
      </c>
      <c r="AI11">
        <f>'1PROJE'!N3</f>
        <v>25</v>
      </c>
    </row>
    <row r="12" spans="22:36" ht="56.25">
      <c r="Y12" s="27" t="s">
        <v>627</v>
      </c>
      <c r="Z12">
        <v>20</v>
      </c>
      <c r="AE12">
        <f t="shared" ref="AE12:AE13" si="0">L28</f>
        <v>0</v>
      </c>
      <c r="AF12" s="37" t="e">
        <f>VLOOKUP(AE12,'x Malzemeler ve Özellikleri'!$N$168:$R$183,5,0)</f>
        <v>#N/A</v>
      </c>
      <c r="AH12" s="16" t="s">
        <v>672</v>
      </c>
      <c r="AI12" s="57">
        <v>1.06</v>
      </c>
    </row>
    <row r="13" spans="22:36" ht="56.25">
      <c r="Y13" s="27" t="s">
        <v>628</v>
      </c>
      <c r="Z13">
        <v>21</v>
      </c>
      <c r="AE13">
        <f t="shared" si="0"/>
        <v>0</v>
      </c>
      <c r="AF13" s="37" t="e">
        <f>VLOOKUP(AE13,'x Malzemeler ve Özellikleri'!$N$168:$R$183,5,0)</f>
        <v>#N/A</v>
      </c>
      <c r="AH13" s="16" t="s">
        <v>673</v>
      </c>
      <c r="AI13">
        <v>1.08</v>
      </c>
    </row>
    <row r="14" spans="22:36" ht="56.25">
      <c r="Y14" s="27" t="s">
        <v>629</v>
      </c>
      <c r="Z14">
        <v>22</v>
      </c>
      <c r="AJ14">
        <f>VLOOKUP($AH$26,'x Malzemeler ve Özellikleri'!$O$2:$AF$85,xHesaplama!U27,0)</f>
        <v>0</v>
      </c>
    </row>
    <row r="18" spans="1:173">
      <c r="W18" t="s">
        <v>479</v>
      </c>
      <c r="X18" t="s">
        <v>478</v>
      </c>
      <c r="Y18" s="24"/>
    </row>
    <row r="19" spans="1:173">
      <c r="V19" t="s">
        <v>611</v>
      </c>
      <c r="W19">
        <v>0</v>
      </c>
      <c r="X19">
        <v>0</v>
      </c>
    </row>
    <row r="20" spans="1:173" s="4" customFormat="1" ht="50.1" customHeight="1">
      <c r="V20" s="4" t="s">
        <v>610</v>
      </c>
      <c r="W20" s="4">
        <f>V27</f>
        <v>110</v>
      </c>
      <c r="X20" s="4">
        <f>W27</f>
        <v>86</v>
      </c>
      <c r="AH20" s="4" t="str">
        <f>VLOOKUP(AH26,'x Malzemeler ve Özellikleri'!$O$2:$U$85,2,0)</f>
        <v>PA14000101</v>
      </c>
      <c r="AI20" s="4" t="str">
        <f>VLOOKUP(AI26,'x Malzemeler ve Özellikleri'!$O$2:$U$85,2,0)</f>
        <v>PA14000201</v>
      </c>
      <c r="AJ20" s="4" t="str">
        <f>VLOOKUP(AJ26,'x Malzemeler ve Özellikleri'!$O$2:$U$85,2,0)</f>
        <v>PA14000301</v>
      </c>
      <c r="AK20" s="4" t="str">
        <f>VLOOKUP(AK26,'x Malzemeler ve Özellikleri'!$O$2:$U$85,2,0)</f>
        <v>PA14000401</v>
      </c>
      <c r="AL20" s="4" t="str">
        <f>VLOOKUP(AL26,'x Malzemeler ve Özellikleri'!$O$2:$U$85,2,0)</f>
        <v>PA14000501</v>
      </c>
      <c r="AM20" s="4" t="str">
        <f>VLOOKUP(AM26,'x Malzemeler ve Özellikleri'!$O$2:$U$85,2,0)</f>
        <v>78BOR</v>
      </c>
      <c r="AN20" s="4" t="str">
        <f>VLOOKUP(AN26,'x Malzemeler ve Özellikleri'!$O$2:$U$85,2,0)</f>
        <v>100BOR</v>
      </c>
      <c r="AO20" s="4" t="str">
        <f>VLOOKUP(AO26,'x Malzemeler ve Özellikleri'!$O$2:$U$85,2,0)</f>
        <v>DPY00105801</v>
      </c>
      <c r="AP20" s="4" t="str">
        <f>VLOOKUP(AP26,'x Malzemeler ve Özellikleri'!$O$2:$U$85,2,0)</f>
        <v>EMY14000101R - EMY14000101L</v>
      </c>
      <c r="AQ20" s="4" t="str">
        <f>VLOOKUP(AQ26,'x Malzemeler ve Özellikleri'!$O$2:$U$85,2,0)</f>
        <v>EMY14000301R - EMY14000301L</v>
      </c>
      <c r="AR20" s="4" t="str">
        <f>VLOOKUP(AR26,'x Malzemeler ve Özellikleri'!$O$2:$U$85,2,0)</f>
        <v>EPH07803101</v>
      </c>
      <c r="AS20" s="4" t="str">
        <f>VLOOKUP(AS26,'x Malzemeler ve Özellikleri'!$O$2:$U$85,2,0)</f>
        <v>EPH07803001</v>
      </c>
      <c r="AT20" s="4" t="str">
        <f>VLOOKUP(AT26,'x Malzemeler ve Özellikleri'!$O$2:$U$85,2,0)</f>
        <v>EMY14000501R - EMY14000501L</v>
      </c>
      <c r="AU20" s="4" t="str">
        <f>VLOOKUP(AU26,'x Malzemeler ve Özellikleri'!$O$2:$U$85,2,0)</f>
        <v>DMH00105001</v>
      </c>
      <c r="AV20" s="4" t="str">
        <f>VLOOKUP(AV26,'x Malzemeler ve Özellikleri'!$O$2:$U$85,2,0)</f>
        <v>DMH14006502</v>
      </c>
      <c r="AW20" s="4" t="str">
        <f>VLOOKUP(AW26,'x Malzemeler ve Özellikleri'!$O$2:$U$85,2,0)</f>
        <v>DPH00106501</v>
      </c>
      <c r="AX20" s="4" t="str">
        <f>VLOOKUP(AX26,'x Malzemeler ve Özellikleri'!$O$2:$U$85,2,0)</f>
        <v>EPH00105301</v>
      </c>
      <c r="AY20" s="4" t="str">
        <f>VLOOKUP(AY26,'x Malzemeler ve Özellikleri'!$O$2:$U$85,2,0)</f>
        <v>EPH07802301</v>
      </c>
      <c r="AZ20" s="4" t="str">
        <f>VLOOKUP(AZ26,'x Malzemeler ve Özellikleri'!$O$2:$U$85,2,0)</f>
        <v>EPH00107101</v>
      </c>
      <c r="BA20" s="4" t="str">
        <f>VLOOKUP(BA26,'x Malzemeler ve Özellikleri'!$O$2:$U$85,2,0)</f>
        <v>PP00106001</v>
      </c>
      <c r="BB20" s="4" t="str">
        <f>VLOOKUP(BB26,'x Malzemeler ve Özellikleri'!$O$2:$U$85,2,0)</f>
        <v>DMH14005001</v>
      </c>
      <c r="BC20" s="4" t="str">
        <f>VLOOKUP(BC26,'x Malzemeler ve Özellikleri'!$O$2:$U$85,2,0)</f>
        <v>VİDA1</v>
      </c>
      <c r="BD20" s="4" t="str">
        <f>VLOOKUP(BD26,'x Malzemeler ve Özellikleri'!$O$2:$U$85,2,0)</f>
        <v>EPH14006701</v>
      </c>
      <c r="BE20" s="4">
        <f>VLOOKUP(BE26,'x Malzemeler ve Özellikleri'!$O$2:$U$85,2,0)</f>
        <v>0</v>
      </c>
      <c r="BF20" s="4">
        <f>VLOOKUP(BF26,'x Malzemeler ve Özellikleri'!$O$2:$U$85,2,0)</f>
        <v>0</v>
      </c>
      <c r="BG20" s="4">
        <f>VLOOKUP(BG26,'x Malzemeler ve Özellikleri'!$O$2:$U$85,2,0)</f>
        <v>0</v>
      </c>
      <c r="BH20" s="4" t="str">
        <f>VLOOKUP(BH26,'x Malzemeler ve Özellikleri'!$O$2:$U$85,2,0)</f>
        <v>EMY14005901</v>
      </c>
      <c r="BI20" s="4">
        <f>VLOOKUP(BI26,'x Malzemeler ve Özellikleri'!$O$2:$U$85,2,0)</f>
        <v>0</v>
      </c>
      <c r="BJ20" s="4" t="str">
        <f>VLOOKUP(BJ26,'x Malzemeler ve Özellikleri'!$O$2:$U$85,2,0)</f>
        <v>DPH00107801</v>
      </c>
      <c r="BK20" s="4" t="str">
        <f>VLOOKUP(BK26,'x Malzemeler ve Özellikleri'!$O$2:$U$85,2,0)</f>
        <v>DPH00107701</v>
      </c>
      <c r="BL20" s="4" t="str">
        <f>VLOOKUP(BL26,'x Malzemeler ve Özellikleri'!$O$2:$U$85,2,0)</f>
        <v>EPH00105101</v>
      </c>
      <c r="BM20" s="4" t="str">
        <f>VLOOKUP(BM26,'x Malzemeler ve Özellikleri'!$O$2:$U$85,2,0)</f>
        <v>EPH00107601</v>
      </c>
      <c r="BN20" s="4" t="str">
        <f>VLOOKUP(BN26,'x Malzemeler ve Özellikleri'!$O$2:$U$85,2,0)</f>
        <v>EMY14005201</v>
      </c>
      <c r="BO20" s="4" t="str">
        <f>VLOOKUP(BO26,'x Malzemeler ve Özellikleri'!$O$2:$U$85,2,0)</f>
        <v>DPH00107901</v>
      </c>
      <c r="BP20" s="4" t="str">
        <f>VLOOKUP(BP26,'x Malzemeler ve Özellikleri'!$O$2:$U$85,2,0)</f>
        <v>BP.403</v>
      </c>
      <c r="BQ20" s="4" t="str">
        <f>VLOOKUP(BQ26,'x Malzemeler ve Özellikleri'!$O$2:$U$85,2,0)</f>
        <v>BP.404</v>
      </c>
      <c r="BR20" s="4" t="str">
        <f>VLOOKUP(BR26,'x Malzemeler ve Özellikleri'!$O$2:$U$85,2,0)</f>
        <v>KASA ALIN PROFİLİ - soft</v>
      </c>
      <c r="BS20" s="4" t="str">
        <f>VLOOKUP(BS26,'x Malzemeler ve Özellikleri'!$O$2:$U$85,2,0)</f>
        <v>KASA ALIN PROFİLİ - round</v>
      </c>
      <c r="BT20" s="4" t="str">
        <f>VLOOKUP(BT26,'x Malzemeler ve Özellikleri'!$O$2:$U$85,2,0)</f>
        <v>BP.414</v>
      </c>
      <c r="BU20" s="4" t="str">
        <f>VLOOKUP(BU26,'x Malzemeler ve Özellikleri'!$O$2:$U$85,2,0)</f>
        <v>FERMUAR</v>
      </c>
      <c r="BV20" s="4" t="str">
        <f>VLOOKUP(BV26,'x Malzemeler ve Özellikleri'!$O$2:$U$85,2,0)</f>
        <v>78BOR</v>
      </c>
      <c r="BW20" s="4" t="str">
        <f>VLOOKUP(BW26,'x Malzemeler ve Özellikleri'!$O$2:$U$85,2,0)</f>
        <v>BP.434</v>
      </c>
      <c r="BX20" s="4" t="str">
        <f>VLOOKUP(BX26,'x Malzemeler ve Özellikleri'!$O$2:$U$85,2,0)</f>
        <v>GERDİRME ÇELİK YAY</v>
      </c>
      <c r="BY20" s="4" t="str">
        <f>VLOOKUP(BY26,'x Malzemeler ve Özellikleri'!$O$2:$U$85,2,0)</f>
        <v>BP.413</v>
      </c>
      <c r="BZ20" s="4" t="str">
        <f>VLOOKUP(BZ26,'x Malzemeler ve Özellikleri'!$O$2:$U$85,2,0)</f>
        <v>BP.411</v>
      </c>
      <c r="CA20" s="4" t="str">
        <f>VLOOKUP(CA26,'x Malzemeler ve Özellikleri'!$O$2:$U$85,2,0)</f>
        <v>BP.405</v>
      </c>
      <c r="CB20" s="4" t="str">
        <f>VLOOKUP(CB26,'x Malzemeler ve Özellikleri'!$O$2:$U$85,2,0)</f>
        <v>BP.431</v>
      </c>
      <c r="CC20" s="4" t="str">
        <f>VLOOKUP(CC26,'x Malzemeler ve Özellikleri'!$O$2:$U$85,2,0)</f>
        <v>VİDA2</v>
      </c>
      <c r="CD20" s="4" t="str">
        <f>VLOOKUP(CD26,'x Malzemeler ve Özellikleri'!$O$2:$U$85,2,0)</f>
        <v>ALT PARÇA KIL FİTİL 48*10</v>
      </c>
      <c r="CE20" s="4" t="str">
        <f>VLOOKUP(CE26,'x Malzemeler ve Özellikleri'!$O$2:$U$85,2,0)</f>
        <v>PVC FİTİL</v>
      </c>
      <c r="CF20" s="4" t="str">
        <f>VLOOKUP(CF26,'x Malzemeler ve Özellikleri'!$O$2:$U$85,2,0)</f>
        <v>BP.422</v>
      </c>
      <c r="CG20" s="4" t="str">
        <f>VLOOKUP(CG26,'x Malzemeler ve Özellikleri'!$O$2:$U$85,2,0)</f>
        <v>BP.415</v>
      </c>
      <c r="CH20" s="4" t="str">
        <f>VLOOKUP(CH26,'x Malzemeler ve Özellikleri'!$O$2:$U$85,2,0)</f>
        <v>BP.402</v>
      </c>
      <c r="CI20" s="4" t="str">
        <f>VLOOKUP(CI26,'x Malzemeler ve Özellikleri'!$O$2:$U$85,2,0)</f>
        <v>BP.401</v>
      </c>
      <c r="CJ20" s="4" t="str">
        <f>VLOOKUP(CJ26,'x Malzemeler ve Özellikleri'!$O$2:$U$85,2,0)</f>
        <v>BP.417</v>
      </c>
      <c r="CK20" s="4" t="str">
        <f>VLOOKUP(CK26,'x Malzemeler ve Özellikleri'!$O$2:$U$85,2,0)</f>
        <v>BP.412</v>
      </c>
      <c r="CL20" s="4">
        <f>VLOOKUP(CL26,'x Malzemeler ve Özellikleri'!$O$2:$U$85,2,0)</f>
        <v>9761001</v>
      </c>
      <c r="CM20" s="4" t="str">
        <f>VLOOKUP(CM26,'x Malzemeler ve Özellikleri'!$O$2:$U$85,2,0)</f>
        <v>PDKP01</v>
      </c>
      <c r="CN20" s="4" t="str">
        <f>VLOOKUP(CN26,'x Malzemeler ve Özellikleri'!$O$2:$U$85,2,0)</f>
        <v>PDKP01D</v>
      </c>
      <c r="CO20" s="4" t="str">
        <f>VLOOKUP(CO26,'x Malzemeler ve Özellikleri'!$O$2:$U$85,2,0)</f>
        <v>KASA ALIN PROFİLİ - sharp</v>
      </c>
      <c r="CP20" s="4" t="str">
        <f>VLOOKUP(CP26,'x Malzemeler ve Özellikleri'!$O$2:$U$85,2,0)</f>
        <v>KASA ALIN PROFİLİ - soft</v>
      </c>
      <c r="CQ20" s="4" t="str">
        <f>VLOOKUP(CQ26,'x Malzemeler ve Özellikleri'!$O$2:$U$85,2,0)</f>
        <v>PVC YAY</v>
      </c>
      <c r="CR20" s="4" t="str">
        <f>VLOOKUP(CR26,'x Malzemeler ve Özellikleri'!$O$2:$U$85,2,0)</f>
        <v>78BOR</v>
      </c>
      <c r="CS20" s="4" t="str">
        <f>VLOOKUP(CS26,'x Malzemeler ve Özellikleri'!$O$2:$U$85,2,0)</f>
        <v>MNS.P1.014</v>
      </c>
      <c r="CT20" s="4">
        <f>VLOOKUP(CT26,'x Malzemeler ve Özellikleri'!$O$2:$U$85,2,0)</f>
        <v>9761001</v>
      </c>
      <c r="CU20" s="4" t="str">
        <f>VLOOKUP(CU26,'x Malzemeler ve Özellikleri'!$O$2:$U$85,2,0)</f>
        <v>FERMUAR</v>
      </c>
      <c r="CV20" s="4" t="str">
        <f>VLOOKUP(CV26,'x Malzemeler ve Özellikleri'!$O$2:$U$85,2,0)</f>
        <v>BP.422</v>
      </c>
      <c r="CW20" s="4" t="str">
        <f>VLOOKUP(CW26,'x Malzemeler ve Özellikleri'!$O$2:$U$85,2,0)</f>
        <v>VİDA3</v>
      </c>
      <c r="CX20" s="4" t="str">
        <f>VLOOKUP(CX26,'x Malzemeler ve Özellikleri'!$O$2:$U$85,2,0)</f>
        <v>ALT PARÇA KIL FİTİL 48*10</v>
      </c>
      <c r="CY20" s="4" t="str">
        <f>VLOOKUP(CY26,'x Malzemeler ve Özellikleri'!$O$2:$U$85,2,0)</f>
        <v>PVC FİTİL</v>
      </c>
      <c r="CZ20" s="4" t="str">
        <f>VLOOKUP(CZ26,'x Malzemeler ve Özellikleri'!$O$2:$U$85,2,0)</f>
        <v>9108-P110</v>
      </c>
      <c r="DA20" s="4" t="str">
        <f>VLOOKUP(DA26,'x Malzemeler ve Özellikleri'!$O$2:$U$85,2,0)</f>
        <v>MNS.P1.028</v>
      </c>
      <c r="DB20" s="4" t="str">
        <f>VLOOKUP(DB26,'x Malzemeler ve Özellikleri'!$O$2:$U$85,2,0)</f>
        <v>KFL 001</v>
      </c>
      <c r="DC20" s="4" t="str">
        <f>VLOOKUP(DC26,'x Malzemeler ve Özellikleri'!$O$2:$U$85,2,0)</f>
        <v>MNS.P1.009</v>
      </c>
      <c r="DD20" s="4" t="str">
        <f>VLOOKUP(DD26,'x Malzemeler ve Özellikleri'!$O$2:$U$85,2,0)</f>
        <v>PDALT01</v>
      </c>
      <c r="DE20" s="4" t="str">
        <f>VLOOKUP(DE26,'x Malzemeler ve Özellikleri'!$O$2:$U$85,2,0)</f>
        <v>BP.431</v>
      </c>
      <c r="DF20" s="4" t="str">
        <f>VLOOKUP(DF26,'x Malzemeler ve Özellikleri'!$O$2:$U$85,2,0)</f>
        <v>MNS.P1.008-019</v>
      </c>
      <c r="DG20" s="4" t="str">
        <f>VLOOKUP(DG26,'x Malzemeler ve Özellikleri'!$O$2:$U$85,2,0)</f>
        <v>PDDK03</v>
      </c>
      <c r="DH20" s="4" t="str">
        <f>VLOOKUP(DH26,'x Malzemeler ve Özellikleri'!$O$2:$U$85,2,0)</f>
        <v>PDDK01</v>
      </c>
      <c r="DI20" s="4" t="str">
        <f>VLOOKUP(DI26,'x Malzemeler ve Özellikleri'!$O$2:$U$85,2,0)</f>
        <v>PDDK02</v>
      </c>
      <c r="DJ20" s="4" t="str">
        <f>VLOOKUP(DJ26,'x Malzemeler ve Özellikleri'!$O$2:$U$85,2,0)</f>
        <v>BP.417</v>
      </c>
      <c r="DK20" s="4" t="str">
        <f>VLOOKUP(DK26,'x Malzemeler ve Özellikleri'!$O$2:$U$85,2,0)</f>
        <v>BP.423</v>
      </c>
      <c r="DL20" s="4" t="str">
        <f>VLOOKUP(DL26,'x Malzemeler ve Özellikleri'!$O$2:$U$136,2,0)</f>
        <v>PDKP01</v>
      </c>
      <c r="DM20" s="4" t="str">
        <f>VLOOKUP(DM26,'x Malzemeler ve Özellikleri'!$O$2:$U$136,2,0)</f>
        <v>PDKP01D</v>
      </c>
      <c r="DN20" s="4" t="str">
        <f>VLOOKUP(DN26,'x Malzemeler ve Özellikleri'!$O$2:$U$136,2,0)</f>
        <v>KASA ALIN PROFİLİ - sharp</v>
      </c>
      <c r="DO20" s="4" t="str">
        <f>VLOOKUP(DO26,'x Malzemeler ve Özellikleri'!$O$2:$U$136,2,0)</f>
        <v>KASA ALIN PROFİLİ - soft</v>
      </c>
      <c r="DP20" s="4" t="str">
        <f>VLOOKUP(DP26,'x Malzemeler ve Özellikleri'!$O$2:$U$136,2,0)</f>
        <v>PVC YAY</v>
      </c>
      <c r="DQ20" s="4" t="str">
        <f>VLOOKUP(DQ26,'x Malzemeler ve Özellikleri'!$O$2:$U$136,2,0)</f>
        <v>78BOR</v>
      </c>
      <c r="DR20" s="4" t="str">
        <f>VLOOKUP(DR26,'x Malzemeler ve Özellikleri'!$O$2:$U$136,2,0)</f>
        <v>FERMUAR</v>
      </c>
      <c r="DS20" s="4" t="str">
        <f>VLOOKUP(DS26,'x Malzemeler ve Özellikleri'!$O$2:$U$136,2,0)</f>
        <v>BP.422</v>
      </c>
      <c r="DT20" s="4" t="str">
        <f>VLOOKUP(DT26,'x Malzemeler ve Özellikleri'!$O$2:$U$136,2,0)</f>
        <v>VİDA4</v>
      </c>
      <c r="DU20" s="4" t="str">
        <f>VLOOKUP(DU26,'x Malzemeler ve Özellikleri'!$O$2:$U$136,2,0)</f>
        <v>ALT PARÇA KIL FİTİL 48*10</v>
      </c>
      <c r="DV20" s="4" t="str">
        <f>VLOOKUP(DV26,'x Malzemeler ve Özellikleri'!$O$2:$U$136,2,0)</f>
        <v>PVC FİTİL</v>
      </c>
      <c r="DW20" s="4" t="str">
        <f>VLOOKUP(DW26,'x Malzemeler ve Özellikleri'!$O$2:$U$136,2,0)</f>
        <v>9108-P110</v>
      </c>
      <c r="DX20" s="4" t="str">
        <f>VLOOKUP(DX26,'x Malzemeler ve Özellikleri'!$O$2:$U$136,2,0)</f>
        <v>MNS.P1.028</v>
      </c>
      <c r="DY20" s="4" t="str">
        <f>VLOOKUP(DY26,'x Malzemeler ve Özellikleri'!$O$2:$U$136,2,0)</f>
        <v>KFL 001</v>
      </c>
      <c r="DZ20" s="4" t="str">
        <f>VLOOKUP(DZ26,'x Malzemeler ve Özellikleri'!$O$2:$U$136,2,0)</f>
        <v>MNS.P1.009</v>
      </c>
      <c r="EA20" s="4" t="str">
        <f>VLOOKUP(EA26,'x Malzemeler ve Özellikleri'!$O$2:$U$136,2,0)</f>
        <v>PDALT01</v>
      </c>
      <c r="EB20" s="4" t="str">
        <f>VLOOKUP(EB26,'x Malzemeler ve Özellikleri'!$O$2:$U$136,2,0)</f>
        <v>BP.431</v>
      </c>
      <c r="EC20" s="4" t="str">
        <f>VLOOKUP(EC26,'x Malzemeler ve Özellikleri'!$O$2:$U$136,2,0)</f>
        <v>MNS.P1.008-019</v>
      </c>
      <c r="ED20" s="4" t="str">
        <f>VLOOKUP(ED26,'x Malzemeler ve Özellikleri'!$O$2:$U$136,2,0)</f>
        <v>PDDK03</v>
      </c>
      <c r="EE20" s="4" t="str">
        <f>VLOOKUP(EE26,'x Malzemeler ve Özellikleri'!$O$2:$U$136,2,0)</f>
        <v>PDDK01</v>
      </c>
      <c r="EF20" s="4" t="str">
        <f>VLOOKUP(EF26,'x Malzemeler ve Özellikleri'!$O$2:$U$136,2,0)</f>
        <v>PDDK02</v>
      </c>
      <c r="EG20" s="4" t="str">
        <f>VLOOKUP(EG26,'x Malzemeler ve Özellikleri'!$O$2:$U$136,2,0)</f>
        <v>BP.417</v>
      </c>
      <c r="EH20" s="4" t="str">
        <f>VLOOKUP(EH26,'x Malzemeler ve Özellikleri'!$O$2:$U$136,2,0)</f>
        <v>BP.423</v>
      </c>
      <c r="EI20" s="4" t="str">
        <f>VLOOKUP(EI26,'x Malzemeler ve Özellikleri'!$O$2:$U$136,2,0)</f>
        <v>XKZ1</v>
      </c>
      <c r="EJ20" s="4" t="str">
        <f>VLOOKUP(EJ26,'x Malzemeler ve Özellikleri'!$O$2:$U$136,2,0)</f>
        <v>XKZ2</v>
      </c>
      <c r="EK20" s="4" t="str">
        <f>VLOOKUP(EK26,'x Malzemeler ve Özellikleri'!$O$2:$U$136,2,0)</f>
        <v>XKZ3</v>
      </c>
      <c r="EL20" s="4" t="str">
        <f>VLOOKUP(EL26,'x Malzemeler ve Özellikleri'!$O$2:$U$136,2,0)</f>
        <v>XKZ4</v>
      </c>
      <c r="EM20" s="4" t="str">
        <f>VLOOKUP(EM26,'x Malzemeler ve Özellikleri'!$O$2:$U$136,2,0)</f>
        <v>PDKP01</v>
      </c>
      <c r="EN20" s="4" t="str">
        <f>VLOOKUP(EN26,'x Malzemeler ve Özellikleri'!$O$2:$U$136,2,0)</f>
        <v>PDKP01D</v>
      </c>
      <c r="EO20" s="4" t="str">
        <f>VLOOKUP(EO26,'x Malzemeler ve Özellikleri'!$O$2:$U$136,2,0)</f>
        <v>KASA ALIN PROFİLİ - sharp</v>
      </c>
      <c r="EP20" s="4" t="str">
        <f>VLOOKUP(EP26,'x Malzemeler ve Özellikleri'!$O$2:$U$136,2,0)</f>
        <v>KASA ALIN PROFİLİ - soft</v>
      </c>
      <c r="EQ20" s="4" t="str">
        <f>VLOOKUP(EQ26,'x Malzemeler ve Özellikleri'!$O$2:$U$136,2,0)</f>
        <v>78BOR</v>
      </c>
      <c r="ER20" s="4" t="str">
        <f>VLOOKUP(ER26,'x Malzemeler ve Özellikleri'!$O$2:$U$136,2,0)</f>
        <v>VİDA5</v>
      </c>
      <c r="ES20" s="4" t="str">
        <f>VLOOKUP(ES26,'x Malzemeler ve Özellikleri'!$O$2:$U$136,2,0)</f>
        <v>ALT PARÇA KIL FİTİL 48*10</v>
      </c>
      <c r="ET20" s="4" t="str">
        <f>VLOOKUP(ET26,'x Malzemeler ve Özellikleri'!$O$2:$U$136,2,0)</f>
        <v>PVC FİTİL</v>
      </c>
      <c r="EU20" s="4" t="str">
        <f>VLOOKUP(EU26,'x Malzemeler ve Özellikleri'!$O$2:$U$136,2,0)</f>
        <v>9108-P110</v>
      </c>
      <c r="EV20" s="4" t="str">
        <f>VLOOKUP(EV26,'x Malzemeler ve Özellikleri'!$O$2:$U$136,2,0)</f>
        <v>MNS.P1.028</v>
      </c>
      <c r="EW20" s="4" t="str">
        <f>VLOOKUP(EW26,'x Malzemeler ve Özellikleri'!$O$2:$U$136,2,0)</f>
        <v>KFL 001</v>
      </c>
      <c r="EX20" s="4" t="str">
        <f>VLOOKUP(EX26,'x Malzemeler ve Özellikleri'!$O$2:$U$136,2,0)</f>
        <v>MNS.P1.009</v>
      </c>
      <c r="EY20" s="4" t="str">
        <f>VLOOKUP(EY26,'x Malzemeler ve Özellikleri'!$O$2:$U$136,2,0)</f>
        <v>PDALT01</v>
      </c>
      <c r="EZ20" s="4" t="str">
        <f>VLOOKUP(EZ26,'x Malzemeler ve Özellikleri'!$O$2:$U$136,2,0)</f>
        <v>BP.431</v>
      </c>
      <c r="FA20" s="4" t="str">
        <f>VLOOKUP(FA26,'x Malzemeler ve Özellikleri'!$O$2:$U$136,2,0)</f>
        <v>MNS.P1.008-019</v>
      </c>
      <c r="FB20" s="4">
        <f>VLOOKUP(FB26,'x Malzemeler ve Özellikleri'!$O$2:$U$136,2,0)</f>
        <v>9761001</v>
      </c>
      <c r="FC20" s="4" t="str">
        <f>VLOOKUP(FC26,'x Malzemeler ve Özellikleri'!$O$2:$U$136,2,0)</f>
        <v>MNS.P1.014</v>
      </c>
      <c r="FD20" s="4" t="str">
        <f>VLOOKUP(FD26,'x Malzemeler ve Özellikleri'!$O$2:$U$136,2,0)</f>
        <v>XKZ5</v>
      </c>
      <c r="FE20" s="4" t="str">
        <f>VLOOKUP(FE26,'x Malzemeler ve Özellikleri'!$O$2:$U$136,2,0)</f>
        <v>XKZ6</v>
      </c>
      <c r="FF20" s="4" t="str">
        <f>VLOOKUP(FF26,'x Malzemeler ve Özellikleri'!$O$2:$U$136,2,0)</f>
        <v>XKZ7</v>
      </c>
      <c r="FG20" s="4" t="str">
        <f>VLOOKUP(FG26,'x Malzemeler ve Özellikleri'!$O$2:$U$136,2,0)</f>
        <v>XKZ8</v>
      </c>
      <c r="FH20" s="4" t="str">
        <f>VLOOKUP(FH26,'x Malzemeler ve Özellikleri'!$O$2:$U$136,2,0)</f>
        <v>XKZ9</v>
      </c>
    </row>
    <row r="21" spans="1:173">
      <c r="V21" t="s">
        <v>612</v>
      </c>
      <c r="W21">
        <f>V27</f>
        <v>110</v>
      </c>
      <c r="X21">
        <v>0</v>
      </c>
      <c r="AG21" t="s">
        <v>680</v>
      </c>
      <c r="AH21">
        <f>VLOOKUP(AH26,'x Malzemeler ve Özellikleri'!$O$2:$U$85,3,0)</f>
        <v>2.532</v>
      </c>
      <c r="AI21">
        <f>VLOOKUP(AI26,'x Malzemeler ve Özellikleri'!$O$2:$U$85,3,0)</f>
        <v>1.34</v>
      </c>
      <c r="AJ21">
        <f>VLOOKUP(AJ26,'x Malzemeler ve Özellikleri'!$O$2:$U$85,3,0)</f>
        <v>2.93</v>
      </c>
      <c r="AK21">
        <f>VLOOKUP(AK26,'x Malzemeler ve Özellikleri'!$O$2:$U$85,3,0)</f>
        <v>0.52800000000000002</v>
      </c>
      <c r="AL21">
        <f>VLOOKUP(AL26,'x Malzemeler ve Özellikleri'!$O$2:$U$85,3,0)</f>
        <v>2.5</v>
      </c>
      <c r="AM21">
        <f>VLOOKUP(AM26,'x Malzemeler ve Özellikleri'!$O$2:$U$85,3,0)</f>
        <v>2.5</v>
      </c>
      <c r="AN21">
        <f>VLOOKUP(AN26,'x Malzemeler ve Özellikleri'!$O$2:$U$85,3,0)</f>
        <v>3.5</v>
      </c>
      <c r="AO21">
        <f>VLOOKUP(AO26,'x Malzemeler ve Özellikleri'!$O$2:$U$85,3,0)</f>
        <v>0.12</v>
      </c>
      <c r="AP21">
        <f>VLOOKUP(AP26,'x Malzemeler ve Özellikleri'!$O$2:$U$85,3,0)</f>
        <v>1.26</v>
      </c>
      <c r="AQ21">
        <f>VLOOKUP(AQ26,'x Malzemeler ve Özellikleri'!$O$2:$U$85,3,0)</f>
        <v>0.52</v>
      </c>
      <c r="AR21">
        <f>VLOOKUP(AR26,'x Malzemeler ve Özellikleri'!$O$2:$U$85,3,0)</f>
        <v>0.36699999999999999</v>
      </c>
      <c r="AS21">
        <f>VLOOKUP(AS26,'x Malzemeler ve Özellikleri'!$O$2:$U$85,3,0)</f>
        <v>0.245</v>
      </c>
      <c r="AT21">
        <f>VLOOKUP(AT26,'x Malzemeler ve Özellikleri'!$O$2:$U$85,3,0)</f>
        <v>0.48</v>
      </c>
      <c r="AU21">
        <f>VLOOKUP(AU26,'x Malzemeler ve Özellikleri'!$O$2:$U$85,3,0)</f>
        <v>0.05</v>
      </c>
      <c r="AV21">
        <f>VLOOKUP(AV26,'x Malzemeler ve Özellikleri'!$O$2:$U$85,3,0)</f>
        <v>0.4</v>
      </c>
      <c r="AW21">
        <f>VLOOKUP(AW26,'x Malzemeler ve Özellikleri'!$O$2:$U$85,3,0)</f>
        <v>0.01</v>
      </c>
      <c r="AX21">
        <f>VLOOKUP(AX26,'x Malzemeler ve Özellikleri'!$O$2:$U$85,3,0)</f>
        <v>0.2</v>
      </c>
      <c r="AY21">
        <f>VLOOKUP(AY26,'x Malzemeler ve Özellikleri'!$O$2:$U$85,3,0)</f>
        <v>7.6999999999999999E-2</v>
      </c>
      <c r="AZ21">
        <f>VLOOKUP(AZ26,'x Malzemeler ve Özellikleri'!$O$2:$U$85,3,0)</f>
        <v>2E-3</v>
      </c>
      <c r="BA21">
        <f>VLOOKUP(BA26,'x Malzemeler ve Özellikleri'!$O$2:$U$85,3,0)</f>
        <v>0.02</v>
      </c>
      <c r="BB21">
        <f>VLOOKUP(BB26,'x Malzemeler ve Özellikleri'!$O$2:$U$85,3,0)</f>
        <v>0.375</v>
      </c>
      <c r="BC21">
        <f>VLOOKUP(BC26,'x Malzemeler ve Özellikleri'!$O$2:$U$85,3,0)</f>
        <v>0.02</v>
      </c>
      <c r="BD21">
        <f>VLOOKUP(BD26,'x Malzemeler ve Özellikleri'!$O$2:$U$85,3,0)</f>
        <v>0</v>
      </c>
      <c r="BE21">
        <f>VLOOKUP(BE26,'x Malzemeler ve Özellikleri'!$O$2:$U$85,3,0)</f>
        <v>0</v>
      </c>
      <c r="BF21">
        <f>VLOOKUP(BF26,'x Malzemeler ve Özellikleri'!$O$2:$U$85,3,0)</f>
        <v>0</v>
      </c>
      <c r="BG21">
        <f>VLOOKUP(BG26,'x Malzemeler ve Özellikleri'!$O$2:$U$85,3,0)</f>
        <v>1</v>
      </c>
      <c r="BH21">
        <f>VLOOKUP(BH26,'x Malzemeler ve Özellikleri'!$O$2:$U$85,3,0)</f>
        <v>0</v>
      </c>
      <c r="BI21">
        <f>VLOOKUP(BI26,'x Malzemeler ve Özellikleri'!$O$2:$U$85,3,0)</f>
        <v>0</v>
      </c>
      <c r="BJ21">
        <f>VLOOKUP(BJ26,'x Malzemeler ve Özellikleri'!$O$2:$U$85,3,0)</f>
        <v>0.05</v>
      </c>
      <c r="BK21">
        <f>VLOOKUP(BK26,'x Malzemeler ve Özellikleri'!$O$2:$U$85,3,0)</f>
        <v>0.1</v>
      </c>
      <c r="BL21">
        <f>VLOOKUP(BL26,'x Malzemeler ve Özellikleri'!$O$2:$U$85,3,0)</f>
        <v>0.05</v>
      </c>
      <c r="BM21">
        <f>VLOOKUP(BM26,'x Malzemeler ve Özellikleri'!$O$2:$U$85,3,0)</f>
        <v>0.03</v>
      </c>
      <c r="BN21">
        <f>VLOOKUP(BN26,'x Malzemeler ve Özellikleri'!$O$2:$U$85,3,0)</f>
        <v>0.05</v>
      </c>
      <c r="BO21">
        <f>VLOOKUP(BO26,'x Malzemeler ve Özellikleri'!$O$2:$U$85,3,0)</f>
        <v>0.01</v>
      </c>
      <c r="BP21">
        <f>VLOOKUP(BP26,'x Malzemeler ve Özellikleri'!$O$2:$U$85,3,0)</f>
        <v>1.17</v>
      </c>
      <c r="BQ21">
        <f>VLOOKUP(BQ26,'x Malzemeler ve Özellikleri'!$O$2:$U$85,3,0)</f>
        <v>0.875</v>
      </c>
      <c r="BR21">
        <f>VLOOKUP(BR26,'x Malzemeler ve Özellikleri'!$O$2:$U$85,3,0)</f>
        <v>0.875</v>
      </c>
      <c r="BS21">
        <f>VLOOKUP(BS26,'x Malzemeler ve Özellikleri'!$O$2:$U$85,3,0)</f>
        <v>0.875</v>
      </c>
      <c r="BT21">
        <f>VLOOKUP(BT26,'x Malzemeler ve Özellikleri'!$O$2:$U$85,3,0)</f>
        <v>0.192</v>
      </c>
      <c r="BU21">
        <f>VLOOKUP(BU26,'x Malzemeler ve Özellikleri'!$O$2:$U$85,3,0)</f>
        <v>0.01</v>
      </c>
      <c r="BV21">
        <f>VLOOKUP(BV26,'x Malzemeler ve Özellikleri'!$O$2:$U$85,3,0)</f>
        <v>2.5</v>
      </c>
      <c r="BW21">
        <f>VLOOKUP(BW26,'x Malzemeler ve Özellikleri'!$O$2:$U$85,3,0)</f>
        <v>0.1</v>
      </c>
      <c r="BX21">
        <f>VLOOKUP(BX26,'x Malzemeler ve Özellikleri'!$O$2:$U$85,3,0)</f>
        <v>2E-3</v>
      </c>
      <c r="BY21">
        <f>VLOOKUP(BY26,'x Malzemeler ve Özellikleri'!$O$2:$U$85,3,0)</f>
        <v>0.02</v>
      </c>
      <c r="BZ21">
        <f>VLOOKUP(BZ26,'x Malzemeler ve Özellikleri'!$O$2:$U$85,3,0)</f>
        <v>0.15</v>
      </c>
      <c r="CA21">
        <f>VLOOKUP(CA26,'x Malzemeler ve Özellikleri'!$O$2:$U$85,3,0)</f>
        <v>0.71499999999999997</v>
      </c>
      <c r="CB21">
        <f>VLOOKUP(CB26,'x Malzemeler ve Özellikleri'!$O$2:$U$85,3,0)</f>
        <v>2.5</v>
      </c>
      <c r="CC21">
        <f>VLOOKUP(CC26,'x Malzemeler ve Özellikleri'!$O$2:$U$85,3,0)</f>
        <v>0.02</v>
      </c>
      <c r="CD21">
        <f>VLOOKUP(CD26,'x Malzemeler ve Özellikleri'!$O$2:$U$85,3,0)</f>
        <v>0.01</v>
      </c>
      <c r="CE21">
        <f>VLOOKUP(CE26,'x Malzemeler ve Özellikleri'!$O$2:$U$85,3,0)</f>
        <v>0.02</v>
      </c>
      <c r="CF21">
        <f>VLOOKUP(CF26,'x Malzemeler ve Özellikleri'!$O$2:$U$85,3,0)</f>
        <v>0.18</v>
      </c>
      <c r="CG21">
        <f>VLOOKUP(CG26,'x Malzemeler ve Özellikleri'!$O$2:$U$85,3,0)</f>
        <v>1.6E-2</v>
      </c>
      <c r="CH21">
        <f>VLOOKUP(CH26,'x Malzemeler ve Özellikleri'!$O$2:$U$85,3,0)</f>
        <v>0.75600000000000001</v>
      </c>
      <c r="CI21">
        <f>VLOOKUP(CI26,'x Malzemeler ve Özellikleri'!$O$2:$U$85,3,0)</f>
        <v>0.378</v>
      </c>
      <c r="CJ21">
        <f>VLOOKUP(CJ26,'x Malzemeler ve Özellikleri'!$O$2:$U$85,3,0)</f>
        <v>8.0000000000000002E-3</v>
      </c>
      <c r="CK21">
        <f>VLOOKUP(CK26,'x Malzemeler ve Özellikleri'!$O$2:$U$85,3,0)</f>
        <v>7.0000000000000007E-2</v>
      </c>
      <c r="CL21">
        <f>VLOOKUP(CL26,'x Malzemeler ve Özellikleri'!$O$2:$U$85,3,0)</f>
        <v>7.6999999999999999E-2</v>
      </c>
      <c r="CM21">
        <f>VLOOKUP(CM26,'x Malzemeler ve Özellikleri'!$O$2:$U$85,3,0)</f>
        <v>1.3</v>
      </c>
      <c r="CN21">
        <f>VLOOKUP(CN26,'x Malzemeler ve Özellikleri'!$O$2:$U$85,3,0)</f>
        <v>1.02</v>
      </c>
      <c r="CO21">
        <f>VLOOKUP(CO26,'x Malzemeler ve Özellikleri'!$O$2:$U$85,3,0)</f>
        <v>1.02</v>
      </c>
      <c r="CP21">
        <f>VLOOKUP(CP26,'x Malzemeler ve Özellikleri'!$O$2:$U$85,3,0)</f>
        <v>1.02</v>
      </c>
      <c r="CQ21">
        <f>VLOOKUP(CQ26,'x Malzemeler ve Özellikleri'!$O$2:$U$85,3,0)</f>
        <v>2E-3</v>
      </c>
      <c r="CR21">
        <f>VLOOKUP(CR26,'x Malzemeler ve Özellikleri'!$O$2:$U$85,3,0)</f>
        <v>2.5</v>
      </c>
      <c r="CS21">
        <f>VLOOKUP(CS26,'x Malzemeler ve Özellikleri'!$O$2:$U$85,3,0)</f>
        <v>7.0000000000000007E-2</v>
      </c>
      <c r="CT21">
        <f>VLOOKUP(CT26,'x Malzemeler ve Özellikleri'!$O$2:$U$85,3,0)</f>
        <v>7.6999999999999999E-2</v>
      </c>
      <c r="CU21">
        <f>VLOOKUP(CU26,'x Malzemeler ve Özellikleri'!$O$2:$U$85,3,0)</f>
        <v>0.01</v>
      </c>
      <c r="CV21">
        <f>VLOOKUP(CV26,'x Malzemeler ve Özellikleri'!$O$2:$U$85,3,0)</f>
        <v>0.12</v>
      </c>
      <c r="CW21">
        <f>VLOOKUP(CW26,'x Malzemeler ve Özellikleri'!$O$2:$U$85,3,0)</f>
        <v>0.02</v>
      </c>
      <c r="CX21">
        <f>VLOOKUP(CX26,'x Malzemeler ve Özellikleri'!$O$2:$U$85,3,0)</f>
        <v>0.01</v>
      </c>
      <c r="CY21">
        <f>VLOOKUP(CY26,'x Malzemeler ve Özellikleri'!$O$2:$U$85,3,0)</f>
        <v>0.02</v>
      </c>
      <c r="CZ21">
        <f>VLOOKUP(CZ26,'x Malzemeler ve Özellikleri'!$O$2:$U$85,3,0)</f>
        <v>0.192</v>
      </c>
      <c r="DA21">
        <f>VLOOKUP(DA26,'x Malzemeler ve Özellikleri'!$O$2:$U$85,3,0)</f>
        <v>0.2</v>
      </c>
      <c r="DB21">
        <f>VLOOKUP(DB26,'x Malzemeler ve Özellikleri'!$O$2:$U$85,3,0)</f>
        <v>0.05</v>
      </c>
      <c r="DC21">
        <f>VLOOKUP(DC26,'x Malzemeler ve Özellikleri'!$O$2:$U$85,3,0)</f>
        <v>0.15</v>
      </c>
      <c r="DD21">
        <f>VLOOKUP(DD26,'x Malzemeler ve Özellikleri'!$O$2:$U$85,3,0)</f>
        <v>1</v>
      </c>
      <c r="DE21">
        <f>VLOOKUP(DE26,'x Malzemeler ve Özellikleri'!$O$2:$U$85,3,0)</f>
        <v>3.15</v>
      </c>
      <c r="DF21">
        <f>VLOOKUP(DF26,'x Malzemeler ve Özellikleri'!$O$2:$U$85,3,0)</f>
        <v>1.6E-2</v>
      </c>
      <c r="DG21">
        <f>VLOOKUP(DG26,'x Malzemeler ve Özellikleri'!$O$2:$U$85,3,0)</f>
        <v>0.8</v>
      </c>
      <c r="DH21">
        <f>VLOOKUP(DH26,'x Malzemeler ve Özellikleri'!$O$2:$U$85,3,0)</f>
        <v>0.5</v>
      </c>
      <c r="DI21">
        <f>VLOOKUP(DI26,'x Malzemeler ve Özellikleri'!$O$2:$U$85,3,0)</f>
        <v>0.1</v>
      </c>
      <c r="DJ21">
        <f>VLOOKUP(DJ26,'x Malzemeler ve Özellikleri'!$O$2:$U$85,3,0)</f>
        <v>8.0000000000000002E-3</v>
      </c>
      <c r="DK21">
        <f>VLOOKUP(DK26,'x Malzemeler ve Özellikleri'!$O$2:$U$85,3,0)</f>
        <v>2E-3</v>
      </c>
      <c r="DL21">
        <f>VLOOKUP(DL26,'x Malzemeler ve Özellikleri'!$O$2:$U$136,3,0)</f>
        <v>1.3</v>
      </c>
      <c r="DM21">
        <f>VLOOKUP(DM26,'x Malzemeler ve Özellikleri'!$O$2:$U$136,3,0)</f>
        <v>1.02</v>
      </c>
      <c r="DN21">
        <f>VLOOKUP(DN26,'x Malzemeler ve Özellikleri'!$O$2:$U$136,3,0)</f>
        <v>1.02</v>
      </c>
      <c r="DO21">
        <f>VLOOKUP(DO26,'x Malzemeler ve Özellikleri'!$O$2:$U$136,3,0)</f>
        <v>1.02</v>
      </c>
      <c r="DP21">
        <f>VLOOKUP(DP26,'x Malzemeler ve Özellikleri'!$O$2:$U$136,3,0)</f>
        <v>2E-3</v>
      </c>
      <c r="DQ21">
        <f>VLOOKUP(DQ26,'x Malzemeler ve Özellikleri'!$O$2:$U$136,3,0)</f>
        <v>2.5</v>
      </c>
      <c r="DR21">
        <f>VLOOKUP(DR26,'x Malzemeler ve Özellikleri'!$O$2:$U$136,3,0)</f>
        <v>0.01</v>
      </c>
      <c r="DS21">
        <f>VLOOKUP(DS26,'x Malzemeler ve Özellikleri'!$O$2:$U$136,3,0)</f>
        <v>0.12</v>
      </c>
      <c r="DT21">
        <f>VLOOKUP(DT26,'x Malzemeler ve Özellikleri'!$O$2:$U$136,3,0)</f>
        <v>0.02</v>
      </c>
      <c r="DU21">
        <f>VLOOKUP(DU26,'x Malzemeler ve Özellikleri'!$O$2:$U$136,3,0)</f>
        <v>0.01</v>
      </c>
      <c r="DV21">
        <f>VLOOKUP(DV26,'x Malzemeler ve Özellikleri'!$O$2:$U$136,3,0)</f>
        <v>0.02</v>
      </c>
      <c r="DW21">
        <f>VLOOKUP(DW26,'x Malzemeler ve Özellikleri'!$O$2:$U$136,3,0)</f>
        <v>0.192</v>
      </c>
      <c r="DX21">
        <f>VLOOKUP(DX26,'x Malzemeler ve Özellikleri'!$O$2:$U$136,3,0)</f>
        <v>0.2</v>
      </c>
      <c r="DY21">
        <f>VLOOKUP(DY26,'x Malzemeler ve Özellikleri'!$O$2:$U$136,3,0)</f>
        <v>0.05</v>
      </c>
      <c r="DZ21">
        <f>VLOOKUP(DZ26,'x Malzemeler ve Özellikleri'!$O$2:$U$136,3,0)</f>
        <v>0.15</v>
      </c>
      <c r="EA21">
        <f>VLOOKUP(EA26,'x Malzemeler ve Özellikleri'!$O$2:$U$136,3,0)</f>
        <v>1</v>
      </c>
      <c r="EB21">
        <f>VLOOKUP(EB26,'x Malzemeler ve Özellikleri'!$O$2:$U$136,3,0)</f>
        <v>3.15</v>
      </c>
      <c r="EC21">
        <f>VLOOKUP(EC26,'x Malzemeler ve Özellikleri'!$O$2:$U$136,3,0)</f>
        <v>1.6E-2</v>
      </c>
      <c r="ED21">
        <f>VLOOKUP(ED26,'x Malzemeler ve Özellikleri'!$O$2:$U$136,3,0)</f>
        <v>0.8</v>
      </c>
      <c r="EE21">
        <f>VLOOKUP(EE26,'x Malzemeler ve Özellikleri'!$O$2:$U$136,3,0)</f>
        <v>0.5</v>
      </c>
      <c r="EF21">
        <f>VLOOKUP(EF26,'x Malzemeler ve Özellikleri'!$O$2:$U$136,3,0)</f>
        <v>0.1</v>
      </c>
      <c r="EG21">
        <f>VLOOKUP(EG26,'x Malzemeler ve Özellikleri'!$O$2:$U$136,3,0)</f>
        <v>8.0000000000000002E-3</v>
      </c>
      <c r="EH21">
        <f>VLOOKUP(EH26,'x Malzemeler ve Özellikleri'!$O$2:$U$136,3,0)</f>
        <v>2E-3</v>
      </c>
      <c r="EI21">
        <f>VLOOKUP(EI26,'x Malzemeler ve Özellikleri'!$O$2:$U$136,3,0)</f>
        <v>0.3</v>
      </c>
      <c r="EJ21">
        <f>VLOOKUP(EJ26,'x Malzemeler ve Özellikleri'!$O$2:$U$136,3,0)</f>
        <v>0.2</v>
      </c>
      <c r="EK21">
        <f>VLOOKUP(EK26,'x Malzemeler ve Özellikleri'!$O$2:$U$136,3,0)</f>
        <v>1.6E-2</v>
      </c>
      <c r="EL21">
        <f>VLOOKUP(EL26,'x Malzemeler ve Özellikleri'!$O$2:$U$136,3,0)</f>
        <v>1</v>
      </c>
      <c r="EM21">
        <f>VLOOKUP(EM26,'x Malzemeler ve Özellikleri'!$O$2:$U$136,3,0)</f>
        <v>1.3</v>
      </c>
      <c r="EN21">
        <f>VLOOKUP(EN26,'x Malzemeler ve Özellikleri'!$O$2:$U$136,3,0)</f>
        <v>1.02</v>
      </c>
      <c r="EO21">
        <f>VLOOKUP(EO26,'x Malzemeler ve Özellikleri'!$O$2:$U$136,3,0)</f>
        <v>1.02</v>
      </c>
      <c r="EP21">
        <f>VLOOKUP(EP26,'x Malzemeler ve Özellikleri'!$O$2:$U$136,3,0)</f>
        <v>1.02</v>
      </c>
      <c r="EQ21">
        <f>VLOOKUP(EQ26,'x Malzemeler ve Özellikleri'!$O$2:$U$136,3,0)</f>
        <v>2.5</v>
      </c>
      <c r="ER21">
        <f>VLOOKUP(ER26,'x Malzemeler ve Özellikleri'!$O$2:$U$136,3,0)</f>
        <v>0.02</v>
      </c>
      <c r="ES21">
        <f>VLOOKUP(ES26,'x Malzemeler ve Özellikleri'!$O$2:$U$136,3,0)</f>
        <v>0.01</v>
      </c>
      <c r="ET21">
        <f>VLOOKUP(ET26,'x Malzemeler ve Özellikleri'!$O$2:$U$136,3,0)</f>
        <v>0.02</v>
      </c>
      <c r="EU21">
        <f>VLOOKUP(EU26,'x Malzemeler ve Özellikleri'!$O$2:$U$136,3,0)</f>
        <v>0.192</v>
      </c>
      <c r="EV21">
        <f>VLOOKUP(EV26,'x Malzemeler ve Özellikleri'!$O$2:$U$136,3,0)</f>
        <v>0.2</v>
      </c>
      <c r="EW21">
        <f>VLOOKUP(EW26,'x Malzemeler ve Özellikleri'!$O$2:$U$136,3,0)</f>
        <v>0.05</v>
      </c>
      <c r="EX21">
        <f>VLOOKUP(EX26,'x Malzemeler ve Özellikleri'!$O$2:$U$136,3,0)</f>
        <v>0.15</v>
      </c>
      <c r="EY21">
        <f>VLOOKUP(EY26,'x Malzemeler ve Özellikleri'!$O$2:$U$136,3,0)</f>
        <v>1</v>
      </c>
      <c r="EZ21">
        <f>VLOOKUP(EZ26,'x Malzemeler ve Özellikleri'!$O$2:$U$136,3,0)</f>
        <v>3.15</v>
      </c>
      <c r="FA21">
        <f>VLOOKUP(FA26,'x Malzemeler ve Özellikleri'!$O$2:$U$136,3,0)</f>
        <v>1.6E-2</v>
      </c>
      <c r="FB21">
        <f>VLOOKUP(FB26,'x Malzemeler ve Özellikleri'!$O$2:$U$136,3,0)</f>
        <v>7.6999999999999999E-2</v>
      </c>
      <c r="FC21">
        <f>VLOOKUP(FC26,'x Malzemeler ve Özellikleri'!$O$2:$U$136,3,0)</f>
        <v>7.0000000000000007E-2</v>
      </c>
      <c r="FD21">
        <f>VLOOKUP(FD26,'x Malzemeler ve Özellikleri'!$O$2:$U$136,3,0)</f>
        <v>0.08</v>
      </c>
      <c r="FE21">
        <f>VLOOKUP(FE26,'x Malzemeler ve Özellikleri'!$O$2:$U$136,3,0)</f>
        <v>0.08</v>
      </c>
      <c r="FF21">
        <f>VLOOKUP(FF26,'x Malzemeler ve Özellikleri'!$O$2:$U$136,3,0)</f>
        <v>0.1</v>
      </c>
      <c r="FG21">
        <f>VLOOKUP(FG26,'x Malzemeler ve Özellikleri'!$O$2:$U$136,3,0)</f>
        <v>0.1</v>
      </c>
      <c r="FH21">
        <f>VLOOKUP(FH26,'x Malzemeler ve Özellikleri'!$O$2:$U$136,3,0)</f>
        <v>0.2</v>
      </c>
    </row>
    <row r="22" spans="1:173">
      <c r="V22" t="s">
        <v>678</v>
      </c>
      <c r="W22">
        <v>0</v>
      </c>
      <c r="X22">
        <f>W27/2</f>
        <v>43</v>
      </c>
      <c r="AG22" t="s">
        <v>648</v>
      </c>
      <c r="AH22">
        <f>VLOOKUP(AH26,'x Malzemeler ve Özellikleri'!$O$2:$U$85,4,0)</f>
        <v>16.711199999999998</v>
      </c>
      <c r="AI22">
        <f>VLOOKUP(AI26,'x Malzemeler ve Özellikleri'!$O$2:$U$85,4,0)</f>
        <v>8.8439999999999994</v>
      </c>
      <c r="AJ22">
        <f>VLOOKUP(AJ26,'x Malzemeler ve Özellikleri'!$O$2:$U$85,4,0)</f>
        <v>19.338000000000001</v>
      </c>
      <c r="AK22">
        <f>VLOOKUP(AK26,'x Malzemeler ve Özellikleri'!$O$2:$U$85,4,0)</f>
        <v>3.4847999999999999</v>
      </c>
      <c r="AL22">
        <f>VLOOKUP(AL26,'x Malzemeler ve Özellikleri'!$O$2:$U$85,4,0)</f>
        <v>16.5</v>
      </c>
      <c r="AM22">
        <f>VLOOKUP(AM26,'x Malzemeler ve Özellikleri'!$O$2:$U$85,4,0)</f>
        <v>2.4604330708661419</v>
      </c>
      <c r="AN22">
        <f>VLOOKUP(AN26,'x Malzemeler ve Özellikleri'!$O$2:$U$85,4,0)</f>
        <v>7</v>
      </c>
      <c r="AO22">
        <f>VLOOKUP(AO26,'x Malzemeler ve Özellikleri'!$O$2:$U$85,4,0)</f>
        <v>2.2999999999999998</v>
      </c>
      <c r="AP22">
        <f>VLOOKUP(AP26,'x Malzemeler ve Özellikleri'!$O$2:$U$85,4,0)</f>
        <v>26.76</v>
      </c>
      <c r="AQ22">
        <f>VLOOKUP(AQ26,'x Malzemeler ve Özellikleri'!$O$2:$U$85,4,0)</f>
        <v>27.57</v>
      </c>
      <c r="AR22">
        <f>VLOOKUP(AR26,'x Malzemeler ve Özellikleri'!$O$2:$U$85,4,0)</f>
        <v>5.34</v>
      </c>
      <c r="AS22">
        <f>VLOOKUP(AS26,'x Malzemeler ve Özellikleri'!$O$2:$U$85,4,0)</f>
        <v>3.65</v>
      </c>
      <c r="AT22">
        <f>VLOOKUP(AT26,'x Malzemeler ve Özellikleri'!$O$2:$U$85,4,0)</f>
        <v>18.14</v>
      </c>
      <c r="AU22">
        <f>VLOOKUP(AU26,'x Malzemeler ve Özellikleri'!$O$2:$U$85,4,0)</f>
        <v>0.83</v>
      </c>
      <c r="AV22">
        <f>VLOOKUP(AV26,'x Malzemeler ve Özellikleri'!$O$2:$U$85,4,0)</f>
        <v>1.96</v>
      </c>
      <c r="AW22">
        <f>VLOOKUP(AW26,'x Malzemeler ve Özellikleri'!$O$2:$U$85,4,0)</f>
        <v>2</v>
      </c>
      <c r="AX22">
        <f>VLOOKUP(AX26,'x Malzemeler ve Özellikleri'!$O$2:$U$85,4,0)</f>
        <v>0.57999999999999996</v>
      </c>
      <c r="AY22">
        <f>VLOOKUP(AY26,'x Malzemeler ve Özellikleri'!$O$2:$U$85,4,0)</f>
        <v>1.61</v>
      </c>
      <c r="AZ22">
        <f>VLOOKUP(AZ26,'x Malzemeler ve Özellikleri'!$O$2:$U$85,4,0)</f>
        <v>0.2</v>
      </c>
      <c r="BA22">
        <f>VLOOKUP(BA26,'x Malzemeler ve Özellikleri'!$O$2:$U$85,4,0)</f>
        <v>0.11</v>
      </c>
      <c r="BB22">
        <f>VLOOKUP(BB26,'x Malzemeler ve Özellikleri'!$O$2:$U$85,4,0)</f>
        <v>9.5</v>
      </c>
      <c r="BC22">
        <f>VLOOKUP(BC26,'x Malzemeler ve Özellikleri'!$O$2:$U$85,4,0)</f>
        <v>1</v>
      </c>
      <c r="BD22">
        <f>VLOOKUP(BD26,'x Malzemeler ve Özellikleri'!$O$2:$U$85,4,0)</f>
        <v>2.0499999999999998</v>
      </c>
      <c r="BE22">
        <f>VLOOKUP(BE26,'x Malzemeler ve Özellikleri'!$O$2:$U$85,4,0)</f>
        <v>0</v>
      </c>
      <c r="BF22">
        <f>VLOOKUP(BF26,'x Malzemeler ve Özellikleri'!$O$2:$U$85,4,0)</f>
        <v>0</v>
      </c>
      <c r="BG22">
        <f>VLOOKUP(BG26,'x Malzemeler ve Özellikleri'!$O$2:$U$85,4,0)</f>
        <v>1</v>
      </c>
      <c r="BH22">
        <f>VLOOKUP(BH26,'x Malzemeler ve Özellikleri'!$O$2:$U$85,4,0)</f>
        <v>5.3940000000000001</v>
      </c>
      <c r="BI22">
        <f>VLOOKUP(BI26,'x Malzemeler ve Özellikleri'!$O$2:$U$85,4,0)</f>
        <v>0</v>
      </c>
      <c r="BJ22">
        <f>VLOOKUP(BJ26,'x Malzemeler ve Özellikleri'!$O$2:$U$85,4,0)</f>
        <v>8.0950000000000006</v>
      </c>
      <c r="BK22">
        <f>VLOOKUP(BK26,'x Malzemeler ve Özellikleri'!$O$2:$U$85,4,0)</f>
        <v>16.350000000000001</v>
      </c>
      <c r="BL22">
        <f>VLOOKUP(BL26,'x Malzemeler ve Özellikleri'!$O$2:$U$85,4,0)</f>
        <v>1.1299999999999999</v>
      </c>
      <c r="BM22">
        <f>VLOOKUP(BM26,'x Malzemeler ve Özellikleri'!$O$2:$U$85,4,0)</f>
        <v>0.81</v>
      </c>
      <c r="BN22">
        <f>VLOOKUP(BN26,'x Malzemeler ve Özellikleri'!$O$2:$U$85,4,0)</f>
        <v>11.78</v>
      </c>
      <c r="BO22">
        <f>VLOOKUP(BO26,'x Malzemeler ve Özellikleri'!$O$2:$U$85,4,0)</f>
        <v>0.3</v>
      </c>
      <c r="BP22">
        <f>VLOOKUP(BP26,'x Malzemeler ve Özellikleri'!$O$2:$U$85,4,0)</f>
        <v>4.3676929133858273</v>
      </c>
      <c r="BQ22">
        <f>VLOOKUP(BQ26,'x Malzemeler ve Özellikleri'!$O$2:$U$85,4,0)</f>
        <v>3.2664370078740164</v>
      </c>
      <c r="BR22">
        <f>VLOOKUP(BR26,'x Malzemeler ve Özellikleri'!$O$2:$U$85,4,0)</f>
        <v>3.2664370078740164</v>
      </c>
      <c r="BS22">
        <f>VLOOKUP(BS26,'x Malzemeler ve Özellikleri'!$O$2:$U$85,4,0)</f>
        <v>3.2664370078740164</v>
      </c>
      <c r="BT22">
        <f>VLOOKUP(BT26,'x Malzemeler ve Özellikleri'!$O$2:$U$85,4,0)</f>
        <v>2.9694881889763782</v>
      </c>
      <c r="BU22">
        <f>VLOOKUP(BU26,'x Malzemeler ve Özellikleri'!$O$2:$U$85,4,0)</f>
        <v>2</v>
      </c>
      <c r="BV22">
        <f>VLOOKUP(BV26,'x Malzemeler ve Özellikleri'!$O$2:$U$85,4,0)</f>
        <v>2.4604330708661419</v>
      </c>
      <c r="BW22">
        <f>VLOOKUP(BW26,'x Malzemeler ve Özellikleri'!$O$2:$U$85,4,0)</f>
        <v>1.3405118110236223</v>
      </c>
      <c r="BX22">
        <f>VLOOKUP(BX26,'x Malzemeler ve Özellikleri'!$O$2:$U$85,4,0)</f>
        <v>0.2</v>
      </c>
      <c r="BY22">
        <f>VLOOKUP(BY26,'x Malzemeler ve Özellikleri'!$O$2:$U$85,4,0)</f>
        <v>0.70419291338582679</v>
      </c>
      <c r="BZ22">
        <f>VLOOKUP(BZ26,'x Malzemeler ve Özellikleri'!$O$2:$U$85,4,0)</f>
        <v>0.76358267716535444</v>
      </c>
      <c r="CA22">
        <f>VLOOKUP(CA26,'x Malzemeler ve Özellikleri'!$O$2:$U$85,4,0)</f>
        <v>2.6691456692913391</v>
      </c>
      <c r="CB22">
        <f>VLOOKUP(CB26,'x Malzemeler ve Özellikleri'!$O$2:$U$85,4,0)</f>
        <v>2</v>
      </c>
      <c r="CC22">
        <f>VLOOKUP(CC26,'x Malzemeler ve Özellikleri'!$O$2:$U$85,4,0)</f>
        <v>1</v>
      </c>
      <c r="CD22">
        <f>VLOOKUP(CD26,'x Malzemeler ve Özellikleri'!$O$2:$U$85,4,0)</f>
        <v>5.0905511811023624E-2</v>
      </c>
      <c r="CE22">
        <f>VLOOKUP(CE26,'x Malzemeler ve Özellikleri'!$O$2:$U$85,4,0)</f>
        <v>7.874015748031496E-2</v>
      </c>
      <c r="CF22">
        <f>VLOOKUP(CF26,'x Malzemeler ve Özellikleri'!$O$2:$U$85,4,0)</f>
        <v>0.58541338582677171</v>
      </c>
      <c r="CG22">
        <f>VLOOKUP(CG26,'x Malzemeler ve Özellikleri'!$O$2:$U$85,4,0)</f>
        <v>0.41572834645669293</v>
      </c>
      <c r="CH22">
        <f>VLOOKUP(CH26,'x Malzemeler ve Özellikleri'!$O$2:$U$85,4,0)</f>
        <v>2.8222015748031501</v>
      </c>
      <c r="CI22">
        <f>VLOOKUP(CI26,'x Malzemeler ve Özellikleri'!$O$2:$U$85,4,0)</f>
        <v>1.4111007874015751</v>
      </c>
      <c r="CJ22">
        <f>VLOOKUP(CJ26,'x Malzemeler ve Özellikleri'!$O$2:$U$85,4,0)</f>
        <v>0.33937007874015751</v>
      </c>
      <c r="CK22">
        <f>VLOOKUP(CK26,'x Malzemeler ve Özellikleri'!$O$2:$U$85,4,0)</f>
        <v>0.78055118110236232</v>
      </c>
      <c r="CL22">
        <f>VLOOKUP(CL26,'x Malzemeler ve Özellikleri'!$O$2:$U$85,4,0)</f>
        <v>1.45</v>
      </c>
      <c r="CM22">
        <f>VLOOKUP(CM26,'x Malzemeler ve Özellikleri'!$O$2:$U$85,4,0)</f>
        <v>4.8529921259842528</v>
      </c>
      <c r="CN22">
        <f>VLOOKUP(CN26,'x Malzemeler ve Özellikleri'!$O$2:$U$85,4,0)</f>
        <v>3.8077322834645679</v>
      </c>
      <c r="CO22">
        <f>VLOOKUP(CO26,'x Malzemeler ve Özellikleri'!$O$2:$U$85,4,0)</f>
        <v>3.8077322834645679</v>
      </c>
      <c r="CP22">
        <f>VLOOKUP(CP26,'x Malzemeler ve Özellikleri'!$O$2:$U$85,4,0)</f>
        <v>3.8077322834645679</v>
      </c>
      <c r="CQ22">
        <f>VLOOKUP(CQ26,'x Malzemeler ve Özellikleri'!$O$2:$U$85,4,0)</f>
        <v>7.0000000000000007E-2</v>
      </c>
      <c r="CR22">
        <f>VLOOKUP(CR26,'x Malzemeler ve Özellikleri'!$O$2:$U$85,4,0)</f>
        <v>2.4604330708661419</v>
      </c>
      <c r="CS22">
        <f>VLOOKUP(CS26,'x Malzemeler ve Özellikleri'!$O$2:$U$85,4,0)</f>
        <v>0.86</v>
      </c>
      <c r="CT22">
        <f>VLOOKUP(CT26,'x Malzemeler ve Özellikleri'!$O$2:$U$85,4,0)</f>
        <v>0.5</v>
      </c>
      <c r="CU22">
        <f>VLOOKUP(CU26,'x Malzemeler ve Özellikleri'!$O$2:$U$85,4,0)</f>
        <v>1.1499999999999999</v>
      </c>
      <c r="CV22">
        <f>VLOOKUP(CV26,'x Malzemeler ve Özellikleri'!$O$2:$U$85,4,0)</f>
        <v>0.6</v>
      </c>
      <c r="CW22">
        <f>VLOOKUP(CW26,'x Malzemeler ve Özellikleri'!$O$2:$U$85,4,0)</f>
        <v>1</v>
      </c>
      <c r="CX22">
        <f>VLOOKUP(CX26,'x Malzemeler ve Özellikleri'!$O$2:$U$85,4,0)</f>
        <v>0.08</v>
      </c>
      <c r="CY22">
        <f>VLOOKUP(CY26,'x Malzemeler ve Özellikleri'!$O$2:$U$85,4,0)</f>
        <v>7.874015748031496E-2</v>
      </c>
      <c r="CZ22">
        <f>VLOOKUP(CZ26,'x Malzemeler ve Özellikleri'!$O$2:$U$85,4,0)</f>
        <v>4.5</v>
      </c>
      <c r="DA22">
        <f>VLOOKUP(DA26,'x Malzemeler ve Özellikleri'!$O$2:$U$85,4,0)</f>
        <v>1.43</v>
      </c>
      <c r="DB22">
        <f>VLOOKUP(DB26,'x Malzemeler ve Özellikleri'!$O$2:$U$85,4,0)</f>
        <v>0.99265748031496071</v>
      </c>
      <c r="DC22">
        <f>VLOOKUP(DC26,'x Malzemeler ve Özellikleri'!$O$2:$U$85,4,0)</f>
        <v>1</v>
      </c>
      <c r="DD22">
        <f>VLOOKUP(DD26,'x Malzemeler ve Özellikleri'!$O$2:$U$85,4,0)</f>
        <v>3.7330708661417331</v>
      </c>
      <c r="DE22">
        <f>VLOOKUP(DE26,'x Malzemeler ve Özellikleri'!$O$2:$U$85,4,0)</f>
        <v>3.6991338582677171</v>
      </c>
      <c r="DF22">
        <f>VLOOKUP(DF26,'x Malzemeler ve Özellikleri'!$O$2:$U$85,4,0)</f>
        <v>0.09</v>
      </c>
      <c r="DG22">
        <f>VLOOKUP(DG26,'x Malzemeler ve Özellikleri'!$O$2:$U$85,4,0)</f>
        <v>2.9864566929133867</v>
      </c>
      <c r="DH22">
        <f>VLOOKUP(DH26,'x Malzemeler ve Özellikleri'!$O$2:$U$85,4,0)</f>
        <v>1.8665354330708666</v>
      </c>
      <c r="DI22">
        <f>VLOOKUP(DI26,'x Malzemeler ve Özellikleri'!$O$2:$U$85,4,0)</f>
        <v>0.37330708661417333</v>
      </c>
      <c r="DJ22">
        <f>VLOOKUP(DJ26,'x Malzemeler ve Özellikleri'!$O$2:$U$85,4,0)</f>
        <v>0.08</v>
      </c>
      <c r="DK22">
        <f>VLOOKUP(DK26,'x Malzemeler ve Özellikleri'!$O$2:$U$85,4,0)</f>
        <v>0</v>
      </c>
      <c r="DL22">
        <f>VLOOKUP(DL26,'x Malzemeler ve Özellikleri'!$O$2:$U$136,4,0)</f>
        <v>4.8529921259842528</v>
      </c>
      <c r="DM22">
        <f>VLOOKUP(DM26,'x Malzemeler ve Özellikleri'!$O$2:$U$136,4,0)</f>
        <v>3.8077322834645679</v>
      </c>
      <c r="DN22">
        <f>VLOOKUP(DN26,'x Malzemeler ve Özellikleri'!$O$2:$U$136,4,0)</f>
        <v>3.8077322834645679</v>
      </c>
      <c r="DO22">
        <f>VLOOKUP(DO26,'x Malzemeler ve Özellikleri'!$O$2:$U$136,4,0)</f>
        <v>3.8077322834645679</v>
      </c>
      <c r="DP22">
        <f>VLOOKUP(DP26,'x Malzemeler ve Özellikleri'!$O$2:$U$136,4,0)</f>
        <v>0.2</v>
      </c>
      <c r="DQ22">
        <f>VLOOKUP(DQ26,'x Malzemeler ve Özellikleri'!$O$2:$U$136,4,0)</f>
        <v>2.4604330708661419</v>
      </c>
      <c r="DR22">
        <f>VLOOKUP(DR26,'x Malzemeler ve Özellikleri'!$O$2:$U$136,4,0)</f>
        <v>2</v>
      </c>
      <c r="DS22">
        <f>VLOOKUP(DS26,'x Malzemeler ve Özellikleri'!$O$2:$U$136,4,0)</f>
        <v>0.75</v>
      </c>
      <c r="DT22">
        <f>VLOOKUP(DT26,'x Malzemeler ve Özellikleri'!$O$2:$U$136,4,0)</f>
        <v>1</v>
      </c>
      <c r="DU22">
        <f>VLOOKUP(DU26,'x Malzemeler ve Özellikleri'!$O$2:$U$136,4,0)</f>
        <v>5.0905511811023624E-2</v>
      </c>
      <c r="DV22">
        <f>VLOOKUP(DV26,'x Malzemeler ve Özellikleri'!$O$2:$U$136,4,0)</f>
        <v>7.874015748031496E-2</v>
      </c>
      <c r="DW22">
        <f>VLOOKUP(DW26,'x Malzemeler ve Özellikleri'!$O$2:$U$136,4,0)</f>
        <v>5.2</v>
      </c>
      <c r="DX22">
        <f>VLOOKUP(DX26,'x Malzemeler ve Özellikleri'!$O$2:$U$136,4,0)</f>
        <v>1.43</v>
      </c>
      <c r="DY22">
        <f>VLOOKUP(DY26,'x Malzemeler ve Özellikleri'!$O$2:$U$136,4,0)</f>
        <v>1.0181102362204726</v>
      </c>
      <c r="DZ22">
        <f>VLOOKUP(DZ26,'x Malzemeler ve Özellikleri'!$O$2:$U$136,4,0)</f>
        <v>1.35</v>
      </c>
      <c r="EA22">
        <f>VLOOKUP(EA26,'x Malzemeler ve Özellikleri'!$O$2:$U$136,4,0)</f>
        <v>3.7330708661417331</v>
      </c>
      <c r="EB22">
        <f>VLOOKUP(EB26,'x Malzemeler ve Özellikleri'!$O$2:$U$136,4,0)</f>
        <v>3.8179133858267722</v>
      </c>
      <c r="EC22">
        <f>VLOOKUP(EC26,'x Malzemeler ve Özellikleri'!$O$2:$U$136,4,0)</f>
        <v>0.09</v>
      </c>
      <c r="ED22">
        <f>VLOOKUP(ED26,'x Malzemeler ve Özellikleri'!$O$2:$U$136,4,0)</f>
        <v>2.9864566929133867</v>
      </c>
      <c r="EE22">
        <f>VLOOKUP(EE26,'x Malzemeler ve Özellikleri'!$O$2:$U$136,4,0)</f>
        <v>1.8665354330708666</v>
      </c>
      <c r="EF22">
        <f>VLOOKUP(EF26,'x Malzemeler ve Özellikleri'!$O$2:$U$136,4,0)</f>
        <v>0.37330708661417333</v>
      </c>
      <c r="EG22">
        <f>VLOOKUP(EG26,'x Malzemeler ve Özellikleri'!$O$2:$U$136,4,0)</f>
        <v>0.08</v>
      </c>
      <c r="EH22">
        <f>VLOOKUP(EH26,'x Malzemeler ve Özellikleri'!$O$2:$U$136,4,0)</f>
        <v>0</v>
      </c>
      <c r="EI22">
        <f>VLOOKUP(EI26,'x Malzemeler ve Özellikleri'!$O$2:$U$136,4,0)</f>
        <v>8.6999999999999993</v>
      </c>
      <c r="EJ22">
        <f>VLOOKUP(EJ26,'x Malzemeler ve Özellikleri'!$O$2:$U$136,4,0)</f>
        <v>11.811023622047244</v>
      </c>
      <c r="EK22">
        <f>VLOOKUP(EK26,'x Malzemeler ve Özellikleri'!$O$2:$U$136,4,0)</f>
        <v>0.98425196850393704</v>
      </c>
      <c r="EL22">
        <f>VLOOKUP(EL26,'x Malzemeler ve Özellikleri'!$O$2:$U$136,4,0)</f>
        <v>15.86</v>
      </c>
      <c r="EM22">
        <f>VLOOKUP(EM26,'x Malzemeler ve Özellikleri'!$O$2:$U$136,4,0)</f>
        <v>4.8529921259842528</v>
      </c>
      <c r="EN22">
        <f>VLOOKUP(EN26,'x Malzemeler ve Özellikleri'!$O$2:$U$136,4,0)</f>
        <v>3.8077322834645679</v>
      </c>
      <c r="EO22">
        <f>VLOOKUP(EO26,'x Malzemeler ve Özellikleri'!$O$2:$U$136,4,0)</f>
        <v>3.8077322834645679</v>
      </c>
      <c r="EP22">
        <f>VLOOKUP(EP26,'x Malzemeler ve Özellikleri'!$O$2:$U$136,4,0)</f>
        <v>3.8077322834645679</v>
      </c>
      <c r="EQ22">
        <f>VLOOKUP(EQ26,'x Malzemeler ve Özellikleri'!$O$2:$U$136,4,0)</f>
        <v>2.4604330708661419</v>
      </c>
      <c r="ER22">
        <f>VLOOKUP(ER26,'x Malzemeler ve Özellikleri'!$O$2:$U$136,4,0)</f>
        <v>1</v>
      </c>
      <c r="ES22">
        <f>VLOOKUP(ES26,'x Malzemeler ve Özellikleri'!$O$2:$U$136,4,0)</f>
        <v>5.0905511811023624E-2</v>
      </c>
      <c r="ET22">
        <f>VLOOKUP(ET26,'x Malzemeler ve Özellikleri'!$O$2:$U$136,4,0)</f>
        <v>7.874015748031496E-2</v>
      </c>
      <c r="EU22">
        <f>VLOOKUP(EU26,'x Malzemeler ve Özellikleri'!$O$2:$U$136,4,0)</f>
        <v>5.2</v>
      </c>
      <c r="EV22">
        <f>VLOOKUP(EV26,'x Malzemeler ve Özellikleri'!$O$2:$U$136,4,0)</f>
        <v>1.43</v>
      </c>
      <c r="EW22">
        <f>VLOOKUP(EW26,'x Malzemeler ve Özellikleri'!$O$2:$U$136,4,0)</f>
        <v>1.0181102362204726</v>
      </c>
      <c r="EX22">
        <f>VLOOKUP(EX26,'x Malzemeler ve Özellikleri'!$O$2:$U$136,4,0)</f>
        <v>1.35</v>
      </c>
      <c r="EY22">
        <f>VLOOKUP(EY26,'x Malzemeler ve Özellikleri'!$O$2:$U$136,4,0)</f>
        <v>3.7330708661417331</v>
      </c>
      <c r="EZ22">
        <f>VLOOKUP(EZ26,'x Malzemeler ve Özellikleri'!$O$2:$U$136,4,0)</f>
        <v>3.8179133858267722</v>
      </c>
      <c r="FA22">
        <f>VLOOKUP(FA26,'x Malzemeler ve Özellikleri'!$O$2:$U$136,4,0)</f>
        <v>0.09</v>
      </c>
      <c r="FB22">
        <f>VLOOKUP(FB26,'x Malzemeler ve Özellikleri'!$O$2:$U$136,4,0)</f>
        <v>1.45</v>
      </c>
      <c r="FC22">
        <f>VLOOKUP(FC26,'x Malzemeler ve Özellikleri'!$O$2:$U$136,4,0)</f>
        <v>0.86</v>
      </c>
      <c r="FD22">
        <f>VLOOKUP(FD26,'x Malzemeler ve Özellikleri'!$O$2:$U$136,4,0)</f>
        <v>6.1023622047244102</v>
      </c>
      <c r="FE22">
        <f>VLOOKUP(FE26,'x Malzemeler ve Özellikleri'!$O$2:$U$136,4,0)</f>
        <v>5.3149606299212602</v>
      </c>
      <c r="FF22">
        <f>VLOOKUP(FF26,'x Malzemeler ve Özellikleri'!$O$2:$U$136,4,0)</f>
        <v>1.0826771653543308</v>
      </c>
      <c r="FG22">
        <f>VLOOKUP(FG26,'x Malzemeler ve Özellikleri'!$O$2:$U$136,4,0)</f>
        <v>0.6889763779527559</v>
      </c>
      <c r="FH22">
        <f>VLOOKUP(FH26,'x Malzemeler ve Özellikleri'!$O$2:$U$136,4,0)</f>
        <v>0.18665354330708664</v>
      </c>
    </row>
    <row r="23" spans="1:173">
      <c r="V23" t="s">
        <v>613</v>
      </c>
      <c r="W23">
        <v>0</v>
      </c>
      <c r="X23">
        <f>W27</f>
        <v>86</v>
      </c>
      <c r="AG23" t="s">
        <v>649</v>
      </c>
      <c r="AH23">
        <f>VLOOKUP(AH26,'x Malzemeler ve Özellikleri'!$O$2:$U$85,7,0)</f>
        <v>-15</v>
      </c>
      <c r="AI23">
        <f>VLOOKUP(AI26,'x Malzemeler ve Özellikleri'!$O$2:$U$85,7,0)</f>
        <v>-15</v>
      </c>
      <c r="AJ23">
        <f>VLOOKUP(AJ26,'x Malzemeler ve Özellikleri'!$O$2:$U$85,7,0)</f>
        <v>-155</v>
      </c>
      <c r="AK23">
        <f>VLOOKUP(AK26,'x Malzemeler ve Özellikleri'!$O$2:$U$85,7,0)</f>
        <v>-155</v>
      </c>
      <c r="AL23">
        <f>VLOOKUP(AL26,'x Malzemeler ve Özellikleri'!$O$2:$U$85,7,0)</f>
        <v>-210</v>
      </c>
      <c r="AM23">
        <f>VLOOKUP(AM26,'x Malzemeler ve Özellikleri'!$O$2:$U$85,7,0)</f>
        <v>-183</v>
      </c>
      <c r="AN23">
        <f>VLOOKUP(AN26,'x Malzemeler ve Özellikleri'!$O$2:$U$85,7,0)</f>
        <v>-183</v>
      </c>
      <c r="AO23">
        <f>VLOOKUP(AO26,'x Malzemeler ve Özellikleri'!$O$2:$U$85,7,0)</f>
        <v>-205</v>
      </c>
      <c r="AP23">
        <f>VLOOKUP(AP26,'x Malzemeler ve Özellikleri'!$O$2:$U$85,7,0)</f>
        <v>1</v>
      </c>
      <c r="AQ23">
        <f>VLOOKUP(AQ26,'x Malzemeler ve Özellikleri'!$O$2:$U$85,7,0)</f>
        <v>1</v>
      </c>
      <c r="AR23">
        <f>VLOOKUP(AR26,'x Malzemeler ve Özellikleri'!$O$2:$U$85,7,0)</f>
        <v>1</v>
      </c>
      <c r="AS23">
        <f>VLOOKUP(AS26,'x Malzemeler ve Özellikleri'!$O$2:$U$85,7,0)</f>
        <v>1</v>
      </c>
      <c r="AT23">
        <f>VLOOKUP(AT26,'x Malzemeler ve Özellikleri'!$O$2:$U$85,7,0)</f>
        <v>1</v>
      </c>
      <c r="AU23">
        <f>VLOOKUP(AU26,'x Malzemeler ve Özellikleri'!$O$2:$U$85,7,0)</f>
        <v>1</v>
      </c>
      <c r="AV23">
        <f>VLOOKUP(AV26,'x Malzemeler ve Özellikleri'!$O$2:$U$85,7,0)</f>
        <v>4</v>
      </c>
      <c r="AW23">
        <f>VLOOKUP(AW26,'x Malzemeler ve Özellikleri'!$O$2:$U$85,7,0)</f>
        <v>150</v>
      </c>
      <c r="AX23">
        <f>VLOOKUP(AX26,'x Malzemeler ve Özellikleri'!$O$2:$U$85,7,0)</f>
        <v>1</v>
      </c>
      <c r="AY23">
        <f>VLOOKUP(AY26,'x Malzemeler ve Özellikleri'!$O$2:$U$85,7,0)</f>
        <v>1</v>
      </c>
      <c r="AZ23" t="str">
        <f>VLOOKUP(AZ26,'x Malzemeler ve Özellikleri'!$O$2:$U$85,7,0)</f>
        <v>/550</v>
      </c>
      <c r="BA23" t="str">
        <f>VLOOKUP(BA26,'x Malzemeler ve Özellikleri'!$O$2:$U$85,7,0)</f>
        <v>*2)-155-183</v>
      </c>
      <c r="BB23">
        <f>VLOOKUP(BB26,'x Malzemeler ve Özellikleri'!$O$2:$U$85,7,0)</f>
        <v>2</v>
      </c>
      <c r="BC23">
        <f>VLOOKUP(BC26,'x Malzemeler ve Özellikleri'!$O$2:$U$85,7,0)</f>
        <v>1</v>
      </c>
      <c r="BD23">
        <f>VLOOKUP(BD26,'x Malzemeler ve Özellikleri'!$O$2:$U$85,7,0)</f>
        <v>2</v>
      </c>
      <c r="BE23">
        <f>VLOOKUP(BE26,'x Malzemeler ve Özellikleri'!$O$2:$U$85,7,0)</f>
        <v>0</v>
      </c>
      <c r="BF23">
        <f>VLOOKUP(BF26,'x Malzemeler ve Özellikleri'!$O$2:$U$85,7,0)</f>
        <v>0</v>
      </c>
      <c r="BG23">
        <f>VLOOKUP(BG26,'x Malzemeler ve Özellikleri'!$O$2:$U$85,7,0)</f>
        <v>0</v>
      </c>
      <c r="BH23">
        <f>VLOOKUP(BH26,'x Malzemeler ve Özellikleri'!$O$2:$U$85,7,0)</f>
        <v>1</v>
      </c>
      <c r="BI23">
        <f>VLOOKUP(BI26,'x Malzemeler ve Özellikleri'!$O$2:$U$85,7,0)</f>
        <v>0</v>
      </c>
      <c r="BJ23">
        <f>VLOOKUP(BJ26,'x Malzemeler ve Özellikleri'!$O$2:$U$85,7,0)</f>
        <v>2</v>
      </c>
      <c r="BK23">
        <f>VLOOKUP(BK26,'x Malzemeler ve Özellikleri'!$O$2:$U$85,7,0)</f>
        <v>1</v>
      </c>
      <c r="BL23">
        <f>VLOOKUP(BL26,'x Malzemeler ve Özellikleri'!$O$2:$U$85,7,0)</f>
        <v>1</v>
      </c>
      <c r="BM23">
        <f>VLOOKUP(BM26,'x Malzemeler ve Özellikleri'!$O$2:$U$85,7,0)</f>
        <v>2</v>
      </c>
      <c r="BN23">
        <f>VLOOKUP(BN26,'x Malzemeler ve Özellikleri'!$O$2:$U$85,7,0)</f>
        <v>2</v>
      </c>
      <c r="BO23" t="str">
        <f>VLOOKUP(BO26,'x Malzemeler ve Özellikleri'!$O$2:$U$85,7,0)</f>
        <v>2*(2h+2g)</v>
      </c>
      <c r="BP23">
        <f>VLOOKUP(BP26,'x Malzemeler ve Özellikleri'!$O$2:$U$85,7,0)</f>
        <v>-8</v>
      </c>
      <c r="BQ23">
        <f>VLOOKUP(BQ26,'x Malzemeler ve Özellikleri'!$O$2:$U$85,7,0)</f>
        <v>-8</v>
      </c>
      <c r="BR23">
        <f>VLOOKUP(BR26,'x Malzemeler ve Özellikleri'!$O$2:$U$85,7,0)</f>
        <v>-8</v>
      </c>
      <c r="BS23">
        <f>VLOOKUP(BS26,'x Malzemeler ve Özellikleri'!$O$2:$U$85,7,0)</f>
        <v>-8</v>
      </c>
      <c r="BT23">
        <f>VLOOKUP(BT26,'x Malzemeler ve Özellikleri'!$O$2:$U$85,7,0)</f>
        <v>1</v>
      </c>
      <c r="BU23">
        <f>VLOOKUP(BU26,'x Malzemeler ve Özellikleri'!$O$2:$U$85,7,0)</f>
        <v>195</v>
      </c>
      <c r="BV23">
        <f>VLOOKUP(BV26,'x Malzemeler ve Özellikleri'!$O$2:$U$85,7,0)</f>
        <v>-120</v>
      </c>
      <c r="BW23">
        <f>VLOOKUP(BW26,'x Malzemeler ve Özellikleri'!$O$2:$U$85,7,0)</f>
        <v>1</v>
      </c>
      <c r="BX23" t="str">
        <f>VLOOKUP(BX26,'x Malzemeler ve Özellikleri'!$O$2:$U$85,7,0)</f>
        <v>/550</v>
      </c>
      <c r="BY23">
        <f>VLOOKUP(BY26,'x Malzemeler ve Özellikleri'!$O$2:$U$85,7,0)</f>
        <v>1</v>
      </c>
      <c r="BZ23">
        <f>VLOOKUP(BZ26,'x Malzemeler ve Özellikleri'!$O$2:$U$85,7,0)</f>
        <v>1</v>
      </c>
      <c r="CA23">
        <f>VLOOKUP(CA26,'x Malzemeler ve Özellikleri'!$O$2:$U$85,7,0)</f>
        <v>-122</v>
      </c>
      <c r="CB23">
        <f>VLOOKUP(CB26,'x Malzemeler ve Özellikleri'!$O$2:$U$85,7,0)</f>
        <v>-124</v>
      </c>
      <c r="CC23">
        <f>VLOOKUP(CC26,'x Malzemeler ve Özellikleri'!$O$2:$U$85,7,0)</f>
        <v>1</v>
      </c>
      <c r="CD23">
        <f>VLOOKUP(CD26,'x Malzemeler ve Özellikleri'!$O$2:$U$85,7,0)</f>
        <v>-122</v>
      </c>
      <c r="CE23" t="str">
        <f>VLOOKUP(CE26,'x Malzemeler ve Özellikleri'!$O$2:$U$85,7,0)</f>
        <v>*2)-120-122</v>
      </c>
      <c r="CF23">
        <f>VLOOKUP(CF26,'x Malzemeler ve Özellikleri'!$O$2:$U$85,7,0)</f>
        <v>-103</v>
      </c>
      <c r="CG23">
        <f>VLOOKUP(CG26,'x Malzemeler ve Özellikleri'!$O$2:$U$85,7,0)</f>
        <v>2</v>
      </c>
      <c r="CH23">
        <f>VLOOKUP(CH26,'x Malzemeler ve Özellikleri'!$O$2:$U$85,7,0)</f>
        <v>-108</v>
      </c>
      <c r="CI23">
        <f>VLOOKUP(CI26,'x Malzemeler ve Özellikleri'!$O$2:$U$85,7,0)</f>
        <v>-108</v>
      </c>
      <c r="CJ23">
        <f>VLOOKUP(CJ26,'x Malzemeler ve Özellikleri'!$O$2:$U$85,7,0)</f>
        <v>1</v>
      </c>
      <c r="CK23">
        <f>VLOOKUP(CK26,'x Malzemeler ve Özellikleri'!$O$2:$U$85,7,0)</f>
        <v>2</v>
      </c>
      <c r="CL23">
        <f>VLOOKUP(CL26,'x Malzemeler ve Özellikleri'!$O$2:$U$85,7,0)</f>
        <v>1</v>
      </c>
      <c r="CM23">
        <f>VLOOKUP(CM26,'x Malzemeler ve Özellikleri'!$O$2:$U$85,7,0)</f>
        <v>-8</v>
      </c>
      <c r="CN23">
        <f>VLOOKUP(CN26,'x Malzemeler ve Özellikleri'!$O$2:$U$85,7,0)</f>
        <v>-8</v>
      </c>
      <c r="CO23">
        <f>VLOOKUP(CO26,'x Malzemeler ve Özellikleri'!$O$2:$U$85,7,0)</f>
        <v>-8</v>
      </c>
      <c r="CP23">
        <f>VLOOKUP(CP26,'x Malzemeler ve Özellikleri'!$O$2:$U$85,7,0)</f>
        <v>-8</v>
      </c>
      <c r="CQ23" t="str">
        <f>VLOOKUP(CQ26,'x Malzemeler ve Özellikleri'!$O$2:$U$85,7,0)</f>
        <v>/550</v>
      </c>
      <c r="CR23">
        <f>VLOOKUP(CR26,'x Malzemeler ve Özellikleri'!$O$2:$U$85,7,0)</f>
        <v>-108</v>
      </c>
      <c r="CS23">
        <f>VLOOKUP(CS26,'x Malzemeler ve Özellikleri'!$O$2:$U$85,7,0)</f>
        <v>1</v>
      </c>
      <c r="CT23">
        <f>VLOOKUP(CT26,'x Malzemeler ve Özellikleri'!$O$2:$U$85,7,0)</f>
        <v>1</v>
      </c>
      <c r="CU23">
        <f>VLOOKUP(CU26,'x Malzemeler ve Özellikleri'!$O$2:$U$85,7,0)</f>
        <v>190</v>
      </c>
      <c r="CV23">
        <f>VLOOKUP(CV26,'x Malzemeler ve Özellikleri'!$O$2:$U$85,7,0)</f>
        <v>-120</v>
      </c>
      <c r="CW23">
        <f>VLOOKUP(CW26,'x Malzemeler ve Özellikleri'!$O$2:$U$85,7,0)</f>
        <v>1</v>
      </c>
      <c r="CX23">
        <f>VLOOKUP(CX26,'x Malzemeler ve Özellikleri'!$O$2:$U$85,7,0)</f>
        <v>-112</v>
      </c>
      <c r="CY23" t="str">
        <f>VLOOKUP(CY26,'x Malzemeler ve Özellikleri'!$O$2:$U$85,7,0)</f>
        <v>*2)-112-108</v>
      </c>
      <c r="CZ23">
        <f>VLOOKUP(CZ26,'x Malzemeler ve Özellikleri'!$O$2:$U$85,7,0)</f>
        <v>1</v>
      </c>
      <c r="DA23">
        <f>VLOOKUP(DA26,'x Malzemeler ve Özellikleri'!$O$2:$U$85,7,0)</f>
        <v>1</v>
      </c>
      <c r="DB23">
        <f>VLOOKUP(DB26,'x Malzemeler ve Özellikleri'!$O$2:$U$85,7,0)</f>
        <v>1</v>
      </c>
      <c r="DC23">
        <f>VLOOKUP(DC26,'x Malzemeler ve Özellikleri'!$O$2:$U$85,7,0)</f>
        <v>2</v>
      </c>
      <c r="DD23">
        <f>VLOOKUP(DD26,'x Malzemeler ve Özellikleri'!$O$2:$U$85,7,0)</f>
        <v>-112</v>
      </c>
      <c r="DE23">
        <f>VLOOKUP(DE26,'x Malzemeler ve Özellikleri'!$O$2:$U$85,7,0)</f>
        <v>-115</v>
      </c>
      <c r="DF23">
        <f>VLOOKUP(DF26,'x Malzemeler ve Özellikleri'!$O$2:$U$85,7,0)</f>
        <v>4</v>
      </c>
      <c r="DG23">
        <f>VLOOKUP(DG26,'x Malzemeler ve Özellikleri'!$O$2:$U$85,7,0)</f>
        <v>-115</v>
      </c>
      <c r="DH23">
        <f>VLOOKUP(DH26,'x Malzemeler ve Özellikleri'!$O$2:$U$85,7,0)</f>
        <v>-115</v>
      </c>
      <c r="DI23">
        <f>VLOOKUP(DI26,'x Malzemeler ve Özellikleri'!$O$2:$U$85,7,0)</f>
        <v>-118</v>
      </c>
      <c r="DJ23">
        <f>VLOOKUP(DJ26,'x Malzemeler ve Özellikleri'!$O$2:$U$85,7,0)</f>
        <v>2</v>
      </c>
      <c r="DK23">
        <f>VLOOKUP(DK26,'x Malzemeler ve Özellikleri'!$O$2:$U$85,7,0)</f>
        <v>2</v>
      </c>
      <c r="DL23">
        <f>VLOOKUP(DL26,'x Malzemeler ve Özellikleri'!$O$2:$U$136,7,0)</f>
        <v>-8</v>
      </c>
      <c r="DM23">
        <f>VLOOKUP(DM26,'x Malzemeler ve Özellikleri'!$O$2:$U$136,7,0)</f>
        <v>-8</v>
      </c>
      <c r="DN23">
        <f>VLOOKUP(DN26,'x Malzemeler ve Özellikleri'!$O$2:$U$136,7,0)</f>
        <v>-8</v>
      </c>
      <c r="DO23">
        <f>VLOOKUP(DO26,'x Malzemeler ve Özellikleri'!$O$2:$U$136,7,0)</f>
        <v>-8</v>
      </c>
      <c r="DP23" t="str">
        <f>VLOOKUP(DP26,'x Malzemeler ve Özellikleri'!$O$2:$U$136,7,0)</f>
        <v>/550</v>
      </c>
      <c r="DQ23">
        <f>VLOOKUP(DQ26,'x Malzemeler ve Özellikleri'!$O$2:$U$136,7,0)</f>
        <v>-108</v>
      </c>
      <c r="DR23">
        <f>VLOOKUP(DR26,'x Malzemeler ve Özellikleri'!$O$2:$U$136,7,0)</f>
        <v>190</v>
      </c>
      <c r="DS23">
        <f>VLOOKUP(DS26,'x Malzemeler ve Özellikleri'!$O$2:$U$136,7,0)</f>
        <v>-120</v>
      </c>
      <c r="DT23">
        <f>VLOOKUP(DT26,'x Malzemeler ve Özellikleri'!$O$2:$U$136,7,0)</f>
        <v>1</v>
      </c>
      <c r="DU23">
        <f>VLOOKUP(DU26,'x Malzemeler ve Özellikleri'!$O$2:$U$136,7,0)</f>
        <v>-112</v>
      </c>
      <c r="DV23" t="str">
        <f>VLOOKUP(DV26,'x Malzemeler ve Özellikleri'!$O$2:$U$136,7,0)</f>
        <v>*2)-112-108</v>
      </c>
      <c r="DW23">
        <f>VLOOKUP(DW26,'x Malzemeler ve Özellikleri'!$O$2:$U$136,7,0)</f>
        <v>1</v>
      </c>
      <c r="DX23">
        <f>VLOOKUP(DX26,'x Malzemeler ve Özellikleri'!$O$2:$U$136,7,0)</f>
        <v>1</v>
      </c>
      <c r="DY23">
        <f>VLOOKUP(DY26,'x Malzemeler ve Özellikleri'!$O$2:$U$136,7,0)</f>
        <v>1</v>
      </c>
      <c r="DZ23">
        <f>VLOOKUP(DZ26,'x Malzemeler ve Özellikleri'!$O$2:$U$136,7,0)</f>
        <v>2</v>
      </c>
      <c r="EA23">
        <f>VLOOKUP(EA26,'x Malzemeler ve Özellikleri'!$O$2:$U$136,7,0)</f>
        <v>-112</v>
      </c>
      <c r="EB23">
        <f>VLOOKUP(EB26,'x Malzemeler ve Özellikleri'!$O$2:$U$136,7,0)</f>
        <v>-115</v>
      </c>
      <c r="EC23">
        <f>VLOOKUP(EC26,'x Malzemeler ve Özellikleri'!$O$2:$U$136,7,0)</f>
        <v>4</v>
      </c>
      <c r="ED23">
        <f>VLOOKUP(ED26,'x Malzemeler ve Özellikleri'!$O$2:$U$136,7,0)</f>
        <v>-115</v>
      </c>
      <c r="EE23">
        <f>VLOOKUP(EE26,'x Malzemeler ve Özellikleri'!$O$2:$U$136,7,0)</f>
        <v>-115</v>
      </c>
      <c r="EF23">
        <f>VLOOKUP(EF26,'x Malzemeler ve Özellikleri'!$O$2:$U$136,7,0)</f>
        <v>-118</v>
      </c>
      <c r="EG23">
        <f>VLOOKUP(EG26,'x Malzemeler ve Özellikleri'!$O$2:$U$136,7,0)</f>
        <v>2</v>
      </c>
      <c r="EH23">
        <f>VLOOKUP(EH26,'x Malzemeler ve Özellikleri'!$O$2:$U$136,7,0)</f>
        <v>2</v>
      </c>
      <c r="EI23">
        <f>VLOOKUP(EI26,'x Malzemeler ve Özellikleri'!$O$2:$U$136,7,0)</f>
        <v>1</v>
      </c>
      <c r="EJ23">
        <f>VLOOKUP(EJ26,'x Malzemeler ve Özellikleri'!$O$2:$U$136,7,0)</f>
        <v>1</v>
      </c>
      <c r="EK23">
        <f>VLOOKUP(EK26,'x Malzemeler ve Özellikleri'!$O$2:$U$136,7,0)</f>
        <v>1</v>
      </c>
      <c r="EL23">
        <f>VLOOKUP(EL26,'x Malzemeler ve Özellikleri'!$O$2:$U$136,7,0)</f>
        <v>1</v>
      </c>
      <c r="EM23">
        <f>VLOOKUP(EM26,'x Malzemeler ve Özellikleri'!$O$2:$U$136,7,0)</f>
        <v>-8</v>
      </c>
      <c r="EN23">
        <f>VLOOKUP(EN26,'x Malzemeler ve Özellikleri'!$O$2:$U$136,7,0)</f>
        <v>-8</v>
      </c>
      <c r="EO23">
        <f>VLOOKUP(EO26,'x Malzemeler ve Özellikleri'!$O$2:$U$136,7,0)</f>
        <v>-8</v>
      </c>
      <c r="EP23">
        <f>VLOOKUP(EP26,'x Malzemeler ve Özellikleri'!$O$2:$U$136,7,0)</f>
        <v>-8</v>
      </c>
      <c r="EQ23">
        <f>VLOOKUP(EQ26,'x Malzemeler ve Özellikleri'!$O$2:$U$136,7,0)</f>
        <v>-105</v>
      </c>
      <c r="ER23">
        <f>VLOOKUP(ER26,'x Malzemeler ve Özellikleri'!$O$2:$U$136,7,0)</f>
        <v>1</v>
      </c>
      <c r="ES23">
        <f>VLOOKUP(ES26,'x Malzemeler ve Özellikleri'!$O$2:$U$136,7,0)</f>
        <v>-112</v>
      </c>
      <c r="ET23" t="str">
        <f>VLOOKUP(ET26,'x Malzemeler ve Özellikleri'!$O$2:$U$136,7,0)</f>
        <v>*2)-112-108</v>
      </c>
      <c r="EU23">
        <f>VLOOKUP(EU26,'x Malzemeler ve Özellikleri'!$O$2:$U$136,7,0)</f>
        <v>1</v>
      </c>
      <c r="EV23">
        <f>VLOOKUP(EV26,'x Malzemeler ve Özellikleri'!$O$2:$U$136,7,0)</f>
        <v>1</v>
      </c>
      <c r="EW23">
        <f>VLOOKUP(EW26,'x Malzemeler ve Özellikleri'!$O$2:$U$136,7,0)</f>
        <v>1</v>
      </c>
      <c r="EX23">
        <f>VLOOKUP(EX26,'x Malzemeler ve Özellikleri'!$O$2:$U$136,7,0)</f>
        <v>2</v>
      </c>
      <c r="EY23">
        <f>VLOOKUP(EY26,'x Malzemeler ve Özellikleri'!$O$2:$U$136,7,0)</f>
        <v>-55</v>
      </c>
      <c r="EZ23">
        <f>VLOOKUP(EZ26,'x Malzemeler ve Özellikleri'!$O$2:$U$136,7,0)</f>
        <v>-58</v>
      </c>
      <c r="FA23">
        <f>VLOOKUP(FA26,'x Malzemeler ve Özellikleri'!$O$2:$U$136,7,0)</f>
        <v>4</v>
      </c>
      <c r="FB23">
        <f>VLOOKUP(FB26,'x Malzemeler ve Özellikleri'!$O$2:$U$136,7,0)</f>
        <v>1</v>
      </c>
      <c r="FC23">
        <f>VLOOKUP(FC26,'x Malzemeler ve Özellikleri'!$O$2:$U$136,7,0)</f>
        <v>1</v>
      </c>
      <c r="FD23">
        <f>VLOOKUP(FD26,'x Malzemeler ve Özellikleri'!$O$2:$U$136,7,0)</f>
        <v>2</v>
      </c>
      <c r="FE23">
        <f>VLOOKUP(FE26,'x Malzemeler ve Özellikleri'!$O$2:$U$136,7,0)</f>
        <v>2</v>
      </c>
      <c r="FF23">
        <f>VLOOKUP(FF26,'x Malzemeler ve Özellikleri'!$O$2:$U$136,7,0)</f>
        <v>2</v>
      </c>
      <c r="FG23">
        <f>VLOOKUP(FG26,'x Malzemeler ve Özellikleri'!$O$2:$U$136,7,0)</f>
        <v>2</v>
      </c>
      <c r="FH23">
        <f>VLOOKUP(FH26,'x Malzemeler ve Özellikleri'!$O$2:$U$136,7,0)</f>
        <v>0</v>
      </c>
    </row>
    <row r="24" spans="1:173">
      <c r="V24" t="s">
        <v>804</v>
      </c>
      <c r="W24">
        <f>V27</f>
        <v>110</v>
      </c>
      <c r="X24">
        <v>43</v>
      </c>
      <c r="AG24" t="s">
        <v>651</v>
      </c>
      <c r="AH24" t="str">
        <f>VLOOKUP(AH26,'x Malzemeler ve Özellikleri'!$O$2:$U$85,6,0)</f>
        <v>GENİŞLİK</v>
      </c>
      <c r="AI24" t="str">
        <f>VLOOKUP(AI26,'x Malzemeler ve Özellikleri'!$O$2:$U$85,6,0)</f>
        <v>GENİŞLİK</v>
      </c>
      <c r="AJ24" t="str">
        <f>VLOOKUP(AJ26,'x Malzemeler ve Özellikleri'!$O$2:$U$85,6,0)</f>
        <v>GENİŞLİK</v>
      </c>
      <c r="AK24" t="str">
        <f>VLOOKUP(AK26,'x Malzemeler ve Özellikleri'!$O$2:$U$85,6,0)</f>
        <v>GENİŞLİK</v>
      </c>
      <c r="AL24" t="str">
        <f>VLOOKUP(AL26,'x Malzemeler ve Özellikleri'!$O$2:$U$85,6,0)</f>
        <v>YÜKSEKLİK</v>
      </c>
      <c r="AM24" t="str">
        <f>VLOOKUP(AM26,'x Malzemeler ve Özellikleri'!$O$2:$U$85,6,0)</f>
        <v>GENİŞLİK</v>
      </c>
      <c r="AN24" t="str">
        <f>VLOOKUP(AN26,'x Malzemeler ve Özellikleri'!$O$2:$U$85,6,0)</f>
        <v>GENİŞLİK</v>
      </c>
      <c r="AO24" t="str">
        <f>VLOOKUP(AO26,'x Malzemeler ve Özellikleri'!$O$2:$U$85,6,0)</f>
        <v>YÜKSEKLİK</v>
      </c>
      <c r="AP24" t="str">
        <f>VLOOKUP(AP26,'x Malzemeler ve Özellikleri'!$O$2:$U$85,6,0)</f>
        <v>TAKIM</v>
      </c>
      <c r="AQ24" t="str">
        <f>VLOOKUP(AQ26,'x Malzemeler ve Özellikleri'!$O$2:$U$85,6,0)</f>
        <v>TAKIM</v>
      </c>
      <c r="AR24" t="str">
        <f>VLOOKUP(AR26,'x Malzemeler ve Özellikleri'!$O$2:$U$85,6,0)</f>
        <v>ADET</v>
      </c>
      <c r="AS24" t="str">
        <f>VLOOKUP(AS26,'x Malzemeler ve Özellikleri'!$O$2:$U$85,6,0)</f>
        <v>ADET</v>
      </c>
      <c r="AT24" t="str">
        <f>VLOOKUP(AT26,'x Malzemeler ve Özellikleri'!$O$2:$U$85,6,0)</f>
        <v>TAKIM</v>
      </c>
      <c r="AU24" t="str">
        <f>VLOOKUP(AU26,'x Malzemeler ve Özellikleri'!$O$2:$U$85,6,0)</f>
        <v>ADET</v>
      </c>
      <c r="AV24" t="str">
        <f>VLOOKUP(AV26,'x Malzemeler ve Özellikleri'!$O$2:$U$85,6,0)</f>
        <v>ADET</v>
      </c>
      <c r="AW24" t="str">
        <f>VLOOKUP(AW26,'x Malzemeler ve Özellikleri'!$O$2:$U$85,6,0)</f>
        <v>YÜKSEKLİK</v>
      </c>
      <c r="AX24" t="str">
        <f>VLOOKUP(AX26,'x Malzemeler ve Özellikleri'!$O$2:$U$85,6,0)</f>
        <v>ADET</v>
      </c>
      <c r="AY24" t="str">
        <f>VLOOKUP(AY26,'x Malzemeler ve Özellikleri'!$O$2:$U$85,6,0)</f>
        <v>ADET</v>
      </c>
      <c r="AZ24" t="str">
        <f>VLOOKUP(AZ26,'x Malzemeler ve Özellikleri'!$O$2:$U$85,6,0)</f>
        <v>ADET</v>
      </c>
      <c r="BA24" t="str">
        <f>VLOOKUP(BA26,'x Malzemeler ve Özellikleri'!$O$2:$U$85,6,0)</f>
        <v>GENİŞLİK</v>
      </c>
      <c r="BB24" t="str">
        <f>VLOOKUP(BB26,'x Malzemeler ve Özellikleri'!$O$2:$U$85,6,0)</f>
        <v>ADET</v>
      </c>
      <c r="BC24" t="str">
        <f>VLOOKUP(BC26,'x Malzemeler ve Özellikleri'!$O$2:$U$85,6,0)</f>
        <v>TAKIM</v>
      </c>
      <c r="BD24" t="str">
        <f>VLOOKUP(BD26,'x Malzemeler ve Özellikleri'!$O$2:$U$85,6,0)</f>
        <v>ADET</v>
      </c>
      <c r="BE24" t="str">
        <f>VLOOKUP(BE26,'x Malzemeler ve Özellikleri'!$O$2:$U$85,6,0)</f>
        <v>ADET</v>
      </c>
      <c r="BF24" t="str">
        <f>VLOOKUP(BF26,'x Malzemeler ve Özellikleri'!$O$2:$U$85,6,0)</f>
        <v>ADET</v>
      </c>
      <c r="BG24" t="str">
        <f>VLOOKUP(BG26,'x Malzemeler ve Özellikleri'!$O$2:$U$85,6,0)</f>
        <v>ADET</v>
      </c>
      <c r="BH24" t="str">
        <f>VLOOKUP(BH26,'x Malzemeler ve Özellikleri'!$O$2:$U$85,6,0)</f>
        <v>ADET</v>
      </c>
      <c r="BI24" t="str">
        <f>VLOOKUP(BI26,'x Malzemeler ve Özellikleri'!$O$2:$U$85,6,0)</f>
        <v>ADET</v>
      </c>
      <c r="BJ24" t="str">
        <f>VLOOKUP(BJ26,'x Malzemeler ve Özellikleri'!$O$2:$U$85,6,0)</f>
        <v>ADET</v>
      </c>
      <c r="BK24" t="str">
        <f>VLOOKUP(BK26,'x Malzemeler ve Özellikleri'!$O$2:$U$85,6,0)</f>
        <v>ADET</v>
      </c>
      <c r="BL24" t="str">
        <f>VLOOKUP(BL26,'x Malzemeler ve Özellikleri'!$O$2:$U$85,6,0)</f>
        <v>ADET</v>
      </c>
      <c r="BM24" t="str">
        <f>VLOOKUP(BM26,'x Malzemeler ve Özellikleri'!$O$2:$U$85,6,0)</f>
        <v>ADET</v>
      </c>
      <c r="BN24" t="str">
        <f>VLOOKUP(BN26,'x Malzemeler ve Özellikleri'!$O$2:$U$85,6,0)</f>
        <v>ADET</v>
      </c>
      <c r="BO24">
        <f>VLOOKUP(BO26,'x Malzemeler ve Özellikleri'!$O$2:$U$85,6,0)</f>
        <v>0</v>
      </c>
      <c r="BP24" t="str">
        <f>VLOOKUP(BP26,'x Malzemeler ve Özellikleri'!$O$2:$U$85,6,0)</f>
        <v>GENİŞLİK</v>
      </c>
      <c r="BQ24" t="str">
        <f>VLOOKUP(BQ26,'x Malzemeler ve Özellikleri'!$O$2:$U$85,6,0)</f>
        <v>GENİŞLİK</v>
      </c>
      <c r="BR24" t="str">
        <f>VLOOKUP(BR26,'x Malzemeler ve Özellikleri'!$O$2:$U$85,6,0)</f>
        <v>GENİŞLİK</v>
      </c>
      <c r="BS24" t="str">
        <f>VLOOKUP(BS26,'x Malzemeler ve Özellikleri'!$O$2:$U$85,6,0)</f>
        <v>GENİŞLİK</v>
      </c>
      <c r="BT24" t="str">
        <f>VLOOKUP(BT26,'x Malzemeler ve Özellikleri'!$O$2:$U$85,6,0)</f>
        <v>TAKIM</v>
      </c>
      <c r="BU24" t="str">
        <f>VLOOKUP(BU26,'x Malzemeler ve Özellikleri'!$O$2:$U$85,6,0)</f>
        <v>YÜKSEKLİK</v>
      </c>
      <c r="BV24" t="str">
        <f>VLOOKUP(BV26,'x Malzemeler ve Özellikleri'!$O$2:$U$85,6,0)</f>
        <v>GENİŞLİK</v>
      </c>
      <c r="BW24" t="str">
        <f>VLOOKUP(BW26,'x Malzemeler ve Özellikleri'!$O$2:$U$85,6,0)</f>
        <v>ADET</v>
      </c>
      <c r="BX24" t="str">
        <f>VLOOKUP(BX26,'x Malzemeler ve Özellikleri'!$O$2:$U$85,6,0)</f>
        <v>ADET</v>
      </c>
      <c r="BY24" t="str">
        <f>VLOOKUP(BY26,'x Malzemeler ve Özellikleri'!$O$2:$U$85,6,0)</f>
        <v>ADET</v>
      </c>
      <c r="BZ24" t="str">
        <f>VLOOKUP(BZ26,'x Malzemeler ve Özellikleri'!$O$2:$U$85,6,0)</f>
        <v>TAKIM</v>
      </c>
      <c r="CA24" t="str">
        <f>VLOOKUP(CA26,'x Malzemeler ve Özellikleri'!$O$2:$U$85,6,0)</f>
        <v>GENİŞLİK</v>
      </c>
      <c r="CB24" t="str">
        <f>VLOOKUP(CB26,'x Malzemeler ve Özellikleri'!$O$2:$U$85,6,0)</f>
        <v>GENİŞLİK</v>
      </c>
      <c r="CC24" t="str">
        <f>VLOOKUP(CC26,'x Malzemeler ve Özellikleri'!$O$2:$U$85,6,0)</f>
        <v>TAKIM</v>
      </c>
      <c r="CD24" t="str">
        <f>VLOOKUP(CD26,'x Malzemeler ve Özellikleri'!$O$2:$U$85,6,0)</f>
        <v>GENİŞLİK</v>
      </c>
      <c r="CE24" t="str">
        <f>VLOOKUP(CE26,'x Malzemeler ve Özellikleri'!$O$2:$U$85,6,0)</f>
        <v>GENİŞLİK</v>
      </c>
      <c r="CF24" t="str">
        <f>VLOOKUP(CF26,'x Malzemeler ve Özellikleri'!$O$2:$U$85,6,0)</f>
        <v>YÜKSEKLİK</v>
      </c>
      <c r="CG24" t="str">
        <f>VLOOKUP(CG26,'x Malzemeler ve Özellikleri'!$O$2:$U$85,6,0)</f>
        <v>,</v>
      </c>
      <c r="CH24" t="str">
        <f>VLOOKUP(CH26,'x Malzemeler ve Özellikleri'!$O$2:$U$85,6,0)</f>
        <v>YÜKSEKLİK</v>
      </c>
      <c r="CI24" t="str">
        <f>VLOOKUP(CI26,'x Malzemeler ve Özellikleri'!$O$2:$U$85,6,0)</f>
        <v>YÜKSEKLİK</v>
      </c>
      <c r="CJ24" t="str">
        <f>VLOOKUP(CJ26,'x Malzemeler ve Özellikleri'!$O$2:$U$85,6,0)</f>
        <v>TAKIM</v>
      </c>
      <c r="CK24" t="str">
        <f>VLOOKUP(CK26,'x Malzemeler ve Özellikleri'!$O$2:$U$85,6,0)</f>
        <v>ADET</v>
      </c>
      <c r="CL24" t="str">
        <f>VLOOKUP(CL26,'x Malzemeler ve Özellikleri'!$O$2:$U$85,6,0)</f>
        <v>ADET</v>
      </c>
      <c r="CM24" t="str">
        <f>VLOOKUP(CM26,'x Malzemeler ve Özellikleri'!$O$2:$U$85,6,0)</f>
        <v>GENİŞLİK</v>
      </c>
      <c r="CN24" t="str">
        <f>VLOOKUP(CN26,'x Malzemeler ve Özellikleri'!$O$2:$U$85,6,0)</f>
        <v>GENİŞLİK</v>
      </c>
      <c r="CO24" t="str">
        <f>VLOOKUP(CO26,'x Malzemeler ve Özellikleri'!$O$2:$U$85,6,0)</f>
        <v>GENİŞLİK</v>
      </c>
      <c r="CP24" t="str">
        <f>VLOOKUP(CP26,'x Malzemeler ve Özellikleri'!$O$2:$U$85,6,0)</f>
        <v>GENİŞLİK</v>
      </c>
      <c r="CQ24" t="str">
        <f>VLOOKUP(CQ26,'x Malzemeler ve Özellikleri'!$O$2:$U$85,6,0)</f>
        <v>ADET</v>
      </c>
      <c r="CR24" t="str">
        <f>VLOOKUP(CR26,'x Malzemeler ve Özellikleri'!$O$2:$U$85,6,0)</f>
        <v>GENİŞLİK</v>
      </c>
      <c r="CS24" t="str">
        <f>VLOOKUP(CS26,'x Malzemeler ve Özellikleri'!$O$2:$U$85,6,0)</f>
        <v>ADET</v>
      </c>
      <c r="CT24" t="str">
        <f>VLOOKUP(CT26,'x Malzemeler ve Özellikleri'!$O$2:$U$85,6,0)</f>
        <v>ADET</v>
      </c>
      <c r="CU24" t="str">
        <f>VLOOKUP(CU26,'x Malzemeler ve Özellikleri'!$O$2:$U$85,6,0)</f>
        <v>YÜKSEKLİK</v>
      </c>
      <c r="CV24" t="str">
        <f>VLOOKUP(CV26,'x Malzemeler ve Özellikleri'!$O$2:$U$85,6,0)</f>
        <v>YÜKSEKLİK</v>
      </c>
      <c r="CW24" t="str">
        <f>VLOOKUP(CW26,'x Malzemeler ve Özellikleri'!$O$2:$U$85,6,0)</f>
        <v>TAKIM</v>
      </c>
      <c r="CX24" t="str">
        <f>VLOOKUP(CX26,'x Malzemeler ve Özellikleri'!$O$2:$U$85,6,0)</f>
        <v>GENİŞLİK</v>
      </c>
      <c r="CY24" t="str">
        <f>VLOOKUP(CY26,'x Malzemeler ve Özellikleri'!$O$2:$U$85,6,0)</f>
        <v>GENİŞLİK</v>
      </c>
      <c r="CZ24" t="str">
        <f>VLOOKUP(CZ26,'x Malzemeler ve Özellikleri'!$O$2:$U$85,6,0)</f>
        <v>TAKIM</v>
      </c>
      <c r="DA24" t="str">
        <f>VLOOKUP(DA26,'x Malzemeler ve Özellikleri'!$O$2:$U$85,6,0)</f>
        <v>ADET</v>
      </c>
      <c r="DB24" t="str">
        <f>VLOOKUP(DB26,'x Malzemeler ve Özellikleri'!$O$2:$U$85,6,0)</f>
        <v>ADET</v>
      </c>
      <c r="DC24" t="str">
        <f>VLOOKUP(DC26,'x Malzemeler ve Özellikleri'!$O$2:$U$85,6,0)</f>
        <v>ADET</v>
      </c>
      <c r="DD24" t="str">
        <f>VLOOKUP(DD26,'x Malzemeler ve Özellikleri'!$O$2:$U$85,6,0)</f>
        <v>GENİŞLİK</v>
      </c>
      <c r="DE24" t="str">
        <f>VLOOKUP(DE26,'x Malzemeler ve Özellikleri'!$O$2:$U$85,6,0)</f>
        <v>GENİŞLİK</v>
      </c>
      <c r="DF24" t="str">
        <f>VLOOKUP(DF26,'x Malzemeler ve Özellikleri'!$O$2:$U$85,6,0)</f>
        <v>ADET</v>
      </c>
      <c r="DG24" t="str">
        <f>VLOOKUP(DG26,'x Malzemeler ve Özellikleri'!$O$2:$U$85,6,0)</f>
        <v>YÜKSEKLİK</v>
      </c>
      <c r="DH24" t="str">
        <f>VLOOKUP(DH26,'x Malzemeler ve Özellikleri'!$O$2:$U$85,6,0)</f>
        <v>YÜKSEKLİK</v>
      </c>
      <c r="DI24" t="str">
        <f>VLOOKUP(DI26,'x Malzemeler ve Özellikleri'!$O$2:$U$85,6,0)</f>
        <v>YÜKSEKLİK</v>
      </c>
      <c r="DJ24" t="str">
        <f>VLOOKUP(DJ26,'x Malzemeler ve Özellikleri'!$O$2:$U$85,6,0)</f>
        <v>ADET</v>
      </c>
      <c r="DK24" t="str">
        <f>VLOOKUP(DK26,'x Malzemeler ve Özellikleri'!$O$2:$U$85,6,0)</f>
        <v>ADET</v>
      </c>
      <c r="DL24" t="str">
        <f>VLOOKUP(DL26,'x Malzemeler ve Özellikleri'!$O$2:$U$136,6,0)</f>
        <v>GENİŞLİK</v>
      </c>
      <c r="DM24" t="str">
        <f>VLOOKUP(DM26,'x Malzemeler ve Özellikleri'!$O$2:$U$136,6,0)</f>
        <v>GENİŞLİK</v>
      </c>
      <c r="DN24" t="str">
        <f>VLOOKUP(DN26,'x Malzemeler ve Özellikleri'!$O$2:$U$136,6,0)</f>
        <v>GENİŞLİK</v>
      </c>
      <c r="DO24" t="str">
        <f>VLOOKUP(DO26,'x Malzemeler ve Özellikleri'!$O$2:$U$136,6,0)</f>
        <v>GENİŞLİK</v>
      </c>
      <c r="DP24" t="str">
        <f>VLOOKUP(DP26,'x Malzemeler ve Özellikleri'!$O$2:$U$136,6,0)</f>
        <v>ADET</v>
      </c>
      <c r="DQ24" t="str">
        <f>VLOOKUP(DQ26,'x Malzemeler ve Özellikleri'!$O$2:$U$136,6,0)</f>
        <v>GENİŞLİK</v>
      </c>
      <c r="DR24" t="str">
        <f>VLOOKUP(DR26,'x Malzemeler ve Özellikleri'!$O$2:$U$136,6,0)</f>
        <v>YÜKSEKLİK</v>
      </c>
      <c r="DS24" t="str">
        <f>VLOOKUP(DS26,'x Malzemeler ve Özellikleri'!$O$2:$U$136,6,0)</f>
        <v>YÜKSEKLİK</v>
      </c>
      <c r="DT24" t="str">
        <f>VLOOKUP(DT26,'x Malzemeler ve Özellikleri'!$O$2:$U$136,6,0)</f>
        <v>TAKIM</v>
      </c>
      <c r="DU24" t="str">
        <f>VLOOKUP(DU26,'x Malzemeler ve Özellikleri'!$O$2:$U$136,6,0)</f>
        <v>GENİŞLİK</v>
      </c>
      <c r="DV24" t="str">
        <f>VLOOKUP(DV26,'x Malzemeler ve Özellikleri'!$O$2:$U$136,6,0)</f>
        <v>GENİŞLİK</v>
      </c>
      <c r="DW24" t="str">
        <f>VLOOKUP(DW26,'x Malzemeler ve Özellikleri'!$O$2:$U$136,6,0)</f>
        <v>TAKIM</v>
      </c>
      <c r="DX24" t="str">
        <f>VLOOKUP(DX26,'x Malzemeler ve Özellikleri'!$O$2:$U$136,6,0)</f>
        <v>ADET</v>
      </c>
      <c r="DY24" t="str">
        <f>VLOOKUP(DY26,'x Malzemeler ve Özellikleri'!$O$2:$U$136,6,0)</f>
        <v>ADET</v>
      </c>
      <c r="DZ24" t="str">
        <f>VLOOKUP(DZ26,'x Malzemeler ve Özellikleri'!$O$2:$U$136,6,0)</f>
        <v>ADET</v>
      </c>
      <c r="EA24" t="str">
        <f>VLOOKUP(EA26,'x Malzemeler ve Özellikleri'!$O$2:$U$136,6,0)</f>
        <v>GENİŞLİK</v>
      </c>
      <c r="EB24" t="str">
        <f>VLOOKUP(EB26,'x Malzemeler ve Özellikleri'!$O$2:$U$136,6,0)</f>
        <v>GENİŞLİK</v>
      </c>
      <c r="EC24" t="str">
        <f>VLOOKUP(EC26,'x Malzemeler ve Özellikleri'!$O$2:$U$136,6,0)</f>
        <v>ADET</v>
      </c>
      <c r="ED24" t="str">
        <f>VLOOKUP(ED26,'x Malzemeler ve Özellikleri'!$O$2:$U$136,6,0)</f>
        <v>YÜKSEKLİK</v>
      </c>
      <c r="EE24" t="str">
        <f>VLOOKUP(EE26,'x Malzemeler ve Özellikleri'!$O$2:$U$136,6,0)</f>
        <v>YÜKSEKLİK</v>
      </c>
      <c r="EF24" t="str">
        <f>VLOOKUP(EF26,'x Malzemeler ve Özellikleri'!$O$2:$U$136,6,0)</f>
        <v>YÜKSEKLİK</v>
      </c>
      <c r="EG24" t="str">
        <f>VLOOKUP(EG26,'x Malzemeler ve Özellikleri'!$O$2:$U$136,6,0)</f>
        <v>ADET</v>
      </c>
      <c r="EH24" t="str">
        <f>VLOOKUP(EH26,'x Malzemeler ve Özellikleri'!$O$2:$U$136,6,0)</f>
        <v>ADET</v>
      </c>
      <c r="EI24" t="str">
        <f>VLOOKUP(EI26,'x Malzemeler ve Özellikleri'!$O$2:$U$136,6,0)</f>
        <v>ADET</v>
      </c>
      <c r="EJ24" t="str">
        <f>VLOOKUP(EJ26,'x Malzemeler ve Özellikleri'!$O$2:$U$136,6,0)</f>
        <v>ADET</v>
      </c>
      <c r="EK24" t="str">
        <f>VLOOKUP(EK26,'x Malzemeler ve Özellikleri'!$O$2:$U$136,6,0)</f>
        <v>ADET</v>
      </c>
      <c r="EL24" t="str">
        <f>VLOOKUP(EL26,'x Malzemeler ve Özellikleri'!$O$2:$U$136,6,0)</f>
        <v>ADET</v>
      </c>
      <c r="EM24" t="str">
        <f>VLOOKUP(EM26,'x Malzemeler ve Özellikleri'!$O$2:$U$136,6,0)</f>
        <v>GENİŞLİK</v>
      </c>
      <c r="EN24" t="str">
        <f>VLOOKUP(EN26,'x Malzemeler ve Özellikleri'!$O$2:$U$136,6,0)</f>
        <v>GENİŞLİK</v>
      </c>
      <c r="EO24" t="str">
        <f>VLOOKUP(EO26,'x Malzemeler ve Özellikleri'!$O$2:$U$136,6,0)</f>
        <v>GENİŞLİK</v>
      </c>
      <c r="EP24" t="str">
        <f>VLOOKUP(EP26,'x Malzemeler ve Özellikleri'!$O$2:$U$136,6,0)</f>
        <v>GENİŞLİK</v>
      </c>
      <c r="EQ24" t="str">
        <f>VLOOKUP(EQ26,'x Malzemeler ve Özellikleri'!$O$2:$U$136,6,0)</f>
        <v>GENİŞLİK</v>
      </c>
      <c r="ER24" t="str">
        <f>VLOOKUP(ER26,'x Malzemeler ve Özellikleri'!$O$2:$U$136,6,0)</f>
        <v>TAKIM</v>
      </c>
      <c r="ES24" t="str">
        <f>VLOOKUP(ES26,'x Malzemeler ve Özellikleri'!$O$2:$U$136,6,0)</f>
        <v>GENİŞLİK</v>
      </c>
      <c r="ET24" t="str">
        <f>VLOOKUP(ET26,'x Malzemeler ve Özellikleri'!$O$2:$U$136,6,0)</f>
        <v>GENİŞLİK</v>
      </c>
      <c r="EU24" t="str">
        <f>VLOOKUP(EU26,'x Malzemeler ve Özellikleri'!$O$2:$U$136,6,0)</f>
        <v>TAKIM</v>
      </c>
      <c r="EV24" t="str">
        <f>VLOOKUP(EV26,'x Malzemeler ve Özellikleri'!$O$2:$U$136,6,0)</f>
        <v>ADET</v>
      </c>
      <c r="EW24" t="str">
        <f>VLOOKUP(EW26,'x Malzemeler ve Özellikleri'!$O$2:$U$136,6,0)</f>
        <v>ADET</v>
      </c>
      <c r="EX24" t="str">
        <f>VLOOKUP(EX26,'x Malzemeler ve Özellikleri'!$O$2:$U$136,6,0)</f>
        <v>ADET</v>
      </c>
      <c r="EY24" t="str">
        <f>VLOOKUP(EY26,'x Malzemeler ve Özellikleri'!$O$2:$U$136,6,0)</f>
        <v>GENİŞLİK</v>
      </c>
      <c r="EZ24" t="str">
        <f>VLOOKUP(EZ26,'x Malzemeler ve Özellikleri'!$O$2:$U$136,6,0)</f>
        <v>GENİŞLİK</v>
      </c>
      <c r="FA24" t="str">
        <f>VLOOKUP(FA26,'x Malzemeler ve Özellikleri'!$O$2:$U$136,6,0)</f>
        <v>ADET</v>
      </c>
      <c r="FB24" t="str">
        <f>VLOOKUP(FB26,'x Malzemeler ve Özellikleri'!$O$2:$U$136,6,0)</f>
        <v>ADET</v>
      </c>
      <c r="FC24" t="str">
        <f>VLOOKUP(FC26,'x Malzemeler ve Özellikleri'!$O$2:$U$136,6,0)</f>
        <v>ADET</v>
      </c>
      <c r="FD24" t="str">
        <f>VLOOKUP(FD26,'x Malzemeler ve Özellikleri'!$O$2:$U$136,6,0)</f>
        <v>ADET</v>
      </c>
      <c r="FE24" t="str">
        <f>VLOOKUP(FE26,'x Malzemeler ve Özellikleri'!$O$2:$U$136,6,0)</f>
        <v>ADET</v>
      </c>
      <c r="FF24" t="str">
        <f>VLOOKUP(FF26,'x Malzemeler ve Özellikleri'!$O$2:$U$136,6,0)</f>
        <v>ADET</v>
      </c>
      <c r="FG24" t="str">
        <f>VLOOKUP(FG26,'x Malzemeler ve Özellikleri'!$O$2:$U$136,6,0)</f>
        <v>ADET</v>
      </c>
      <c r="FH24" t="str">
        <f>VLOOKUP(FH26,'x Malzemeler ve Özellikleri'!$O$2:$U$136,6,0)</f>
        <v>YÜKSEKLİK</v>
      </c>
    </row>
    <row r="25" spans="1:173">
      <c r="AG25" t="s">
        <v>650</v>
      </c>
      <c r="AH25" t="str">
        <f>VLOOKUP(AH26,'x Malzemeler ve Özellikleri'!$O$2:$T$85,5,0)</f>
        <v>MT</v>
      </c>
      <c r="AI25" t="str">
        <f>VLOOKUP(AI26,'x Malzemeler ve Özellikleri'!$O$2:$T$85,5,0)</f>
        <v>MT</v>
      </c>
      <c r="AJ25" t="str">
        <f>VLOOKUP(AJ26,'x Malzemeler ve Özellikleri'!$O$2:$T$85,5,0)</f>
        <v>MT</v>
      </c>
      <c r="AK25" t="str">
        <f>VLOOKUP(AK26,'x Malzemeler ve Özellikleri'!$O$2:$T$85,5,0)</f>
        <v>MT</v>
      </c>
      <c r="AL25" t="str">
        <f>VLOOKUP(AL26,'x Malzemeler ve Özellikleri'!$O$2:$T$85,5,0)</f>
        <v>MT</v>
      </c>
      <c r="AM25" t="str">
        <f>VLOOKUP(AM26,'x Malzemeler ve Özellikleri'!$O$2:$T$85,5,0)</f>
        <v>MT</v>
      </c>
      <c r="AN25" t="str">
        <f>VLOOKUP(AN26,'x Malzemeler ve Özellikleri'!$O$2:$T$85,5,0)</f>
        <v>MT</v>
      </c>
      <c r="AO25" t="str">
        <f>VLOOKUP(AO26,'x Malzemeler ve Özellikleri'!$O$2:$T$85,5,0)</f>
        <v>MT</v>
      </c>
      <c r="AP25" t="str">
        <f>VLOOKUP(AP26,'x Malzemeler ve Özellikleri'!$O$2:$T$85,5,0)</f>
        <v>TAKIM</v>
      </c>
      <c r="AQ25" t="str">
        <f>VLOOKUP(AQ26,'x Malzemeler ve Özellikleri'!$O$2:$T$85,5,0)</f>
        <v>TAKIM</v>
      </c>
      <c r="AR25" t="str">
        <f>VLOOKUP(AR26,'x Malzemeler ve Özellikleri'!$O$2:$T$85,5,0)</f>
        <v>ADET</v>
      </c>
      <c r="AS25" t="str">
        <f>VLOOKUP(AS26,'x Malzemeler ve Özellikleri'!$O$2:$T$85,5,0)</f>
        <v>ADET</v>
      </c>
      <c r="AT25" t="str">
        <f>VLOOKUP(AT26,'x Malzemeler ve Özellikleri'!$O$2:$T$85,5,0)</f>
        <v>TAKIM</v>
      </c>
      <c r="AU25" t="str">
        <f>VLOOKUP(AU26,'x Malzemeler ve Özellikleri'!$O$2:$T$85,5,0)</f>
        <v>ADET</v>
      </c>
      <c r="AV25" t="str">
        <f>VLOOKUP(AV26,'x Malzemeler ve Özellikleri'!$O$2:$T$85,5,0)</f>
        <v>ADET</v>
      </c>
      <c r="AW25" t="str">
        <f>VLOOKUP(AW26,'x Malzemeler ve Özellikleri'!$O$2:$T$85,5,0)</f>
        <v>MT</v>
      </c>
      <c r="AX25" t="str">
        <f>VLOOKUP(AX26,'x Malzemeler ve Özellikleri'!$O$2:$T$85,5,0)</f>
        <v>ADET</v>
      </c>
      <c r="AY25" t="str">
        <f>VLOOKUP(AY26,'x Malzemeler ve Özellikleri'!$O$2:$T$85,5,0)</f>
        <v>ADET</v>
      </c>
      <c r="AZ25" t="str">
        <f>VLOOKUP(AZ26,'x Malzemeler ve Özellikleri'!$O$2:$T$85,5,0)</f>
        <v>ADET</v>
      </c>
      <c r="BA25" t="str">
        <f>VLOOKUP(BA26,'x Malzemeler ve Özellikleri'!$O$2:$T$85,5,0)</f>
        <v>MT</v>
      </c>
      <c r="BB25" t="str">
        <f>VLOOKUP(BB26,'x Malzemeler ve Özellikleri'!$O$2:$T$85,5,0)</f>
        <v>ADET</v>
      </c>
      <c r="BC25" t="str">
        <f>VLOOKUP(BC26,'x Malzemeler ve Özellikleri'!$O$2:$T$85,5,0)</f>
        <v>TAKIM</v>
      </c>
      <c r="BD25" t="str">
        <f>VLOOKUP(BD26,'x Malzemeler ve Özellikleri'!$O$2:$T$85,5,0)</f>
        <v>ADET</v>
      </c>
      <c r="BE25" t="str">
        <f>VLOOKUP(BE26,'x Malzemeler ve Özellikleri'!$O$2:$T$85,5,0)</f>
        <v>ADET</v>
      </c>
      <c r="BF25" t="str">
        <f>VLOOKUP(BF26,'x Malzemeler ve Özellikleri'!$O$2:$T$85,5,0)</f>
        <v>ADET</v>
      </c>
      <c r="BG25" t="str">
        <f>VLOOKUP(BG26,'x Malzemeler ve Özellikleri'!$O$2:$T$85,5,0)</f>
        <v>ADET</v>
      </c>
      <c r="BH25" t="str">
        <f>VLOOKUP(BH26,'x Malzemeler ve Özellikleri'!$O$2:$T$85,5,0)</f>
        <v>ADET</v>
      </c>
      <c r="BI25" t="str">
        <f>VLOOKUP(BI26,'x Malzemeler ve Özellikleri'!$O$2:$T$85,5,0)</f>
        <v>ADET</v>
      </c>
      <c r="BJ25" t="str">
        <f>VLOOKUP(BJ26,'x Malzemeler ve Özellikleri'!$O$2:$T$85,5,0)</f>
        <v>ADET</v>
      </c>
      <c r="BK25" t="str">
        <f>VLOOKUP(BK26,'x Malzemeler ve Özellikleri'!$O$2:$T$85,5,0)</f>
        <v>ADET</v>
      </c>
      <c r="BL25" t="str">
        <f>VLOOKUP(BL26,'x Malzemeler ve Özellikleri'!$O$2:$T$85,5,0)</f>
        <v>ADET</v>
      </c>
      <c r="BM25" t="str">
        <f>VLOOKUP(BM26,'x Malzemeler ve Özellikleri'!$O$2:$T$85,5,0)</f>
        <v>TAKIM</v>
      </c>
      <c r="BN25" t="str">
        <f>VLOOKUP(BN26,'x Malzemeler ve Özellikleri'!$O$2:$T$85,5,0)</f>
        <v>TAKIM</v>
      </c>
      <c r="BO25" t="str">
        <f>VLOOKUP(BO26,'x Malzemeler ve Özellikleri'!$O$2:$T$85,5,0)</f>
        <v>MT</v>
      </c>
      <c r="BP25" t="str">
        <f>VLOOKUP(BP26,'x Malzemeler ve Özellikleri'!$O$2:$T$85,5,0)</f>
        <v>MT</v>
      </c>
      <c r="BQ25" t="str">
        <f>VLOOKUP(BQ26,'x Malzemeler ve Özellikleri'!$O$2:$T$85,5,0)</f>
        <v>MT</v>
      </c>
      <c r="BR25" t="str">
        <f>VLOOKUP(BR26,'x Malzemeler ve Özellikleri'!$O$2:$T$85,5,0)</f>
        <v>MT</v>
      </c>
      <c r="BS25" t="str">
        <f>VLOOKUP(BS26,'x Malzemeler ve Özellikleri'!$O$2:$T$85,5,0)</f>
        <v>MT</v>
      </c>
      <c r="BT25" t="str">
        <f>VLOOKUP(BT26,'x Malzemeler ve Özellikleri'!$O$2:$T$85,5,0)</f>
        <v>TAKIM</v>
      </c>
      <c r="BU25" t="str">
        <f>VLOOKUP(BU26,'x Malzemeler ve Özellikleri'!$O$2:$T$85,5,0)</f>
        <v>MT</v>
      </c>
      <c r="BV25" t="str">
        <f>VLOOKUP(BV26,'x Malzemeler ve Özellikleri'!$O$2:$T$85,5,0)</f>
        <v>MT</v>
      </c>
      <c r="BW25" t="str">
        <f>VLOOKUP(BW26,'x Malzemeler ve Özellikleri'!$O$2:$T$85,5,0)</f>
        <v>ADET</v>
      </c>
      <c r="BX25" t="str">
        <f>VLOOKUP(BX26,'x Malzemeler ve Özellikleri'!$O$2:$T$85,5,0)</f>
        <v>ADET</v>
      </c>
      <c r="BY25" t="str">
        <f>VLOOKUP(BY26,'x Malzemeler ve Özellikleri'!$O$2:$T$85,5,0)</f>
        <v>ADET</v>
      </c>
      <c r="BZ25" t="str">
        <f>VLOOKUP(BZ26,'x Malzemeler ve Özellikleri'!$O$2:$T$85,5,0)</f>
        <v>ADET</v>
      </c>
      <c r="CA25" t="str">
        <f>VLOOKUP(CA26,'x Malzemeler ve Özellikleri'!$O$2:$T$85,5,0)</f>
        <v>MT</v>
      </c>
      <c r="CB25" t="str">
        <f>VLOOKUP(CB26,'x Malzemeler ve Özellikleri'!$O$2:$T$85,5,0)</f>
        <v>MT</v>
      </c>
      <c r="CC25" t="str">
        <f>VLOOKUP(CC26,'x Malzemeler ve Özellikleri'!$O$2:$T$85,5,0)</f>
        <v>TAKIM</v>
      </c>
      <c r="CD25" t="str">
        <f>VLOOKUP(CD26,'x Malzemeler ve Özellikleri'!$O$2:$T$85,5,0)</f>
        <v>MT</v>
      </c>
      <c r="CE25" t="str">
        <f>VLOOKUP(CE26,'x Malzemeler ve Özellikleri'!$O$2:$T$85,5,0)</f>
        <v>MT</v>
      </c>
      <c r="CF25" t="str">
        <f>VLOOKUP(CF26,'x Malzemeler ve Özellikleri'!$O$2:$T$85,5,0)</f>
        <v>MT</v>
      </c>
      <c r="CG25" t="str">
        <f>VLOOKUP(CG26,'x Malzemeler ve Özellikleri'!$O$2:$T$85,5,0)</f>
        <v>ADET</v>
      </c>
      <c r="CH25" t="str">
        <f>VLOOKUP(CH26,'x Malzemeler ve Özellikleri'!$O$2:$T$85,5,0)</f>
        <v>MT</v>
      </c>
      <c r="CI25" t="str">
        <f>VLOOKUP(CI26,'x Malzemeler ve Özellikleri'!$O$2:$T$85,5,0)</f>
        <v>MT</v>
      </c>
      <c r="CJ25" t="str">
        <f>VLOOKUP(CJ26,'x Malzemeler ve Özellikleri'!$O$2:$T$85,5,0)</f>
        <v>TAKIM</v>
      </c>
      <c r="CK25" t="str">
        <f>VLOOKUP(CK26,'x Malzemeler ve Özellikleri'!$O$2:$T$85,5,0)</f>
        <v>ADET</v>
      </c>
      <c r="CL25" t="str">
        <f>VLOOKUP(CL26,'x Malzemeler ve Özellikleri'!$O$2:$T$85,5,0)</f>
        <v>ADET</v>
      </c>
      <c r="CM25" t="str">
        <f>VLOOKUP(CM26,'x Malzemeler ve Özellikleri'!$O$2:$T$85,5,0)</f>
        <v>MT</v>
      </c>
      <c r="CN25" t="str">
        <f>VLOOKUP(CN26,'x Malzemeler ve Özellikleri'!$O$2:$T$85,5,0)</f>
        <v>MT</v>
      </c>
      <c r="CO25" t="str">
        <f>VLOOKUP(CO26,'x Malzemeler ve Özellikleri'!$O$2:$T$85,5,0)</f>
        <v>MT</v>
      </c>
      <c r="CP25" t="str">
        <f>VLOOKUP(CP26,'x Malzemeler ve Özellikleri'!$O$2:$T$85,5,0)</f>
        <v>MT</v>
      </c>
      <c r="CQ25" t="str">
        <f>VLOOKUP(CQ26,'x Malzemeler ve Özellikleri'!$O$2:$T$85,5,0)</f>
        <v>ADET</v>
      </c>
      <c r="CR25" t="str">
        <f>VLOOKUP(CR26,'x Malzemeler ve Özellikleri'!$O$2:$T$85,5,0)</f>
        <v>MT</v>
      </c>
      <c r="CS25" t="str">
        <f>VLOOKUP(CS26,'x Malzemeler ve Özellikleri'!$O$2:$T$85,5,0)</f>
        <v>ADET</v>
      </c>
      <c r="CT25" t="str">
        <f>VLOOKUP(CT26,'x Malzemeler ve Özellikleri'!$O$2:$T$85,5,0)</f>
        <v>ADET</v>
      </c>
      <c r="CU25" t="str">
        <f>VLOOKUP(CU26,'x Malzemeler ve Özellikleri'!$O$2:$T$85,5,0)</f>
        <v>MT</v>
      </c>
      <c r="CV25" t="str">
        <f>VLOOKUP(CV26,'x Malzemeler ve Özellikleri'!$O$2:$T$85,5,0)</f>
        <v>MT</v>
      </c>
      <c r="CW25" t="str">
        <f>VLOOKUP(CW26,'x Malzemeler ve Özellikleri'!$O$2:$T$85,5,0)</f>
        <v>TAKIM</v>
      </c>
      <c r="CX25" t="str">
        <f>VLOOKUP(CX26,'x Malzemeler ve Özellikleri'!$O$2:$T$85,5,0)</f>
        <v>MT</v>
      </c>
      <c r="CY25" t="str">
        <f>VLOOKUP(CY26,'x Malzemeler ve Özellikleri'!$O$2:$T$85,5,0)</f>
        <v>MT</v>
      </c>
      <c r="CZ25" t="str">
        <f>VLOOKUP(CZ26,'x Malzemeler ve Özellikleri'!$O$2:$T$85,5,0)</f>
        <v>TAKIM</v>
      </c>
      <c r="DA25" t="str">
        <f>VLOOKUP(DA26,'x Malzemeler ve Özellikleri'!$O$2:$T$85,5,0)</f>
        <v>ADET</v>
      </c>
      <c r="DB25" t="str">
        <f>VLOOKUP(DB26,'x Malzemeler ve Özellikleri'!$O$2:$T$85,5,0)</f>
        <v>ADET</v>
      </c>
      <c r="DC25" t="str">
        <f>VLOOKUP(DC26,'x Malzemeler ve Özellikleri'!$O$2:$T$85,5,0)</f>
        <v>ADET</v>
      </c>
      <c r="DD25" t="str">
        <f>VLOOKUP(DD26,'x Malzemeler ve Özellikleri'!$O$2:$T$85,5,0)</f>
        <v>MT</v>
      </c>
      <c r="DE25" t="str">
        <f>VLOOKUP(DE26,'x Malzemeler ve Özellikleri'!$O$2:$T$85,5,0)</f>
        <v>MT</v>
      </c>
      <c r="DF25" t="str">
        <f>VLOOKUP(DF26,'x Malzemeler ve Özellikleri'!$O$2:$T$85,5,0)</f>
        <v>ADET</v>
      </c>
      <c r="DG25" t="str">
        <f>VLOOKUP(DG26,'x Malzemeler ve Özellikleri'!$O$2:$T$85,5,0)</f>
        <v>MT</v>
      </c>
      <c r="DH25" t="str">
        <f>VLOOKUP(DH26,'x Malzemeler ve Özellikleri'!$O$2:$T$85,5,0)</f>
        <v>MT</v>
      </c>
      <c r="DI25" t="str">
        <f>VLOOKUP(DI26,'x Malzemeler ve Özellikleri'!$O$2:$T$85,5,0)</f>
        <v>MT</v>
      </c>
      <c r="DJ25" t="str">
        <f>VLOOKUP(DJ26,'x Malzemeler ve Özellikleri'!$O$2:$T$85,5,0)</f>
        <v>ADET</v>
      </c>
      <c r="DK25" t="str">
        <f>VLOOKUP(DK26,'x Malzemeler ve Özellikleri'!$O$2:$T$85,5,0)</f>
        <v>ADET</v>
      </c>
      <c r="DL25" t="str">
        <f>VLOOKUP(DL26,'x Malzemeler ve Özellikleri'!$O$2:$T$136,5,0)</f>
        <v>MT</v>
      </c>
      <c r="DM25" t="str">
        <f>VLOOKUP(DM26,'x Malzemeler ve Özellikleri'!$O$2:$T$136,5,0)</f>
        <v>MT</v>
      </c>
      <c r="DN25" t="str">
        <f>VLOOKUP(DN26,'x Malzemeler ve Özellikleri'!$O$2:$T$136,5,0)</f>
        <v>MT</v>
      </c>
      <c r="DO25" t="str">
        <f>VLOOKUP(DO26,'x Malzemeler ve Özellikleri'!$O$2:$T$136,5,0)</f>
        <v>MT</v>
      </c>
      <c r="DP25" t="str">
        <f>VLOOKUP(DP26,'x Malzemeler ve Özellikleri'!$O$2:$T$136,5,0)</f>
        <v>ADET</v>
      </c>
      <c r="DQ25" t="str">
        <f>VLOOKUP(DQ26,'x Malzemeler ve Özellikleri'!$O$2:$T$136,5,0)</f>
        <v>MT</v>
      </c>
      <c r="DR25" t="str">
        <f>VLOOKUP(DR26,'x Malzemeler ve Özellikleri'!$O$2:$T$136,5,0)</f>
        <v>MT</v>
      </c>
      <c r="DS25" t="str">
        <f>VLOOKUP(DS26,'x Malzemeler ve Özellikleri'!$O$2:$T$136,5,0)</f>
        <v>MT</v>
      </c>
      <c r="DT25" t="str">
        <f>VLOOKUP(DT26,'x Malzemeler ve Özellikleri'!$O$2:$T$136,5,0)</f>
        <v>TAKIM</v>
      </c>
      <c r="DU25" t="str">
        <f>VLOOKUP(DU26,'x Malzemeler ve Özellikleri'!$O$2:$T$136,5,0)</f>
        <v>MT</v>
      </c>
      <c r="DV25" t="str">
        <f>VLOOKUP(DV26,'x Malzemeler ve Özellikleri'!$O$2:$T$136,5,0)</f>
        <v>MT</v>
      </c>
      <c r="DW25" t="str">
        <f>VLOOKUP(DW26,'x Malzemeler ve Özellikleri'!$O$2:$T$136,5,0)</f>
        <v>TAKIM</v>
      </c>
      <c r="DX25" t="str">
        <f>VLOOKUP(DX26,'x Malzemeler ve Özellikleri'!$O$2:$T$136,5,0)</f>
        <v>ADET</v>
      </c>
      <c r="DY25" t="str">
        <f>VLOOKUP(DY26,'x Malzemeler ve Özellikleri'!$O$2:$T$136,5,0)</f>
        <v>ADET</v>
      </c>
      <c r="DZ25" t="str">
        <f>VLOOKUP(DZ26,'x Malzemeler ve Özellikleri'!$O$2:$T$136,5,0)</f>
        <v>ADET</v>
      </c>
      <c r="EA25" t="str">
        <f>VLOOKUP(EA26,'x Malzemeler ve Özellikleri'!$O$2:$T$136,5,0)</f>
        <v>MT</v>
      </c>
      <c r="EB25" t="str">
        <f>VLOOKUP(EB26,'x Malzemeler ve Özellikleri'!$O$2:$T$136,5,0)</f>
        <v>MT</v>
      </c>
      <c r="EC25" t="str">
        <f>VLOOKUP(EC26,'x Malzemeler ve Özellikleri'!$O$2:$T$136,5,0)</f>
        <v>ADET</v>
      </c>
      <c r="ED25" t="str">
        <f>VLOOKUP(ED26,'x Malzemeler ve Özellikleri'!$O$2:$T$136,5,0)</f>
        <v>MT</v>
      </c>
      <c r="EE25" t="str">
        <f>VLOOKUP(EE26,'x Malzemeler ve Özellikleri'!$O$2:$T$136,5,0)</f>
        <v>MT</v>
      </c>
      <c r="EF25" t="str">
        <f>VLOOKUP(EF26,'x Malzemeler ve Özellikleri'!$O$2:$T$136,5,0)</f>
        <v>MT</v>
      </c>
      <c r="EG25" t="str">
        <f>VLOOKUP(EG26,'x Malzemeler ve Özellikleri'!$O$2:$T$136,5,0)</f>
        <v>ADET</v>
      </c>
      <c r="EH25" t="str">
        <f>VLOOKUP(EH26,'x Malzemeler ve Özellikleri'!$O$2:$T$136,5,0)</f>
        <v>ADET</v>
      </c>
      <c r="EI25" t="str">
        <f>VLOOKUP(EI26,'x Malzemeler ve Özellikleri'!$O$2:$T$136,5,0)</f>
        <v>ADET</v>
      </c>
      <c r="EJ25" t="str">
        <f>VLOOKUP(EJ26,'x Malzemeler ve Özellikleri'!$O$2:$T$136,5,0)</f>
        <v>ADET</v>
      </c>
      <c r="EK25" t="str">
        <f>VLOOKUP(EK26,'x Malzemeler ve Özellikleri'!$O$2:$T$136,5,0)</f>
        <v>ADET</v>
      </c>
      <c r="EL25" t="str">
        <f>VLOOKUP(EL26,'x Malzemeler ve Özellikleri'!$O$2:$T$136,5,0)</f>
        <v>ADET</v>
      </c>
      <c r="EM25" t="str">
        <f>VLOOKUP(EM26,'x Malzemeler ve Özellikleri'!$O$2:$T$136,5,0)</f>
        <v>MT</v>
      </c>
      <c r="EN25" t="str">
        <f>VLOOKUP(EN26,'x Malzemeler ve Özellikleri'!$O$2:$T$136,5,0)</f>
        <v>MT</v>
      </c>
      <c r="EO25" t="str">
        <f>VLOOKUP(EO26,'x Malzemeler ve Özellikleri'!$O$2:$T$136,5,0)</f>
        <v>MT</v>
      </c>
      <c r="EP25" t="str">
        <f>VLOOKUP(EP26,'x Malzemeler ve Özellikleri'!$O$2:$T$136,5,0)</f>
        <v>MT</v>
      </c>
      <c r="EQ25" t="str">
        <f>VLOOKUP(EQ26,'x Malzemeler ve Özellikleri'!$O$2:$T$136,5,0)</f>
        <v>MT</v>
      </c>
      <c r="ER25" t="str">
        <f>VLOOKUP(ER26,'x Malzemeler ve Özellikleri'!$O$2:$T$136,5,0)</f>
        <v>TAKIM</v>
      </c>
      <c r="ES25" t="str">
        <f>VLOOKUP(ES26,'x Malzemeler ve Özellikleri'!$O$2:$T$136,5,0)</f>
        <v>MT</v>
      </c>
      <c r="ET25" t="str">
        <f>VLOOKUP(ET26,'x Malzemeler ve Özellikleri'!$O$2:$T$136,5,0)</f>
        <v>MT</v>
      </c>
      <c r="EU25" t="str">
        <f>VLOOKUP(EU26,'x Malzemeler ve Özellikleri'!$O$2:$T$136,5,0)</f>
        <v>TAKIM</v>
      </c>
      <c r="EV25" t="str">
        <f>VLOOKUP(EV26,'x Malzemeler ve Özellikleri'!$O$2:$T$136,5,0)</f>
        <v>ADET</v>
      </c>
      <c r="EW25" t="str">
        <f>VLOOKUP(EW26,'x Malzemeler ve Özellikleri'!$O$2:$T$136,5,0)</f>
        <v>ADET</v>
      </c>
      <c r="EX25" t="str">
        <f>VLOOKUP(EX26,'x Malzemeler ve Özellikleri'!$O$2:$T$136,5,0)</f>
        <v>ADET</v>
      </c>
      <c r="EY25" t="str">
        <f>VLOOKUP(EY26,'x Malzemeler ve Özellikleri'!$O$2:$T$136,5,0)</f>
        <v>MT</v>
      </c>
      <c r="EZ25" t="str">
        <f>VLOOKUP(EZ26,'x Malzemeler ve Özellikleri'!$O$2:$T$136,5,0)</f>
        <v>MT</v>
      </c>
      <c r="FA25" t="str">
        <f>VLOOKUP(FA26,'x Malzemeler ve Özellikleri'!$O$2:$T$136,5,0)</f>
        <v>ADET</v>
      </c>
      <c r="FB25" t="str">
        <f>VLOOKUP(FB26,'x Malzemeler ve Özellikleri'!$O$2:$T$136,5,0)</f>
        <v>ADET</v>
      </c>
      <c r="FC25" t="str">
        <f>VLOOKUP(FC26,'x Malzemeler ve Özellikleri'!$O$2:$T$136,5,0)</f>
        <v>ADET</v>
      </c>
      <c r="FD25" t="str">
        <f>VLOOKUP(FD26,'x Malzemeler ve Özellikleri'!$O$2:$T$136,5,0)</f>
        <v>ADET</v>
      </c>
      <c r="FE25" t="str">
        <f>VLOOKUP(FE26,'x Malzemeler ve Özellikleri'!$O$2:$T$136,5,0)</f>
        <v>ADET</v>
      </c>
      <c r="FF25" t="str">
        <f>VLOOKUP(FF26,'x Malzemeler ve Özellikleri'!$O$2:$T$136,5,0)</f>
        <v>ADET</v>
      </c>
      <c r="FG25" t="str">
        <f>VLOOKUP(FG26,'x Malzemeler ve Özellikleri'!$O$2:$T$136,5,0)</f>
        <v>ADET</v>
      </c>
      <c r="FH25" t="str">
        <f>VLOOKUP(FH26,'x Malzemeler ve Özellikleri'!$O$2:$T$136,5,0)</f>
        <v>MT</v>
      </c>
    </row>
    <row r="26" spans="1:173" ht="75">
      <c r="A26" s="5" t="s">
        <v>98</v>
      </c>
      <c r="B26" s="5" t="s">
        <v>99</v>
      </c>
      <c r="C26" s="5" t="s">
        <v>100</v>
      </c>
      <c r="D26" s="5" t="s">
        <v>21</v>
      </c>
      <c r="E26" s="5" t="s">
        <v>22</v>
      </c>
      <c r="F26" s="5" t="s">
        <v>101</v>
      </c>
      <c r="G26" s="5" t="s">
        <v>102</v>
      </c>
      <c r="H26" s="5" t="s">
        <v>103</v>
      </c>
      <c r="I26" s="5" t="s">
        <v>104</v>
      </c>
      <c r="J26" s="5" t="s">
        <v>105</v>
      </c>
      <c r="K26" s="5" t="s">
        <v>106</v>
      </c>
      <c r="L26" s="5" t="s">
        <v>107</v>
      </c>
      <c r="M26" s="5" t="s">
        <v>108</v>
      </c>
      <c r="N26" s="5" t="s">
        <v>109</v>
      </c>
      <c r="O26" s="5" t="s">
        <v>117</v>
      </c>
      <c r="P26" s="25" t="s">
        <v>498</v>
      </c>
      <c r="Q26" s="25" t="s">
        <v>499</v>
      </c>
      <c r="R26" s="25" t="s">
        <v>500</v>
      </c>
      <c r="S26" s="25" t="s">
        <v>501</v>
      </c>
      <c r="T26" t="s">
        <v>502</v>
      </c>
      <c r="U26" t="s">
        <v>497</v>
      </c>
      <c r="V26" t="s">
        <v>479</v>
      </c>
      <c r="W26" t="s">
        <v>478</v>
      </c>
      <c r="X26" t="s">
        <v>21</v>
      </c>
      <c r="Y26" t="s">
        <v>22</v>
      </c>
      <c r="Z26" t="s">
        <v>360</v>
      </c>
      <c r="AA26" t="s">
        <v>671</v>
      </c>
      <c r="AB26" t="s">
        <v>105</v>
      </c>
      <c r="AC26" t="s">
        <v>675</v>
      </c>
      <c r="AD26" t="s">
        <v>676</v>
      </c>
      <c r="AE26" t="s">
        <v>677</v>
      </c>
      <c r="AF26" t="s">
        <v>117</v>
      </c>
      <c r="AG26" t="s">
        <v>185</v>
      </c>
      <c r="AH26" s="60" t="s">
        <v>410</v>
      </c>
      <c r="AI26" s="60" t="s">
        <v>411</v>
      </c>
      <c r="AJ26" s="60" t="s">
        <v>412</v>
      </c>
      <c r="AK26" s="60" t="s">
        <v>413</v>
      </c>
      <c r="AL26" s="60" t="s">
        <v>414</v>
      </c>
      <c r="AM26" s="11" t="s">
        <v>415</v>
      </c>
      <c r="AN26" s="11" t="s">
        <v>416</v>
      </c>
      <c r="AO26" s="11" t="s">
        <v>417</v>
      </c>
      <c r="AP26" s="60" t="s">
        <v>418</v>
      </c>
      <c r="AQ26" s="60" t="s">
        <v>419</v>
      </c>
      <c r="AR26" s="11" t="s">
        <v>420</v>
      </c>
      <c r="AS26" s="11" t="s">
        <v>421</v>
      </c>
      <c r="AT26" s="60" t="s">
        <v>422</v>
      </c>
      <c r="AU26" s="11" t="s">
        <v>423</v>
      </c>
      <c r="AV26" s="11" t="s">
        <v>788</v>
      </c>
      <c r="AW26" s="11" t="s">
        <v>424</v>
      </c>
      <c r="AX26" s="11" t="s">
        <v>425</v>
      </c>
      <c r="AY26" s="11" t="s">
        <v>426</v>
      </c>
      <c r="AZ26" s="11" t="s">
        <v>427</v>
      </c>
      <c r="BA26" s="11" t="s">
        <v>428</v>
      </c>
      <c r="BB26" s="11" t="s">
        <v>429</v>
      </c>
      <c r="BC26" s="11" t="s">
        <v>430</v>
      </c>
      <c r="BD26" s="11" t="s">
        <v>431</v>
      </c>
      <c r="BE26" s="11" t="s">
        <v>432</v>
      </c>
      <c r="BF26" s="11" t="s">
        <v>433</v>
      </c>
      <c r="BG26" s="11" t="s">
        <v>434</v>
      </c>
      <c r="BH26" s="11" t="s">
        <v>435</v>
      </c>
      <c r="BI26" s="11" t="s">
        <v>436</v>
      </c>
      <c r="BJ26" s="11" t="s">
        <v>437</v>
      </c>
      <c r="BK26" s="11" t="s">
        <v>438</v>
      </c>
      <c r="BL26" s="11" t="s">
        <v>439</v>
      </c>
      <c r="BM26" s="11" t="s">
        <v>440</v>
      </c>
      <c r="BN26" s="11" t="s">
        <v>441</v>
      </c>
      <c r="BO26" s="11" t="s">
        <v>781</v>
      </c>
      <c r="BP26" s="60" t="s">
        <v>442</v>
      </c>
      <c r="BQ26" s="60" t="s">
        <v>443</v>
      </c>
      <c r="BR26" s="60" t="s">
        <v>444</v>
      </c>
      <c r="BS26" s="60" t="s">
        <v>445</v>
      </c>
      <c r="BT26" s="60" t="s">
        <v>446</v>
      </c>
      <c r="BU26" s="11" t="s">
        <v>483</v>
      </c>
      <c r="BV26" s="11" t="s">
        <v>482</v>
      </c>
      <c r="BW26" s="11" t="s">
        <v>447</v>
      </c>
      <c r="BX26" s="11" t="s">
        <v>449</v>
      </c>
      <c r="BY26" s="11" t="s">
        <v>450</v>
      </c>
      <c r="BZ26" s="11" t="s">
        <v>451</v>
      </c>
      <c r="CA26" s="60" t="s">
        <v>452</v>
      </c>
      <c r="CB26" s="11" t="s">
        <v>453</v>
      </c>
      <c r="CC26" s="11" t="s">
        <v>484</v>
      </c>
      <c r="CD26" s="11" t="s">
        <v>458</v>
      </c>
      <c r="CE26" s="11" t="s">
        <v>485</v>
      </c>
      <c r="CF26" s="11" t="s">
        <v>682</v>
      </c>
      <c r="CG26" s="11" t="s">
        <v>454</v>
      </c>
      <c r="CH26" s="60" t="s">
        <v>455</v>
      </c>
      <c r="CI26" s="60" t="s">
        <v>456</v>
      </c>
      <c r="CJ26" s="11" t="s">
        <v>457</v>
      </c>
      <c r="CK26" s="11" t="s">
        <v>459</v>
      </c>
      <c r="CL26" s="11" t="s">
        <v>476</v>
      </c>
      <c r="CM26" s="60" t="s">
        <v>460</v>
      </c>
      <c r="CN26" s="60" t="s">
        <v>461</v>
      </c>
      <c r="CO26" s="60" t="s">
        <v>462</v>
      </c>
      <c r="CP26" s="60" t="s">
        <v>463</v>
      </c>
      <c r="CQ26" s="11" t="s">
        <v>489</v>
      </c>
      <c r="CR26" s="11" t="s">
        <v>490</v>
      </c>
      <c r="CS26" s="11" t="s">
        <v>491</v>
      </c>
      <c r="CT26" s="11" t="s">
        <v>492</v>
      </c>
      <c r="CU26" s="11" t="s">
        <v>493</v>
      </c>
      <c r="CV26" s="11" t="s">
        <v>494</v>
      </c>
      <c r="CW26" s="11" t="s">
        <v>495</v>
      </c>
      <c r="CX26" s="11" t="s">
        <v>496</v>
      </c>
      <c r="CY26" s="11" t="s">
        <v>488</v>
      </c>
      <c r="CZ26" s="60" t="s">
        <v>464</v>
      </c>
      <c r="DA26" s="11" t="s">
        <v>465</v>
      </c>
      <c r="DB26" s="11" t="s">
        <v>466</v>
      </c>
      <c r="DC26" s="11" t="s">
        <v>467</v>
      </c>
      <c r="DD26" s="60" t="s">
        <v>468</v>
      </c>
      <c r="DE26" s="11" t="s">
        <v>469</v>
      </c>
      <c r="DF26" s="11" t="s">
        <v>470</v>
      </c>
      <c r="DG26" s="60" t="s">
        <v>471</v>
      </c>
      <c r="DH26" s="60" t="s">
        <v>472</v>
      </c>
      <c r="DI26" s="60" t="s">
        <v>473</v>
      </c>
      <c r="DJ26" s="11" t="s">
        <v>474</v>
      </c>
      <c r="DK26" s="11" t="s">
        <v>475</v>
      </c>
      <c r="DL26" s="30" t="s">
        <v>714</v>
      </c>
      <c r="DM26" s="30" t="s">
        <v>715</v>
      </c>
      <c r="DN26" s="30" t="s">
        <v>716</v>
      </c>
      <c r="DO26" s="30" t="s">
        <v>717</v>
      </c>
      <c r="DP26" s="30" t="s">
        <v>768</v>
      </c>
      <c r="DQ26" s="30" t="s">
        <v>769</v>
      </c>
      <c r="DR26" s="30" t="s">
        <v>770</v>
      </c>
      <c r="DS26" s="30" t="s">
        <v>771</v>
      </c>
      <c r="DT26" s="30" t="s">
        <v>772</v>
      </c>
      <c r="DU26" s="30" t="s">
        <v>773</v>
      </c>
      <c r="DV26" s="30" t="s">
        <v>774</v>
      </c>
      <c r="DW26" s="30" t="s">
        <v>718</v>
      </c>
      <c r="DX26" s="30" t="s">
        <v>719</v>
      </c>
      <c r="DY26" s="30" t="s">
        <v>720</v>
      </c>
      <c r="DZ26" s="30" t="s">
        <v>721</v>
      </c>
      <c r="EA26" s="30" t="s">
        <v>722</v>
      </c>
      <c r="EB26" s="30" t="s">
        <v>723</v>
      </c>
      <c r="EC26" s="30" t="s">
        <v>724</v>
      </c>
      <c r="ED26" s="30" t="s">
        <v>725</v>
      </c>
      <c r="EE26" s="30" t="s">
        <v>726</v>
      </c>
      <c r="EF26" s="30" t="s">
        <v>727</v>
      </c>
      <c r="EG26" s="30" t="s">
        <v>728</v>
      </c>
      <c r="EH26" s="30" t="s">
        <v>729</v>
      </c>
      <c r="EI26" s="30" t="s">
        <v>734</v>
      </c>
      <c r="EJ26" s="30" t="s">
        <v>735</v>
      </c>
      <c r="EK26" s="30" t="s">
        <v>736</v>
      </c>
      <c r="EL26" s="30" t="s">
        <v>737</v>
      </c>
      <c r="EM26" s="30" t="s">
        <v>743</v>
      </c>
      <c r="EN26" s="30" t="s">
        <v>744</v>
      </c>
      <c r="EO26" s="30" t="s">
        <v>745</v>
      </c>
      <c r="EP26" s="30" t="s">
        <v>746</v>
      </c>
      <c r="EQ26" s="30" t="s">
        <v>775</v>
      </c>
      <c r="ER26" s="30" t="s">
        <v>776</v>
      </c>
      <c r="ES26" s="30" t="s">
        <v>777</v>
      </c>
      <c r="ET26" s="30" t="s">
        <v>778</v>
      </c>
      <c r="EU26" s="30" t="s">
        <v>747</v>
      </c>
      <c r="EV26" s="30" t="s">
        <v>748</v>
      </c>
      <c r="EW26" s="30" t="s">
        <v>749</v>
      </c>
      <c r="EX26" s="30" t="s">
        <v>750</v>
      </c>
      <c r="EY26" s="30" t="s">
        <v>751</v>
      </c>
      <c r="EZ26" s="30" t="s">
        <v>752</v>
      </c>
      <c r="FA26" s="30" t="s">
        <v>753</v>
      </c>
      <c r="FB26" s="30" t="s">
        <v>779</v>
      </c>
      <c r="FC26" s="30" t="s">
        <v>780</v>
      </c>
      <c r="FD26" s="30" t="s">
        <v>754</v>
      </c>
      <c r="FE26" s="30" t="s">
        <v>755</v>
      </c>
      <c r="FF26" s="30" t="s">
        <v>756</v>
      </c>
      <c r="FG26" s="30" t="s">
        <v>757</v>
      </c>
      <c r="FH26" s="30" t="s">
        <v>758</v>
      </c>
      <c r="FI26" s="9"/>
      <c r="FJ26" s="9"/>
      <c r="FK26" s="9"/>
      <c r="FL26" s="9"/>
      <c r="FM26" s="9"/>
      <c r="FN26" s="9"/>
      <c r="FO26" s="9"/>
      <c r="FP26" s="9"/>
      <c r="FQ26" s="9"/>
    </row>
    <row r="27" spans="1:173" s="4" customFormat="1" ht="42.75">
      <c r="A27" s="4">
        <f>'1PROJE'!B7</f>
        <v>1</v>
      </c>
      <c r="B27" s="4" t="str">
        <f>'1PROJE'!C7</f>
        <v>Zipline® Neo 110 Wawe (Dikey)</v>
      </c>
      <c r="C27" s="4">
        <f>'1PROJE'!D7</f>
        <v>1</v>
      </c>
      <c r="D27" s="4">
        <f>'1PROJE'!E7</f>
        <v>1200</v>
      </c>
      <c r="E27" s="4">
        <f>'1PROJE'!F7</f>
        <v>2315</v>
      </c>
      <c r="F27" s="4" t="str">
        <f>'1PROJE'!G7</f>
        <v>(+K)</v>
      </c>
      <c r="G27" s="4">
        <f>'1PROJE'!H7</f>
        <v>7016</v>
      </c>
      <c r="H27" s="4" t="str">
        <f>'1PROJE'!I7</f>
        <v>COPACO</v>
      </c>
      <c r="I27" s="4">
        <f>'1PROJE'!K7</f>
        <v>0</v>
      </c>
      <c r="J27" s="4" t="str">
        <f>'1PROJE'!L7</f>
        <v>FERRINI ALICILI - 20NM</v>
      </c>
      <c r="K27" s="4">
        <f>'1PROJE'!M7</f>
        <v>0</v>
      </c>
      <c r="L27" s="4" t="str">
        <f>'1PROJE'!N7</f>
        <v>FERRINI 1 KANALLI</v>
      </c>
      <c r="M27" s="4">
        <f>'1PROJE'!O7</f>
        <v>1</v>
      </c>
      <c r="N27" s="4">
        <f>IF(E27&lt;2000,4,IF(E27&lt;5000,6,8))</f>
        <v>6</v>
      </c>
      <c r="O27" s="4">
        <f>'1PROJE'!P7</f>
        <v>0</v>
      </c>
      <c r="P27" s="4" t="str">
        <f>'1PROJE'!R7</f>
        <v>STD. RAL</v>
      </c>
      <c r="Q27" s="4">
        <f>'1PROJE'!S7</f>
        <v>0</v>
      </c>
      <c r="R27" s="4">
        <f>'1PROJE'!T7</f>
        <v>0</v>
      </c>
      <c r="U27" s="4">
        <f t="shared" ref="U27:U46" si="1">VLOOKUP(B27,$Y$1:$Z$18,2,0)</f>
        <v>9</v>
      </c>
      <c r="V27" s="4">
        <f>VLOOKUP(B27,'x Açılır Listeler'!$A$2:$B$15,2,0)</f>
        <v>110</v>
      </c>
      <c r="W27" s="4">
        <f>VLOOKUP(B27,'x Açılır Listeler'!$A$2:$C$15,3,0)*2</f>
        <v>86</v>
      </c>
      <c r="X27" s="4">
        <f>IFERROR(VLOOKUP(F27,$V$19:$X$24,3,0)+D27,0)</f>
        <v>1200</v>
      </c>
      <c r="Y27" s="4">
        <f>IFERROR(VLOOKUP(F27,$V$19:$X$24,2,0)+E27,0)</f>
        <v>2425</v>
      </c>
      <c r="Z27" s="4" t="s">
        <v>390</v>
      </c>
      <c r="AA27" s="4">
        <f t="shared" ref="AA27:AA46" si="2">$AI$11</f>
        <v>25</v>
      </c>
      <c r="AB27" s="38">
        <f>VLOOKUP(J27,'x Malzemeler ve Özellikleri'!$N$147:$R$167,5,0)</f>
        <v>25</v>
      </c>
      <c r="AC27" s="46">
        <f>IF('1PROJE'!J7="",VLOOKUP(H27,'x Malzemeler ve Özellikleri'!$N$137:$R$146,5,0),'1PROJE'!J7)</f>
        <v>10</v>
      </c>
      <c r="AD27" s="52">
        <f>((Y27+300)/1000)*((X27-88)/1000)*$AI$13</f>
        <v>3.2726160000000006</v>
      </c>
      <c r="AE27" s="46">
        <f>AC27*AD27</f>
        <v>32.726160000000007</v>
      </c>
      <c r="AF27" s="46">
        <f>IF(O27="VAR",IF('1PROJE'!Q7="",$AI$10,'1PROJE'!Q7),0)</f>
        <v>0</v>
      </c>
      <c r="AG27" s="4">
        <f>IF('1PROJE'!S7="",VLOOKUP(xHesaplama!P27,'x Malzemeler ve Özellikleri'!$AS$2:$AT$11,2,0),'1PROJE'!S7/'1PROJE'!$P$3)</f>
        <v>1.0826771653543308</v>
      </c>
      <c r="AH27" s="4">
        <f>(X27+$AH$23)*VLOOKUP($AH$26,'x Malzemeler ve Özellikleri'!$O$2:$AJ$136,xHesaplama!U27,0)/1000</f>
        <v>0</v>
      </c>
      <c r="AI27" s="4">
        <f>(X27+$AI$23)*VLOOKUP($AI$26,'x Malzemeler ve Özellikleri'!$O$2:$AJ$136,xHesaplama!U27,0)/1000</f>
        <v>0</v>
      </c>
      <c r="AJ27" s="4">
        <f>(X27+$AJ$23)*VLOOKUP($AJ$26,'x Malzemeler ve Özellikleri'!$O$2:$AJ$136,xHesaplama!U27,0)/1000</f>
        <v>0</v>
      </c>
      <c r="AK27" s="4">
        <f>(X27+$AK$23)*VLOOKUP($AK$26,'x Malzemeler ve Özellikleri'!$O$2:$AJ$136,xHesaplama!U27,0)/1000</f>
        <v>0</v>
      </c>
      <c r="AL27" s="4">
        <f>(Y27+$AL$23)*VLOOKUP($AL$26,'x Malzemeler ve Özellikleri'!$O$2:$AJ$136,xHesaplama!U27,0)/1000*2</f>
        <v>0</v>
      </c>
      <c r="AM27" s="4">
        <f>IF(AND(X27&lt;4500,Y27&lt;4500,X27*Y27/1000000&lt;12),(X27+$AM$23)*VLOOKUP($AM$26,'x Malzemeler ve Özellikleri'!$O$2:$AJ$136,xHesaplama!U27,0)/1000,0)</f>
        <v>0</v>
      </c>
      <c r="AN27" s="4">
        <f>IF(OR(X27&gt;=4500,Y27&gt;=4500,X27*Y27/1000000&gt;=12),(X27+$AN$23)*VLOOKUP($AN$26,'x Malzemeler ve Özellikleri'!$O$2:$AJ$136,xHesaplama!U27,0)/1000,0)</f>
        <v>0</v>
      </c>
      <c r="AO27" s="4">
        <f>(Y27+$AO$23)*VLOOKUP($AO$26,'x Malzemeler ve Özellikleri'!$O$2:$AJ$136,xHesaplama!U27,0)/1000*2</f>
        <v>0</v>
      </c>
      <c r="AP27" s="4">
        <f>$AP$23*VLOOKUP($AP$26,'x Malzemeler ve Özellikleri'!$O$2:$AJ$136,xHesaplama!U27,0)</f>
        <v>0</v>
      </c>
      <c r="AQ27" s="4">
        <f>$AQ$23*VLOOKUP($AQ$26,'x Malzemeler ve Özellikleri'!$O$2:$AJ$136,xHesaplama!U27,0)</f>
        <v>0</v>
      </c>
      <c r="AR27" s="4">
        <f>$AR$23*VLOOKUP($AR$26,'x Malzemeler ve Özellikleri'!$O$2:$AJ$136,xHesaplama!U27,0)</f>
        <v>0</v>
      </c>
      <c r="AS27" s="4">
        <f>$AS$23*VLOOKUP($AS$26,'x Malzemeler ve Özellikleri'!$O$2:$AJ$136,xHesaplama!U27,0)</f>
        <v>0</v>
      </c>
      <c r="AT27" s="4">
        <f>$AT$23*VLOOKUP($AT$26,'x Malzemeler ve Özellikleri'!$O$2:$AJ$136,xHesaplama!U27,0)</f>
        <v>0</v>
      </c>
      <c r="AU27" s="4">
        <f>$AU$23*VLOOKUP($AU$26,'x Malzemeler ve Özellikleri'!$O$2:$AJ$136,xHesaplama!U27,0)</f>
        <v>0</v>
      </c>
      <c r="AV27" s="4">
        <f>$AV$23*VLOOKUP($AV$26,'x Malzemeler ve Özellikleri'!$O$2:$AJ$136,xHesaplama!U27,0)</f>
        <v>0</v>
      </c>
      <c r="AW27" s="4">
        <f>(Y27+$AW$23)*VLOOKUP($AW$26,'x Malzemeler ve Özellikleri'!$O$2:$AJ$136,xHesaplama!U27,0)/1000*2</f>
        <v>0</v>
      </c>
      <c r="AX27" s="4">
        <f>$AX$23*VLOOKUP($AX$26,'x Malzemeler ve Özellikleri'!$O$2:$AJ$136,xHesaplama!U27,0)</f>
        <v>0</v>
      </c>
      <c r="AY27" s="4">
        <f>$AY$23*VLOOKUP($AY$26,'x Malzemeler ve Özellikleri'!$O$2:$AJ$136,xHesaplama!U27,0)</f>
        <v>0</v>
      </c>
      <c r="AZ27" s="23">
        <f>ROUNDUP(Y27/300,0)*4*VLOOKUP($AZ$26,'x Malzemeler ve Özellikleri'!$O$2:$AJ$136,xHesaplama!U27,0)</f>
        <v>0</v>
      </c>
      <c r="BA27" s="4">
        <f>(2*X27-155-183)*VLOOKUP($BA$26,'x Malzemeler ve Özellikleri'!$O$2:$AJ$136,xHesaplama!U27,0)/1000</f>
        <v>0</v>
      </c>
      <c r="BB27" s="4">
        <f>$BB$23*VLOOKUP($BB$26,'x Malzemeler ve Özellikleri'!$O$2:$AJ$136,xHesaplama!U27,0)</f>
        <v>0</v>
      </c>
      <c r="BC27" s="4">
        <f>$BC$23*VLOOKUP($BC$26,'x Malzemeler ve Özellikleri'!$O$2:$AJ$136,xHesaplama!U27,0)</f>
        <v>0</v>
      </c>
      <c r="BD27" s="4">
        <f>$BD$23*VLOOKUP($BD$26,'x Malzemeler ve Özellikleri'!$O$2:$AJ$136,xHesaplama!U27,0)</f>
        <v>0</v>
      </c>
      <c r="BE27" s="4">
        <f>$BE$23*VLOOKUP($BE$26,'x Malzemeler ve Özellikleri'!$O$2:$AJ$136,xHesaplama!U27,0)</f>
        <v>0</v>
      </c>
      <c r="BF27" s="4">
        <f>$BF$23*VLOOKUP($BF$26,'x Malzemeler ve Özellikleri'!$O$2:$AJ$136,xHesaplama!U27,0)</f>
        <v>0</v>
      </c>
      <c r="BG27" s="4">
        <f>$BG$23*VLOOKUP($BG$26,'x Malzemeler ve Özellikleri'!$O$2:$AJ$136,xHesaplama!U27,0)</f>
        <v>0</v>
      </c>
      <c r="BH27" s="4">
        <f>$BH$23*VLOOKUP($BH$26,'x Malzemeler ve Özellikleri'!$O$2:$AJ$136,xHesaplama!U27,0)*N27</f>
        <v>0</v>
      </c>
      <c r="BI27" s="4">
        <f>$BI$23*VLOOKUP($BI$26,'x Malzemeler ve Özellikleri'!$O$2:$AJ$136,xHesaplama!U27,0)</f>
        <v>0</v>
      </c>
      <c r="BJ27" s="4">
        <f>$BJ$23*VLOOKUP($BJ$26,'x Malzemeler ve Özellikleri'!$O$2:$AJ$136,xHesaplama!U27,0)</f>
        <v>0</v>
      </c>
      <c r="BK27" s="4">
        <f>$BK$23*VLOOKUP($BK$26,'x Malzemeler ve Özellikleri'!$O$2:$AJ$136,xHesaplama!U27,0)</f>
        <v>0</v>
      </c>
      <c r="BL27" s="4">
        <f>$BL$23*VLOOKUP($BL$26,'x Malzemeler ve Özellikleri'!$O$2:$AJ$136,xHesaplama!U27,0)</f>
        <v>0</v>
      </c>
      <c r="BM27" s="4">
        <f>$BM$23*VLOOKUP($BM$26,'x Malzemeler ve Özellikleri'!$O$2:$AJ$136,xHesaplama!U27,0)</f>
        <v>0</v>
      </c>
      <c r="BN27" s="4">
        <f>$BN$23*VLOOKUP($BN$26,'x Malzemeler ve Özellikleri'!$O$2:$AJ$136,xHesaplama!U27,0)</f>
        <v>0</v>
      </c>
      <c r="BO27" s="4">
        <f>(2*(2*X27+Y27*2)*VLOOKUP($BO$26,'x Malzemeler ve Özellikleri'!$O$2:$AJ$136,xHesaplama!U27,0)/1000)</f>
        <v>0</v>
      </c>
      <c r="BP27" s="4">
        <f>(X27+$BP$23)*VLOOKUP($BP$26,'x Malzemeler ve Özellikleri'!$O$2:$AJ$136,xHesaplama!U27,0)/1000</f>
        <v>0</v>
      </c>
      <c r="BQ27" s="4">
        <f>(X27+$BQ$23)*VLOOKUP($BQ$26,'x Malzemeler ve Özellikleri'!$O$2:$AJ$136,xHesaplama!U27,0)/1000</f>
        <v>0</v>
      </c>
      <c r="BR27" s="4">
        <f>(X27+$BR$23)*VLOOKUP($BR$26,'x Malzemeler ve Özellikleri'!$O$2:$AJ$136,xHesaplama!U27,0)/1000</f>
        <v>0</v>
      </c>
      <c r="BS27" s="4">
        <f>(X27+$BS$23)*VLOOKUP($BS$26,'x Malzemeler ve Özellikleri'!$O$2:$AJ$136,xHesaplama!U27,0)/1000</f>
        <v>0</v>
      </c>
      <c r="BT27" s="4">
        <f>$BT$23*VLOOKUP($BT$26,'x Malzemeler ve Özellikleri'!$O$2:$AJ$136,xHesaplama!U27,0)</f>
        <v>0</v>
      </c>
      <c r="BU27" s="4">
        <f>(Y27+$BU$23)*VLOOKUP($BU$26,'x Malzemeler ve Özellikleri'!$O$2:$AJ$136,xHesaplama!U27,0)/1000*2</f>
        <v>0</v>
      </c>
      <c r="BV27" s="4">
        <f>(X27+$BV$23)*VLOOKUP($BV$26,'x Malzemeler ve Özellikleri'!$O$2:$AJ$136,xHesaplama!U27,0)/1000</f>
        <v>0</v>
      </c>
      <c r="BW27" s="4">
        <f>$BW$23*VLOOKUP($BW$26,'x Malzemeler ve Özellikleri'!$O$2:$AJ$136,xHesaplama!U27,0)</f>
        <v>0</v>
      </c>
      <c r="BX27" s="23">
        <f>ROUNDUP(Y27/300,0)*4*VLOOKUP($BX$26,'x Malzemeler ve Özellikleri'!$O$2:$AJ$136,xHesaplama!U27,0)</f>
        <v>0</v>
      </c>
      <c r="BY27" s="4">
        <f>$BY$23*VLOOKUP($BY$26,'x Malzemeler ve Özellikleri'!$O$2:$AJ$136,xHesaplama!U27,0)</f>
        <v>0</v>
      </c>
      <c r="BZ27" s="4">
        <f>$BZ$23*VLOOKUP($BZ$26,'x Malzemeler ve Özellikleri'!$O$2:$AJ$136,xHesaplama!U27,0)</f>
        <v>0</v>
      </c>
      <c r="CA27" s="4">
        <f>(X27+$CA$23)*VLOOKUP($CA$26,'x Malzemeler ve Özellikleri'!$O$2:$AJ$136,xHesaplama!U27,0)/1000</f>
        <v>0</v>
      </c>
      <c r="CB27" s="4">
        <f>(X27+$CB$23)*VLOOKUP($CB$26,'x Malzemeler ve Özellikleri'!$O$2:$AJ$136,xHesaplama!U27,0)/1000</f>
        <v>0</v>
      </c>
      <c r="CC27" s="4">
        <f>$CC$23*VLOOKUP($CC$26,'x Malzemeler ve Özellikleri'!$O$2:$AJ$136,xHesaplama!U27,0)</f>
        <v>0</v>
      </c>
      <c r="CD27" s="4">
        <f>(X27+$CD$23)*VLOOKUP($CD$26,'x Malzemeler ve Özellikleri'!$O$2:$AJ$136,xHesaplama!U27,0)/1000</f>
        <v>0</v>
      </c>
      <c r="CE27" s="4">
        <f>(2*X27-120-122)*VLOOKUP($CE$26,'x Malzemeler ve Özellikleri'!$O$2:$AJ$136,xHesaplama!U27,0)/1000</f>
        <v>0</v>
      </c>
      <c r="CF27" s="4">
        <f>(Y27+$CF$23)*VLOOKUP($CF$26,'x Malzemeler ve Özellikleri'!$O$2:$AJ$136,xHesaplama!U27,0)/1000*2</f>
        <v>0</v>
      </c>
      <c r="CG27" s="4">
        <f>$CG$23*VLOOKUP($CG$26,'x Malzemeler ve Özellikleri'!$O$2:$AJ$136,xHesaplama!U27,0)</f>
        <v>0</v>
      </c>
      <c r="CH27" s="4">
        <f>(Y27+$CH$23)*VLOOKUP($CH$26,'x Malzemeler ve Özellikleri'!$O$2:$AJ$136,xHesaplama!U27,0)/1000*2</f>
        <v>0</v>
      </c>
      <c r="CI27" s="4">
        <f>(Y27+$CI$23)*VLOOKUP($CI$26,'x Malzemeler ve Özellikleri'!$O$2:$AJ$136,xHesaplama!U27,0)/1000*2</f>
        <v>0</v>
      </c>
      <c r="CJ27" s="4">
        <f>$CJ$23*VLOOKUP($CJ$26,'x Malzemeler ve Özellikleri'!$O$2:$AJ$136,xHesaplama!U27,0)</f>
        <v>0</v>
      </c>
      <c r="CK27" s="4">
        <f>$CK$23*VLOOKUP($CK$26,'x Malzemeler ve Özellikleri'!$O$2:$AJ$136,xHesaplama!U27,0)</f>
        <v>0</v>
      </c>
      <c r="CL27" s="4">
        <f>$CL$23*VLOOKUP($CL$26,'x Malzemeler ve Özellikleri'!$O$2:$AJ$136,xHesaplama!U27,0)</f>
        <v>0</v>
      </c>
      <c r="CM27" s="4">
        <f>(X27+$CM$23)*VLOOKUP($CM$26,'x Malzemeler ve Özellikleri'!$O$2:$AJ$136,xHesaplama!U27,0)/1000</f>
        <v>1.1919999999999999</v>
      </c>
      <c r="CN27" s="4">
        <f>(X27+$CN$23)*VLOOKUP($CN$26,'x Malzemeler ve Özellikleri'!$O$2:$AJ$136,xHesaplama!U27,0)/1000</f>
        <v>1.1919999999999999</v>
      </c>
      <c r="CO27" s="4">
        <f>(X27+$CO$23)*VLOOKUP($CO$26,'x Malzemeler ve Özellikleri'!$O$2:$AJ$136,xHesaplama!U27,0)/1000</f>
        <v>0</v>
      </c>
      <c r="CP27" s="4">
        <f>(X27+$CP$23)*VLOOKUP($CP$26,'x Malzemeler ve Özellikleri'!$O$2:$AJ$136,xHesaplama!U27,0)/1000</f>
        <v>0</v>
      </c>
      <c r="CQ27" s="23">
        <f>ROUNDUP(Y27/300,0)*4*VLOOKUP($CQ$26,'x Malzemeler ve Özellikleri'!$O$2:$AJ$136,xHesaplama!U27,0)</f>
        <v>36</v>
      </c>
      <c r="CR27" s="4">
        <f>(X27+$CR$23)*VLOOKUP($CR$26,'x Malzemeler ve Özellikleri'!$O$2:$AJ$136,xHesaplama!U27,0)/1000</f>
        <v>1.0920000000000001</v>
      </c>
      <c r="CS27" s="4">
        <f>$CS$23*VLOOKUP($CS$26,'x Malzemeler ve Özellikleri'!$O$2:$AJ$136,xHesaplama!U27,0)</f>
        <v>1</v>
      </c>
      <c r="CT27" s="4">
        <f>$CT$23*VLOOKUP($CT$26,'x Malzemeler ve Özellikleri'!$O$2:$AJ$136,xHesaplama!U27,0)</f>
        <v>1</v>
      </c>
      <c r="CU27" s="4">
        <f>(Y27+$CU$23)*VLOOKUP($CU$26,'x Malzemeler ve Özellikleri'!$O$2:$AJ$136,xHesaplama!U27,0)/1000*2</f>
        <v>5.23</v>
      </c>
      <c r="CV27" s="4">
        <f>(Y27+$CV$23)*VLOOKUP($CV$26,'x Malzemeler ve Özellikleri'!$O$2:$AJ$136,xHesaplama!U27,0)/1000*2</f>
        <v>4.6100000000000003</v>
      </c>
      <c r="CW27" s="4">
        <f>$CW$23*VLOOKUP($CW$26,'x Malzemeler ve Özellikleri'!$O$2:$AJ$136,xHesaplama!U27,0)</f>
        <v>1</v>
      </c>
      <c r="CX27" s="4">
        <f>(X27+$CX$23)*VLOOKUP($CX$26,'x Malzemeler ve Özellikleri'!$O$2:$AJ$136,xHesaplama!U27,0)/1000</f>
        <v>1.0880000000000001</v>
      </c>
      <c r="CY27" s="4">
        <f>(2*X27-112-108)*VLOOKUP($CY$26,'x Malzemeler ve Özellikleri'!$O$2:$AJ$136,xHesaplama!U27,0)/1000</f>
        <v>2.1800000000000002</v>
      </c>
      <c r="CZ27" s="4">
        <f>$CZ$23*VLOOKUP($CZ$26,'x Malzemeler ve Özellikleri'!$O$2:$AJ$136,xHesaplama!U27,0)</f>
        <v>1</v>
      </c>
      <c r="DA27" s="4">
        <f>$DA$23*VLOOKUP($DA$26,'x Malzemeler ve Özellikleri'!$O$2:$AJ$136,xHesaplama!U27,0)</f>
        <v>1</v>
      </c>
      <c r="DB27" s="4">
        <f>$DB$23*VLOOKUP($DB$26,'x Malzemeler ve Özellikleri'!$O$2:$AJ$136,xHesaplama!U27,0)</f>
        <v>1</v>
      </c>
      <c r="DC27" s="4">
        <f>$DC$23*VLOOKUP($DC$26,'x Malzemeler ve Özellikleri'!$O$2:$AJ$136,xHesaplama!U27,0)</f>
        <v>2</v>
      </c>
      <c r="DD27" s="4">
        <f>(X27+$DD$23)*VLOOKUP($DD$26,'x Malzemeler ve Özellikleri'!$O$2:$AJ$136,xHesaplama!U27,0)/1000</f>
        <v>1.0880000000000001</v>
      </c>
      <c r="DE27" s="4">
        <f>(X27+$DE$23)*VLOOKUP($DE$26,'x Malzemeler ve Özellikleri'!$O$2:$AJ$136,xHesaplama!U27,0)/1000</f>
        <v>1.085</v>
      </c>
      <c r="DF27" s="4">
        <f>$DF$23*VLOOKUP($DF$26,'x Malzemeler ve Özellikleri'!$O$2:$AJ$136,xHesaplama!U27,0)</f>
        <v>4</v>
      </c>
      <c r="DG27" s="4">
        <f>(Y27+$DG$23)*VLOOKUP($DG$26,'x Malzemeler ve Özellikleri'!$O$2:$AJ$136,xHesaplama!U27,0)/1000*2</f>
        <v>4.62</v>
      </c>
      <c r="DH27" s="4">
        <f>(Y27+$DH$23)*VLOOKUP($DH$26,'x Malzemeler ve Özellikleri'!$O$2:$AJ$136,xHesaplama!U27,0)/1000*2</f>
        <v>4.62</v>
      </c>
      <c r="DI27" s="4">
        <f>(Y27+$DI$23)*VLOOKUP($DI$26,'x Malzemeler ve Özellikleri'!$O$2:$AJ$136,xHesaplama!U27,0)/1000*2</f>
        <v>4.6139999999999999</v>
      </c>
      <c r="DJ27" s="4">
        <f>$DJ$23*VLOOKUP($DJ$26,'x Malzemeler ve Özellikleri'!$O$2:$AJ$136,xHesaplama!U27,0)</f>
        <v>2</v>
      </c>
      <c r="DK27" s="4">
        <f>$DK$23*VLOOKUP($DK$26,'x Malzemeler ve Özellikleri'!$O$2:$AJ$136,xHesaplama!U27,0)</f>
        <v>2</v>
      </c>
      <c r="DL27" s="4">
        <f>(X27+$DL$23)*VLOOKUP($DL$26,'x Malzemeler ve Özellikleri'!$O$2:$AJ$136,xHesaplama!U27,0)/1000</f>
        <v>0</v>
      </c>
      <c r="DM27" s="4">
        <f>(X27+$DM$23)*VLOOKUP($DM$26,'x Malzemeler ve Özellikleri'!$O$2:$AJ$136,xHesaplama!U27,0)/1000</f>
        <v>0</v>
      </c>
      <c r="DN27" s="4">
        <f>(X27+$DN$23)*VLOOKUP($DN$26,'x Malzemeler ve Özellikleri'!$O$2:$AJ$136,xHesaplama!U27,0)/1000</f>
        <v>0</v>
      </c>
      <c r="DO27" s="4">
        <f>(X27+$DO$23)*VLOOKUP($DO$26,'x Malzemeler ve Özellikleri'!$O$2:$AJ$136,xHesaplama!U27,0)/1000</f>
        <v>0</v>
      </c>
      <c r="DP27" s="23">
        <f>ROUNDUP(Y27/300,0)*4*VLOOKUP($DP$26,'x Malzemeler ve Özellikleri'!$O$2:$AJ$136,xHesaplama!U27,0)</f>
        <v>0</v>
      </c>
      <c r="DQ27" s="4">
        <f>(X27+$DQ$23)*VLOOKUP($DQ$26,'x Malzemeler ve Özellikleri'!$O$2:$AJ$136,xHesaplama!U27,0)/1000</f>
        <v>0</v>
      </c>
      <c r="DR27" s="4">
        <f>(Y27+$DR$23)*VLOOKUP($DR$26,'x Malzemeler ve Özellikleri'!$O$2:$AJ$136,xHesaplama!U27,0)/1000*2</f>
        <v>0</v>
      </c>
      <c r="DS27" s="4">
        <f>(Y27+$DS$23)*VLOOKUP($DS$26,'x Malzemeler ve Özellikleri'!$O$2:$AJ$136,xHesaplama!U27,0)/1000*2</f>
        <v>0</v>
      </c>
      <c r="DT27" s="4">
        <f>$DT$23*VLOOKUP($DT$26,'x Malzemeler ve Özellikleri'!$O$2:$AJ$136,xHesaplama!U27,0)</f>
        <v>0</v>
      </c>
      <c r="DU27" s="4">
        <f>(X27+$DU$23)*VLOOKUP($DU$26,'x Malzemeler ve Özellikleri'!$O$2:$AJ$136,xHesaplama!U27,0)/1000</f>
        <v>0</v>
      </c>
      <c r="DV27" s="4">
        <f>(2*X27-112-108)*VLOOKUP($DV$26,'x Malzemeler ve Özellikleri'!$O$2:$AJ$136,xHesaplama!U27,0)/1000</f>
        <v>0</v>
      </c>
      <c r="DW27" s="4">
        <f>$DW$23*VLOOKUP($DW$26,'x Malzemeler ve Özellikleri'!$O$2:$AJ$136,xHesaplama!U27,0)</f>
        <v>0</v>
      </c>
      <c r="DX27" s="4">
        <f>$DX$23*VLOOKUP($DX$26,'x Malzemeler ve Özellikleri'!$O$2:$AJ$136,xHesaplama!U27,0)</f>
        <v>0</v>
      </c>
      <c r="DY27" s="4">
        <f>$DY$23*VLOOKUP($DY$26,'x Malzemeler ve Özellikleri'!$O$2:$AJ$136,xHesaplama!U27,0)</f>
        <v>0</v>
      </c>
      <c r="DZ27" s="4">
        <f>$DZ$23*VLOOKUP($DZ$26,'x Malzemeler ve Özellikleri'!$O$2:$AJ$136,xHesaplama!U27,0)</f>
        <v>0</v>
      </c>
      <c r="EA27" s="4">
        <f>(X27+$EA$23)*VLOOKUP($EA$26,'x Malzemeler ve Özellikleri'!$O$2:$AJ$136,xHesaplama!U27,0)/1000</f>
        <v>0</v>
      </c>
      <c r="EB27" s="4">
        <f>(X27+$EB$23)*VLOOKUP($EB$26,'x Malzemeler ve Özellikleri'!$O$2:$AJ$136,xHesaplama!U27,0)/1000</f>
        <v>0</v>
      </c>
      <c r="EC27" s="4">
        <f>$EC$23*VLOOKUP($EC$26,'x Malzemeler ve Özellikleri'!$O$2:$AJ$136,xHesaplama!U27,0)</f>
        <v>0</v>
      </c>
      <c r="ED27" s="4">
        <f>(Y27+$ED$23)*VLOOKUP($ED$26,'x Malzemeler ve Özellikleri'!$O$2:$AJ$136,xHesaplama!U27,0)/1000*2</f>
        <v>0</v>
      </c>
      <c r="EE27" s="4">
        <f>(Y27+$EE$23)*VLOOKUP($EE$26,'x Malzemeler ve Özellikleri'!$O$2:$AJ$136,xHesaplama!U27,0)/1000*2</f>
        <v>0</v>
      </c>
      <c r="EF27" s="4">
        <f>(Y27+$EF$23)*VLOOKUP($EF$26,'x Malzemeler ve Özellikleri'!$O$2:$AJ$136,xHesaplama!U27,0)/1000*2</f>
        <v>0</v>
      </c>
      <c r="EG27" s="4">
        <f>$EG$23*VLOOKUP($EG$26,'x Malzemeler ve Özellikleri'!$O$2:$AJ$136,xHesaplama!U27,0)</f>
        <v>0</v>
      </c>
      <c r="EH27" s="4">
        <f>$EH$23*VLOOKUP($EH$26,'x Malzemeler ve Özellikleri'!$O$2:$AJ$136,xHesaplama!U27,0)</f>
        <v>0</v>
      </c>
      <c r="EI27" s="4">
        <f>$EI$23*VLOOKUP($EI$26,'x Malzemeler ve Özellikleri'!$O$2:$AJ$136,xHesaplama!U27,0)</f>
        <v>0</v>
      </c>
      <c r="EJ27" s="4">
        <f>$EJ$23*VLOOKUP($EJ$26,'x Malzemeler ve Özellikleri'!$O$2:$AJ$136,xHesaplama!U27,0)</f>
        <v>0</v>
      </c>
      <c r="EK27" s="4">
        <f>$EK$23*VLOOKUP($EK$26,'x Malzemeler ve Özellikleri'!$O$2:$AJ$136,xHesaplama!U27,0)</f>
        <v>0</v>
      </c>
      <c r="EL27" s="4">
        <f>$EL$23*VLOOKUP($EL$26,'x Malzemeler ve Özellikleri'!$O$2:$AJ$136,xHesaplama!U27,0)</f>
        <v>0</v>
      </c>
      <c r="EM27" s="4">
        <f>(X27+$EM$23)*VLOOKUP($EM$26,'x Malzemeler ve Özellikleri'!$O$2:$AJ$136,xHesaplama!U27,0)/1000</f>
        <v>0</v>
      </c>
      <c r="EN27" s="4">
        <f>(X27+$EN$23)*VLOOKUP($EN$26,'x Malzemeler ve Özellikleri'!$O$2:$AJ$136,xHesaplama!U27,0)/1000</f>
        <v>0</v>
      </c>
      <c r="EO27" s="4">
        <f>(X27+$EO$23)*VLOOKUP($EO$26,'x Malzemeler ve Özellikleri'!$O$2:$AJ$136,xHesaplama!U27,0)/1000</f>
        <v>0</v>
      </c>
      <c r="EP27" s="4">
        <f>(X27+$EP$23)*VLOOKUP($EP$26,'x Malzemeler ve Özellikleri'!$O$2:$AJ$136,xHesaplama!U27,0)/1000</f>
        <v>0</v>
      </c>
      <c r="EQ27" s="4">
        <f>(X27+$EQ$23)*VLOOKUP($EQ$26,'x Malzemeler ve Özellikleri'!$O$2:$AJ$136,xHesaplama!U27,0)/1000</f>
        <v>0</v>
      </c>
      <c r="ER27" s="4">
        <f>$ER$23*VLOOKUP($ER$26,'x Malzemeler ve Özellikleri'!$O$2:$AJ$136,xHesaplama!U27,0)</f>
        <v>0</v>
      </c>
      <c r="ES27" s="4">
        <f>(X27+$ES$23)*VLOOKUP($ES$26,'x Malzemeler ve Özellikleri'!$O$2:$AJ$136,xHesaplama!U27,0)/1000</f>
        <v>0</v>
      </c>
      <c r="ET27" s="4">
        <f>(2*X27-112-108)*VLOOKUP($ET$26,'x Malzemeler ve Özellikleri'!$O$2:$AJ$136,xHesaplama!U27,0)/1000</f>
        <v>0</v>
      </c>
      <c r="EU27" s="4">
        <f>$EU$23*VLOOKUP($EU$26,'x Malzemeler ve Özellikleri'!$O$2:$AJ$136,xHesaplama!U27,0)</f>
        <v>0</v>
      </c>
      <c r="EV27" s="4">
        <f>$EV$23*VLOOKUP($EV$26,'x Malzemeler ve Özellikleri'!$O$2:$AJ$136,xHesaplama!U27,0)</f>
        <v>0</v>
      </c>
      <c r="EW27" s="4">
        <f>$EW$23*VLOOKUP($EW$26,'x Malzemeler ve Özellikleri'!$O$2:$AJ$136,xHesaplama!U27,0)</f>
        <v>0</v>
      </c>
      <c r="EX27" s="4">
        <f>$EX$23*VLOOKUP($EX$26,'x Malzemeler ve Özellikleri'!$O$2:$AJ$136,xHesaplama!U27,0)</f>
        <v>0</v>
      </c>
      <c r="EY27" s="4">
        <f>(X27+$EY$23)*VLOOKUP($EY$26,'x Malzemeler ve Özellikleri'!$O$2:$AJ$136,xHesaplama!U27,0)/1000</f>
        <v>0</v>
      </c>
      <c r="EZ27" s="4">
        <f>(X27+$EZ$23)*VLOOKUP($EZ$26,'x Malzemeler ve Özellikleri'!$O$2:$AJ$136,xHesaplama!U27,0)/1000</f>
        <v>0</v>
      </c>
      <c r="FA27" s="4">
        <f>$FA$23*VLOOKUP($FA$26,'x Malzemeler ve Özellikleri'!$O$2:$AJ$136,xHesaplama!U27,0)</f>
        <v>0</v>
      </c>
      <c r="FB27" s="4">
        <f>$FB$23*VLOOKUP($FB$26,'x Malzemeler ve Özellikleri'!$O$2:$AJ$136,xHesaplama!U27,0)</f>
        <v>0</v>
      </c>
      <c r="FC27" s="4">
        <f>$FC$23*VLOOKUP($FC$26,'x Malzemeler ve Özellikleri'!$O$2:$AJ$136,xHesaplama!U27,0)</f>
        <v>0</v>
      </c>
      <c r="FD27" s="4">
        <f>$FD$23*VLOOKUP($FD$26,'x Malzemeler ve Özellikleri'!$O$2:$AJ$136,xHesaplama!U27,0)</f>
        <v>0</v>
      </c>
      <c r="FE27" s="4">
        <f>$FE$23*VLOOKUP($FE$26,'x Malzemeler ve Özellikleri'!$O$2:$AJ$136,xHesaplama!U27,0)</f>
        <v>0</v>
      </c>
      <c r="FF27" s="4">
        <f>$FF$23*VLOOKUP($FF$26,'x Malzemeler ve Özellikleri'!$O$2:$AJ$136,xHesaplama!U27,0)</f>
        <v>0</v>
      </c>
      <c r="FG27" s="4">
        <f>$FG$23*VLOOKUP($FG$26,'x Malzemeler ve Özellikleri'!$O$2:$AJ$136,xHesaplama!U27,0)</f>
        <v>0</v>
      </c>
      <c r="FH27" s="4">
        <f>$FH$23*VLOOKUP($FH$26,'x Malzemeler ve Özellikleri'!$O$2:$AJ$136,xHesaplama!U27,0)</f>
        <v>0</v>
      </c>
      <c r="FI27" s="38"/>
      <c r="FJ27" s="38"/>
      <c r="FK27" s="38"/>
      <c r="FL27" s="38"/>
      <c r="FM27" s="38"/>
      <c r="FN27" s="38"/>
      <c r="FO27" s="38"/>
      <c r="FP27" s="38"/>
      <c r="FQ27" s="38"/>
    </row>
    <row r="28" spans="1:173">
      <c r="A28" s="4">
        <f>'1PROJE'!B8</f>
        <v>2</v>
      </c>
      <c r="B28" s="4">
        <f>'1PROJE'!C8</f>
        <v>0</v>
      </c>
      <c r="C28" s="4">
        <f>'1PROJE'!D8</f>
        <v>0</v>
      </c>
      <c r="D28" s="4">
        <f>'1PROJE'!E8</f>
        <v>0</v>
      </c>
      <c r="E28" s="4">
        <f>'1PROJE'!F8</f>
        <v>0</v>
      </c>
      <c r="F28" s="4">
        <f>'1PROJE'!G8</f>
        <v>0</v>
      </c>
      <c r="G28" s="4">
        <f>'1PROJE'!H8</f>
        <v>0</v>
      </c>
      <c r="H28" s="4">
        <f>'1PROJE'!I8</f>
        <v>0</v>
      </c>
      <c r="I28" s="4">
        <f>'1PROJE'!K8</f>
        <v>0</v>
      </c>
      <c r="J28" s="4">
        <f>'1PROJE'!L8</f>
        <v>0</v>
      </c>
      <c r="K28" s="4">
        <f>'1PROJE'!M8</f>
        <v>0</v>
      </c>
      <c r="L28" s="4">
        <f>'1PROJE'!N8</f>
        <v>0</v>
      </c>
      <c r="M28" s="4">
        <f>'1PROJE'!O8</f>
        <v>0</v>
      </c>
      <c r="N28" s="4">
        <f t="shared" ref="N28:N46" si="3">IF(E28&lt;2000,4,IF(E28&lt;5000,6,8))</f>
        <v>4</v>
      </c>
      <c r="O28" s="4">
        <f>'1PROJE'!P8</f>
        <v>0</v>
      </c>
      <c r="P28" s="4">
        <f>'1PROJE'!R8</f>
        <v>0</v>
      </c>
      <c r="Q28" s="4">
        <f>'1PROJE'!S8</f>
        <v>0</v>
      </c>
      <c r="R28" s="4">
        <f>'1PROJE'!T8</f>
        <v>0</v>
      </c>
      <c r="S28" s="4"/>
      <c r="U28" s="4" t="e">
        <f t="shared" si="1"/>
        <v>#N/A</v>
      </c>
      <c r="V28" s="4" t="e">
        <f>VLOOKUP(B28,'x Açılır Listeler'!$A$2:$B$15,2,0)</f>
        <v>#N/A</v>
      </c>
      <c r="W28" s="4" t="e">
        <f>VLOOKUP(B28,'x Açılır Listeler'!$A$2:$C$15,3,0)*2</f>
        <v>#N/A</v>
      </c>
      <c r="X28" s="4">
        <f t="shared" ref="X28:X46" si="4">IFERROR(VLOOKUP(F28,$V$19:$X$24,3,0)+D28,0)</f>
        <v>0</v>
      </c>
      <c r="Y28" s="4">
        <f t="shared" ref="Y28:Y46" si="5">IFERROR(VLOOKUP(F28,$V$19:$X$24,2,0)+E28,0)</f>
        <v>0</v>
      </c>
      <c r="Z28" s="4" t="s">
        <v>653</v>
      </c>
      <c r="AA28" s="4">
        <f t="shared" si="2"/>
        <v>25</v>
      </c>
      <c r="AB28" s="38" t="e">
        <f>VLOOKUP(J28,'x Malzemeler ve Özellikleri'!$N$147:$R$167,5,0)</f>
        <v>#N/A</v>
      </c>
      <c r="AC28" s="46" t="e">
        <f>IF('1PROJE'!J8="",VLOOKUP(H28,'x Malzemeler ve Özellikleri'!$N$137:$R$146,5,0),'1PROJE'!J8)</f>
        <v>#N/A</v>
      </c>
      <c r="AD28" s="52">
        <f t="shared" ref="AD28:AD46" si="6">((Y28+300)/1000)*((X28-88)/1000)*$AI$13</f>
        <v>-2.8511999999999999E-2</v>
      </c>
      <c r="AE28" s="46" t="e">
        <f t="shared" ref="AE28:AE46" si="7">AC28*AD28</f>
        <v>#N/A</v>
      </c>
      <c r="AF28" s="46">
        <f>IF(O28="VAR",IF('1PROJE'!Q8="",$AI$10,'1PROJE'!Q8),0)</f>
        <v>0</v>
      </c>
      <c r="AG28" s="4" t="e">
        <f>IF('1PROJE'!S8="",VLOOKUP(xHesaplama!P28,'x Malzemeler ve Özellikleri'!$AS$2:$AT$11,2,0),'1PROJE'!S8/'1PROJE'!$P$3)</f>
        <v>#N/A</v>
      </c>
      <c r="AH28" s="4" t="e">
        <f>(X28+$AH$23)*VLOOKUP($AH$26,'x Malzemeler ve Özellikleri'!$O$2:$AJ$136,xHesaplama!U28,0)/1000</f>
        <v>#REF!</v>
      </c>
      <c r="AI28" s="4" t="e">
        <f>(X28+$AI$23)*VLOOKUP($AI$26,'x Malzemeler ve Özellikleri'!$O$2:$AJ$136,xHesaplama!U28,0)/1000</f>
        <v>#REF!</v>
      </c>
      <c r="AJ28" s="4" t="e">
        <f>(X28+$AJ$23)*VLOOKUP($AJ$26,'x Malzemeler ve Özellikleri'!$O$2:$AJ$136,xHesaplama!U28,0)/1000</f>
        <v>#REF!</v>
      </c>
      <c r="AK28" s="4" t="e">
        <f>(X28+$AK$23)*VLOOKUP($AK$26,'x Malzemeler ve Özellikleri'!$O$2:$AJ$136,xHesaplama!U28,0)/1000</f>
        <v>#REF!</v>
      </c>
      <c r="AL28" s="4" t="e">
        <f>(Y28+$AL$23)*VLOOKUP($AL$26,'x Malzemeler ve Özellikleri'!$O$2:$AJ$136,xHesaplama!U28,0)/1000*2</f>
        <v>#REF!</v>
      </c>
      <c r="AM28" s="4" t="e">
        <f>IF(AND(X28&lt;4500,Y28&lt;4500,X28*Y28/1000000&lt;12),(X28+$AM$23)*VLOOKUP($AM$26,'x Malzemeler ve Özellikleri'!$O$2:$AJ$136,xHesaplama!U28,0)/1000,0)</f>
        <v>#REF!</v>
      </c>
      <c r="AN28" s="4">
        <f>IF(OR(X28&gt;=4500,Y28&gt;=4500,X28*Y28/1000000&gt;=12),(X28+$AN$23)*VLOOKUP($AN$26,'x Malzemeler ve Özellikleri'!$O$2:$AJ$136,xHesaplama!U28,0)/1000,0)</f>
        <v>0</v>
      </c>
      <c r="AO28" s="4" t="e">
        <f>(Y28+$AO$23)*VLOOKUP($AO$26,'x Malzemeler ve Özellikleri'!$O$2:$AJ$136,xHesaplama!U28,0)/1000*2</f>
        <v>#REF!</v>
      </c>
      <c r="AP28" s="4" t="e">
        <f>$AP$23*VLOOKUP($AP$26,'x Malzemeler ve Özellikleri'!$O$2:$AJ$136,xHesaplama!U28,0)</f>
        <v>#REF!</v>
      </c>
      <c r="AQ28" s="4" t="e">
        <f>$AQ$23*VLOOKUP($AQ$26,'x Malzemeler ve Özellikleri'!$O$2:$AJ$136,xHesaplama!U28,0)</f>
        <v>#REF!</v>
      </c>
      <c r="AR28" s="4" t="e">
        <f>$AR$23*VLOOKUP($AR$26,'x Malzemeler ve Özellikleri'!$O$2:$AJ$136,xHesaplama!U28,0)</f>
        <v>#REF!</v>
      </c>
      <c r="AS28" s="4" t="e">
        <f>$AS$23*VLOOKUP($AS$26,'x Malzemeler ve Özellikleri'!$O$2:$AJ$136,xHesaplama!U28,0)</f>
        <v>#REF!</v>
      </c>
      <c r="AT28" s="4" t="e">
        <f>$AT$23*VLOOKUP($AT$26,'x Malzemeler ve Özellikleri'!$O$2:$AJ$136,xHesaplama!U28,0)</f>
        <v>#REF!</v>
      </c>
      <c r="AU28" s="4" t="e">
        <f>$AU$23*VLOOKUP($AU$26,'x Malzemeler ve Özellikleri'!$O$2:$AJ$136,xHesaplama!U28,0)</f>
        <v>#REF!</v>
      </c>
      <c r="AV28" s="4" t="e">
        <f>$AV$23*VLOOKUP($AV$26,'x Malzemeler ve Özellikleri'!$O$2:$AJ$136,xHesaplama!U28,0)</f>
        <v>#REF!</v>
      </c>
      <c r="AW28" s="4" t="e">
        <f>(Y28+$AW$23)*VLOOKUP($AW$26,'x Malzemeler ve Özellikleri'!$O$2:$AJ$136,xHesaplama!U28,0)/1000*2</f>
        <v>#REF!</v>
      </c>
      <c r="AX28" s="4" t="e">
        <f>$AX$23*VLOOKUP($AX$26,'x Malzemeler ve Özellikleri'!$O$2:$AJ$136,xHesaplama!U28,0)</f>
        <v>#REF!</v>
      </c>
      <c r="AY28" s="4" t="e">
        <f>$AY$23*VLOOKUP($AY$26,'x Malzemeler ve Özellikleri'!$O$2:$AJ$136,xHesaplama!U28,0)</f>
        <v>#REF!</v>
      </c>
      <c r="AZ28" s="23" t="e">
        <f>ROUNDUP(Y28/300,0)*4*VLOOKUP($AZ$26,'x Malzemeler ve Özellikleri'!$O$2:$AJ$136,xHesaplama!U28,0)</f>
        <v>#REF!</v>
      </c>
      <c r="BA28" s="4" t="e">
        <f>(2*X28-155-183)*VLOOKUP($BA$26,'x Malzemeler ve Özellikleri'!$O$2:$AJ$136,xHesaplama!U28,0)/1000</f>
        <v>#REF!</v>
      </c>
      <c r="BB28" s="4" t="e">
        <f>$BB$23*VLOOKUP($BB$26,'x Malzemeler ve Özellikleri'!$O$2:$AJ$136,xHesaplama!U28,0)</f>
        <v>#REF!</v>
      </c>
      <c r="BC28" s="4" t="e">
        <f>$BC$23*VLOOKUP($BC$26,'x Malzemeler ve Özellikleri'!$O$2:$AJ$136,xHesaplama!U28,0)</f>
        <v>#REF!</v>
      </c>
      <c r="BD28" s="4" t="e">
        <f>$BD$23*VLOOKUP($BD$26,'x Malzemeler ve Özellikleri'!$O$2:$AJ$136,xHesaplama!U28,0)</f>
        <v>#REF!</v>
      </c>
      <c r="BE28" s="4" t="e">
        <f>$BE$23*VLOOKUP($BE$26,'x Malzemeler ve Özellikleri'!$O$2:$AJ$136,xHesaplama!U28,0)</f>
        <v>#REF!</v>
      </c>
      <c r="BF28" s="4" t="e">
        <f>$BF$23*VLOOKUP($BF$26,'x Malzemeler ve Özellikleri'!$O$2:$AJ$136,xHesaplama!U28,0)</f>
        <v>#REF!</v>
      </c>
      <c r="BG28" s="4" t="e">
        <f>$BG$23*VLOOKUP($BG$26,'x Malzemeler ve Özellikleri'!$O$2:$AJ$136,xHesaplama!U28,0)</f>
        <v>#REF!</v>
      </c>
      <c r="BH28" s="4" t="e">
        <f>$BH$23*VLOOKUP($BH$26,'x Malzemeler ve Özellikleri'!$O$2:$AJ$136,xHesaplama!U28,0)*N28</f>
        <v>#REF!</v>
      </c>
      <c r="BI28" s="4" t="e">
        <f>$BI$23*VLOOKUP($BI$26,'x Malzemeler ve Özellikleri'!$O$2:$AJ$136,xHesaplama!U28,0)</f>
        <v>#REF!</v>
      </c>
      <c r="BJ28" s="4" t="e">
        <f>$BJ$23*VLOOKUP($BJ$26,'x Malzemeler ve Özellikleri'!$O$2:$AJ$136,xHesaplama!U28,0)</f>
        <v>#REF!</v>
      </c>
      <c r="BK28" s="4" t="e">
        <f>$BK$23*VLOOKUP($BK$26,'x Malzemeler ve Özellikleri'!$O$2:$AJ$136,xHesaplama!U28,0)</f>
        <v>#REF!</v>
      </c>
      <c r="BL28" s="4" t="e">
        <f>$BL$23*VLOOKUP($BL$26,'x Malzemeler ve Özellikleri'!$O$2:$AJ$136,xHesaplama!U28,0)</f>
        <v>#REF!</v>
      </c>
      <c r="BM28" s="4" t="e">
        <f>$BM$23*VLOOKUP($BM$26,'x Malzemeler ve Özellikleri'!$O$2:$AJ$136,xHesaplama!U28,0)</f>
        <v>#REF!</v>
      </c>
      <c r="BN28" s="4" t="e">
        <f>$BN$23*VLOOKUP($BN$26,'x Malzemeler ve Özellikleri'!$O$2:$AJ$136,xHesaplama!U28,0)</f>
        <v>#REF!</v>
      </c>
      <c r="BO28" s="4" t="e">
        <f>(2*(2*X28+Y28*2)*VLOOKUP($BO$26,'x Malzemeler ve Özellikleri'!$O$2:$AJ$136,xHesaplama!U28,0)/1000)</f>
        <v>#REF!</v>
      </c>
      <c r="BP28" s="4" t="e">
        <f>(X28+$BP$23)*VLOOKUP($BP$26,'x Malzemeler ve Özellikleri'!$O$2:$AJ$136,xHesaplama!U28,0)/1000</f>
        <v>#REF!</v>
      </c>
      <c r="BQ28" s="4" t="e">
        <f>(X28+$BQ$23)*VLOOKUP($BQ$26,'x Malzemeler ve Özellikleri'!$O$2:$AJ$136,xHesaplama!U28,0)/1000</f>
        <v>#REF!</v>
      </c>
      <c r="BR28" s="4" t="e">
        <f>(X28+$BR$23)*VLOOKUP($BR$26,'x Malzemeler ve Özellikleri'!$O$2:$AJ$136,xHesaplama!U28,0)/1000</f>
        <v>#REF!</v>
      </c>
      <c r="BS28" s="4" t="e">
        <f>(X28+$BS$23)*VLOOKUP($BS$26,'x Malzemeler ve Özellikleri'!$O$2:$AJ$136,xHesaplama!U28,0)/1000</f>
        <v>#REF!</v>
      </c>
      <c r="BT28" s="4" t="e">
        <f>$BT$23*VLOOKUP($BT$26,'x Malzemeler ve Özellikleri'!$O$2:$AJ$136,xHesaplama!U28,0)</f>
        <v>#REF!</v>
      </c>
      <c r="BU28" s="4" t="e">
        <f>(Y28+$BU$23)*VLOOKUP($BU$26,'x Malzemeler ve Özellikleri'!$O$2:$AJ$136,xHesaplama!U28,0)/1000*2</f>
        <v>#REF!</v>
      </c>
      <c r="BV28" s="4" t="e">
        <f>(X28+$BV$23)*VLOOKUP($BV$26,'x Malzemeler ve Özellikleri'!$O$2:$AJ$136,xHesaplama!U28,0)/1000</f>
        <v>#REF!</v>
      </c>
      <c r="BW28" s="4" t="e">
        <f>$BW$23*VLOOKUP($BW$26,'x Malzemeler ve Özellikleri'!$O$2:$AJ$136,xHesaplama!U28,0)</f>
        <v>#REF!</v>
      </c>
      <c r="BX28" s="23" t="e">
        <f>ROUNDUP(Y28/300,0)*4*VLOOKUP($BX$26,'x Malzemeler ve Özellikleri'!$O$2:$AJ$136,xHesaplama!U28,0)</f>
        <v>#REF!</v>
      </c>
      <c r="BY28" s="4" t="e">
        <f>$BY$23*VLOOKUP($BY$26,'x Malzemeler ve Özellikleri'!$O$2:$AJ$136,xHesaplama!U28,0)</f>
        <v>#REF!</v>
      </c>
      <c r="BZ28" s="4" t="e">
        <f>$BZ$23*VLOOKUP($BZ$26,'x Malzemeler ve Özellikleri'!$O$2:$AJ$136,xHesaplama!U28,0)</f>
        <v>#REF!</v>
      </c>
      <c r="CA28" s="4" t="e">
        <f>(X28+$CA$23)*VLOOKUP($CA$26,'x Malzemeler ve Özellikleri'!$O$2:$AJ$136,xHesaplama!U28,0)/1000</f>
        <v>#REF!</v>
      </c>
      <c r="CB28" s="4" t="e">
        <f>(X28+$CB$23)*VLOOKUP($CB$26,'x Malzemeler ve Özellikleri'!$O$2:$AJ$136,xHesaplama!U28,0)/1000</f>
        <v>#REF!</v>
      </c>
      <c r="CC28" s="4" t="e">
        <f>$CC$23*VLOOKUP($CC$26,'x Malzemeler ve Özellikleri'!$O$2:$AJ$136,xHesaplama!U28,0)</f>
        <v>#REF!</v>
      </c>
      <c r="CD28" s="4" t="e">
        <f>(X28+$CD$23)*VLOOKUP($CD$26,'x Malzemeler ve Özellikleri'!$O$2:$AJ$136,xHesaplama!U28,0)/1000</f>
        <v>#REF!</v>
      </c>
      <c r="CE28" s="4" t="e">
        <f>(2*X28-120-122)*VLOOKUP($CE$26,'x Malzemeler ve Özellikleri'!$O$2:$AJ$136,xHesaplama!U28,0)/1000</f>
        <v>#REF!</v>
      </c>
      <c r="CF28" s="4" t="e">
        <f>(Y28+$CF$23)*VLOOKUP($CF$26,'x Malzemeler ve Özellikleri'!$O$2:$AJ$136,xHesaplama!U28,0)/1000*2</f>
        <v>#REF!</v>
      </c>
      <c r="CG28" s="4" t="e">
        <f>$CG$23*VLOOKUP($CG$26,'x Malzemeler ve Özellikleri'!$O$2:$AJ$136,xHesaplama!U28,0)</f>
        <v>#REF!</v>
      </c>
      <c r="CH28" s="4" t="e">
        <f>(Y28+$CH$23)*VLOOKUP($CH$26,'x Malzemeler ve Özellikleri'!$O$2:$AJ$136,xHesaplama!U28,0)/1000*2</f>
        <v>#REF!</v>
      </c>
      <c r="CI28" s="4" t="e">
        <f>(Y28+$CI$23)*VLOOKUP($CI$26,'x Malzemeler ve Özellikleri'!$O$2:$AJ$136,xHesaplama!U28,0)/1000*2</f>
        <v>#REF!</v>
      </c>
      <c r="CJ28" s="4" t="e">
        <f>$CJ$23*VLOOKUP($CJ$26,'x Malzemeler ve Özellikleri'!$O$2:$AJ$136,xHesaplama!U28,0)</f>
        <v>#REF!</v>
      </c>
      <c r="CK28" s="4" t="e">
        <f>$CK$23*VLOOKUP($CK$26,'x Malzemeler ve Özellikleri'!$O$2:$AJ$136,xHesaplama!U28,0)</f>
        <v>#REF!</v>
      </c>
      <c r="CL28" s="4" t="e">
        <f>$CL$23*VLOOKUP($CL$26,'x Malzemeler ve Özellikleri'!$O$2:$AJ$136,xHesaplama!U28,0)</f>
        <v>#REF!</v>
      </c>
      <c r="CM28" s="4" t="e">
        <f>(X28+$CM$23)*VLOOKUP($CM$26,'x Malzemeler ve Özellikleri'!$O$2:$AJ$136,xHesaplama!U28,0)/1000</f>
        <v>#REF!</v>
      </c>
      <c r="CN28" s="4" t="e">
        <f>(X28+$CN$23)*VLOOKUP($CN$26,'x Malzemeler ve Özellikleri'!$O$2:$AJ$136,xHesaplama!U28,0)/1000</f>
        <v>#REF!</v>
      </c>
      <c r="CO28" s="4" t="e">
        <f>(X28+$CO$23)*VLOOKUP($CO$26,'x Malzemeler ve Özellikleri'!$O$2:$AJ$136,xHesaplama!U28,0)/1000</f>
        <v>#REF!</v>
      </c>
      <c r="CP28" s="4" t="e">
        <f>(X28+$CP$23)*VLOOKUP($CP$26,'x Malzemeler ve Özellikleri'!$O$2:$AJ$136,xHesaplama!U28,0)/1000</f>
        <v>#REF!</v>
      </c>
      <c r="CQ28" s="23" t="e">
        <f>ROUNDUP(Y28/300,0)*4*VLOOKUP($CQ$26,'x Malzemeler ve Özellikleri'!$O$2:$AJ$136,xHesaplama!U28,0)</f>
        <v>#REF!</v>
      </c>
      <c r="CR28" s="4" t="e">
        <f>(X28+$CR$23)*VLOOKUP($CR$26,'x Malzemeler ve Özellikleri'!$O$2:$AJ$136,xHesaplama!U28,0)/1000</f>
        <v>#REF!</v>
      </c>
      <c r="CS28" s="4" t="e">
        <f>$CS$23*VLOOKUP($CS$26,'x Malzemeler ve Özellikleri'!$O$2:$AJ$136,xHesaplama!U28,0)</f>
        <v>#REF!</v>
      </c>
      <c r="CT28" s="4" t="e">
        <f>$CT$23*VLOOKUP($CT$26,'x Malzemeler ve Özellikleri'!$O$2:$AJ$136,xHesaplama!U28,0)</f>
        <v>#REF!</v>
      </c>
      <c r="CU28" s="4" t="e">
        <f>(Y28+$CU$23)*VLOOKUP($CU$26,'x Malzemeler ve Özellikleri'!$O$2:$AJ$136,xHesaplama!U28,0)/1000*2</f>
        <v>#REF!</v>
      </c>
      <c r="CV28" s="4" t="e">
        <f>(Y28+$CV$23)*VLOOKUP($CV$26,'x Malzemeler ve Özellikleri'!$O$2:$AJ$136,xHesaplama!U28,0)/1000*2</f>
        <v>#REF!</v>
      </c>
      <c r="CW28" s="4" t="e">
        <f>$CW$23*VLOOKUP($CW$26,'x Malzemeler ve Özellikleri'!$O$2:$AJ$136,xHesaplama!U28,0)</f>
        <v>#REF!</v>
      </c>
      <c r="CX28" s="4" t="e">
        <f>(X28+$CX$23)*VLOOKUP($CX$26,'x Malzemeler ve Özellikleri'!$O$2:$AJ$136,xHesaplama!U28,0)/1000</f>
        <v>#REF!</v>
      </c>
      <c r="CY28" s="4" t="e">
        <f>(2*X28-112-108)*VLOOKUP($CY$26,'x Malzemeler ve Özellikleri'!$O$2:$AJ$136,xHesaplama!U28,0)/1000</f>
        <v>#REF!</v>
      </c>
      <c r="CZ28" s="4" t="e">
        <f>$CZ$23*VLOOKUP($CZ$26,'x Malzemeler ve Özellikleri'!$O$2:$AJ$136,xHesaplama!U28,0)</f>
        <v>#REF!</v>
      </c>
      <c r="DA28" s="4" t="e">
        <f>$DA$23*VLOOKUP($DA$26,'x Malzemeler ve Özellikleri'!$O$2:$AJ$136,xHesaplama!U28,0)</f>
        <v>#REF!</v>
      </c>
      <c r="DB28" s="4" t="e">
        <f>$DB$23*VLOOKUP($DB$26,'x Malzemeler ve Özellikleri'!$O$2:$AJ$136,xHesaplama!U28,0)</f>
        <v>#REF!</v>
      </c>
      <c r="DC28" s="4" t="e">
        <f>$DC$23*VLOOKUP($DC$26,'x Malzemeler ve Özellikleri'!$O$2:$AJ$136,xHesaplama!U28,0)</f>
        <v>#REF!</v>
      </c>
      <c r="DD28" s="4" t="e">
        <f>(X28+$DD$23)*VLOOKUP($DD$26,'x Malzemeler ve Özellikleri'!$O$2:$AJ$136,xHesaplama!U28,0)/1000</f>
        <v>#REF!</v>
      </c>
      <c r="DE28" s="4" t="e">
        <f>(X28+$DE$23)*VLOOKUP($DE$26,'x Malzemeler ve Özellikleri'!$O$2:$AJ$136,xHesaplama!U28,0)/1000</f>
        <v>#REF!</v>
      </c>
      <c r="DF28" s="4" t="e">
        <f>$DF$23*VLOOKUP($DF$26,'x Malzemeler ve Özellikleri'!$O$2:$AJ$136,xHesaplama!U28,0)</f>
        <v>#REF!</v>
      </c>
      <c r="DG28" s="4" t="e">
        <f>(Y28+$DG$23)*VLOOKUP($DG$26,'x Malzemeler ve Özellikleri'!$O$2:$AJ$136,xHesaplama!U28,0)/1000*2</f>
        <v>#REF!</v>
      </c>
      <c r="DH28" s="4" t="e">
        <f>(Y28+$DH$23)*VLOOKUP($DH$26,'x Malzemeler ve Özellikleri'!$O$2:$AJ$136,xHesaplama!U28,0)/1000*2</f>
        <v>#REF!</v>
      </c>
      <c r="DI28" s="4" t="e">
        <f>(Y28+$DI$23)*VLOOKUP($DI$26,'x Malzemeler ve Özellikleri'!$O$2:$AJ$136,xHesaplama!U28,0)/1000*2</f>
        <v>#REF!</v>
      </c>
      <c r="DJ28" s="4" t="e">
        <f>$DJ$23*VLOOKUP($DJ$26,'x Malzemeler ve Özellikleri'!$O$2:$AJ$136,xHesaplama!U28,0)</f>
        <v>#REF!</v>
      </c>
      <c r="DK28" s="4" t="e">
        <f>$DK$23*VLOOKUP($DK$26,'x Malzemeler ve Özellikleri'!$O$2:$AJ$136,xHesaplama!U28,0)</f>
        <v>#REF!</v>
      </c>
      <c r="DL28" s="4" t="e">
        <f>(X28+$DL$23)*VLOOKUP($DL$26,'x Malzemeler ve Özellikleri'!$O$2:$AJ$136,xHesaplama!U28,0)/1000</f>
        <v>#REF!</v>
      </c>
      <c r="DM28" s="4" t="e">
        <f>(X28+$DM$23)*VLOOKUP($DM$26,'x Malzemeler ve Özellikleri'!$O$2:$AJ$136,xHesaplama!U28,0)/1000</f>
        <v>#REF!</v>
      </c>
      <c r="DN28" s="4" t="e">
        <f>(X28+$DN$23)*VLOOKUP($DN$26,'x Malzemeler ve Özellikleri'!$O$2:$AJ$136,xHesaplama!U28,0)/1000</f>
        <v>#REF!</v>
      </c>
      <c r="DO28" s="4" t="e">
        <f>(X28+$DO$23)*VLOOKUP($DO$26,'x Malzemeler ve Özellikleri'!$O$2:$AJ$136,xHesaplama!U28,0)/1000</f>
        <v>#REF!</v>
      </c>
      <c r="DP28" s="23" t="e">
        <f>ROUNDUP(Y28/300,0)*4*VLOOKUP($DP$26,'x Malzemeler ve Özellikleri'!$O$2:$AJ$136,xHesaplama!U28,0)</f>
        <v>#REF!</v>
      </c>
      <c r="DQ28" s="4" t="e">
        <f>(X28+$DQ$23)*VLOOKUP($DQ$26,'x Malzemeler ve Özellikleri'!$O$2:$AJ$136,xHesaplama!U28,0)/1000</f>
        <v>#REF!</v>
      </c>
      <c r="DR28" s="4" t="e">
        <f>(Y28+$DR$23)*VLOOKUP($DR$26,'x Malzemeler ve Özellikleri'!$O$2:$AJ$136,xHesaplama!U28,0)/1000*2</f>
        <v>#REF!</v>
      </c>
      <c r="DS28" s="4" t="e">
        <f>(Y28+$DS$23)*VLOOKUP($DS$26,'x Malzemeler ve Özellikleri'!$O$2:$AJ$136,xHesaplama!U28,0)/1000*2</f>
        <v>#REF!</v>
      </c>
      <c r="DT28" s="4" t="e">
        <f>$DT$23*VLOOKUP($DT$26,'x Malzemeler ve Özellikleri'!$O$2:$AJ$136,xHesaplama!U28,0)</f>
        <v>#REF!</v>
      </c>
      <c r="DU28" s="4" t="e">
        <f>(X28+$DU$23)*VLOOKUP($DU$26,'x Malzemeler ve Özellikleri'!$O$2:$AJ$136,xHesaplama!U28,0)/1000</f>
        <v>#REF!</v>
      </c>
      <c r="DV28" s="4" t="e">
        <f>(2*X28-112-108)*VLOOKUP($DV$26,'x Malzemeler ve Özellikleri'!$O$2:$AJ$136,xHesaplama!U28,0)/1000</f>
        <v>#REF!</v>
      </c>
      <c r="DW28" s="4" t="e">
        <f>$DW$23*VLOOKUP($DW$26,'x Malzemeler ve Özellikleri'!$O$2:$AJ$136,xHesaplama!U28,0)</f>
        <v>#REF!</v>
      </c>
      <c r="DX28" s="4" t="e">
        <f>$DX$23*VLOOKUP($DX$26,'x Malzemeler ve Özellikleri'!$O$2:$AJ$136,xHesaplama!U28,0)</f>
        <v>#REF!</v>
      </c>
      <c r="DY28" s="4" t="e">
        <f>$DY$23*VLOOKUP($DY$26,'x Malzemeler ve Özellikleri'!$O$2:$AJ$136,xHesaplama!U28,0)</f>
        <v>#REF!</v>
      </c>
      <c r="DZ28" s="4" t="e">
        <f>$DZ$23*VLOOKUP($DZ$26,'x Malzemeler ve Özellikleri'!$O$2:$AJ$136,xHesaplama!U28,0)</f>
        <v>#REF!</v>
      </c>
      <c r="EA28" s="4" t="e">
        <f>(X28+$EA$23)*VLOOKUP($EA$26,'x Malzemeler ve Özellikleri'!$O$2:$AJ$136,xHesaplama!U28,0)/1000</f>
        <v>#REF!</v>
      </c>
      <c r="EB28" s="4" t="e">
        <f>(X28+$EB$23)*VLOOKUP($EB$26,'x Malzemeler ve Özellikleri'!$O$2:$AJ$136,xHesaplama!U28,0)/1000</f>
        <v>#REF!</v>
      </c>
      <c r="EC28" s="4" t="e">
        <f>$EC$23*VLOOKUP($EC$26,'x Malzemeler ve Özellikleri'!$O$2:$AJ$136,xHesaplama!U28,0)</f>
        <v>#REF!</v>
      </c>
      <c r="ED28" s="4" t="e">
        <f>(Y28+$ED$23)*VLOOKUP($ED$26,'x Malzemeler ve Özellikleri'!$O$2:$AJ$136,xHesaplama!U28,0)/1000*2</f>
        <v>#REF!</v>
      </c>
      <c r="EE28" s="4" t="e">
        <f>(Y28+$EE$23)*VLOOKUP($EE$26,'x Malzemeler ve Özellikleri'!$O$2:$AJ$136,xHesaplama!U28,0)/1000*2</f>
        <v>#REF!</v>
      </c>
      <c r="EF28" s="4" t="e">
        <f>(Y28+$EF$23)*VLOOKUP($EF$26,'x Malzemeler ve Özellikleri'!$O$2:$AJ$136,xHesaplama!U28,0)/1000*2</f>
        <v>#REF!</v>
      </c>
      <c r="EG28" s="4" t="e">
        <f>$EG$23*VLOOKUP($EG$26,'x Malzemeler ve Özellikleri'!$O$2:$AJ$136,xHesaplama!U28,0)</f>
        <v>#REF!</v>
      </c>
      <c r="EH28" s="4" t="e">
        <f>$EH$23*VLOOKUP($EH$26,'x Malzemeler ve Özellikleri'!$O$2:$AJ$136,xHesaplama!U28,0)</f>
        <v>#REF!</v>
      </c>
      <c r="EI28" s="4" t="e">
        <f>$EI$23*VLOOKUP($EI$26,'x Malzemeler ve Özellikleri'!$O$2:$AJ$136,xHesaplama!U28,0)</f>
        <v>#REF!</v>
      </c>
      <c r="EJ28" s="4" t="e">
        <f>$EJ$23*VLOOKUP($EJ$26,'x Malzemeler ve Özellikleri'!$O$2:$AJ$136,xHesaplama!U28,0)</f>
        <v>#REF!</v>
      </c>
      <c r="EK28" s="4" t="e">
        <f>$EK$23*VLOOKUP($EK$26,'x Malzemeler ve Özellikleri'!$O$2:$AJ$136,xHesaplama!U28,0)</f>
        <v>#REF!</v>
      </c>
      <c r="EL28" s="4" t="e">
        <f>$EL$23*VLOOKUP($EL$26,'x Malzemeler ve Özellikleri'!$O$2:$AJ$136,xHesaplama!U28,0)</f>
        <v>#REF!</v>
      </c>
      <c r="EM28" s="4" t="e">
        <f>(X28+$EM$23)*VLOOKUP($EM$26,'x Malzemeler ve Özellikleri'!$O$2:$AJ$136,xHesaplama!U28,0)/1000</f>
        <v>#REF!</v>
      </c>
      <c r="EN28" s="4" t="e">
        <f>(X28+$EN$23)*VLOOKUP($EN$26,'x Malzemeler ve Özellikleri'!$O$2:$AJ$136,xHesaplama!U28,0)/1000</f>
        <v>#REF!</v>
      </c>
      <c r="EO28" s="4" t="e">
        <f>(X28+$EO$23)*VLOOKUP($EO$26,'x Malzemeler ve Özellikleri'!$O$2:$AJ$136,xHesaplama!U28,0)/1000</f>
        <v>#REF!</v>
      </c>
      <c r="EP28" s="4" t="e">
        <f>(X28+$EP$23)*VLOOKUP($EP$26,'x Malzemeler ve Özellikleri'!$O$2:$AJ$136,xHesaplama!U28,0)/1000</f>
        <v>#REF!</v>
      </c>
      <c r="EQ28" s="4" t="e">
        <f>(X28+$EQ$23)*VLOOKUP($EQ$26,'x Malzemeler ve Özellikleri'!$O$2:$AJ$136,xHesaplama!U28,0)/1000</f>
        <v>#REF!</v>
      </c>
      <c r="ER28" s="4" t="e">
        <f>$ER$23*VLOOKUP($ER$26,'x Malzemeler ve Özellikleri'!$O$2:$AJ$136,xHesaplama!U28,0)</f>
        <v>#REF!</v>
      </c>
      <c r="ES28" s="4" t="e">
        <f>(X28+$ES$23)*VLOOKUP($ES$26,'x Malzemeler ve Özellikleri'!$O$2:$AJ$136,xHesaplama!U28,0)/1000</f>
        <v>#REF!</v>
      </c>
      <c r="ET28" s="4" t="e">
        <f>(2*X28-112-108)*VLOOKUP($ET$26,'x Malzemeler ve Özellikleri'!$O$2:$AJ$136,xHesaplama!U28,0)/1000</f>
        <v>#REF!</v>
      </c>
      <c r="EU28" s="4" t="e">
        <f>$EU$23*VLOOKUP($EU$26,'x Malzemeler ve Özellikleri'!$O$2:$AJ$136,xHesaplama!U28,0)</f>
        <v>#REF!</v>
      </c>
      <c r="EV28" s="4" t="e">
        <f>$EV$23*VLOOKUP($EV$26,'x Malzemeler ve Özellikleri'!$O$2:$AJ$136,xHesaplama!U28,0)</f>
        <v>#REF!</v>
      </c>
      <c r="EW28" s="4" t="e">
        <f>$EW$23*VLOOKUP($EW$26,'x Malzemeler ve Özellikleri'!$O$2:$AJ$136,xHesaplama!U28,0)</f>
        <v>#REF!</v>
      </c>
      <c r="EX28" s="4" t="e">
        <f>$EX$23*VLOOKUP($EX$26,'x Malzemeler ve Özellikleri'!$O$2:$AJ$136,xHesaplama!U28,0)</f>
        <v>#REF!</v>
      </c>
      <c r="EY28" s="4" t="e">
        <f>(X28+$EY$23)*VLOOKUP($EY$26,'x Malzemeler ve Özellikleri'!$O$2:$AJ$136,xHesaplama!U28,0)/1000</f>
        <v>#REF!</v>
      </c>
      <c r="EZ28" s="4" t="e">
        <f>(X28+$EZ$23)*VLOOKUP($EZ$26,'x Malzemeler ve Özellikleri'!$O$2:$AJ$136,xHesaplama!U28,0)/1000</f>
        <v>#REF!</v>
      </c>
      <c r="FA28" s="4" t="e">
        <f>$FA$23*VLOOKUP($FA$26,'x Malzemeler ve Özellikleri'!$O$2:$AJ$136,xHesaplama!U28,0)</f>
        <v>#REF!</v>
      </c>
      <c r="FB28" s="4" t="e">
        <f>$FB$23*VLOOKUP($FB$26,'x Malzemeler ve Özellikleri'!$O$2:$AJ$136,xHesaplama!U28,0)</f>
        <v>#REF!</v>
      </c>
      <c r="FC28" s="4" t="e">
        <f>$FC$23*VLOOKUP($FC$26,'x Malzemeler ve Özellikleri'!$O$2:$AJ$136,xHesaplama!U28,0)</f>
        <v>#REF!</v>
      </c>
      <c r="FD28" s="4" t="e">
        <f>$FD$23*VLOOKUP($FD$26,'x Malzemeler ve Özellikleri'!$O$2:$AJ$136,xHesaplama!U28,0)</f>
        <v>#REF!</v>
      </c>
      <c r="FE28" s="4" t="e">
        <f>$FE$23*VLOOKUP($FE$26,'x Malzemeler ve Özellikleri'!$O$2:$AJ$136,xHesaplama!U28,0)</f>
        <v>#REF!</v>
      </c>
      <c r="FF28" s="4" t="e">
        <f>$FF$23*VLOOKUP($FF$26,'x Malzemeler ve Özellikleri'!$O$2:$AJ$136,xHesaplama!U28,0)</f>
        <v>#REF!</v>
      </c>
      <c r="FG28" s="4" t="e">
        <f>$FG$23*VLOOKUP($FG$26,'x Malzemeler ve Özellikleri'!$O$2:$AJ$136,xHesaplama!U28,0)</f>
        <v>#REF!</v>
      </c>
      <c r="FH28" s="4" t="e">
        <f>$FH$23*VLOOKUP($FH$26,'x Malzemeler ve Özellikleri'!$O$2:$AJ$136,xHesaplama!U28,0)</f>
        <v>#REF!</v>
      </c>
    </row>
    <row r="29" spans="1:173">
      <c r="A29" s="4">
        <f>'1PROJE'!B9</f>
        <v>3</v>
      </c>
      <c r="B29" s="4">
        <f>'1PROJE'!C9</f>
        <v>0</v>
      </c>
      <c r="C29" s="4">
        <f>'1PROJE'!D9</f>
        <v>0</v>
      </c>
      <c r="D29" s="4">
        <f>'1PROJE'!E9</f>
        <v>0</v>
      </c>
      <c r="E29" s="4">
        <f>'1PROJE'!F9</f>
        <v>0</v>
      </c>
      <c r="F29" s="4">
        <f>'1PROJE'!G9</f>
        <v>0</v>
      </c>
      <c r="G29" s="4">
        <f>'1PROJE'!H9</f>
        <v>0</v>
      </c>
      <c r="H29" s="4">
        <f>'1PROJE'!I9</f>
        <v>0</v>
      </c>
      <c r="I29" s="4">
        <f>'1PROJE'!K9</f>
        <v>0</v>
      </c>
      <c r="J29" s="4">
        <f>'1PROJE'!L9</f>
        <v>0</v>
      </c>
      <c r="K29" s="4">
        <f>'1PROJE'!M9</f>
        <v>0</v>
      </c>
      <c r="L29" s="4">
        <f>'1PROJE'!N9</f>
        <v>0</v>
      </c>
      <c r="M29" s="4">
        <f>'1PROJE'!O9</f>
        <v>0</v>
      </c>
      <c r="N29" s="4">
        <f t="shared" si="3"/>
        <v>4</v>
      </c>
      <c r="O29" s="4">
        <f>'1PROJE'!P9</f>
        <v>0</v>
      </c>
      <c r="P29" s="4">
        <f>'1PROJE'!R9</f>
        <v>0</v>
      </c>
      <c r="Q29" s="4">
        <f>'1PROJE'!S9</f>
        <v>0</v>
      </c>
      <c r="R29" s="4">
        <f>'1PROJE'!T9</f>
        <v>0</v>
      </c>
      <c r="S29" s="4"/>
      <c r="U29" s="4" t="e">
        <f t="shared" si="1"/>
        <v>#N/A</v>
      </c>
      <c r="V29" s="4" t="e">
        <f>VLOOKUP(B29,'x Açılır Listeler'!$A$2:$B$15,2,0)</f>
        <v>#N/A</v>
      </c>
      <c r="W29" s="4" t="e">
        <f>VLOOKUP(B29,'x Açılır Listeler'!$A$2:$C$15,3,0)*2</f>
        <v>#N/A</v>
      </c>
      <c r="X29" s="4">
        <f t="shared" si="4"/>
        <v>0</v>
      </c>
      <c r="Y29" s="4">
        <f t="shared" si="5"/>
        <v>0</v>
      </c>
      <c r="Z29" s="4" t="s">
        <v>396</v>
      </c>
      <c r="AA29" s="4">
        <f t="shared" si="2"/>
        <v>25</v>
      </c>
      <c r="AB29" s="38" t="e">
        <f>VLOOKUP(J29,'x Malzemeler ve Özellikleri'!$N$147:$R$167,5,0)</f>
        <v>#N/A</v>
      </c>
      <c r="AC29" s="46" t="e">
        <f>IF('1PROJE'!J9="",VLOOKUP(H29,'x Malzemeler ve Özellikleri'!$N$137:$R$146,5,0),'1PROJE'!J9)</f>
        <v>#N/A</v>
      </c>
      <c r="AD29" s="52">
        <f t="shared" si="6"/>
        <v>-2.8511999999999999E-2</v>
      </c>
      <c r="AE29" s="46" t="e">
        <f t="shared" si="7"/>
        <v>#N/A</v>
      </c>
      <c r="AF29" s="46">
        <f>IF(O29="VAR",IF('1PROJE'!Q9="",$AI$10,'1PROJE'!Q9),0)</f>
        <v>0</v>
      </c>
      <c r="AG29" s="4" t="e">
        <f>IF('1PROJE'!S9="",VLOOKUP(xHesaplama!P29,'x Malzemeler ve Özellikleri'!$AS$2:$AT$11,2,0),'1PROJE'!S9/'1PROJE'!$P$3)</f>
        <v>#N/A</v>
      </c>
      <c r="AH29" s="4" t="e">
        <f>(X29+$AH$23)*VLOOKUP($AH$26,'x Malzemeler ve Özellikleri'!$O$2:$AJ$136,xHesaplama!U29,0)/1000</f>
        <v>#REF!</v>
      </c>
      <c r="AI29" s="4" t="e">
        <f>(X29+$AI$23)*VLOOKUP($AI$26,'x Malzemeler ve Özellikleri'!$O$2:$AJ$136,xHesaplama!U29,0)/1000</f>
        <v>#REF!</v>
      </c>
      <c r="AJ29" s="4" t="e">
        <f>(X29+$AJ$23)*VLOOKUP($AJ$26,'x Malzemeler ve Özellikleri'!$O$2:$AJ$136,xHesaplama!U29,0)/1000</f>
        <v>#REF!</v>
      </c>
      <c r="AK29" s="4" t="e">
        <f>(X29+$AK$23)*VLOOKUP($AK$26,'x Malzemeler ve Özellikleri'!$O$2:$AJ$136,xHesaplama!U29,0)/1000</f>
        <v>#REF!</v>
      </c>
      <c r="AL29" s="4" t="e">
        <f>(Y29+$AL$23)*VLOOKUP($AL$26,'x Malzemeler ve Özellikleri'!$O$2:$AJ$136,xHesaplama!U29,0)/1000*2</f>
        <v>#REF!</v>
      </c>
      <c r="AM29" s="4" t="e">
        <f>IF(AND(X29&lt;4500,Y29&lt;4500,X29*Y29/1000000&lt;12),(X29+$AM$23)*VLOOKUP($AM$26,'x Malzemeler ve Özellikleri'!$O$2:$AJ$136,xHesaplama!U29,0)/1000,0)</f>
        <v>#REF!</v>
      </c>
      <c r="AN29" s="4">
        <f>IF(OR(X29&gt;=4500,Y29&gt;=4500,X29*Y29/1000000&gt;=12),(X29+$AN$23)*VLOOKUP($AN$26,'x Malzemeler ve Özellikleri'!$O$2:$AJ$136,xHesaplama!U29,0)/1000,0)</f>
        <v>0</v>
      </c>
      <c r="AO29" s="4" t="e">
        <f>(Y29+$AO$23)*VLOOKUP($AO$26,'x Malzemeler ve Özellikleri'!$O$2:$AJ$136,xHesaplama!U29,0)/1000*2</f>
        <v>#REF!</v>
      </c>
      <c r="AP29" s="4" t="e">
        <f>$AP$23*VLOOKUP($AP$26,'x Malzemeler ve Özellikleri'!$O$2:$AJ$136,xHesaplama!U29,0)</f>
        <v>#REF!</v>
      </c>
      <c r="AQ29" s="4" t="e">
        <f>$AQ$23*VLOOKUP($AQ$26,'x Malzemeler ve Özellikleri'!$O$2:$AJ$136,xHesaplama!U29,0)</f>
        <v>#REF!</v>
      </c>
      <c r="AR29" s="4" t="e">
        <f>$AR$23*VLOOKUP($AR$26,'x Malzemeler ve Özellikleri'!$O$2:$AJ$136,xHesaplama!U29,0)</f>
        <v>#REF!</v>
      </c>
      <c r="AS29" s="4" t="e">
        <f>$AS$23*VLOOKUP($AS$26,'x Malzemeler ve Özellikleri'!$O$2:$AJ$136,xHesaplama!U29,0)</f>
        <v>#REF!</v>
      </c>
      <c r="AT29" s="4" t="e">
        <f>$AT$23*VLOOKUP($AT$26,'x Malzemeler ve Özellikleri'!$O$2:$AJ$136,xHesaplama!U29,0)</f>
        <v>#REF!</v>
      </c>
      <c r="AU29" s="4" t="e">
        <f>$AU$23*VLOOKUP($AU$26,'x Malzemeler ve Özellikleri'!$O$2:$AJ$136,xHesaplama!U29,0)</f>
        <v>#REF!</v>
      </c>
      <c r="AV29" s="4" t="e">
        <f>$AV$23*VLOOKUP($AV$26,'x Malzemeler ve Özellikleri'!$O$2:$AJ$136,xHesaplama!U29,0)</f>
        <v>#REF!</v>
      </c>
      <c r="AW29" s="4" t="e">
        <f>(Y29+$AW$23)*VLOOKUP($AW$26,'x Malzemeler ve Özellikleri'!$O$2:$AJ$136,xHesaplama!U29,0)/1000*2</f>
        <v>#REF!</v>
      </c>
      <c r="AX29" s="4" t="e">
        <f>$AX$23*VLOOKUP($AX$26,'x Malzemeler ve Özellikleri'!$O$2:$AJ$136,xHesaplama!U29,0)</f>
        <v>#REF!</v>
      </c>
      <c r="AY29" s="4" t="e">
        <f>$AY$23*VLOOKUP($AY$26,'x Malzemeler ve Özellikleri'!$O$2:$AJ$136,xHesaplama!U29,0)</f>
        <v>#REF!</v>
      </c>
      <c r="AZ29" s="23" t="e">
        <f>ROUNDUP(Y29/300,0)*4*VLOOKUP($AZ$26,'x Malzemeler ve Özellikleri'!$O$2:$AJ$136,xHesaplama!U29,0)</f>
        <v>#REF!</v>
      </c>
      <c r="BA29" s="4" t="e">
        <f>(2*X29-155-183)*VLOOKUP($BA$26,'x Malzemeler ve Özellikleri'!$O$2:$AJ$136,xHesaplama!U29,0)/1000</f>
        <v>#REF!</v>
      </c>
      <c r="BB29" s="4" t="e">
        <f>$BB$23*VLOOKUP($BB$26,'x Malzemeler ve Özellikleri'!$O$2:$AJ$136,xHesaplama!U29,0)</f>
        <v>#REF!</v>
      </c>
      <c r="BC29" s="4" t="e">
        <f>$BC$23*VLOOKUP($BC$26,'x Malzemeler ve Özellikleri'!$O$2:$AJ$136,xHesaplama!U29,0)</f>
        <v>#REF!</v>
      </c>
      <c r="BD29" s="4" t="e">
        <f>$BD$23*VLOOKUP($BD$26,'x Malzemeler ve Özellikleri'!$O$2:$AJ$136,xHesaplama!U29,0)</f>
        <v>#REF!</v>
      </c>
      <c r="BE29" s="4" t="e">
        <f>$BE$23*VLOOKUP($BE$26,'x Malzemeler ve Özellikleri'!$O$2:$AJ$136,xHesaplama!U29,0)</f>
        <v>#REF!</v>
      </c>
      <c r="BF29" s="4" t="e">
        <f>$BF$23*VLOOKUP($BF$26,'x Malzemeler ve Özellikleri'!$O$2:$AJ$136,xHesaplama!U29,0)</f>
        <v>#REF!</v>
      </c>
      <c r="BG29" s="4" t="e">
        <f>$BG$23*VLOOKUP($BG$26,'x Malzemeler ve Özellikleri'!$O$2:$AJ$136,xHesaplama!U29,0)</f>
        <v>#REF!</v>
      </c>
      <c r="BH29" s="4" t="e">
        <f>$BH$23*VLOOKUP($BH$26,'x Malzemeler ve Özellikleri'!$O$2:$AJ$136,xHesaplama!U29,0)*N29</f>
        <v>#REF!</v>
      </c>
      <c r="BI29" s="4" t="e">
        <f>$BI$23*VLOOKUP($BI$26,'x Malzemeler ve Özellikleri'!$O$2:$AJ$136,xHesaplama!U29,0)</f>
        <v>#REF!</v>
      </c>
      <c r="BJ29" s="4" t="e">
        <f>$BJ$23*VLOOKUP($BJ$26,'x Malzemeler ve Özellikleri'!$O$2:$AJ$136,xHesaplama!U29,0)</f>
        <v>#REF!</v>
      </c>
      <c r="BK29" s="4" t="e">
        <f>$BK$23*VLOOKUP($BK$26,'x Malzemeler ve Özellikleri'!$O$2:$AJ$136,xHesaplama!U29,0)</f>
        <v>#REF!</v>
      </c>
      <c r="BL29" s="4" t="e">
        <f>$BL$23*VLOOKUP($BL$26,'x Malzemeler ve Özellikleri'!$O$2:$AJ$136,xHesaplama!U29,0)</f>
        <v>#REF!</v>
      </c>
      <c r="BM29" s="4" t="e">
        <f>$BM$23*VLOOKUP($BM$26,'x Malzemeler ve Özellikleri'!$O$2:$AJ$136,xHesaplama!U29,0)</f>
        <v>#REF!</v>
      </c>
      <c r="BN29" s="4" t="e">
        <f>$BN$23*VLOOKUP($BN$26,'x Malzemeler ve Özellikleri'!$O$2:$AJ$136,xHesaplama!U29,0)</f>
        <v>#REF!</v>
      </c>
      <c r="BO29" s="4" t="e">
        <f>(2*(2*X29+Y29*2)*VLOOKUP($BO$26,'x Malzemeler ve Özellikleri'!$O$2:$AJ$136,xHesaplama!U29,0)/1000)</f>
        <v>#REF!</v>
      </c>
      <c r="BP29" s="4" t="e">
        <f>(X29+$BP$23)*VLOOKUP($BP$26,'x Malzemeler ve Özellikleri'!$O$2:$AJ$136,xHesaplama!U29,0)/1000</f>
        <v>#REF!</v>
      </c>
      <c r="BQ29" s="4" t="e">
        <f>(X29+$BQ$23)*VLOOKUP($BQ$26,'x Malzemeler ve Özellikleri'!$O$2:$AJ$136,xHesaplama!U29,0)/1000</f>
        <v>#REF!</v>
      </c>
      <c r="BR29" s="4" t="e">
        <f>(X29+$BR$23)*VLOOKUP($BR$26,'x Malzemeler ve Özellikleri'!$O$2:$AJ$136,xHesaplama!U29,0)/1000</f>
        <v>#REF!</v>
      </c>
      <c r="BS29" s="4" t="e">
        <f>(X29+$BS$23)*VLOOKUP($BS$26,'x Malzemeler ve Özellikleri'!$O$2:$AJ$136,xHesaplama!U29,0)/1000</f>
        <v>#REF!</v>
      </c>
      <c r="BT29" s="4" t="e">
        <f>$BT$23*VLOOKUP($BT$26,'x Malzemeler ve Özellikleri'!$O$2:$AJ$136,xHesaplama!U29,0)</f>
        <v>#REF!</v>
      </c>
      <c r="BU29" s="4" t="e">
        <f>(Y29+$BU$23)*VLOOKUP($BU$26,'x Malzemeler ve Özellikleri'!$O$2:$AJ$136,xHesaplama!U29,0)/1000*2</f>
        <v>#REF!</v>
      </c>
      <c r="BV29" s="4" t="e">
        <f>(X29+$BV$23)*VLOOKUP($BV$26,'x Malzemeler ve Özellikleri'!$O$2:$AJ$136,xHesaplama!U29,0)/1000</f>
        <v>#REF!</v>
      </c>
      <c r="BW29" s="4" t="e">
        <f>$BW$23*VLOOKUP($BW$26,'x Malzemeler ve Özellikleri'!$O$2:$AJ$136,xHesaplama!U29,0)</f>
        <v>#REF!</v>
      </c>
      <c r="BX29" s="23" t="e">
        <f>ROUNDUP(Y29/300,0)*4*VLOOKUP($BX$26,'x Malzemeler ve Özellikleri'!$O$2:$AJ$136,xHesaplama!U29,0)</f>
        <v>#REF!</v>
      </c>
      <c r="BY29" s="4" t="e">
        <f>$BY$23*VLOOKUP($BY$26,'x Malzemeler ve Özellikleri'!$O$2:$AJ$136,xHesaplama!U29,0)</f>
        <v>#REF!</v>
      </c>
      <c r="BZ29" s="4" t="e">
        <f>$BZ$23*VLOOKUP($BZ$26,'x Malzemeler ve Özellikleri'!$O$2:$AJ$136,xHesaplama!U29,0)</f>
        <v>#REF!</v>
      </c>
      <c r="CA29" s="4" t="e">
        <f>(X29+$CA$23)*VLOOKUP($CA$26,'x Malzemeler ve Özellikleri'!$O$2:$AJ$136,xHesaplama!U29,0)/1000</f>
        <v>#REF!</v>
      </c>
      <c r="CB29" s="4" t="e">
        <f>(X29+$CB$23)*VLOOKUP($CB$26,'x Malzemeler ve Özellikleri'!$O$2:$AJ$136,xHesaplama!U29,0)/1000</f>
        <v>#REF!</v>
      </c>
      <c r="CC29" s="4" t="e">
        <f>$CC$23*VLOOKUP($CC$26,'x Malzemeler ve Özellikleri'!$O$2:$AJ$136,xHesaplama!U29,0)</f>
        <v>#REF!</v>
      </c>
      <c r="CD29" s="4" t="e">
        <f>(X29+$CD$23)*VLOOKUP($CD$26,'x Malzemeler ve Özellikleri'!$O$2:$AJ$136,xHesaplama!U29,0)/1000</f>
        <v>#REF!</v>
      </c>
      <c r="CE29" s="4" t="e">
        <f>(2*X29-120-122)*VLOOKUP($CE$26,'x Malzemeler ve Özellikleri'!$O$2:$AJ$136,xHesaplama!U29,0)/1000</f>
        <v>#REF!</v>
      </c>
      <c r="CF29" s="4" t="e">
        <f>(Y29+$CF$23)*VLOOKUP($CF$26,'x Malzemeler ve Özellikleri'!$O$2:$AJ$136,xHesaplama!U29,0)/1000*2</f>
        <v>#REF!</v>
      </c>
      <c r="CG29" s="4" t="e">
        <f>$CG$23*VLOOKUP($CG$26,'x Malzemeler ve Özellikleri'!$O$2:$AJ$136,xHesaplama!U29,0)</f>
        <v>#REF!</v>
      </c>
      <c r="CH29" s="4" t="e">
        <f>(Y29+$CH$23)*VLOOKUP($CH$26,'x Malzemeler ve Özellikleri'!$O$2:$AJ$136,xHesaplama!U29,0)/1000*2</f>
        <v>#REF!</v>
      </c>
      <c r="CI29" s="4" t="e">
        <f>(Y29+$CI$23)*VLOOKUP($CI$26,'x Malzemeler ve Özellikleri'!$O$2:$AJ$136,xHesaplama!U29,0)/1000*2</f>
        <v>#REF!</v>
      </c>
      <c r="CJ29" s="4" t="e">
        <f>$CJ$23*VLOOKUP($CJ$26,'x Malzemeler ve Özellikleri'!$O$2:$AJ$136,xHesaplama!U29,0)</f>
        <v>#REF!</v>
      </c>
      <c r="CK29" s="4" t="e">
        <f>$CK$23*VLOOKUP($CK$26,'x Malzemeler ve Özellikleri'!$O$2:$AJ$136,xHesaplama!U29,0)</f>
        <v>#REF!</v>
      </c>
      <c r="CL29" s="4" t="e">
        <f>$CL$23*VLOOKUP($CL$26,'x Malzemeler ve Özellikleri'!$O$2:$AJ$136,xHesaplama!U29,0)</f>
        <v>#REF!</v>
      </c>
      <c r="CM29" s="4" t="e">
        <f>(X29+$CM$23)*VLOOKUP($CM$26,'x Malzemeler ve Özellikleri'!$O$2:$AJ$136,xHesaplama!U29,0)/1000</f>
        <v>#REF!</v>
      </c>
      <c r="CN29" s="4" t="e">
        <f>(X29+$CN$23)*VLOOKUP($CN$26,'x Malzemeler ve Özellikleri'!$O$2:$AJ$136,xHesaplama!U29,0)/1000</f>
        <v>#REF!</v>
      </c>
      <c r="CO29" s="4" t="e">
        <f>(X29+$CO$23)*VLOOKUP($CO$26,'x Malzemeler ve Özellikleri'!$O$2:$AJ$136,xHesaplama!U29,0)/1000</f>
        <v>#REF!</v>
      </c>
      <c r="CP29" s="4" t="e">
        <f>(X29+$CP$23)*VLOOKUP($CP$26,'x Malzemeler ve Özellikleri'!$O$2:$AJ$136,xHesaplama!U29,0)/1000</f>
        <v>#REF!</v>
      </c>
      <c r="CQ29" s="23" t="e">
        <f>ROUNDUP(Y29/300,0)*4*VLOOKUP($CQ$26,'x Malzemeler ve Özellikleri'!$O$2:$AJ$136,xHesaplama!U29,0)</f>
        <v>#REF!</v>
      </c>
      <c r="CR29" s="4" t="e">
        <f>(X29+$CR$23)*VLOOKUP($CR$26,'x Malzemeler ve Özellikleri'!$O$2:$AJ$136,xHesaplama!U29,0)/1000</f>
        <v>#REF!</v>
      </c>
      <c r="CS29" s="4" t="e">
        <f>$CS$23*VLOOKUP($CS$26,'x Malzemeler ve Özellikleri'!$O$2:$AJ$136,xHesaplama!U29,0)</f>
        <v>#REF!</v>
      </c>
      <c r="CT29" s="4" t="e">
        <f>$CT$23*VLOOKUP($CT$26,'x Malzemeler ve Özellikleri'!$O$2:$AJ$136,xHesaplama!U29,0)</f>
        <v>#REF!</v>
      </c>
      <c r="CU29" s="4" t="e">
        <f>(Y29+$CU$23)*VLOOKUP($CU$26,'x Malzemeler ve Özellikleri'!$O$2:$AJ$136,xHesaplama!U29,0)/1000*2</f>
        <v>#REF!</v>
      </c>
      <c r="CV29" s="4" t="e">
        <f>(Y29+$CV$23)*VLOOKUP($CV$26,'x Malzemeler ve Özellikleri'!$O$2:$AJ$136,xHesaplama!U29,0)/1000*2</f>
        <v>#REF!</v>
      </c>
      <c r="CW29" s="4" t="e">
        <f>$CW$23*VLOOKUP($CW$26,'x Malzemeler ve Özellikleri'!$O$2:$AJ$136,xHesaplama!U29,0)</f>
        <v>#REF!</v>
      </c>
      <c r="CX29" s="4" t="e">
        <f>(X29+$CX$23)*VLOOKUP($CX$26,'x Malzemeler ve Özellikleri'!$O$2:$AJ$136,xHesaplama!U29,0)/1000</f>
        <v>#REF!</v>
      </c>
      <c r="CY29" s="4" t="e">
        <f>(2*X29-112-108)*VLOOKUP($CY$26,'x Malzemeler ve Özellikleri'!$O$2:$AJ$136,xHesaplama!U29,0)/1000</f>
        <v>#REF!</v>
      </c>
      <c r="CZ29" s="4" t="e">
        <f>$CZ$23*VLOOKUP($CZ$26,'x Malzemeler ve Özellikleri'!$O$2:$AJ$136,xHesaplama!U29,0)</f>
        <v>#REF!</v>
      </c>
      <c r="DA29" s="4" t="e">
        <f>$DA$23*VLOOKUP($DA$26,'x Malzemeler ve Özellikleri'!$O$2:$AJ$136,xHesaplama!U29,0)</f>
        <v>#REF!</v>
      </c>
      <c r="DB29" s="4" t="e">
        <f>$DB$23*VLOOKUP($DB$26,'x Malzemeler ve Özellikleri'!$O$2:$AJ$136,xHesaplama!U29,0)</f>
        <v>#REF!</v>
      </c>
      <c r="DC29" s="4" t="e">
        <f>$DC$23*VLOOKUP($DC$26,'x Malzemeler ve Özellikleri'!$O$2:$AJ$136,xHesaplama!U29,0)</f>
        <v>#REF!</v>
      </c>
      <c r="DD29" s="4" t="e">
        <f>(X29+$DD$23)*VLOOKUP($DD$26,'x Malzemeler ve Özellikleri'!$O$2:$AJ$136,xHesaplama!U29,0)/1000</f>
        <v>#REF!</v>
      </c>
      <c r="DE29" s="4" t="e">
        <f>(X29+$DE$23)*VLOOKUP($DE$26,'x Malzemeler ve Özellikleri'!$O$2:$AJ$136,xHesaplama!U29,0)/1000</f>
        <v>#REF!</v>
      </c>
      <c r="DF29" s="4" t="e">
        <f>$DF$23*VLOOKUP($DF$26,'x Malzemeler ve Özellikleri'!$O$2:$AJ$136,xHesaplama!U29,0)</f>
        <v>#REF!</v>
      </c>
      <c r="DG29" s="4" t="e">
        <f>(Y29+$DG$23)*VLOOKUP($DG$26,'x Malzemeler ve Özellikleri'!$O$2:$AJ$136,xHesaplama!U29,0)/1000*2</f>
        <v>#REF!</v>
      </c>
      <c r="DH29" s="4" t="e">
        <f>(Y29+$DH$23)*VLOOKUP($DH$26,'x Malzemeler ve Özellikleri'!$O$2:$AJ$136,xHesaplama!U29,0)/1000*2</f>
        <v>#REF!</v>
      </c>
      <c r="DI29" s="4" t="e">
        <f>(Y29+$DI$23)*VLOOKUP($DI$26,'x Malzemeler ve Özellikleri'!$O$2:$AJ$136,xHesaplama!U29,0)/1000*2</f>
        <v>#REF!</v>
      </c>
      <c r="DJ29" s="4" t="e">
        <f>$DJ$23*VLOOKUP($DJ$26,'x Malzemeler ve Özellikleri'!$O$2:$AJ$136,xHesaplama!U29,0)</f>
        <v>#REF!</v>
      </c>
      <c r="DK29" s="4" t="e">
        <f>$DK$23*VLOOKUP($DK$26,'x Malzemeler ve Özellikleri'!$O$2:$AJ$136,xHesaplama!U29,0)</f>
        <v>#REF!</v>
      </c>
      <c r="DL29" s="4" t="e">
        <f>(X29+$DL$23)*VLOOKUP($DL$26,'x Malzemeler ve Özellikleri'!$O$2:$AJ$136,xHesaplama!U29,0)/1000</f>
        <v>#REF!</v>
      </c>
      <c r="DM29" s="4" t="e">
        <f>(X29+$DM$23)*VLOOKUP($DM$26,'x Malzemeler ve Özellikleri'!$O$2:$AJ$136,xHesaplama!U29,0)/1000</f>
        <v>#REF!</v>
      </c>
      <c r="DN29" s="4" t="e">
        <f>(X29+$DN$23)*VLOOKUP($DN$26,'x Malzemeler ve Özellikleri'!$O$2:$AJ$136,xHesaplama!U29,0)/1000</f>
        <v>#REF!</v>
      </c>
      <c r="DO29" s="4" t="e">
        <f>(X29+$DO$23)*VLOOKUP($DO$26,'x Malzemeler ve Özellikleri'!$O$2:$AJ$136,xHesaplama!U29,0)/1000</f>
        <v>#REF!</v>
      </c>
      <c r="DP29" s="23" t="e">
        <f>ROUNDUP(Y29/300,0)*4*VLOOKUP($DP$26,'x Malzemeler ve Özellikleri'!$O$2:$AJ$136,xHesaplama!U29,0)</f>
        <v>#REF!</v>
      </c>
      <c r="DQ29" s="4" t="e">
        <f>(X29+$DQ$23)*VLOOKUP($DQ$26,'x Malzemeler ve Özellikleri'!$O$2:$AJ$136,xHesaplama!U29,0)/1000</f>
        <v>#REF!</v>
      </c>
      <c r="DR29" s="4" t="e">
        <f>(Y29+$DR$23)*VLOOKUP($DR$26,'x Malzemeler ve Özellikleri'!$O$2:$AJ$136,xHesaplama!U29,0)/1000*2</f>
        <v>#REF!</v>
      </c>
      <c r="DS29" s="4" t="e">
        <f>(Y29+$DS$23)*VLOOKUP($DS$26,'x Malzemeler ve Özellikleri'!$O$2:$AJ$136,xHesaplama!U29,0)/1000*2</f>
        <v>#REF!</v>
      </c>
      <c r="DT29" s="4" t="e">
        <f>$DT$23*VLOOKUP($DT$26,'x Malzemeler ve Özellikleri'!$O$2:$AJ$136,xHesaplama!U29,0)</f>
        <v>#REF!</v>
      </c>
      <c r="DU29" s="4" t="e">
        <f>(X29+$DU$23)*VLOOKUP($DU$26,'x Malzemeler ve Özellikleri'!$O$2:$AJ$136,xHesaplama!U29,0)/1000</f>
        <v>#REF!</v>
      </c>
      <c r="DV29" s="4" t="e">
        <f>(2*X29-112-108)*VLOOKUP($DV$26,'x Malzemeler ve Özellikleri'!$O$2:$AJ$136,xHesaplama!U29,0)/1000</f>
        <v>#REF!</v>
      </c>
      <c r="DW29" s="4" t="e">
        <f>$DW$23*VLOOKUP($DW$26,'x Malzemeler ve Özellikleri'!$O$2:$AJ$136,xHesaplama!U29,0)</f>
        <v>#REF!</v>
      </c>
      <c r="DX29" s="4" t="e">
        <f>$DX$23*VLOOKUP($DX$26,'x Malzemeler ve Özellikleri'!$O$2:$AJ$136,xHesaplama!U29,0)</f>
        <v>#REF!</v>
      </c>
      <c r="DY29" s="4" t="e">
        <f>$DY$23*VLOOKUP($DY$26,'x Malzemeler ve Özellikleri'!$O$2:$AJ$136,xHesaplama!U29,0)</f>
        <v>#REF!</v>
      </c>
      <c r="DZ29" s="4" t="e">
        <f>$DZ$23*VLOOKUP($DZ$26,'x Malzemeler ve Özellikleri'!$O$2:$AJ$136,xHesaplama!U29,0)</f>
        <v>#REF!</v>
      </c>
      <c r="EA29" s="4" t="e">
        <f>(X29+$EA$23)*VLOOKUP($EA$26,'x Malzemeler ve Özellikleri'!$O$2:$AJ$136,xHesaplama!U29,0)/1000</f>
        <v>#REF!</v>
      </c>
      <c r="EB29" s="4" t="e">
        <f>(X29+$EB$23)*VLOOKUP($EB$26,'x Malzemeler ve Özellikleri'!$O$2:$AJ$136,xHesaplama!U29,0)/1000</f>
        <v>#REF!</v>
      </c>
      <c r="EC29" s="4" t="e">
        <f>$EC$23*VLOOKUP($EC$26,'x Malzemeler ve Özellikleri'!$O$2:$AJ$136,xHesaplama!U29,0)</f>
        <v>#REF!</v>
      </c>
      <c r="ED29" s="4" t="e">
        <f>(Y29+$ED$23)*VLOOKUP($ED$26,'x Malzemeler ve Özellikleri'!$O$2:$AJ$136,xHesaplama!U29,0)/1000*2</f>
        <v>#REF!</v>
      </c>
      <c r="EE29" s="4" t="e">
        <f>(Y29+$EE$23)*VLOOKUP($EE$26,'x Malzemeler ve Özellikleri'!$O$2:$AJ$136,xHesaplama!U29,0)/1000*2</f>
        <v>#REF!</v>
      </c>
      <c r="EF29" s="4" t="e">
        <f>(Y29+$EF$23)*VLOOKUP($EF$26,'x Malzemeler ve Özellikleri'!$O$2:$AJ$136,xHesaplama!U29,0)/1000*2</f>
        <v>#REF!</v>
      </c>
      <c r="EG29" s="4" t="e">
        <f>$EG$23*VLOOKUP($EG$26,'x Malzemeler ve Özellikleri'!$O$2:$AJ$136,xHesaplama!U29,0)</f>
        <v>#REF!</v>
      </c>
      <c r="EH29" s="4" t="e">
        <f>$EH$23*VLOOKUP($EH$26,'x Malzemeler ve Özellikleri'!$O$2:$AJ$136,xHesaplama!U29,0)</f>
        <v>#REF!</v>
      </c>
      <c r="EI29" s="4" t="e">
        <f>$EI$23*VLOOKUP($EI$26,'x Malzemeler ve Özellikleri'!$O$2:$AJ$136,xHesaplama!U29,0)</f>
        <v>#REF!</v>
      </c>
      <c r="EJ29" s="4" t="e">
        <f>$EJ$23*VLOOKUP($EJ$26,'x Malzemeler ve Özellikleri'!$O$2:$AJ$136,xHesaplama!U29,0)</f>
        <v>#REF!</v>
      </c>
      <c r="EK29" s="4" t="e">
        <f>$EK$23*VLOOKUP($EK$26,'x Malzemeler ve Özellikleri'!$O$2:$AJ$136,xHesaplama!U29,0)</f>
        <v>#REF!</v>
      </c>
      <c r="EL29" s="4" t="e">
        <f>$EL$23*VLOOKUP($EL$26,'x Malzemeler ve Özellikleri'!$O$2:$AJ$136,xHesaplama!U29,0)</f>
        <v>#REF!</v>
      </c>
      <c r="EM29" s="4" t="e">
        <f>(X29+$EM$23)*VLOOKUP($EM$26,'x Malzemeler ve Özellikleri'!$O$2:$AJ$136,xHesaplama!U29,0)/1000</f>
        <v>#REF!</v>
      </c>
      <c r="EN29" s="4" t="e">
        <f>(X29+$EN$23)*VLOOKUP($EN$26,'x Malzemeler ve Özellikleri'!$O$2:$AJ$136,xHesaplama!U29,0)/1000</f>
        <v>#REF!</v>
      </c>
      <c r="EO29" s="4" t="e">
        <f>(X29+$EO$23)*VLOOKUP($EO$26,'x Malzemeler ve Özellikleri'!$O$2:$AJ$136,xHesaplama!U29,0)/1000</f>
        <v>#REF!</v>
      </c>
      <c r="EP29" s="4" t="e">
        <f>(X29+$EP$23)*VLOOKUP($EP$26,'x Malzemeler ve Özellikleri'!$O$2:$AJ$136,xHesaplama!U29,0)/1000</f>
        <v>#REF!</v>
      </c>
      <c r="EQ29" s="4" t="e">
        <f>(X29+$EQ$23)*VLOOKUP($EQ$26,'x Malzemeler ve Özellikleri'!$O$2:$AJ$136,xHesaplama!U29,0)/1000</f>
        <v>#REF!</v>
      </c>
      <c r="ER29" s="4" t="e">
        <f>$ER$23*VLOOKUP($ER$26,'x Malzemeler ve Özellikleri'!$O$2:$AJ$136,xHesaplama!U29,0)</f>
        <v>#REF!</v>
      </c>
      <c r="ES29" s="4" t="e">
        <f>(X29+$ES$23)*VLOOKUP($ES$26,'x Malzemeler ve Özellikleri'!$O$2:$AJ$136,xHesaplama!U29,0)/1000</f>
        <v>#REF!</v>
      </c>
      <c r="ET29" s="4" t="e">
        <f>(2*X29-112-108)*VLOOKUP($ET$26,'x Malzemeler ve Özellikleri'!$O$2:$AJ$136,xHesaplama!U29,0)/1000</f>
        <v>#REF!</v>
      </c>
      <c r="EU29" s="4" t="e">
        <f>$EU$23*VLOOKUP($EU$26,'x Malzemeler ve Özellikleri'!$O$2:$AJ$136,xHesaplama!U29,0)</f>
        <v>#REF!</v>
      </c>
      <c r="EV29" s="4" t="e">
        <f>$EV$23*VLOOKUP($EV$26,'x Malzemeler ve Özellikleri'!$O$2:$AJ$136,xHesaplama!U29,0)</f>
        <v>#REF!</v>
      </c>
      <c r="EW29" s="4" t="e">
        <f>$EW$23*VLOOKUP($EW$26,'x Malzemeler ve Özellikleri'!$O$2:$AJ$136,xHesaplama!U29,0)</f>
        <v>#REF!</v>
      </c>
      <c r="EX29" s="4" t="e">
        <f>$EX$23*VLOOKUP($EX$26,'x Malzemeler ve Özellikleri'!$O$2:$AJ$136,xHesaplama!U29,0)</f>
        <v>#REF!</v>
      </c>
      <c r="EY29" s="4" t="e">
        <f>(X29+$EY$23)*VLOOKUP($EY$26,'x Malzemeler ve Özellikleri'!$O$2:$AJ$136,xHesaplama!U29,0)/1000</f>
        <v>#REF!</v>
      </c>
      <c r="EZ29" s="4" t="e">
        <f>(X29+$EZ$23)*VLOOKUP($EZ$26,'x Malzemeler ve Özellikleri'!$O$2:$AJ$136,xHesaplama!U29,0)/1000</f>
        <v>#REF!</v>
      </c>
      <c r="FA29" s="4" t="e">
        <f>$FA$23*VLOOKUP($FA$26,'x Malzemeler ve Özellikleri'!$O$2:$AJ$136,xHesaplama!U29,0)</f>
        <v>#REF!</v>
      </c>
      <c r="FB29" s="4" t="e">
        <f>$FB$23*VLOOKUP($FB$26,'x Malzemeler ve Özellikleri'!$O$2:$AJ$136,xHesaplama!U29,0)</f>
        <v>#REF!</v>
      </c>
      <c r="FC29" s="4" t="e">
        <f>$FC$23*VLOOKUP($FC$26,'x Malzemeler ve Özellikleri'!$O$2:$AJ$136,xHesaplama!U29,0)</f>
        <v>#REF!</v>
      </c>
      <c r="FD29" s="4" t="e">
        <f>$FD$23*VLOOKUP($FD$26,'x Malzemeler ve Özellikleri'!$O$2:$AJ$136,xHesaplama!U29,0)</f>
        <v>#REF!</v>
      </c>
      <c r="FE29" s="4" t="e">
        <f>$FE$23*VLOOKUP($FE$26,'x Malzemeler ve Özellikleri'!$O$2:$AJ$136,xHesaplama!U29,0)</f>
        <v>#REF!</v>
      </c>
      <c r="FF29" s="4" t="e">
        <f>$FF$23*VLOOKUP($FF$26,'x Malzemeler ve Özellikleri'!$O$2:$AJ$136,xHesaplama!U29,0)</f>
        <v>#REF!</v>
      </c>
      <c r="FG29" s="4" t="e">
        <f>$FG$23*VLOOKUP($FG$26,'x Malzemeler ve Özellikleri'!$O$2:$AJ$136,xHesaplama!U29,0)</f>
        <v>#REF!</v>
      </c>
      <c r="FH29" s="4" t="e">
        <f>$FH$23*VLOOKUP($FH$26,'x Malzemeler ve Özellikleri'!$O$2:$AJ$136,xHesaplama!U29,0)</f>
        <v>#REF!</v>
      </c>
    </row>
    <row r="30" spans="1:173">
      <c r="A30" s="4">
        <f>'1PROJE'!B10</f>
        <v>4</v>
      </c>
      <c r="B30" s="4">
        <f>'1PROJE'!C10</f>
        <v>0</v>
      </c>
      <c r="C30" s="4">
        <f>'1PROJE'!D10</f>
        <v>0</v>
      </c>
      <c r="D30" s="4">
        <f>'1PROJE'!E10</f>
        <v>0</v>
      </c>
      <c r="E30" s="4">
        <f>'1PROJE'!F10</f>
        <v>0</v>
      </c>
      <c r="F30" s="4">
        <f>'1PROJE'!G10</f>
        <v>0</v>
      </c>
      <c r="G30" s="4">
        <f>'1PROJE'!H10</f>
        <v>0</v>
      </c>
      <c r="H30" s="4">
        <f>'1PROJE'!I10</f>
        <v>0</v>
      </c>
      <c r="I30" s="4">
        <f>'1PROJE'!K10</f>
        <v>0</v>
      </c>
      <c r="J30" s="4">
        <f>'1PROJE'!L10</f>
        <v>0</v>
      </c>
      <c r="K30" s="4">
        <f>'1PROJE'!M10</f>
        <v>0</v>
      </c>
      <c r="L30" s="4">
        <f>'1PROJE'!N10</f>
        <v>0</v>
      </c>
      <c r="M30" s="4">
        <f>'1PROJE'!O10</f>
        <v>0</v>
      </c>
      <c r="N30" s="4">
        <f t="shared" si="3"/>
        <v>4</v>
      </c>
      <c r="O30" s="4">
        <f>'1PROJE'!P10</f>
        <v>0</v>
      </c>
      <c r="P30" s="4">
        <f>'1PROJE'!R10</f>
        <v>0</v>
      </c>
      <c r="Q30" s="4">
        <f>'1PROJE'!S10</f>
        <v>0</v>
      </c>
      <c r="R30" s="4">
        <f>'1PROJE'!T10</f>
        <v>0</v>
      </c>
      <c r="S30" s="4"/>
      <c r="U30" s="4" t="e">
        <f t="shared" si="1"/>
        <v>#N/A</v>
      </c>
      <c r="V30" s="4" t="e">
        <f>VLOOKUP(B30,'x Açılır Listeler'!$A$2:$B$15,2,0)</f>
        <v>#N/A</v>
      </c>
      <c r="W30" s="4" t="e">
        <f>VLOOKUP(B30,'x Açılır Listeler'!$A$2:$C$15,3,0)*2</f>
        <v>#N/A</v>
      </c>
      <c r="X30" s="4">
        <f t="shared" si="4"/>
        <v>0</v>
      </c>
      <c r="Y30" s="4">
        <f t="shared" si="5"/>
        <v>0</v>
      </c>
      <c r="Z30" s="4" t="s">
        <v>654</v>
      </c>
      <c r="AA30" s="4">
        <f t="shared" si="2"/>
        <v>25</v>
      </c>
      <c r="AB30" s="38" t="e">
        <f>VLOOKUP(J30,'x Malzemeler ve Özellikleri'!$N$147:$R$167,5,0)</f>
        <v>#N/A</v>
      </c>
      <c r="AC30" s="46" t="e">
        <f>IF('1PROJE'!J10="",VLOOKUP(H30,'x Malzemeler ve Özellikleri'!$N$137:$R$146,5,0),'1PROJE'!J10)</f>
        <v>#N/A</v>
      </c>
      <c r="AD30" s="52">
        <f t="shared" si="6"/>
        <v>-2.8511999999999999E-2</v>
      </c>
      <c r="AE30" s="46" t="e">
        <f t="shared" si="7"/>
        <v>#N/A</v>
      </c>
      <c r="AF30" s="46">
        <f>IF(O30="VAR",IF('1PROJE'!Q10="",$AI$10,'1PROJE'!Q10),0)</f>
        <v>0</v>
      </c>
      <c r="AG30" s="4" t="e">
        <f>IF('1PROJE'!S10="",VLOOKUP(xHesaplama!P30,'x Malzemeler ve Özellikleri'!$AS$2:$AT$11,2,0),'1PROJE'!S10/'1PROJE'!$P$3)</f>
        <v>#N/A</v>
      </c>
      <c r="AH30" s="4" t="e">
        <f>(X30+$AH$23)*VLOOKUP($AH$26,'x Malzemeler ve Özellikleri'!$O$2:$AJ$136,xHesaplama!U30,0)/1000</f>
        <v>#REF!</v>
      </c>
      <c r="AI30" s="4" t="e">
        <f>(X30+$AI$23)*VLOOKUP($AI$26,'x Malzemeler ve Özellikleri'!$O$2:$AJ$136,xHesaplama!U30,0)/1000</f>
        <v>#REF!</v>
      </c>
      <c r="AJ30" s="4" t="e">
        <f>(X30+$AJ$23)*VLOOKUP($AJ$26,'x Malzemeler ve Özellikleri'!$O$2:$AJ$136,xHesaplama!U30,0)/1000</f>
        <v>#REF!</v>
      </c>
      <c r="AK30" s="4" t="e">
        <f>(X30+$AK$23)*VLOOKUP($AK$26,'x Malzemeler ve Özellikleri'!$O$2:$AJ$136,xHesaplama!U30,0)/1000</f>
        <v>#REF!</v>
      </c>
      <c r="AL30" s="4" t="e">
        <f>(Y30+$AL$23)*VLOOKUP($AL$26,'x Malzemeler ve Özellikleri'!$O$2:$AJ$136,xHesaplama!U30,0)/1000*2</f>
        <v>#REF!</v>
      </c>
      <c r="AM30" s="4" t="e">
        <f>IF(AND(X30&lt;4500,Y30&lt;4500,X30*Y30/1000000&lt;12),(X30+$AM$23)*VLOOKUP($AM$26,'x Malzemeler ve Özellikleri'!$O$2:$AJ$136,xHesaplama!U30,0)/1000,0)</f>
        <v>#REF!</v>
      </c>
      <c r="AN30" s="4">
        <f>IF(OR(X30&gt;=4500,Y30&gt;=4500,X30*Y30/1000000&gt;=12),(X30+$AN$23)*VLOOKUP($AN$26,'x Malzemeler ve Özellikleri'!$O$2:$AJ$136,xHesaplama!U30,0)/1000,0)</f>
        <v>0</v>
      </c>
      <c r="AO30" s="4" t="e">
        <f>(Y30+$AO$23)*VLOOKUP($AO$26,'x Malzemeler ve Özellikleri'!$O$2:$AJ$136,xHesaplama!U30,0)/1000*2</f>
        <v>#REF!</v>
      </c>
      <c r="AP30" s="4" t="e">
        <f>$AP$23*VLOOKUP($AP$26,'x Malzemeler ve Özellikleri'!$O$2:$AJ$136,xHesaplama!U30,0)</f>
        <v>#REF!</v>
      </c>
      <c r="AQ30" s="4" t="e">
        <f>$AQ$23*VLOOKUP($AQ$26,'x Malzemeler ve Özellikleri'!$O$2:$AJ$136,xHesaplama!U30,0)</f>
        <v>#REF!</v>
      </c>
      <c r="AR30" s="4" t="e">
        <f>$AR$23*VLOOKUP($AR$26,'x Malzemeler ve Özellikleri'!$O$2:$AJ$136,xHesaplama!U30,0)</f>
        <v>#REF!</v>
      </c>
      <c r="AS30" s="4" t="e">
        <f>$AS$23*VLOOKUP($AS$26,'x Malzemeler ve Özellikleri'!$O$2:$AJ$136,xHesaplama!U30,0)</f>
        <v>#REF!</v>
      </c>
      <c r="AT30" s="4" t="e">
        <f>$AT$23*VLOOKUP($AT$26,'x Malzemeler ve Özellikleri'!$O$2:$AJ$136,xHesaplama!U30,0)</f>
        <v>#REF!</v>
      </c>
      <c r="AU30" s="4" t="e">
        <f>$AU$23*VLOOKUP($AU$26,'x Malzemeler ve Özellikleri'!$O$2:$AJ$136,xHesaplama!U30,0)</f>
        <v>#REF!</v>
      </c>
      <c r="AV30" s="4" t="e">
        <f>$AV$23*VLOOKUP($AV$26,'x Malzemeler ve Özellikleri'!$O$2:$AJ$136,xHesaplama!U30,0)</f>
        <v>#REF!</v>
      </c>
      <c r="AW30" s="4" t="e">
        <f>(Y30+$AW$23)*VLOOKUP($AW$26,'x Malzemeler ve Özellikleri'!$O$2:$AJ$136,xHesaplama!U30,0)/1000*2</f>
        <v>#REF!</v>
      </c>
      <c r="AX30" s="4" t="e">
        <f>$AX$23*VLOOKUP($AX$26,'x Malzemeler ve Özellikleri'!$O$2:$AJ$136,xHesaplama!U30,0)</f>
        <v>#REF!</v>
      </c>
      <c r="AY30" s="4" t="e">
        <f>$AY$23*VLOOKUP($AY$26,'x Malzemeler ve Özellikleri'!$O$2:$AJ$136,xHesaplama!U30,0)</f>
        <v>#REF!</v>
      </c>
      <c r="AZ30" s="23" t="e">
        <f>ROUNDUP(Y30/300,0)*4*VLOOKUP($AZ$26,'x Malzemeler ve Özellikleri'!$O$2:$AJ$136,xHesaplama!U30,0)</f>
        <v>#REF!</v>
      </c>
      <c r="BA30" s="4" t="e">
        <f>(2*X30-155-183)*VLOOKUP($BA$26,'x Malzemeler ve Özellikleri'!$O$2:$AJ$136,xHesaplama!U30,0)/1000</f>
        <v>#REF!</v>
      </c>
      <c r="BB30" s="4" t="e">
        <f>$BB$23*VLOOKUP($BB$26,'x Malzemeler ve Özellikleri'!$O$2:$AJ$136,xHesaplama!U30,0)</f>
        <v>#REF!</v>
      </c>
      <c r="BC30" s="4" t="e">
        <f>$BC$23*VLOOKUP($BC$26,'x Malzemeler ve Özellikleri'!$O$2:$AJ$136,xHesaplama!U30,0)</f>
        <v>#REF!</v>
      </c>
      <c r="BD30" s="4" t="e">
        <f>$BD$23*VLOOKUP($BD$26,'x Malzemeler ve Özellikleri'!$O$2:$AJ$136,xHesaplama!U30,0)</f>
        <v>#REF!</v>
      </c>
      <c r="BE30" s="4" t="e">
        <f>$BE$23*VLOOKUP($BE$26,'x Malzemeler ve Özellikleri'!$O$2:$AJ$136,xHesaplama!U30,0)</f>
        <v>#REF!</v>
      </c>
      <c r="BF30" s="4" t="e">
        <f>$BF$23*VLOOKUP($BF$26,'x Malzemeler ve Özellikleri'!$O$2:$AJ$136,xHesaplama!U30,0)</f>
        <v>#REF!</v>
      </c>
      <c r="BG30" s="4" t="e">
        <f>$BG$23*VLOOKUP($BG$26,'x Malzemeler ve Özellikleri'!$O$2:$AJ$136,xHesaplama!U30,0)</f>
        <v>#REF!</v>
      </c>
      <c r="BH30" s="4" t="e">
        <f>$BH$23*VLOOKUP($BH$26,'x Malzemeler ve Özellikleri'!$O$2:$AJ$136,xHesaplama!U30,0)*N30</f>
        <v>#REF!</v>
      </c>
      <c r="BI30" s="4" t="e">
        <f>$BI$23*VLOOKUP($BI$26,'x Malzemeler ve Özellikleri'!$O$2:$AJ$136,xHesaplama!U30,0)</f>
        <v>#REF!</v>
      </c>
      <c r="BJ30" s="4" t="e">
        <f>$BJ$23*VLOOKUP($BJ$26,'x Malzemeler ve Özellikleri'!$O$2:$AJ$136,xHesaplama!U30,0)</f>
        <v>#REF!</v>
      </c>
      <c r="BK30" s="4" t="e">
        <f>$BK$23*VLOOKUP($BK$26,'x Malzemeler ve Özellikleri'!$O$2:$AJ$136,xHesaplama!U30,0)</f>
        <v>#REF!</v>
      </c>
      <c r="BL30" s="4" t="e">
        <f>$BL$23*VLOOKUP($BL$26,'x Malzemeler ve Özellikleri'!$O$2:$AJ$136,xHesaplama!U30,0)</f>
        <v>#REF!</v>
      </c>
      <c r="BM30" s="4" t="e">
        <f>$BM$23*VLOOKUP($BM$26,'x Malzemeler ve Özellikleri'!$O$2:$AJ$136,xHesaplama!U30,0)</f>
        <v>#REF!</v>
      </c>
      <c r="BN30" s="4" t="e">
        <f>$BN$23*VLOOKUP($BN$26,'x Malzemeler ve Özellikleri'!$O$2:$AJ$136,xHesaplama!U30,0)</f>
        <v>#REF!</v>
      </c>
      <c r="BO30" s="4" t="e">
        <f>(2*(2*X30+Y30*2)*VLOOKUP($BO$26,'x Malzemeler ve Özellikleri'!$O$2:$AJ$136,xHesaplama!U30,0)/1000)</f>
        <v>#REF!</v>
      </c>
      <c r="BP30" s="4" t="e">
        <f>(X30+$BP$23)*VLOOKUP($BP$26,'x Malzemeler ve Özellikleri'!$O$2:$AJ$136,xHesaplama!U30,0)/1000</f>
        <v>#REF!</v>
      </c>
      <c r="BQ30" s="4" t="e">
        <f>(X30+$BQ$23)*VLOOKUP($BQ$26,'x Malzemeler ve Özellikleri'!$O$2:$AJ$136,xHesaplama!U30,0)/1000</f>
        <v>#REF!</v>
      </c>
      <c r="BR30" s="4" t="e">
        <f>(X30+$BR$23)*VLOOKUP($BR$26,'x Malzemeler ve Özellikleri'!$O$2:$AJ$136,xHesaplama!U30,0)/1000</f>
        <v>#REF!</v>
      </c>
      <c r="BS30" s="4" t="e">
        <f>(X30+$BS$23)*VLOOKUP($BS$26,'x Malzemeler ve Özellikleri'!$O$2:$AJ$136,xHesaplama!U30,0)/1000</f>
        <v>#REF!</v>
      </c>
      <c r="BT30" s="4" t="e">
        <f>$BT$23*VLOOKUP($BT$26,'x Malzemeler ve Özellikleri'!$O$2:$AJ$136,xHesaplama!U30,0)</f>
        <v>#REF!</v>
      </c>
      <c r="BU30" s="4" t="e">
        <f>(Y30+$BU$23)*VLOOKUP($BU$26,'x Malzemeler ve Özellikleri'!$O$2:$AJ$136,xHesaplama!U30,0)/1000*2</f>
        <v>#REF!</v>
      </c>
      <c r="BV30" s="4" t="e">
        <f>(X30+$BV$23)*VLOOKUP($BV$26,'x Malzemeler ve Özellikleri'!$O$2:$AJ$136,xHesaplama!U30,0)/1000</f>
        <v>#REF!</v>
      </c>
      <c r="BW30" s="4" t="e">
        <f>$BW$23*VLOOKUP($BW$26,'x Malzemeler ve Özellikleri'!$O$2:$AJ$136,xHesaplama!U30,0)</f>
        <v>#REF!</v>
      </c>
      <c r="BX30" s="23" t="e">
        <f>ROUNDUP(Y30/300,0)*4*VLOOKUP($BX$26,'x Malzemeler ve Özellikleri'!$O$2:$AJ$136,xHesaplama!U30,0)</f>
        <v>#REF!</v>
      </c>
      <c r="BY30" s="4" t="e">
        <f>$BY$23*VLOOKUP($BY$26,'x Malzemeler ve Özellikleri'!$O$2:$AJ$136,xHesaplama!U30,0)</f>
        <v>#REF!</v>
      </c>
      <c r="BZ30" s="4" t="e">
        <f>$BZ$23*VLOOKUP($BZ$26,'x Malzemeler ve Özellikleri'!$O$2:$AJ$136,xHesaplama!U30,0)</f>
        <v>#REF!</v>
      </c>
      <c r="CA30" s="4" t="e">
        <f>(X30+$CA$23)*VLOOKUP($CA$26,'x Malzemeler ve Özellikleri'!$O$2:$AJ$136,xHesaplama!U30,0)/1000</f>
        <v>#REF!</v>
      </c>
      <c r="CB30" s="4" t="e">
        <f>(X30+$CB$23)*VLOOKUP($CB$26,'x Malzemeler ve Özellikleri'!$O$2:$AJ$136,xHesaplama!U30,0)/1000</f>
        <v>#REF!</v>
      </c>
      <c r="CC30" s="4" t="e">
        <f>$CC$23*VLOOKUP($CC$26,'x Malzemeler ve Özellikleri'!$O$2:$AJ$136,xHesaplama!U30,0)</f>
        <v>#REF!</v>
      </c>
      <c r="CD30" s="4" t="e">
        <f>(X30+$CD$23)*VLOOKUP($CD$26,'x Malzemeler ve Özellikleri'!$O$2:$AJ$136,xHesaplama!U30,0)/1000</f>
        <v>#REF!</v>
      </c>
      <c r="CE30" s="4" t="e">
        <f>(2*X30-120-122)*VLOOKUP($CE$26,'x Malzemeler ve Özellikleri'!$O$2:$AJ$136,xHesaplama!U30,0)/1000</f>
        <v>#REF!</v>
      </c>
      <c r="CF30" s="4" t="e">
        <f>(Y30+$CF$23)*VLOOKUP($CF$26,'x Malzemeler ve Özellikleri'!$O$2:$AJ$136,xHesaplama!U30,0)/1000*2</f>
        <v>#REF!</v>
      </c>
      <c r="CG30" s="4" t="e">
        <f>$CG$23*VLOOKUP($CG$26,'x Malzemeler ve Özellikleri'!$O$2:$AJ$136,xHesaplama!U30,0)</f>
        <v>#REF!</v>
      </c>
      <c r="CH30" s="4" t="e">
        <f>(Y30+$CH$23)*VLOOKUP($CH$26,'x Malzemeler ve Özellikleri'!$O$2:$AJ$136,xHesaplama!U30,0)/1000*2</f>
        <v>#REF!</v>
      </c>
      <c r="CI30" s="4" t="e">
        <f>(Y30+$CI$23)*VLOOKUP($CI$26,'x Malzemeler ve Özellikleri'!$O$2:$AJ$136,xHesaplama!U30,0)/1000*2</f>
        <v>#REF!</v>
      </c>
      <c r="CJ30" s="4" t="e">
        <f>$CJ$23*VLOOKUP($CJ$26,'x Malzemeler ve Özellikleri'!$O$2:$AJ$136,xHesaplama!U30,0)</f>
        <v>#REF!</v>
      </c>
      <c r="CK30" s="4" t="e">
        <f>$CK$23*VLOOKUP($CK$26,'x Malzemeler ve Özellikleri'!$O$2:$AJ$136,xHesaplama!U30,0)</f>
        <v>#REF!</v>
      </c>
      <c r="CL30" s="4" t="e">
        <f>$CL$23*VLOOKUP($CL$26,'x Malzemeler ve Özellikleri'!$O$2:$AJ$136,xHesaplama!U30,0)</f>
        <v>#REF!</v>
      </c>
      <c r="CM30" s="4" t="e">
        <f>(X30+$CM$23)*VLOOKUP($CM$26,'x Malzemeler ve Özellikleri'!$O$2:$AJ$136,xHesaplama!U30,0)/1000</f>
        <v>#REF!</v>
      </c>
      <c r="CN30" s="4" t="e">
        <f>(X30+$CN$23)*VLOOKUP($CN$26,'x Malzemeler ve Özellikleri'!$O$2:$AJ$136,xHesaplama!U30,0)/1000</f>
        <v>#REF!</v>
      </c>
      <c r="CO30" s="4" t="e">
        <f>(X30+$CO$23)*VLOOKUP($CO$26,'x Malzemeler ve Özellikleri'!$O$2:$AJ$136,xHesaplama!U30,0)/1000</f>
        <v>#REF!</v>
      </c>
      <c r="CP30" s="4" t="e">
        <f>(X30+$CP$23)*VLOOKUP($CP$26,'x Malzemeler ve Özellikleri'!$O$2:$AJ$136,xHesaplama!U30,0)/1000</f>
        <v>#REF!</v>
      </c>
      <c r="CQ30" s="23" t="e">
        <f>ROUNDUP(Y30/300,0)*4*VLOOKUP($CQ$26,'x Malzemeler ve Özellikleri'!$O$2:$AJ$136,xHesaplama!U30,0)</f>
        <v>#REF!</v>
      </c>
      <c r="CR30" s="4" t="e">
        <f>(X30+$CR$23)*VLOOKUP($CR$26,'x Malzemeler ve Özellikleri'!$O$2:$AJ$136,xHesaplama!U30,0)/1000</f>
        <v>#REF!</v>
      </c>
      <c r="CS30" s="4" t="e">
        <f>$CS$23*VLOOKUP($CS$26,'x Malzemeler ve Özellikleri'!$O$2:$AJ$136,xHesaplama!U30,0)</f>
        <v>#REF!</v>
      </c>
      <c r="CT30" s="4" t="e">
        <f>$CT$23*VLOOKUP($CT$26,'x Malzemeler ve Özellikleri'!$O$2:$AJ$136,xHesaplama!U30,0)</f>
        <v>#REF!</v>
      </c>
      <c r="CU30" s="4" t="e">
        <f>(Y30+$CU$23)*VLOOKUP($CU$26,'x Malzemeler ve Özellikleri'!$O$2:$AJ$136,xHesaplama!U30,0)/1000*2</f>
        <v>#REF!</v>
      </c>
      <c r="CV30" s="4" t="e">
        <f>(Y30+$CV$23)*VLOOKUP($CV$26,'x Malzemeler ve Özellikleri'!$O$2:$AJ$136,xHesaplama!U30,0)/1000*2</f>
        <v>#REF!</v>
      </c>
      <c r="CW30" s="4" t="e">
        <f>$CW$23*VLOOKUP($CW$26,'x Malzemeler ve Özellikleri'!$O$2:$AJ$136,xHesaplama!U30,0)</f>
        <v>#REF!</v>
      </c>
      <c r="CX30" s="4" t="e">
        <f>(X30+$CX$23)*VLOOKUP($CX$26,'x Malzemeler ve Özellikleri'!$O$2:$AJ$136,xHesaplama!U30,0)/1000</f>
        <v>#REF!</v>
      </c>
      <c r="CY30" s="4" t="e">
        <f>(2*X30-112-108)*VLOOKUP($CY$26,'x Malzemeler ve Özellikleri'!$O$2:$AJ$136,xHesaplama!U30,0)/1000</f>
        <v>#REF!</v>
      </c>
      <c r="CZ30" s="4" t="e">
        <f>$CZ$23*VLOOKUP($CZ$26,'x Malzemeler ve Özellikleri'!$O$2:$AJ$136,xHesaplama!U30,0)</f>
        <v>#REF!</v>
      </c>
      <c r="DA30" s="4" t="e">
        <f>$DA$23*VLOOKUP($DA$26,'x Malzemeler ve Özellikleri'!$O$2:$AJ$136,xHesaplama!U30,0)</f>
        <v>#REF!</v>
      </c>
      <c r="DB30" s="4" t="e">
        <f>$DB$23*VLOOKUP($DB$26,'x Malzemeler ve Özellikleri'!$O$2:$AJ$136,xHesaplama!U30,0)</f>
        <v>#REF!</v>
      </c>
      <c r="DC30" s="4" t="e">
        <f>$DC$23*VLOOKUP($DC$26,'x Malzemeler ve Özellikleri'!$O$2:$AJ$136,xHesaplama!U30,0)</f>
        <v>#REF!</v>
      </c>
      <c r="DD30" s="4" t="e">
        <f>(X30+$DD$23)*VLOOKUP($DD$26,'x Malzemeler ve Özellikleri'!$O$2:$AJ$136,xHesaplama!U30,0)/1000</f>
        <v>#REF!</v>
      </c>
      <c r="DE30" s="4" t="e">
        <f>(X30+$DE$23)*VLOOKUP($DE$26,'x Malzemeler ve Özellikleri'!$O$2:$AJ$136,xHesaplama!U30,0)/1000</f>
        <v>#REF!</v>
      </c>
      <c r="DF30" s="4" t="e">
        <f>$DF$23*VLOOKUP($DF$26,'x Malzemeler ve Özellikleri'!$O$2:$AJ$136,xHesaplama!U30,0)</f>
        <v>#REF!</v>
      </c>
      <c r="DG30" s="4" t="e">
        <f>(Y30+$DG$23)*VLOOKUP($DG$26,'x Malzemeler ve Özellikleri'!$O$2:$AJ$136,xHesaplama!U30,0)/1000*2</f>
        <v>#REF!</v>
      </c>
      <c r="DH30" s="4" t="e">
        <f>(Y30+$DH$23)*VLOOKUP($DH$26,'x Malzemeler ve Özellikleri'!$O$2:$AJ$136,xHesaplama!U30,0)/1000*2</f>
        <v>#REF!</v>
      </c>
      <c r="DI30" s="4" t="e">
        <f>(Y30+$DI$23)*VLOOKUP($DI$26,'x Malzemeler ve Özellikleri'!$O$2:$AJ$136,xHesaplama!U30,0)/1000*2</f>
        <v>#REF!</v>
      </c>
      <c r="DJ30" s="4" t="e">
        <f>$DJ$23*VLOOKUP($DJ$26,'x Malzemeler ve Özellikleri'!$O$2:$AJ$136,xHesaplama!U30,0)</f>
        <v>#REF!</v>
      </c>
      <c r="DK30" s="4" t="e">
        <f>$DK$23*VLOOKUP($DK$26,'x Malzemeler ve Özellikleri'!$O$2:$AJ$136,xHesaplama!U30,0)</f>
        <v>#REF!</v>
      </c>
      <c r="DL30" s="4" t="e">
        <f>(X30+$DL$23)*VLOOKUP($DL$26,'x Malzemeler ve Özellikleri'!$O$2:$AJ$136,xHesaplama!U30,0)/1000</f>
        <v>#REF!</v>
      </c>
      <c r="DM30" s="4" t="e">
        <f>(X30+$DM$23)*VLOOKUP($DM$26,'x Malzemeler ve Özellikleri'!$O$2:$AJ$136,xHesaplama!U30,0)/1000</f>
        <v>#REF!</v>
      </c>
      <c r="DN30" s="4" t="e">
        <f>(X30+$DN$23)*VLOOKUP($DN$26,'x Malzemeler ve Özellikleri'!$O$2:$AJ$136,xHesaplama!U30,0)/1000</f>
        <v>#REF!</v>
      </c>
      <c r="DO30" s="4" t="e">
        <f>(X30+$DO$23)*VLOOKUP($DO$26,'x Malzemeler ve Özellikleri'!$O$2:$AJ$136,xHesaplama!U30,0)/1000</f>
        <v>#REF!</v>
      </c>
      <c r="DP30" s="23" t="e">
        <f>ROUNDUP(Y30/300,0)*4*VLOOKUP($DP$26,'x Malzemeler ve Özellikleri'!$O$2:$AJ$136,xHesaplama!U30,0)</f>
        <v>#REF!</v>
      </c>
      <c r="DQ30" s="4" t="e">
        <f>(X30+$DQ$23)*VLOOKUP($DQ$26,'x Malzemeler ve Özellikleri'!$O$2:$AJ$136,xHesaplama!U30,0)/1000</f>
        <v>#REF!</v>
      </c>
      <c r="DR30" s="4" t="e">
        <f>(Y30+$DR$23)*VLOOKUP($DR$26,'x Malzemeler ve Özellikleri'!$O$2:$AJ$136,xHesaplama!U30,0)/1000*2</f>
        <v>#REF!</v>
      </c>
      <c r="DS30" s="4" t="e">
        <f>(Y30+$DS$23)*VLOOKUP($DS$26,'x Malzemeler ve Özellikleri'!$O$2:$AJ$136,xHesaplama!U30,0)/1000*2</f>
        <v>#REF!</v>
      </c>
      <c r="DT30" s="4" t="e">
        <f>$DT$23*VLOOKUP($DT$26,'x Malzemeler ve Özellikleri'!$O$2:$AJ$136,xHesaplama!U30,0)</f>
        <v>#REF!</v>
      </c>
      <c r="DU30" s="4" t="e">
        <f>(X30+$DU$23)*VLOOKUP($DU$26,'x Malzemeler ve Özellikleri'!$O$2:$AJ$136,xHesaplama!U30,0)/1000</f>
        <v>#REF!</v>
      </c>
      <c r="DV30" s="4" t="e">
        <f>(2*X30-112-108)*VLOOKUP($DV$26,'x Malzemeler ve Özellikleri'!$O$2:$AJ$136,xHesaplama!U30,0)/1000</f>
        <v>#REF!</v>
      </c>
      <c r="DW30" s="4" t="e">
        <f>$DW$23*VLOOKUP($DW$26,'x Malzemeler ve Özellikleri'!$O$2:$AJ$136,xHesaplama!U30,0)</f>
        <v>#REF!</v>
      </c>
      <c r="DX30" s="4" t="e">
        <f>$DX$23*VLOOKUP($DX$26,'x Malzemeler ve Özellikleri'!$O$2:$AJ$136,xHesaplama!U30,0)</f>
        <v>#REF!</v>
      </c>
      <c r="DY30" s="4" t="e">
        <f>$DY$23*VLOOKUP($DY$26,'x Malzemeler ve Özellikleri'!$O$2:$AJ$136,xHesaplama!U30,0)</f>
        <v>#REF!</v>
      </c>
      <c r="DZ30" s="4" t="e">
        <f>$DZ$23*VLOOKUP($DZ$26,'x Malzemeler ve Özellikleri'!$O$2:$AJ$136,xHesaplama!U30,0)</f>
        <v>#REF!</v>
      </c>
      <c r="EA30" s="4" t="e">
        <f>(X30+$EA$23)*VLOOKUP($EA$26,'x Malzemeler ve Özellikleri'!$O$2:$AJ$136,xHesaplama!U30,0)/1000</f>
        <v>#REF!</v>
      </c>
      <c r="EB30" s="4" t="e">
        <f>(X30+$EB$23)*VLOOKUP($EB$26,'x Malzemeler ve Özellikleri'!$O$2:$AJ$136,xHesaplama!U30,0)/1000</f>
        <v>#REF!</v>
      </c>
      <c r="EC30" s="4" t="e">
        <f>$EC$23*VLOOKUP($EC$26,'x Malzemeler ve Özellikleri'!$O$2:$AJ$136,xHesaplama!U30,0)</f>
        <v>#REF!</v>
      </c>
      <c r="ED30" s="4" t="e">
        <f>(Y30+$ED$23)*VLOOKUP($ED$26,'x Malzemeler ve Özellikleri'!$O$2:$AJ$136,xHesaplama!U30,0)/1000*2</f>
        <v>#REF!</v>
      </c>
      <c r="EE30" s="4" t="e">
        <f>(Y30+$EE$23)*VLOOKUP($EE$26,'x Malzemeler ve Özellikleri'!$O$2:$AJ$136,xHesaplama!U30,0)/1000*2</f>
        <v>#REF!</v>
      </c>
      <c r="EF30" s="4" t="e">
        <f>(Y30+$EF$23)*VLOOKUP($EF$26,'x Malzemeler ve Özellikleri'!$O$2:$AJ$136,xHesaplama!U30,0)/1000*2</f>
        <v>#REF!</v>
      </c>
      <c r="EG30" s="4" t="e">
        <f>$EG$23*VLOOKUP($EG$26,'x Malzemeler ve Özellikleri'!$O$2:$AJ$136,xHesaplama!U30,0)</f>
        <v>#REF!</v>
      </c>
      <c r="EH30" s="4" t="e">
        <f>$EH$23*VLOOKUP($EH$26,'x Malzemeler ve Özellikleri'!$O$2:$AJ$136,xHesaplama!U30,0)</f>
        <v>#REF!</v>
      </c>
      <c r="EI30" s="4" t="e">
        <f>$EI$23*VLOOKUP($EI$26,'x Malzemeler ve Özellikleri'!$O$2:$AJ$136,xHesaplama!U30,0)</f>
        <v>#REF!</v>
      </c>
      <c r="EJ30" s="4" t="e">
        <f>$EJ$23*VLOOKUP($EJ$26,'x Malzemeler ve Özellikleri'!$O$2:$AJ$136,xHesaplama!U30,0)</f>
        <v>#REF!</v>
      </c>
      <c r="EK30" s="4" t="e">
        <f>$EK$23*VLOOKUP($EK$26,'x Malzemeler ve Özellikleri'!$O$2:$AJ$136,xHesaplama!U30,0)</f>
        <v>#REF!</v>
      </c>
      <c r="EL30" s="4" t="e">
        <f>$EL$23*VLOOKUP($EL$26,'x Malzemeler ve Özellikleri'!$O$2:$AJ$136,xHesaplama!U30,0)</f>
        <v>#REF!</v>
      </c>
      <c r="EM30" s="4" t="e">
        <f>(X30+$EM$23)*VLOOKUP($EM$26,'x Malzemeler ve Özellikleri'!$O$2:$AJ$136,xHesaplama!U30,0)/1000</f>
        <v>#REF!</v>
      </c>
      <c r="EN30" s="4" t="e">
        <f>(X30+$EN$23)*VLOOKUP($EN$26,'x Malzemeler ve Özellikleri'!$O$2:$AJ$136,xHesaplama!U30,0)/1000</f>
        <v>#REF!</v>
      </c>
      <c r="EO30" s="4" t="e">
        <f>(X30+$EO$23)*VLOOKUP($EO$26,'x Malzemeler ve Özellikleri'!$O$2:$AJ$136,xHesaplama!U30,0)/1000</f>
        <v>#REF!</v>
      </c>
      <c r="EP30" s="4" t="e">
        <f>(X30+$EP$23)*VLOOKUP($EP$26,'x Malzemeler ve Özellikleri'!$O$2:$AJ$136,xHesaplama!U30,0)/1000</f>
        <v>#REF!</v>
      </c>
      <c r="EQ30" s="4" t="e">
        <f>(X30+$EQ$23)*VLOOKUP($EQ$26,'x Malzemeler ve Özellikleri'!$O$2:$AJ$136,xHesaplama!U30,0)/1000</f>
        <v>#REF!</v>
      </c>
      <c r="ER30" s="4" t="e">
        <f>$ER$23*VLOOKUP($ER$26,'x Malzemeler ve Özellikleri'!$O$2:$AJ$136,xHesaplama!U30,0)</f>
        <v>#REF!</v>
      </c>
      <c r="ES30" s="4" t="e">
        <f>(X30+$ES$23)*VLOOKUP($ES$26,'x Malzemeler ve Özellikleri'!$O$2:$AJ$136,xHesaplama!U30,0)/1000</f>
        <v>#REF!</v>
      </c>
      <c r="ET30" s="4" t="e">
        <f>(2*X30-112-108)*VLOOKUP($ET$26,'x Malzemeler ve Özellikleri'!$O$2:$AJ$136,xHesaplama!U30,0)/1000</f>
        <v>#REF!</v>
      </c>
      <c r="EU30" s="4" t="e">
        <f>$EU$23*VLOOKUP($EU$26,'x Malzemeler ve Özellikleri'!$O$2:$AJ$136,xHesaplama!U30,0)</f>
        <v>#REF!</v>
      </c>
      <c r="EV30" s="4" t="e">
        <f>$EV$23*VLOOKUP($EV$26,'x Malzemeler ve Özellikleri'!$O$2:$AJ$136,xHesaplama!U30,0)</f>
        <v>#REF!</v>
      </c>
      <c r="EW30" s="4" t="e">
        <f>$EW$23*VLOOKUP($EW$26,'x Malzemeler ve Özellikleri'!$O$2:$AJ$136,xHesaplama!U30,0)</f>
        <v>#REF!</v>
      </c>
      <c r="EX30" s="4" t="e">
        <f>$EX$23*VLOOKUP($EX$26,'x Malzemeler ve Özellikleri'!$O$2:$AJ$136,xHesaplama!U30,0)</f>
        <v>#REF!</v>
      </c>
      <c r="EY30" s="4" t="e">
        <f>(X30+$EY$23)*VLOOKUP($EY$26,'x Malzemeler ve Özellikleri'!$O$2:$AJ$136,xHesaplama!U30,0)/1000</f>
        <v>#REF!</v>
      </c>
      <c r="EZ30" s="4" t="e">
        <f>(X30+$EZ$23)*VLOOKUP($EZ$26,'x Malzemeler ve Özellikleri'!$O$2:$AJ$136,xHesaplama!U30,0)/1000</f>
        <v>#REF!</v>
      </c>
      <c r="FA30" s="4" t="e">
        <f>$FA$23*VLOOKUP($FA$26,'x Malzemeler ve Özellikleri'!$O$2:$AJ$136,xHesaplama!U30,0)</f>
        <v>#REF!</v>
      </c>
      <c r="FB30" s="4" t="e">
        <f>$FB$23*VLOOKUP($FB$26,'x Malzemeler ve Özellikleri'!$O$2:$AJ$136,xHesaplama!U30,0)</f>
        <v>#REF!</v>
      </c>
      <c r="FC30" s="4" t="e">
        <f>$FC$23*VLOOKUP($FC$26,'x Malzemeler ve Özellikleri'!$O$2:$AJ$136,xHesaplama!U30,0)</f>
        <v>#REF!</v>
      </c>
      <c r="FD30" s="4" t="e">
        <f>$FD$23*VLOOKUP($FD$26,'x Malzemeler ve Özellikleri'!$O$2:$AJ$136,xHesaplama!U30,0)</f>
        <v>#REF!</v>
      </c>
      <c r="FE30" s="4" t="e">
        <f>$FE$23*VLOOKUP($FE$26,'x Malzemeler ve Özellikleri'!$O$2:$AJ$136,xHesaplama!U30,0)</f>
        <v>#REF!</v>
      </c>
      <c r="FF30" s="4" t="e">
        <f>$FF$23*VLOOKUP($FF$26,'x Malzemeler ve Özellikleri'!$O$2:$AJ$136,xHesaplama!U30,0)</f>
        <v>#REF!</v>
      </c>
      <c r="FG30" s="4" t="e">
        <f>$FG$23*VLOOKUP($FG$26,'x Malzemeler ve Özellikleri'!$O$2:$AJ$136,xHesaplama!U30,0)</f>
        <v>#REF!</v>
      </c>
      <c r="FH30" s="4" t="e">
        <f>$FH$23*VLOOKUP($FH$26,'x Malzemeler ve Özellikleri'!$O$2:$AJ$136,xHesaplama!U30,0)</f>
        <v>#REF!</v>
      </c>
    </row>
    <row r="31" spans="1:173">
      <c r="A31" s="4">
        <f>'1PROJE'!B11</f>
        <v>5</v>
      </c>
      <c r="B31" s="4">
        <f>'1PROJE'!C11</f>
        <v>0</v>
      </c>
      <c r="C31" s="4">
        <f>'1PROJE'!D11</f>
        <v>0</v>
      </c>
      <c r="D31" s="4">
        <f>'1PROJE'!E11</f>
        <v>0</v>
      </c>
      <c r="E31" s="4">
        <f>'1PROJE'!F11</f>
        <v>0</v>
      </c>
      <c r="F31" s="4">
        <f>'1PROJE'!G11</f>
        <v>0</v>
      </c>
      <c r="G31" s="4">
        <f>'1PROJE'!H11</f>
        <v>0</v>
      </c>
      <c r="H31" s="4">
        <f>'1PROJE'!I11</f>
        <v>0</v>
      </c>
      <c r="I31" s="4">
        <f>'1PROJE'!K11</f>
        <v>0</v>
      </c>
      <c r="J31" s="4">
        <f>'1PROJE'!L11</f>
        <v>0</v>
      </c>
      <c r="K31" s="4">
        <f>'1PROJE'!M11</f>
        <v>0</v>
      </c>
      <c r="L31" s="4">
        <f>'1PROJE'!N11</f>
        <v>0</v>
      </c>
      <c r="M31" s="4">
        <f>'1PROJE'!O11</f>
        <v>0</v>
      </c>
      <c r="N31" s="4">
        <f t="shared" si="3"/>
        <v>4</v>
      </c>
      <c r="O31" s="4">
        <f>'1PROJE'!P11</f>
        <v>0</v>
      </c>
      <c r="P31" s="4">
        <f>'1PROJE'!R11</f>
        <v>0</v>
      </c>
      <c r="Q31" s="4">
        <f>'1PROJE'!S11</f>
        <v>0</v>
      </c>
      <c r="R31" s="4">
        <f>'1PROJE'!T11</f>
        <v>0</v>
      </c>
      <c r="S31" s="4"/>
      <c r="U31" s="4" t="e">
        <f t="shared" si="1"/>
        <v>#N/A</v>
      </c>
      <c r="V31" s="4" t="e">
        <f>VLOOKUP(B31,'x Açılır Listeler'!$A$2:$B$15,2,0)</f>
        <v>#N/A</v>
      </c>
      <c r="W31" s="4" t="e">
        <f>VLOOKUP(B31,'x Açılır Listeler'!$A$2:$C$15,3,0)*2</f>
        <v>#N/A</v>
      </c>
      <c r="X31" s="4">
        <f t="shared" si="4"/>
        <v>0</v>
      </c>
      <c r="Y31" s="4">
        <f t="shared" si="5"/>
        <v>0</v>
      </c>
      <c r="Z31" s="4" t="s">
        <v>397</v>
      </c>
      <c r="AA31" s="4">
        <f t="shared" si="2"/>
        <v>25</v>
      </c>
      <c r="AB31" s="38" t="e">
        <f>VLOOKUP(J31,'x Malzemeler ve Özellikleri'!$N$147:$R$167,5,0)</f>
        <v>#N/A</v>
      </c>
      <c r="AC31" s="46" t="e">
        <f>IF('1PROJE'!J11="",VLOOKUP(H31,'x Malzemeler ve Özellikleri'!$N$137:$R$146,5,0),'1PROJE'!J11)</f>
        <v>#N/A</v>
      </c>
      <c r="AD31" s="52">
        <f t="shared" si="6"/>
        <v>-2.8511999999999999E-2</v>
      </c>
      <c r="AE31" s="46" t="e">
        <f t="shared" si="7"/>
        <v>#N/A</v>
      </c>
      <c r="AF31" s="46">
        <f>IF(O31="VAR",IF('1PROJE'!Q11="",$AI$10,'1PROJE'!Q11),0)</f>
        <v>0</v>
      </c>
      <c r="AG31" s="4" t="e">
        <f>IF('1PROJE'!S11="",VLOOKUP(xHesaplama!P31,'x Malzemeler ve Özellikleri'!$AS$2:$AT$11,2,0),'1PROJE'!S11/'1PROJE'!$P$3)</f>
        <v>#N/A</v>
      </c>
      <c r="AH31" s="4" t="e">
        <f>(X31+$AH$23)*VLOOKUP($AH$26,'x Malzemeler ve Özellikleri'!$O$2:$AJ$136,xHesaplama!U31,0)/1000</f>
        <v>#REF!</v>
      </c>
      <c r="AI31" s="4" t="e">
        <f>(X31+$AI$23)*VLOOKUP($AI$26,'x Malzemeler ve Özellikleri'!$O$2:$AJ$136,xHesaplama!U31,0)/1000</f>
        <v>#REF!</v>
      </c>
      <c r="AJ31" s="4" t="e">
        <f>(X31+$AJ$23)*VLOOKUP($AJ$26,'x Malzemeler ve Özellikleri'!$O$2:$AJ$136,xHesaplama!U31,0)/1000</f>
        <v>#REF!</v>
      </c>
      <c r="AK31" s="4" t="e">
        <f>(X31+$AK$23)*VLOOKUP($AK$26,'x Malzemeler ve Özellikleri'!$O$2:$AJ$136,xHesaplama!U31,0)/1000</f>
        <v>#REF!</v>
      </c>
      <c r="AL31" s="4" t="e">
        <f>(Y31+$AL$23)*VLOOKUP($AL$26,'x Malzemeler ve Özellikleri'!$O$2:$AJ$136,xHesaplama!U31,0)/1000*2</f>
        <v>#REF!</v>
      </c>
      <c r="AM31" s="4" t="e">
        <f>IF(AND(X31&lt;4500,Y31&lt;4500,X31*Y31/1000000&lt;12),(X31+$AM$23)*VLOOKUP($AM$26,'x Malzemeler ve Özellikleri'!$O$2:$AJ$136,xHesaplama!U31,0)/1000,0)</f>
        <v>#REF!</v>
      </c>
      <c r="AN31" s="4">
        <f>IF(OR(X31&gt;=4500,Y31&gt;=4500,X31*Y31/1000000&gt;=12),(X31+$AN$23)*VLOOKUP($AN$26,'x Malzemeler ve Özellikleri'!$O$2:$AJ$136,xHesaplama!U31,0)/1000,0)</f>
        <v>0</v>
      </c>
      <c r="AO31" s="4" t="e">
        <f>(Y31+$AO$23)*VLOOKUP($AO$26,'x Malzemeler ve Özellikleri'!$O$2:$AJ$136,xHesaplama!U31,0)/1000*2</f>
        <v>#REF!</v>
      </c>
      <c r="AP31" s="4" t="e">
        <f>$AP$23*VLOOKUP($AP$26,'x Malzemeler ve Özellikleri'!$O$2:$AJ$136,xHesaplama!U31,0)</f>
        <v>#REF!</v>
      </c>
      <c r="AQ31" s="4" t="e">
        <f>$AQ$23*VLOOKUP($AQ$26,'x Malzemeler ve Özellikleri'!$O$2:$AJ$136,xHesaplama!U31,0)</f>
        <v>#REF!</v>
      </c>
      <c r="AR31" s="4" t="e">
        <f>$AR$23*VLOOKUP($AR$26,'x Malzemeler ve Özellikleri'!$O$2:$AJ$136,xHesaplama!U31,0)</f>
        <v>#REF!</v>
      </c>
      <c r="AS31" s="4" t="e">
        <f>$AS$23*VLOOKUP($AS$26,'x Malzemeler ve Özellikleri'!$O$2:$AJ$136,xHesaplama!U31,0)</f>
        <v>#REF!</v>
      </c>
      <c r="AT31" s="4" t="e">
        <f>$AT$23*VLOOKUP($AT$26,'x Malzemeler ve Özellikleri'!$O$2:$AJ$136,xHesaplama!U31,0)</f>
        <v>#REF!</v>
      </c>
      <c r="AU31" s="4" t="e">
        <f>$AU$23*VLOOKUP($AU$26,'x Malzemeler ve Özellikleri'!$O$2:$AJ$136,xHesaplama!U31,0)</f>
        <v>#REF!</v>
      </c>
      <c r="AV31" s="4" t="e">
        <f>$AV$23*VLOOKUP($AV$26,'x Malzemeler ve Özellikleri'!$O$2:$AJ$136,xHesaplama!U31,0)</f>
        <v>#REF!</v>
      </c>
      <c r="AW31" s="4" t="e">
        <f>(Y31+$AW$23)*VLOOKUP($AW$26,'x Malzemeler ve Özellikleri'!$O$2:$AJ$136,xHesaplama!U31,0)/1000*2</f>
        <v>#REF!</v>
      </c>
      <c r="AX31" s="4" t="e">
        <f>$AX$23*VLOOKUP($AX$26,'x Malzemeler ve Özellikleri'!$O$2:$AJ$136,xHesaplama!U31,0)</f>
        <v>#REF!</v>
      </c>
      <c r="AY31" s="4" t="e">
        <f>$AY$23*VLOOKUP($AY$26,'x Malzemeler ve Özellikleri'!$O$2:$AJ$136,xHesaplama!U31,0)</f>
        <v>#REF!</v>
      </c>
      <c r="AZ31" s="23" t="e">
        <f>ROUNDUP(Y31/300,0)*4*VLOOKUP($AZ$26,'x Malzemeler ve Özellikleri'!$O$2:$AJ$136,xHesaplama!U31,0)</f>
        <v>#REF!</v>
      </c>
      <c r="BA31" s="4" t="e">
        <f>(2*X31-155-183)*VLOOKUP($BA$26,'x Malzemeler ve Özellikleri'!$O$2:$AJ$136,xHesaplama!U31,0)/1000</f>
        <v>#REF!</v>
      </c>
      <c r="BB31" s="4" t="e">
        <f>$BB$23*VLOOKUP($BB$26,'x Malzemeler ve Özellikleri'!$O$2:$AJ$136,xHesaplama!U31,0)</f>
        <v>#REF!</v>
      </c>
      <c r="BC31" s="4" t="e">
        <f>$BC$23*VLOOKUP($BC$26,'x Malzemeler ve Özellikleri'!$O$2:$AJ$136,xHesaplama!U31,0)</f>
        <v>#REF!</v>
      </c>
      <c r="BD31" s="4" t="e">
        <f>$BD$23*VLOOKUP($BD$26,'x Malzemeler ve Özellikleri'!$O$2:$AJ$136,xHesaplama!U31,0)</f>
        <v>#REF!</v>
      </c>
      <c r="BE31" s="4" t="e">
        <f>$BE$23*VLOOKUP($BE$26,'x Malzemeler ve Özellikleri'!$O$2:$AJ$136,xHesaplama!U31,0)</f>
        <v>#REF!</v>
      </c>
      <c r="BF31" s="4" t="e">
        <f>$BF$23*VLOOKUP($BF$26,'x Malzemeler ve Özellikleri'!$O$2:$AJ$136,xHesaplama!U31,0)</f>
        <v>#REF!</v>
      </c>
      <c r="BG31" s="4" t="e">
        <f>$BG$23*VLOOKUP($BG$26,'x Malzemeler ve Özellikleri'!$O$2:$AJ$136,xHesaplama!U31,0)</f>
        <v>#REF!</v>
      </c>
      <c r="BH31" s="4" t="e">
        <f>$BH$23*VLOOKUP($BH$26,'x Malzemeler ve Özellikleri'!$O$2:$AJ$136,xHesaplama!U31,0)*N31</f>
        <v>#REF!</v>
      </c>
      <c r="BI31" s="4" t="e">
        <f>$BI$23*VLOOKUP($BI$26,'x Malzemeler ve Özellikleri'!$O$2:$AJ$136,xHesaplama!U31,0)</f>
        <v>#REF!</v>
      </c>
      <c r="BJ31" s="4" t="e">
        <f>$BJ$23*VLOOKUP($BJ$26,'x Malzemeler ve Özellikleri'!$O$2:$AJ$136,xHesaplama!U31,0)</f>
        <v>#REF!</v>
      </c>
      <c r="BK31" s="4" t="e">
        <f>$BK$23*VLOOKUP($BK$26,'x Malzemeler ve Özellikleri'!$O$2:$AJ$136,xHesaplama!U31,0)</f>
        <v>#REF!</v>
      </c>
      <c r="BL31" s="4" t="e">
        <f>$BL$23*VLOOKUP($BL$26,'x Malzemeler ve Özellikleri'!$O$2:$AJ$136,xHesaplama!U31,0)</f>
        <v>#REF!</v>
      </c>
      <c r="BM31" s="4" t="e">
        <f>$BM$23*VLOOKUP($BM$26,'x Malzemeler ve Özellikleri'!$O$2:$AJ$136,xHesaplama!U31,0)</f>
        <v>#REF!</v>
      </c>
      <c r="BN31" s="4" t="e">
        <f>$BN$23*VLOOKUP($BN$26,'x Malzemeler ve Özellikleri'!$O$2:$AJ$136,xHesaplama!U31,0)</f>
        <v>#REF!</v>
      </c>
      <c r="BO31" s="4" t="e">
        <f>(2*(2*X31+Y31*2)*VLOOKUP($BO$26,'x Malzemeler ve Özellikleri'!$O$2:$AJ$136,xHesaplama!U31,0)/1000)</f>
        <v>#REF!</v>
      </c>
      <c r="BP31" s="4" t="e">
        <f>(X31+$BP$23)*VLOOKUP($BP$26,'x Malzemeler ve Özellikleri'!$O$2:$AJ$136,xHesaplama!U31,0)/1000</f>
        <v>#REF!</v>
      </c>
      <c r="BQ31" s="4" t="e">
        <f>(X31+$BQ$23)*VLOOKUP($BQ$26,'x Malzemeler ve Özellikleri'!$O$2:$AJ$136,xHesaplama!U31,0)/1000</f>
        <v>#REF!</v>
      </c>
      <c r="BR31" s="4" t="e">
        <f>(X31+$BR$23)*VLOOKUP($BR$26,'x Malzemeler ve Özellikleri'!$O$2:$AJ$136,xHesaplama!U31,0)/1000</f>
        <v>#REF!</v>
      </c>
      <c r="BS31" s="4" t="e">
        <f>(X31+$BS$23)*VLOOKUP($BS$26,'x Malzemeler ve Özellikleri'!$O$2:$AJ$136,xHesaplama!U31,0)/1000</f>
        <v>#REF!</v>
      </c>
      <c r="BT31" s="4" t="e">
        <f>$BT$23*VLOOKUP($BT$26,'x Malzemeler ve Özellikleri'!$O$2:$AJ$136,xHesaplama!U31,0)</f>
        <v>#REF!</v>
      </c>
      <c r="BU31" s="4" t="e">
        <f>(Y31+$BU$23)*VLOOKUP($BU$26,'x Malzemeler ve Özellikleri'!$O$2:$AJ$136,xHesaplama!U31,0)/1000*2</f>
        <v>#REF!</v>
      </c>
      <c r="BV31" s="4" t="e">
        <f>(X31+$BV$23)*VLOOKUP($BV$26,'x Malzemeler ve Özellikleri'!$O$2:$AJ$136,xHesaplama!U31,0)/1000</f>
        <v>#REF!</v>
      </c>
      <c r="BW31" s="4" t="e">
        <f>$BW$23*VLOOKUP($BW$26,'x Malzemeler ve Özellikleri'!$O$2:$AJ$136,xHesaplama!U31,0)</f>
        <v>#REF!</v>
      </c>
      <c r="BX31" s="23" t="e">
        <f>ROUNDUP(Y31/300,0)*4*VLOOKUP($BX$26,'x Malzemeler ve Özellikleri'!$O$2:$AJ$136,xHesaplama!U31,0)</f>
        <v>#REF!</v>
      </c>
      <c r="BY31" s="4" t="e">
        <f>$BY$23*VLOOKUP($BY$26,'x Malzemeler ve Özellikleri'!$O$2:$AJ$136,xHesaplama!U31,0)</f>
        <v>#REF!</v>
      </c>
      <c r="BZ31" s="4" t="e">
        <f>$BZ$23*VLOOKUP($BZ$26,'x Malzemeler ve Özellikleri'!$O$2:$AJ$136,xHesaplama!U31,0)</f>
        <v>#REF!</v>
      </c>
      <c r="CA31" s="4" t="e">
        <f>(X31+$CA$23)*VLOOKUP($CA$26,'x Malzemeler ve Özellikleri'!$O$2:$AJ$136,xHesaplama!U31,0)/1000</f>
        <v>#REF!</v>
      </c>
      <c r="CB31" s="4" t="e">
        <f>(X31+$CB$23)*VLOOKUP($CB$26,'x Malzemeler ve Özellikleri'!$O$2:$AJ$136,xHesaplama!U31,0)/1000</f>
        <v>#REF!</v>
      </c>
      <c r="CC31" s="4" t="e">
        <f>$CC$23*VLOOKUP($CC$26,'x Malzemeler ve Özellikleri'!$O$2:$AJ$136,xHesaplama!U31,0)</f>
        <v>#REF!</v>
      </c>
      <c r="CD31" s="4" t="e">
        <f>(X31+$CD$23)*VLOOKUP($CD$26,'x Malzemeler ve Özellikleri'!$O$2:$AJ$136,xHesaplama!U31,0)/1000</f>
        <v>#REF!</v>
      </c>
      <c r="CE31" s="4" t="e">
        <f>(2*X31-120-122)*VLOOKUP($CE$26,'x Malzemeler ve Özellikleri'!$O$2:$AJ$136,xHesaplama!U31,0)/1000</f>
        <v>#REF!</v>
      </c>
      <c r="CF31" s="4" t="e">
        <f>(Y31+$CF$23)*VLOOKUP($CF$26,'x Malzemeler ve Özellikleri'!$O$2:$AJ$136,xHesaplama!U31,0)/1000*2</f>
        <v>#REF!</v>
      </c>
      <c r="CG31" s="4" t="e">
        <f>$CG$23*VLOOKUP($CG$26,'x Malzemeler ve Özellikleri'!$O$2:$AJ$136,xHesaplama!U31,0)</f>
        <v>#REF!</v>
      </c>
      <c r="CH31" s="4" t="e">
        <f>(Y31+$CH$23)*VLOOKUP($CH$26,'x Malzemeler ve Özellikleri'!$O$2:$AJ$136,xHesaplama!U31,0)/1000*2</f>
        <v>#REF!</v>
      </c>
      <c r="CI31" s="4" t="e">
        <f>(Y31+$CI$23)*VLOOKUP($CI$26,'x Malzemeler ve Özellikleri'!$O$2:$AJ$136,xHesaplama!U31,0)/1000*2</f>
        <v>#REF!</v>
      </c>
      <c r="CJ31" s="4" t="e">
        <f>$CJ$23*VLOOKUP($CJ$26,'x Malzemeler ve Özellikleri'!$O$2:$AJ$136,xHesaplama!U31,0)</f>
        <v>#REF!</v>
      </c>
      <c r="CK31" s="4" t="e">
        <f>$CK$23*VLOOKUP($CK$26,'x Malzemeler ve Özellikleri'!$O$2:$AJ$136,xHesaplama!U31,0)</f>
        <v>#REF!</v>
      </c>
      <c r="CL31" s="4" t="e">
        <f>$CL$23*VLOOKUP($CL$26,'x Malzemeler ve Özellikleri'!$O$2:$AJ$136,xHesaplama!U31,0)</f>
        <v>#REF!</v>
      </c>
      <c r="CM31" s="4" t="e">
        <f>(X31+$CM$23)*VLOOKUP($CM$26,'x Malzemeler ve Özellikleri'!$O$2:$AJ$136,xHesaplama!U31,0)/1000</f>
        <v>#REF!</v>
      </c>
      <c r="CN31" s="4" t="e">
        <f>(X31+$CN$23)*VLOOKUP($CN$26,'x Malzemeler ve Özellikleri'!$O$2:$AJ$136,xHesaplama!U31,0)/1000</f>
        <v>#REF!</v>
      </c>
      <c r="CO31" s="4" t="e">
        <f>(X31+$CO$23)*VLOOKUP($CO$26,'x Malzemeler ve Özellikleri'!$O$2:$AJ$136,xHesaplama!U31,0)/1000</f>
        <v>#REF!</v>
      </c>
      <c r="CP31" s="4" t="e">
        <f>(X31+$CP$23)*VLOOKUP($CP$26,'x Malzemeler ve Özellikleri'!$O$2:$AJ$136,xHesaplama!U31,0)/1000</f>
        <v>#REF!</v>
      </c>
      <c r="CQ31" s="23" t="e">
        <f>ROUNDUP(Y31/300,0)*4*VLOOKUP($CQ$26,'x Malzemeler ve Özellikleri'!$O$2:$AJ$136,xHesaplama!U31,0)</f>
        <v>#REF!</v>
      </c>
      <c r="CR31" s="4" t="e">
        <f>(X31+$CR$23)*VLOOKUP($CR$26,'x Malzemeler ve Özellikleri'!$O$2:$AJ$136,xHesaplama!U31,0)/1000</f>
        <v>#REF!</v>
      </c>
      <c r="CS31" s="4" t="e">
        <f>$CS$23*VLOOKUP($CS$26,'x Malzemeler ve Özellikleri'!$O$2:$AJ$136,xHesaplama!U31,0)</f>
        <v>#REF!</v>
      </c>
      <c r="CT31" s="4" t="e">
        <f>$CT$23*VLOOKUP($CT$26,'x Malzemeler ve Özellikleri'!$O$2:$AJ$136,xHesaplama!U31,0)</f>
        <v>#REF!</v>
      </c>
      <c r="CU31" s="4" t="e">
        <f>(Y31+$CU$23)*VLOOKUP($CU$26,'x Malzemeler ve Özellikleri'!$O$2:$AJ$136,xHesaplama!U31,0)/1000*2</f>
        <v>#REF!</v>
      </c>
      <c r="CV31" s="4" t="e">
        <f>(Y31+$CV$23)*VLOOKUP($CV$26,'x Malzemeler ve Özellikleri'!$O$2:$AJ$136,xHesaplama!U31,0)/1000*2</f>
        <v>#REF!</v>
      </c>
      <c r="CW31" s="4" t="e">
        <f>$CW$23*VLOOKUP($CW$26,'x Malzemeler ve Özellikleri'!$O$2:$AJ$136,xHesaplama!U31,0)</f>
        <v>#REF!</v>
      </c>
      <c r="CX31" s="4" t="e">
        <f>(X31+$CX$23)*VLOOKUP($CX$26,'x Malzemeler ve Özellikleri'!$O$2:$AJ$136,xHesaplama!U31,0)/1000</f>
        <v>#REF!</v>
      </c>
      <c r="CY31" s="4" t="e">
        <f>(2*X31-112-108)*VLOOKUP($CY$26,'x Malzemeler ve Özellikleri'!$O$2:$AJ$136,xHesaplama!U31,0)/1000</f>
        <v>#REF!</v>
      </c>
      <c r="CZ31" s="4" t="e">
        <f>$CZ$23*VLOOKUP($CZ$26,'x Malzemeler ve Özellikleri'!$O$2:$AJ$136,xHesaplama!U31,0)</f>
        <v>#REF!</v>
      </c>
      <c r="DA31" s="4" t="e">
        <f>$DA$23*VLOOKUP($DA$26,'x Malzemeler ve Özellikleri'!$O$2:$AJ$136,xHesaplama!U31,0)</f>
        <v>#REF!</v>
      </c>
      <c r="DB31" s="4" t="e">
        <f>$DB$23*VLOOKUP($DB$26,'x Malzemeler ve Özellikleri'!$O$2:$AJ$136,xHesaplama!U31,0)</f>
        <v>#REF!</v>
      </c>
      <c r="DC31" s="4" t="e">
        <f>$DC$23*VLOOKUP($DC$26,'x Malzemeler ve Özellikleri'!$O$2:$AJ$136,xHesaplama!U31,0)</f>
        <v>#REF!</v>
      </c>
      <c r="DD31" s="4" t="e">
        <f>(X31+$DD$23)*VLOOKUP($DD$26,'x Malzemeler ve Özellikleri'!$O$2:$AJ$136,xHesaplama!U31,0)/1000</f>
        <v>#REF!</v>
      </c>
      <c r="DE31" s="4" t="e">
        <f>(X31+$DE$23)*VLOOKUP($DE$26,'x Malzemeler ve Özellikleri'!$O$2:$AJ$136,xHesaplama!U31,0)/1000</f>
        <v>#REF!</v>
      </c>
      <c r="DF31" s="4" t="e">
        <f>$DF$23*VLOOKUP($DF$26,'x Malzemeler ve Özellikleri'!$O$2:$AJ$136,xHesaplama!U31,0)</f>
        <v>#REF!</v>
      </c>
      <c r="DG31" s="4" t="e">
        <f>(Y31+$DG$23)*VLOOKUP($DG$26,'x Malzemeler ve Özellikleri'!$O$2:$AJ$136,xHesaplama!U31,0)/1000*2</f>
        <v>#REF!</v>
      </c>
      <c r="DH31" s="4" t="e">
        <f>(Y31+$DH$23)*VLOOKUP($DH$26,'x Malzemeler ve Özellikleri'!$O$2:$AJ$136,xHesaplama!U31,0)/1000*2</f>
        <v>#REF!</v>
      </c>
      <c r="DI31" s="4" t="e">
        <f>(Y31+$DI$23)*VLOOKUP($DI$26,'x Malzemeler ve Özellikleri'!$O$2:$AJ$136,xHesaplama!U31,0)/1000*2</f>
        <v>#REF!</v>
      </c>
      <c r="DJ31" s="4" t="e">
        <f>$DJ$23*VLOOKUP($DJ$26,'x Malzemeler ve Özellikleri'!$O$2:$AJ$136,xHesaplama!U31,0)</f>
        <v>#REF!</v>
      </c>
      <c r="DK31" s="4" t="e">
        <f>$DK$23*VLOOKUP($DK$26,'x Malzemeler ve Özellikleri'!$O$2:$AJ$136,xHesaplama!U31,0)</f>
        <v>#REF!</v>
      </c>
      <c r="DL31" s="4" t="e">
        <f>(X31+$DL$23)*VLOOKUP($DL$26,'x Malzemeler ve Özellikleri'!$O$2:$AJ$136,xHesaplama!U31,0)/1000</f>
        <v>#REF!</v>
      </c>
      <c r="DM31" s="4" t="e">
        <f>(X31+$DM$23)*VLOOKUP($DM$26,'x Malzemeler ve Özellikleri'!$O$2:$AJ$136,xHesaplama!U31,0)/1000</f>
        <v>#REF!</v>
      </c>
      <c r="DN31" s="4" t="e">
        <f>(X31+$DN$23)*VLOOKUP($DN$26,'x Malzemeler ve Özellikleri'!$O$2:$AJ$136,xHesaplama!U31,0)/1000</f>
        <v>#REF!</v>
      </c>
      <c r="DO31" s="4" t="e">
        <f>(X31+$DO$23)*VLOOKUP($DO$26,'x Malzemeler ve Özellikleri'!$O$2:$AJ$136,xHesaplama!U31,0)/1000</f>
        <v>#REF!</v>
      </c>
      <c r="DP31" s="23" t="e">
        <f>ROUNDUP(Y31/300,0)*4*VLOOKUP($DP$26,'x Malzemeler ve Özellikleri'!$O$2:$AJ$136,xHesaplama!U31,0)</f>
        <v>#REF!</v>
      </c>
      <c r="DQ31" s="4" t="e">
        <f>(X31+$DQ$23)*VLOOKUP($DQ$26,'x Malzemeler ve Özellikleri'!$O$2:$AJ$136,xHesaplama!U31,0)/1000</f>
        <v>#REF!</v>
      </c>
      <c r="DR31" s="4" t="e">
        <f>(Y31+$DR$23)*VLOOKUP($DR$26,'x Malzemeler ve Özellikleri'!$O$2:$AJ$136,xHesaplama!U31,0)/1000*2</f>
        <v>#REF!</v>
      </c>
      <c r="DS31" s="4" t="e">
        <f>(Y31+$DS$23)*VLOOKUP($DS$26,'x Malzemeler ve Özellikleri'!$O$2:$AJ$136,xHesaplama!U31,0)/1000*2</f>
        <v>#REF!</v>
      </c>
      <c r="DT31" s="4" t="e">
        <f>$DT$23*VLOOKUP($DT$26,'x Malzemeler ve Özellikleri'!$O$2:$AJ$136,xHesaplama!U31,0)</f>
        <v>#REF!</v>
      </c>
      <c r="DU31" s="4" t="e">
        <f>(X31+$DU$23)*VLOOKUP($DU$26,'x Malzemeler ve Özellikleri'!$O$2:$AJ$136,xHesaplama!U31,0)/1000</f>
        <v>#REF!</v>
      </c>
      <c r="DV31" s="4" t="e">
        <f>(2*X31-112-108)*VLOOKUP($DV$26,'x Malzemeler ve Özellikleri'!$O$2:$AJ$136,xHesaplama!U31,0)/1000</f>
        <v>#REF!</v>
      </c>
      <c r="DW31" s="4" t="e">
        <f>$DW$23*VLOOKUP($DW$26,'x Malzemeler ve Özellikleri'!$O$2:$AJ$136,xHesaplama!U31,0)</f>
        <v>#REF!</v>
      </c>
      <c r="DX31" s="4" t="e">
        <f>$DX$23*VLOOKUP($DX$26,'x Malzemeler ve Özellikleri'!$O$2:$AJ$136,xHesaplama!U31,0)</f>
        <v>#REF!</v>
      </c>
      <c r="DY31" s="4" t="e">
        <f>$DY$23*VLOOKUP($DY$26,'x Malzemeler ve Özellikleri'!$O$2:$AJ$136,xHesaplama!U31,0)</f>
        <v>#REF!</v>
      </c>
      <c r="DZ31" s="4" t="e">
        <f>$DZ$23*VLOOKUP($DZ$26,'x Malzemeler ve Özellikleri'!$O$2:$AJ$136,xHesaplama!U31,0)</f>
        <v>#REF!</v>
      </c>
      <c r="EA31" s="4" t="e">
        <f>(X31+$EA$23)*VLOOKUP($EA$26,'x Malzemeler ve Özellikleri'!$O$2:$AJ$136,xHesaplama!U31,0)/1000</f>
        <v>#REF!</v>
      </c>
      <c r="EB31" s="4" t="e">
        <f>(X31+$EB$23)*VLOOKUP($EB$26,'x Malzemeler ve Özellikleri'!$O$2:$AJ$136,xHesaplama!U31,0)/1000</f>
        <v>#REF!</v>
      </c>
      <c r="EC31" s="4" t="e">
        <f>$EC$23*VLOOKUP($EC$26,'x Malzemeler ve Özellikleri'!$O$2:$AJ$136,xHesaplama!U31,0)</f>
        <v>#REF!</v>
      </c>
      <c r="ED31" s="4" t="e">
        <f>(Y31+$ED$23)*VLOOKUP($ED$26,'x Malzemeler ve Özellikleri'!$O$2:$AJ$136,xHesaplama!U31,0)/1000*2</f>
        <v>#REF!</v>
      </c>
      <c r="EE31" s="4" t="e">
        <f>(Y31+$EE$23)*VLOOKUP($EE$26,'x Malzemeler ve Özellikleri'!$O$2:$AJ$136,xHesaplama!U31,0)/1000*2</f>
        <v>#REF!</v>
      </c>
      <c r="EF31" s="4" t="e">
        <f>(Y31+$EF$23)*VLOOKUP($EF$26,'x Malzemeler ve Özellikleri'!$O$2:$AJ$136,xHesaplama!U31,0)/1000*2</f>
        <v>#REF!</v>
      </c>
      <c r="EG31" s="4" t="e">
        <f>$EG$23*VLOOKUP($EG$26,'x Malzemeler ve Özellikleri'!$O$2:$AJ$136,xHesaplama!U31,0)</f>
        <v>#REF!</v>
      </c>
      <c r="EH31" s="4" t="e">
        <f>$EH$23*VLOOKUP($EH$26,'x Malzemeler ve Özellikleri'!$O$2:$AJ$136,xHesaplama!U31,0)</f>
        <v>#REF!</v>
      </c>
      <c r="EI31" s="4" t="e">
        <f>$EI$23*VLOOKUP($EI$26,'x Malzemeler ve Özellikleri'!$O$2:$AJ$136,xHesaplama!U31,0)</f>
        <v>#REF!</v>
      </c>
      <c r="EJ31" s="4" t="e">
        <f>$EJ$23*VLOOKUP($EJ$26,'x Malzemeler ve Özellikleri'!$O$2:$AJ$136,xHesaplama!U31,0)</f>
        <v>#REF!</v>
      </c>
      <c r="EK31" s="4" t="e">
        <f>$EK$23*VLOOKUP($EK$26,'x Malzemeler ve Özellikleri'!$O$2:$AJ$136,xHesaplama!U31,0)</f>
        <v>#REF!</v>
      </c>
      <c r="EL31" s="4" t="e">
        <f>$EL$23*VLOOKUP($EL$26,'x Malzemeler ve Özellikleri'!$O$2:$AJ$136,xHesaplama!U31,0)</f>
        <v>#REF!</v>
      </c>
      <c r="EM31" s="4" t="e">
        <f>(X31+$EM$23)*VLOOKUP($EM$26,'x Malzemeler ve Özellikleri'!$O$2:$AJ$136,xHesaplama!U31,0)/1000</f>
        <v>#REF!</v>
      </c>
      <c r="EN31" s="4" t="e">
        <f>(X31+$EN$23)*VLOOKUP($EN$26,'x Malzemeler ve Özellikleri'!$O$2:$AJ$136,xHesaplama!U31,0)/1000</f>
        <v>#REF!</v>
      </c>
      <c r="EO31" s="4" t="e">
        <f>(X31+$EO$23)*VLOOKUP($EO$26,'x Malzemeler ve Özellikleri'!$O$2:$AJ$136,xHesaplama!U31,0)/1000</f>
        <v>#REF!</v>
      </c>
      <c r="EP31" s="4" t="e">
        <f>(X31+$EP$23)*VLOOKUP($EP$26,'x Malzemeler ve Özellikleri'!$O$2:$AJ$136,xHesaplama!U31,0)/1000</f>
        <v>#REF!</v>
      </c>
      <c r="EQ31" s="4" t="e">
        <f>(X31+$EQ$23)*VLOOKUP($EQ$26,'x Malzemeler ve Özellikleri'!$O$2:$AJ$136,xHesaplama!U31,0)/1000</f>
        <v>#REF!</v>
      </c>
      <c r="ER31" s="4" t="e">
        <f>$ER$23*VLOOKUP($ER$26,'x Malzemeler ve Özellikleri'!$O$2:$AJ$136,xHesaplama!U31,0)</f>
        <v>#REF!</v>
      </c>
      <c r="ES31" s="4" t="e">
        <f>(X31+$ES$23)*VLOOKUP($ES$26,'x Malzemeler ve Özellikleri'!$O$2:$AJ$136,xHesaplama!U31,0)/1000</f>
        <v>#REF!</v>
      </c>
      <c r="ET31" s="4" t="e">
        <f>(2*X31-112-108)*VLOOKUP($ET$26,'x Malzemeler ve Özellikleri'!$O$2:$AJ$136,xHesaplama!U31,0)/1000</f>
        <v>#REF!</v>
      </c>
      <c r="EU31" s="4" t="e">
        <f>$EU$23*VLOOKUP($EU$26,'x Malzemeler ve Özellikleri'!$O$2:$AJ$136,xHesaplama!U31,0)</f>
        <v>#REF!</v>
      </c>
      <c r="EV31" s="4" t="e">
        <f>$EV$23*VLOOKUP($EV$26,'x Malzemeler ve Özellikleri'!$O$2:$AJ$136,xHesaplama!U31,0)</f>
        <v>#REF!</v>
      </c>
      <c r="EW31" s="4" t="e">
        <f>$EW$23*VLOOKUP($EW$26,'x Malzemeler ve Özellikleri'!$O$2:$AJ$136,xHesaplama!U31,0)</f>
        <v>#REF!</v>
      </c>
      <c r="EX31" s="4" t="e">
        <f>$EX$23*VLOOKUP($EX$26,'x Malzemeler ve Özellikleri'!$O$2:$AJ$136,xHesaplama!U31,0)</f>
        <v>#REF!</v>
      </c>
      <c r="EY31" s="4" t="e">
        <f>(X31+$EY$23)*VLOOKUP($EY$26,'x Malzemeler ve Özellikleri'!$O$2:$AJ$136,xHesaplama!U31,0)/1000</f>
        <v>#REF!</v>
      </c>
      <c r="EZ31" s="4" t="e">
        <f>(X31+$EZ$23)*VLOOKUP($EZ$26,'x Malzemeler ve Özellikleri'!$O$2:$AJ$136,xHesaplama!U31,0)/1000</f>
        <v>#REF!</v>
      </c>
      <c r="FA31" s="4" t="e">
        <f>$FA$23*VLOOKUP($FA$26,'x Malzemeler ve Özellikleri'!$O$2:$AJ$136,xHesaplama!U31,0)</f>
        <v>#REF!</v>
      </c>
      <c r="FB31" s="4" t="e">
        <f>$FB$23*VLOOKUP($FB$26,'x Malzemeler ve Özellikleri'!$O$2:$AJ$136,xHesaplama!U31,0)</f>
        <v>#REF!</v>
      </c>
      <c r="FC31" s="4" t="e">
        <f>$FC$23*VLOOKUP($FC$26,'x Malzemeler ve Özellikleri'!$O$2:$AJ$136,xHesaplama!U31,0)</f>
        <v>#REF!</v>
      </c>
      <c r="FD31" s="4" t="e">
        <f>$FD$23*VLOOKUP($FD$26,'x Malzemeler ve Özellikleri'!$O$2:$AJ$136,xHesaplama!U31,0)</f>
        <v>#REF!</v>
      </c>
      <c r="FE31" s="4" t="e">
        <f>$FE$23*VLOOKUP($FE$26,'x Malzemeler ve Özellikleri'!$O$2:$AJ$136,xHesaplama!U31,0)</f>
        <v>#REF!</v>
      </c>
      <c r="FF31" s="4" t="e">
        <f>$FF$23*VLOOKUP($FF$26,'x Malzemeler ve Özellikleri'!$O$2:$AJ$136,xHesaplama!U31,0)</f>
        <v>#REF!</v>
      </c>
      <c r="FG31" s="4" t="e">
        <f>$FG$23*VLOOKUP($FG$26,'x Malzemeler ve Özellikleri'!$O$2:$AJ$136,xHesaplama!U31,0)</f>
        <v>#REF!</v>
      </c>
      <c r="FH31" s="4" t="e">
        <f>$FH$23*VLOOKUP($FH$26,'x Malzemeler ve Özellikleri'!$O$2:$AJ$136,xHesaplama!U31,0)</f>
        <v>#REF!</v>
      </c>
      <c r="FQ31" t="s">
        <v>327</v>
      </c>
    </row>
    <row r="32" spans="1:173">
      <c r="A32" s="4">
        <f>'1PROJE'!B12</f>
        <v>6</v>
      </c>
      <c r="B32" s="4">
        <f>'1PROJE'!C12</f>
        <v>0</v>
      </c>
      <c r="C32" s="4">
        <f>'1PROJE'!D12</f>
        <v>0</v>
      </c>
      <c r="D32" s="4">
        <f>'1PROJE'!E12</f>
        <v>0</v>
      </c>
      <c r="E32" s="4">
        <f>'1PROJE'!F12</f>
        <v>0</v>
      </c>
      <c r="F32" s="4">
        <f>'1PROJE'!G12</f>
        <v>0</v>
      </c>
      <c r="G32" s="4">
        <f>'1PROJE'!H12</f>
        <v>0</v>
      </c>
      <c r="H32" s="4">
        <f>'1PROJE'!I12</f>
        <v>0</v>
      </c>
      <c r="I32" s="4">
        <f>'1PROJE'!K12</f>
        <v>0</v>
      </c>
      <c r="J32" s="4">
        <f>'1PROJE'!L12</f>
        <v>0</v>
      </c>
      <c r="K32" s="4">
        <f>'1PROJE'!M12</f>
        <v>0</v>
      </c>
      <c r="L32" s="4">
        <f>'1PROJE'!N12</f>
        <v>0</v>
      </c>
      <c r="M32" s="4">
        <f>'1PROJE'!O12</f>
        <v>0</v>
      </c>
      <c r="N32" s="4">
        <f t="shared" si="3"/>
        <v>4</v>
      </c>
      <c r="O32" s="4">
        <f>'1PROJE'!P12</f>
        <v>0</v>
      </c>
      <c r="P32" s="4">
        <f>'1PROJE'!R12</f>
        <v>0</v>
      </c>
      <c r="Q32" s="4">
        <f>'1PROJE'!S12</f>
        <v>0</v>
      </c>
      <c r="R32" s="4">
        <f>'1PROJE'!T12</f>
        <v>0</v>
      </c>
      <c r="S32" s="4"/>
      <c r="U32" s="4" t="e">
        <f t="shared" si="1"/>
        <v>#N/A</v>
      </c>
      <c r="V32" s="4" t="e">
        <f>VLOOKUP(B32,'x Açılır Listeler'!$A$2:$B$15,2,0)</f>
        <v>#N/A</v>
      </c>
      <c r="W32" s="4" t="e">
        <f>VLOOKUP(B32,'x Açılır Listeler'!$A$2:$C$15,3,0)*2</f>
        <v>#N/A</v>
      </c>
      <c r="X32" s="4">
        <f t="shared" si="4"/>
        <v>0</v>
      </c>
      <c r="Y32" s="4">
        <f t="shared" si="5"/>
        <v>0</v>
      </c>
      <c r="Z32" s="4" t="s">
        <v>398</v>
      </c>
      <c r="AA32" s="4">
        <f t="shared" si="2"/>
        <v>25</v>
      </c>
      <c r="AB32" s="38" t="e">
        <f>VLOOKUP(J32,'x Malzemeler ve Özellikleri'!$N$147:$R$167,5,0)</f>
        <v>#N/A</v>
      </c>
      <c r="AC32" s="46" t="e">
        <f>IF('1PROJE'!J12="",VLOOKUP(H32,'x Malzemeler ve Özellikleri'!$N$137:$R$146,5,0),'1PROJE'!J12)</f>
        <v>#N/A</v>
      </c>
      <c r="AD32" s="52">
        <f t="shared" si="6"/>
        <v>-2.8511999999999999E-2</v>
      </c>
      <c r="AE32" s="46" t="e">
        <f t="shared" si="7"/>
        <v>#N/A</v>
      </c>
      <c r="AF32" s="46">
        <f>IF(O32="VAR",IF('1PROJE'!Q12="",$AI$10,'1PROJE'!Q12),0)</f>
        <v>0</v>
      </c>
      <c r="AG32" s="4" t="e">
        <f>IF('1PROJE'!S12="",VLOOKUP(xHesaplama!P32,'x Malzemeler ve Özellikleri'!$AS$2:$AT$11,2,0),'1PROJE'!S12/'1PROJE'!$P$3)</f>
        <v>#N/A</v>
      </c>
      <c r="AH32" s="4" t="e">
        <f>(X32+$AH$23)*VLOOKUP($AH$26,'x Malzemeler ve Özellikleri'!$O$2:$AJ$136,xHesaplama!U32,0)/1000</f>
        <v>#REF!</v>
      </c>
      <c r="AI32" s="4" t="e">
        <f>(X32+$AI$23)*VLOOKUP($AI$26,'x Malzemeler ve Özellikleri'!$O$2:$AJ$136,xHesaplama!U32,0)/1000</f>
        <v>#REF!</v>
      </c>
      <c r="AJ32" s="4" t="e">
        <f>(X32+$AJ$23)*VLOOKUP($AJ$26,'x Malzemeler ve Özellikleri'!$O$2:$AJ$136,xHesaplama!U32,0)/1000</f>
        <v>#REF!</v>
      </c>
      <c r="AK32" s="4" t="e">
        <f>(X32+$AK$23)*VLOOKUP($AK$26,'x Malzemeler ve Özellikleri'!$O$2:$AJ$136,xHesaplama!U32,0)/1000</f>
        <v>#REF!</v>
      </c>
      <c r="AL32" s="4" t="e">
        <f>(Y32+$AL$23)*VLOOKUP($AL$26,'x Malzemeler ve Özellikleri'!$O$2:$AJ$136,xHesaplama!U32,0)/1000*2</f>
        <v>#REF!</v>
      </c>
      <c r="AM32" s="4" t="e">
        <f>IF(AND(X32&lt;4500,Y32&lt;4500,X32*Y32/1000000&lt;12),(X32+$AM$23)*VLOOKUP($AM$26,'x Malzemeler ve Özellikleri'!$O$2:$AJ$136,xHesaplama!U32,0)/1000,0)</f>
        <v>#REF!</v>
      </c>
      <c r="AN32" s="4">
        <f>IF(OR(X32&gt;=4500,Y32&gt;=4500,X32*Y32/1000000&gt;=12),(X32+$AN$23)*VLOOKUP($AN$26,'x Malzemeler ve Özellikleri'!$O$2:$AJ$136,xHesaplama!U32,0)/1000,0)</f>
        <v>0</v>
      </c>
      <c r="AO32" s="4" t="e">
        <f>(Y32+$AO$23)*VLOOKUP($AO$26,'x Malzemeler ve Özellikleri'!$O$2:$AJ$136,xHesaplama!U32,0)/1000*2</f>
        <v>#REF!</v>
      </c>
      <c r="AP32" s="4" t="e">
        <f>$AP$23*VLOOKUP($AP$26,'x Malzemeler ve Özellikleri'!$O$2:$AJ$136,xHesaplama!U32,0)</f>
        <v>#REF!</v>
      </c>
      <c r="AQ32" s="4" t="e">
        <f>$AQ$23*VLOOKUP($AQ$26,'x Malzemeler ve Özellikleri'!$O$2:$AJ$136,xHesaplama!U32,0)</f>
        <v>#REF!</v>
      </c>
      <c r="AR32" s="4" t="e">
        <f>$AR$23*VLOOKUP($AR$26,'x Malzemeler ve Özellikleri'!$O$2:$AJ$136,xHesaplama!U32,0)</f>
        <v>#REF!</v>
      </c>
      <c r="AS32" s="4" t="e">
        <f>$AS$23*VLOOKUP($AS$26,'x Malzemeler ve Özellikleri'!$O$2:$AJ$136,xHesaplama!U32,0)</f>
        <v>#REF!</v>
      </c>
      <c r="AT32" s="4" t="e">
        <f>$AT$23*VLOOKUP($AT$26,'x Malzemeler ve Özellikleri'!$O$2:$AJ$136,xHesaplama!U32,0)</f>
        <v>#REF!</v>
      </c>
      <c r="AU32" s="4" t="e">
        <f>$AU$23*VLOOKUP($AU$26,'x Malzemeler ve Özellikleri'!$O$2:$AJ$136,xHesaplama!U32,0)</f>
        <v>#REF!</v>
      </c>
      <c r="AV32" s="4" t="e">
        <f>$AV$23*VLOOKUP($AV$26,'x Malzemeler ve Özellikleri'!$O$2:$AJ$136,xHesaplama!U32,0)</f>
        <v>#REF!</v>
      </c>
      <c r="AW32" s="4" t="e">
        <f>(Y32+$AW$23)*VLOOKUP($AW$26,'x Malzemeler ve Özellikleri'!$O$2:$AJ$136,xHesaplama!U32,0)/1000*2</f>
        <v>#REF!</v>
      </c>
      <c r="AX32" s="4" t="e">
        <f>$AX$23*VLOOKUP($AX$26,'x Malzemeler ve Özellikleri'!$O$2:$AJ$136,xHesaplama!U32,0)</f>
        <v>#REF!</v>
      </c>
      <c r="AY32" s="4" t="e">
        <f>$AY$23*VLOOKUP($AY$26,'x Malzemeler ve Özellikleri'!$O$2:$AJ$136,xHesaplama!U32,0)</f>
        <v>#REF!</v>
      </c>
      <c r="AZ32" s="23" t="e">
        <f>ROUNDUP(Y32/300,0)*4*VLOOKUP($AZ$26,'x Malzemeler ve Özellikleri'!$O$2:$AJ$136,xHesaplama!U32,0)</f>
        <v>#REF!</v>
      </c>
      <c r="BA32" s="4" t="e">
        <f>(2*X32-155-183)*VLOOKUP($BA$26,'x Malzemeler ve Özellikleri'!$O$2:$AJ$136,xHesaplama!U32,0)/1000</f>
        <v>#REF!</v>
      </c>
      <c r="BB32" s="4" t="e">
        <f>$BB$23*VLOOKUP($BB$26,'x Malzemeler ve Özellikleri'!$O$2:$AJ$136,xHesaplama!U32,0)</f>
        <v>#REF!</v>
      </c>
      <c r="BC32" s="4" t="e">
        <f>$BC$23*VLOOKUP($BC$26,'x Malzemeler ve Özellikleri'!$O$2:$AJ$136,xHesaplama!U32,0)</f>
        <v>#REF!</v>
      </c>
      <c r="BD32" s="4" t="e">
        <f>$BD$23*VLOOKUP($BD$26,'x Malzemeler ve Özellikleri'!$O$2:$AJ$136,xHesaplama!U32,0)</f>
        <v>#REF!</v>
      </c>
      <c r="BE32" s="4" t="e">
        <f>$BE$23*VLOOKUP($BE$26,'x Malzemeler ve Özellikleri'!$O$2:$AJ$136,xHesaplama!U32,0)</f>
        <v>#REF!</v>
      </c>
      <c r="BF32" s="4" t="e">
        <f>$BF$23*VLOOKUP($BF$26,'x Malzemeler ve Özellikleri'!$O$2:$AJ$136,xHesaplama!U32,0)</f>
        <v>#REF!</v>
      </c>
      <c r="BG32" s="4" t="e">
        <f>$BG$23*VLOOKUP($BG$26,'x Malzemeler ve Özellikleri'!$O$2:$AJ$136,xHesaplama!U32,0)</f>
        <v>#REF!</v>
      </c>
      <c r="BH32" s="4" t="e">
        <f>$BH$23*VLOOKUP($BH$26,'x Malzemeler ve Özellikleri'!$O$2:$AJ$136,xHesaplama!U32,0)*N32</f>
        <v>#REF!</v>
      </c>
      <c r="BI32" s="4" t="e">
        <f>$BI$23*VLOOKUP($BI$26,'x Malzemeler ve Özellikleri'!$O$2:$AJ$136,xHesaplama!U32,0)</f>
        <v>#REF!</v>
      </c>
      <c r="BJ32" s="4" t="e">
        <f>$BJ$23*VLOOKUP($BJ$26,'x Malzemeler ve Özellikleri'!$O$2:$AJ$136,xHesaplama!U32,0)</f>
        <v>#REF!</v>
      </c>
      <c r="BK32" s="4" t="e">
        <f>$BK$23*VLOOKUP($BK$26,'x Malzemeler ve Özellikleri'!$O$2:$AJ$136,xHesaplama!U32,0)</f>
        <v>#REF!</v>
      </c>
      <c r="BL32" s="4" t="e">
        <f>$BL$23*VLOOKUP($BL$26,'x Malzemeler ve Özellikleri'!$O$2:$AJ$136,xHesaplama!U32,0)</f>
        <v>#REF!</v>
      </c>
      <c r="BM32" s="4" t="e">
        <f>$BM$23*VLOOKUP($BM$26,'x Malzemeler ve Özellikleri'!$O$2:$AJ$136,xHesaplama!U32,0)</f>
        <v>#REF!</v>
      </c>
      <c r="BN32" s="4" t="e">
        <f>$BN$23*VLOOKUP($BN$26,'x Malzemeler ve Özellikleri'!$O$2:$AJ$136,xHesaplama!U32,0)</f>
        <v>#REF!</v>
      </c>
      <c r="BO32" s="4" t="e">
        <f>(2*(2*X32+Y32*2)*VLOOKUP($BO$26,'x Malzemeler ve Özellikleri'!$O$2:$AJ$136,xHesaplama!U32,0)/1000)</f>
        <v>#REF!</v>
      </c>
      <c r="BP32" s="4" t="e">
        <f>(X32+$BP$23)*VLOOKUP($BP$26,'x Malzemeler ve Özellikleri'!$O$2:$AJ$136,xHesaplama!U32,0)/1000</f>
        <v>#REF!</v>
      </c>
      <c r="BQ32" s="4" t="e">
        <f>(X32+$BQ$23)*VLOOKUP($BQ$26,'x Malzemeler ve Özellikleri'!$O$2:$AJ$136,xHesaplama!U32,0)/1000</f>
        <v>#REF!</v>
      </c>
      <c r="BR32" s="4" t="e">
        <f>(X32+$BR$23)*VLOOKUP($BR$26,'x Malzemeler ve Özellikleri'!$O$2:$AJ$136,xHesaplama!U32,0)/1000</f>
        <v>#REF!</v>
      </c>
      <c r="BS32" s="4" t="e">
        <f>(X32+$BS$23)*VLOOKUP($BS$26,'x Malzemeler ve Özellikleri'!$O$2:$AJ$136,xHesaplama!U32,0)/1000</f>
        <v>#REF!</v>
      </c>
      <c r="BT32" s="4" t="e">
        <f>$BT$23*VLOOKUP($BT$26,'x Malzemeler ve Özellikleri'!$O$2:$AJ$136,xHesaplama!U32,0)</f>
        <v>#REF!</v>
      </c>
      <c r="BU32" s="4" t="e">
        <f>(Y32+$BU$23)*VLOOKUP($BU$26,'x Malzemeler ve Özellikleri'!$O$2:$AJ$136,xHesaplama!U32,0)/1000*2</f>
        <v>#REF!</v>
      </c>
      <c r="BV32" s="4" t="e">
        <f>(X32+$BV$23)*VLOOKUP($BV$26,'x Malzemeler ve Özellikleri'!$O$2:$AJ$136,xHesaplama!U32,0)/1000</f>
        <v>#REF!</v>
      </c>
      <c r="BW32" s="4" t="e">
        <f>$BW$23*VLOOKUP($BW$26,'x Malzemeler ve Özellikleri'!$O$2:$AJ$136,xHesaplama!U32,0)</f>
        <v>#REF!</v>
      </c>
      <c r="BX32" s="23" t="e">
        <f>ROUNDUP(Y32/300,0)*4*VLOOKUP($BX$26,'x Malzemeler ve Özellikleri'!$O$2:$AJ$136,xHesaplama!U32,0)</f>
        <v>#REF!</v>
      </c>
      <c r="BY32" s="4" t="e">
        <f>$BY$23*VLOOKUP($BY$26,'x Malzemeler ve Özellikleri'!$O$2:$AJ$136,xHesaplama!U32,0)</f>
        <v>#REF!</v>
      </c>
      <c r="BZ32" s="4" t="e">
        <f>$BZ$23*VLOOKUP($BZ$26,'x Malzemeler ve Özellikleri'!$O$2:$AJ$136,xHesaplama!U32,0)</f>
        <v>#REF!</v>
      </c>
      <c r="CA32" s="4" t="e">
        <f>(X32+$CA$23)*VLOOKUP($CA$26,'x Malzemeler ve Özellikleri'!$O$2:$AJ$136,xHesaplama!U32,0)/1000</f>
        <v>#REF!</v>
      </c>
      <c r="CB32" s="4" t="e">
        <f>(X32+$CB$23)*VLOOKUP($CB$26,'x Malzemeler ve Özellikleri'!$O$2:$AJ$136,xHesaplama!U32,0)/1000</f>
        <v>#REF!</v>
      </c>
      <c r="CC32" s="4" t="e">
        <f>$CC$23*VLOOKUP($CC$26,'x Malzemeler ve Özellikleri'!$O$2:$AJ$136,xHesaplama!U32,0)</f>
        <v>#REF!</v>
      </c>
      <c r="CD32" s="4" t="e">
        <f>(X32+$CD$23)*VLOOKUP($CD$26,'x Malzemeler ve Özellikleri'!$O$2:$AJ$136,xHesaplama!U32,0)/1000</f>
        <v>#REF!</v>
      </c>
      <c r="CE32" s="4" t="e">
        <f>(2*X32-120-122)*VLOOKUP($CE$26,'x Malzemeler ve Özellikleri'!$O$2:$AJ$136,xHesaplama!U32,0)/1000</f>
        <v>#REF!</v>
      </c>
      <c r="CF32" s="4" t="e">
        <f>(Y32+$CF$23)*VLOOKUP($CF$26,'x Malzemeler ve Özellikleri'!$O$2:$AJ$136,xHesaplama!U32,0)/1000*2</f>
        <v>#REF!</v>
      </c>
      <c r="CG32" s="4" t="e">
        <f>$CG$23*VLOOKUP($CG$26,'x Malzemeler ve Özellikleri'!$O$2:$AJ$136,xHesaplama!U32,0)</f>
        <v>#REF!</v>
      </c>
      <c r="CH32" s="4" t="e">
        <f>(Y32+$CH$23)*VLOOKUP($CH$26,'x Malzemeler ve Özellikleri'!$O$2:$AJ$136,xHesaplama!U32,0)/1000*2</f>
        <v>#REF!</v>
      </c>
      <c r="CI32" s="4" t="e">
        <f>(Y32+$CI$23)*VLOOKUP($CI$26,'x Malzemeler ve Özellikleri'!$O$2:$AJ$136,xHesaplama!U32,0)/1000*2</f>
        <v>#REF!</v>
      </c>
      <c r="CJ32" s="4" t="e">
        <f>$CJ$23*VLOOKUP($CJ$26,'x Malzemeler ve Özellikleri'!$O$2:$AJ$136,xHesaplama!U32,0)</f>
        <v>#REF!</v>
      </c>
      <c r="CK32" s="4" t="e">
        <f>$CK$23*VLOOKUP($CK$26,'x Malzemeler ve Özellikleri'!$O$2:$AJ$136,xHesaplama!U32,0)</f>
        <v>#REF!</v>
      </c>
      <c r="CL32" s="4" t="e">
        <f>$CL$23*VLOOKUP($CL$26,'x Malzemeler ve Özellikleri'!$O$2:$AJ$136,xHesaplama!U32,0)</f>
        <v>#REF!</v>
      </c>
      <c r="CM32" s="4" t="e">
        <f>(X32+$CM$23)*VLOOKUP($CM$26,'x Malzemeler ve Özellikleri'!$O$2:$AJ$136,xHesaplama!U32,0)/1000</f>
        <v>#REF!</v>
      </c>
      <c r="CN32" s="4" t="e">
        <f>(X32+$CN$23)*VLOOKUP($CN$26,'x Malzemeler ve Özellikleri'!$O$2:$AJ$136,xHesaplama!U32,0)/1000</f>
        <v>#REF!</v>
      </c>
      <c r="CO32" s="4" t="e">
        <f>(X32+$CO$23)*VLOOKUP($CO$26,'x Malzemeler ve Özellikleri'!$O$2:$AJ$136,xHesaplama!U32,0)/1000</f>
        <v>#REF!</v>
      </c>
      <c r="CP32" s="4" t="e">
        <f>(X32+$CP$23)*VLOOKUP($CP$26,'x Malzemeler ve Özellikleri'!$O$2:$AJ$136,xHesaplama!U32,0)/1000</f>
        <v>#REF!</v>
      </c>
      <c r="CQ32" s="23" t="e">
        <f>ROUNDUP(Y32/300,0)*4*VLOOKUP($CQ$26,'x Malzemeler ve Özellikleri'!$O$2:$AJ$136,xHesaplama!U32,0)</f>
        <v>#REF!</v>
      </c>
      <c r="CR32" s="4" t="e">
        <f>(X32+$CR$23)*VLOOKUP($CR$26,'x Malzemeler ve Özellikleri'!$O$2:$AJ$136,xHesaplama!U32,0)/1000</f>
        <v>#REF!</v>
      </c>
      <c r="CS32" s="4" t="e">
        <f>$CS$23*VLOOKUP($CS$26,'x Malzemeler ve Özellikleri'!$O$2:$AJ$136,xHesaplama!U32,0)</f>
        <v>#REF!</v>
      </c>
      <c r="CT32" s="4" t="e">
        <f>$CT$23*VLOOKUP($CT$26,'x Malzemeler ve Özellikleri'!$O$2:$AJ$136,xHesaplama!U32,0)</f>
        <v>#REF!</v>
      </c>
      <c r="CU32" s="4" t="e">
        <f>(Y32+$CU$23)*VLOOKUP($CU$26,'x Malzemeler ve Özellikleri'!$O$2:$AJ$136,xHesaplama!U32,0)/1000*2</f>
        <v>#REF!</v>
      </c>
      <c r="CV32" s="4" t="e">
        <f>(Y32+$CV$23)*VLOOKUP($CV$26,'x Malzemeler ve Özellikleri'!$O$2:$AJ$136,xHesaplama!U32,0)/1000*2</f>
        <v>#REF!</v>
      </c>
      <c r="CW32" s="4" t="e">
        <f>$CW$23*VLOOKUP($CW$26,'x Malzemeler ve Özellikleri'!$O$2:$AJ$136,xHesaplama!U32,0)</f>
        <v>#REF!</v>
      </c>
      <c r="CX32" s="4" t="e">
        <f>(X32+$CX$23)*VLOOKUP($CX$26,'x Malzemeler ve Özellikleri'!$O$2:$AJ$136,xHesaplama!U32,0)/1000</f>
        <v>#REF!</v>
      </c>
      <c r="CY32" s="4" t="e">
        <f>(2*X32-112-108)*VLOOKUP($CY$26,'x Malzemeler ve Özellikleri'!$O$2:$AJ$136,xHesaplama!U32,0)/1000</f>
        <v>#REF!</v>
      </c>
      <c r="CZ32" s="4" t="e">
        <f>$CZ$23*VLOOKUP($CZ$26,'x Malzemeler ve Özellikleri'!$O$2:$AJ$136,xHesaplama!U32,0)</f>
        <v>#REF!</v>
      </c>
      <c r="DA32" s="4" t="e">
        <f>$DA$23*VLOOKUP($DA$26,'x Malzemeler ve Özellikleri'!$O$2:$AJ$136,xHesaplama!U32,0)</f>
        <v>#REF!</v>
      </c>
      <c r="DB32" s="4" t="e">
        <f>$DB$23*VLOOKUP($DB$26,'x Malzemeler ve Özellikleri'!$O$2:$AJ$136,xHesaplama!U32,0)</f>
        <v>#REF!</v>
      </c>
      <c r="DC32" s="4" t="e">
        <f>$DC$23*VLOOKUP($DC$26,'x Malzemeler ve Özellikleri'!$O$2:$AJ$136,xHesaplama!U32,0)</f>
        <v>#REF!</v>
      </c>
      <c r="DD32" s="4" t="e">
        <f>(X32+$DD$23)*VLOOKUP($DD$26,'x Malzemeler ve Özellikleri'!$O$2:$AJ$136,xHesaplama!U32,0)/1000</f>
        <v>#REF!</v>
      </c>
      <c r="DE32" s="4" t="e">
        <f>(X32+$DE$23)*VLOOKUP($DE$26,'x Malzemeler ve Özellikleri'!$O$2:$AJ$136,xHesaplama!U32,0)/1000</f>
        <v>#REF!</v>
      </c>
      <c r="DF32" s="4" t="e">
        <f>$DF$23*VLOOKUP($DF$26,'x Malzemeler ve Özellikleri'!$O$2:$AJ$136,xHesaplama!U32,0)</f>
        <v>#REF!</v>
      </c>
      <c r="DG32" s="4" t="e">
        <f>(Y32+$DG$23)*VLOOKUP($DG$26,'x Malzemeler ve Özellikleri'!$O$2:$AJ$136,xHesaplama!U32,0)/1000*2</f>
        <v>#REF!</v>
      </c>
      <c r="DH32" s="4" t="e">
        <f>(Y32+$DH$23)*VLOOKUP($DH$26,'x Malzemeler ve Özellikleri'!$O$2:$AJ$136,xHesaplama!U32,0)/1000*2</f>
        <v>#REF!</v>
      </c>
      <c r="DI32" s="4" t="e">
        <f>(Y32+$DI$23)*VLOOKUP($DI$26,'x Malzemeler ve Özellikleri'!$O$2:$AJ$136,xHesaplama!U32,0)/1000*2</f>
        <v>#REF!</v>
      </c>
      <c r="DJ32" s="4" t="e">
        <f>$DJ$23*VLOOKUP($DJ$26,'x Malzemeler ve Özellikleri'!$O$2:$AJ$136,xHesaplama!U32,0)</f>
        <v>#REF!</v>
      </c>
      <c r="DK32" s="4" t="e">
        <f>$DK$23*VLOOKUP($DK$26,'x Malzemeler ve Özellikleri'!$O$2:$AJ$136,xHesaplama!U32,0)</f>
        <v>#REF!</v>
      </c>
      <c r="DL32" s="4" t="e">
        <f>(X32+$DL$23)*VLOOKUP($DL$26,'x Malzemeler ve Özellikleri'!$O$2:$AJ$136,xHesaplama!U32,0)/1000</f>
        <v>#REF!</v>
      </c>
      <c r="DM32" s="4" t="e">
        <f>(X32+$DM$23)*VLOOKUP($DM$26,'x Malzemeler ve Özellikleri'!$O$2:$AJ$136,xHesaplama!U32,0)/1000</f>
        <v>#REF!</v>
      </c>
      <c r="DN32" s="4" t="e">
        <f>(X32+$DN$23)*VLOOKUP($DN$26,'x Malzemeler ve Özellikleri'!$O$2:$AJ$136,xHesaplama!U32,0)/1000</f>
        <v>#REF!</v>
      </c>
      <c r="DO32" s="4" t="e">
        <f>(X32+$DO$23)*VLOOKUP($DO$26,'x Malzemeler ve Özellikleri'!$O$2:$AJ$136,xHesaplama!U32,0)/1000</f>
        <v>#REF!</v>
      </c>
      <c r="DP32" s="23" t="e">
        <f>ROUNDUP(Y32/300,0)*4*VLOOKUP($DP$26,'x Malzemeler ve Özellikleri'!$O$2:$AJ$136,xHesaplama!U32,0)</f>
        <v>#REF!</v>
      </c>
      <c r="DQ32" s="4" t="e">
        <f>(X32+$DQ$23)*VLOOKUP($DQ$26,'x Malzemeler ve Özellikleri'!$O$2:$AJ$136,xHesaplama!U32,0)/1000</f>
        <v>#REF!</v>
      </c>
      <c r="DR32" s="4" t="e">
        <f>(Y32+$DR$23)*VLOOKUP($DR$26,'x Malzemeler ve Özellikleri'!$O$2:$AJ$136,xHesaplama!U32,0)/1000*2</f>
        <v>#REF!</v>
      </c>
      <c r="DS32" s="4" t="e">
        <f>(Y32+$DS$23)*VLOOKUP($DS$26,'x Malzemeler ve Özellikleri'!$O$2:$AJ$136,xHesaplama!U32,0)/1000*2</f>
        <v>#REF!</v>
      </c>
      <c r="DT32" s="4" t="e">
        <f>$DT$23*VLOOKUP($DT$26,'x Malzemeler ve Özellikleri'!$O$2:$AJ$136,xHesaplama!U32,0)</f>
        <v>#REF!</v>
      </c>
      <c r="DU32" s="4" t="e">
        <f>(X32+$DU$23)*VLOOKUP($DU$26,'x Malzemeler ve Özellikleri'!$O$2:$AJ$136,xHesaplama!U32,0)/1000</f>
        <v>#REF!</v>
      </c>
      <c r="DV32" s="4" t="e">
        <f>(2*X32-112-108)*VLOOKUP($DV$26,'x Malzemeler ve Özellikleri'!$O$2:$AJ$136,xHesaplama!U32,0)/1000</f>
        <v>#REF!</v>
      </c>
      <c r="DW32" s="4" t="e">
        <f>$DW$23*VLOOKUP($DW$26,'x Malzemeler ve Özellikleri'!$O$2:$AJ$136,xHesaplama!U32,0)</f>
        <v>#REF!</v>
      </c>
      <c r="DX32" s="4" t="e">
        <f>$DX$23*VLOOKUP($DX$26,'x Malzemeler ve Özellikleri'!$O$2:$AJ$136,xHesaplama!U32,0)</f>
        <v>#REF!</v>
      </c>
      <c r="DY32" s="4" t="e">
        <f>$DY$23*VLOOKUP($DY$26,'x Malzemeler ve Özellikleri'!$O$2:$AJ$136,xHesaplama!U32,0)</f>
        <v>#REF!</v>
      </c>
      <c r="DZ32" s="4" t="e">
        <f>$DZ$23*VLOOKUP($DZ$26,'x Malzemeler ve Özellikleri'!$O$2:$AJ$136,xHesaplama!U32,0)</f>
        <v>#REF!</v>
      </c>
      <c r="EA32" s="4" t="e">
        <f>(X32+$EA$23)*VLOOKUP($EA$26,'x Malzemeler ve Özellikleri'!$O$2:$AJ$136,xHesaplama!U32,0)/1000</f>
        <v>#REF!</v>
      </c>
      <c r="EB32" s="4" t="e">
        <f>(X32+$EB$23)*VLOOKUP($EB$26,'x Malzemeler ve Özellikleri'!$O$2:$AJ$136,xHesaplama!U32,0)/1000</f>
        <v>#REF!</v>
      </c>
      <c r="EC32" s="4" t="e">
        <f>$EC$23*VLOOKUP($EC$26,'x Malzemeler ve Özellikleri'!$O$2:$AJ$136,xHesaplama!U32,0)</f>
        <v>#REF!</v>
      </c>
      <c r="ED32" s="4" t="e">
        <f>(Y32+$ED$23)*VLOOKUP($ED$26,'x Malzemeler ve Özellikleri'!$O$2:$AJ$136,xHesaplama!U32,0)/1000*2</f>
        <v>#REF!</v>
      </c>
      <c r="EE32" s="4" t="e">
        <f>(Y32+$EE$23)*VLOOKUP($EE$26,'x Malzemeler ve Özellikleri'!$O$2:$AJ$136,xHesaplama!U32,0)/1000*2</f>
        <v>#REF!</v>
      </c>
      <c r="EF32" s="4" t="e">
        <f>(Y32+$EF$23)*VLOOKUP($EF$26,'x Malzemeler ve Özellikleri'!$O$2:$AJ$136,xHesaplama!U32,0)/1000*2</f>
        <v>#REF!</v>
      </c>
      <c r="EG32" s="4" t="e">
        <f>$EG$23*VLOOKUP($EG$26,'x Malzemeler ve Özellikleri'!$O$2:$AJ$136,xHesaplama!U32,0)</f>
        <v>#REF!</v>
      </c>
      <c r="EH32" s="4" t="e">
        <f>$EH$23*VLOOKUP($EH$26,'x Malzemeler ve Özellikleri'!$O$2:$AJ$136,xHesaplama!U32,0)</f>
        <v>#REF!</v>
      </c>
      <c r="EI32" s="4" t="e">
        <f>$EI$23*VLOOKUP($EI$26,'x Malzemeler ve Özellikleri'!$O$2:$AJ$136,xHesaplama!U32,0)</f>
        <v>#REF!</v>
      </c>
      <c r="EJ32" s="4" t="e">
        <f>$EJ$23*VLOOKUP($EJ$26,'x Malzemeler ve Özellikleri'!$O$2:$AJ$136,xHesaplama!U32,0)</f>
        <v>#REF!</v>
      </c>
      <c r="EK32" s="4" t="e">
        <f>$EK$23*VLOOKUP($EK$26,'x Malzemeler ve Özellikleri'!$O$2:$AJ$136,xHesaplama!U32,0)</f>
        <v>#REF!</v>
      </c>
      <c r="EL32" s="4" t="e">
        <f>$EL$23*VLOOKUP($EL$26,'x Malzemeler ve Özellikleri'!$O$2:$AJ$136,xHesaplama!U32,0)</f>
        <v>#REF!</v>
      </c>
      <c r="EM32" s="4" t="e">
        <f>(X32+$EM$23)*VLOOKUP($EM$26,'x Malzemeler ve Özellikleri'!$O$2:$AJ$136,xHesaplama!U32,0)/1000</f>
        <v>#REF!</v>
      </c>
      <c r="EN32" s="4" t="e">
        <f>(X32+$EN$23)*VLOOKUP($EN$26,'x Malzemeler ve Özellikleri'!$O$2:$AJ$136,xHesaplama!U32,0)/1000</f>
        <v>#REF!</v>
      </c>
      <c r="EO32" s="4" t="e">
        <f>(X32+$EO$23)*VLOOKUP($EO$26,'x Malzemeler ve Özellikleri'!$O$2:$AJ$136,xHesaplama!U32,0)/1000</f>
        <v>#REF!</v>
      </c>
      <c r="EP32" s="4" t="e">
        <f>(X32+$EP$23)*VLOOKUP($EP$26,'x Malzemeler ve Özellikleri'!$O$2:$AJ$136,xHesaplama!U32,0)/1000</f>
        <v>#REF!</v>
      </c>
      <c r="EQ32" s="4" t="e">
        <f>(X32+$EQ$23)*VLOOKUP($EQ$26,'x Malzemeler ve Özellikleri'!$O$2:$AJ$136,xHesaplama!U32,0)/1000</f>
        <v>#REF!</v>
      </c>
      <c r="ER32" s="4" t="e">
        <f>$ER$23*VLOOKUP($ER$26,'x Malzemeler ve Özellikleri'!$O$2:$AJ$136,xHesaplama!U32,0)</f>
        <v>#REF!</v>
      </c>
      <c r="ES32" s="4" t="e">
        <f>(X32+$ES$23)*VLOOKUP($ES$26,'x Malzemeler ve Özellikleri'!$O$2:$AJ$136,xHesaplama!U32,0)/1000</f>
        <v>#REF!</v>
      </c>
      <c r="ET32" s="4" t="e">
        <f>(2*X32-112-108)*VLOOKUP($ET$26,'x Malzemeler ve Özellikleri'!$O$2:$AJ$136,xHesaplama!U32,0)/1000</f>
        <v>#REF!</v>
      </c>
      <c r="EU32" s="4" t="e">
        <f>$EU$23*VLOOKUP($EU$26,'x Malzemeler ve Özellikleri'!$O$2:$AJ$136,xHesaplama!U32,0)</f>
        <v>#REF!</v>
      </c>
      <c r="EV32" s="4" t="e">
        <f>$EV$23*VLOOKUP($EV$26,'x Malzemeler ve Özellikleri'!$O$2:$AJ$136,xHesaplama!U32,0)</f>
        <v>#REF!</v>
      </c>
      <c r="EW32" s="4" t="e">
        <f>$EW$23*VLOOKUP($EW$26,'x Malzemeler ve Özellikleri'!$O$2:$AJ$136,xHesaplama!U32,0)</f>
        <v>#REF!</v>
      </c>
      <c r="EX32" s="4" t="e">
        <f>$EX$23*VLOOKUP($EX$26,'x Malzemeler ve Özellikleri'!$O$2:$AJ$136,xHesaplama!U32,0)</f>
        <v>#REF!</v>
      </c>
      <c r="EY32" s="4" t="e">
        <f>(X32+$EY$23)*VLOOKUP($EY$26,'x Malzemeler ve Özellikleri'!$O$2:$AJ$136,xHesaplama!U32,0)/1000</f>
        <v>#REF!</v>
      </c>
      <c r="EZ32" s="4" t="e">
        <f>(X32+$EZ$23)*VLOOKUP($EZ$26,'x Malzemeler ve Özellikleri'!$O$2:$AJ$136,xHesaplama!U32,0)/1000</f>
        <v>#REF!</v>
      </c>
      <c r="FA32" s="4" t="e">
        <f>$FA$23*VLOOKUP($FA$26,'x Malzemeler ve Özellikleri'!$O$2:$AJ$136,xHesaplama!U32,0)</f>
        <v>#REF!</v>
      </c>
      <c r="FB32" s="4" t="e">
        <f>$FB$23*VLOOKUP($FB$26,'x Malzemeler ve Özellikleri'!$O$2:$AJ$136,xHesaplama!U32,0)</f>
        <v>#REF!</v>
      </c>
      <c r="FC32" s="4" t="e">
        <f>$FC$23*VLOOKUP($FC$26,'x Malzemeler ve Özellikleri'!$O$2:$AJ$136,xHesaplama!U32,0)</f>
        <v>#REF!</v>
      </c>
      <c r="FD32" s="4" t="e">
        <f>$FD$23*VLOOKUP($FD$26,'x Malzemeler ve Özellikleri'!$O$2:$AJ$136,xHesaplama!U32,0)</f>
        <v>#REF!</v>
      </c>
      <c r="FE32" s="4" t="e">
        <f>$FE$23*VLOOKUP($FE$26,'x Malzemeler ve Özellikleri'!$O$2:$AJ$136,xHesaplama!U32,0)</f>
        <v>#REF!</v>
      </c>
      <c r="FF32" s="4" t="e">
        <f>$FF$23*VLOOKUP($FF$26,'x Malzemeler ve Özellikleri'!$O$2:$AJ$136,xHesaplama!U32,0)</f>
        <v>#REF!</v>
      </c>
      <c r="FG32" s="4" t="e">
        <f>$FG$23*VLOOKUP($FG$26,'x Malzemeler ve Özellikleri'!$O$2:$AJ$136,xHesaplama!U32,0)</f>
        <v>#REF!</v>
      </c>
      <c r="FH32" s="4" t="e">
        <f>$FH$23*VLOOKUP($FH$26,'x Malzemeler ve Özellikleri'!$O$2:$AJ$136,xHesaplama!U32,0)</f>
        <v>#REF!</v>
      </c>
    </row>
    <row r="33" spans="1:168">
      <c r="A33" s="4">
        <f>'1PROJE'!B13</f>
        <v>7</v>
      </c>
      <c r="B33" s="4">
        <f>'1PROJE'!C13</f>
        <v>0</v>
      </c>
      <c r="C33" s="4">
        <f>'1PROJE'!D13</f>
        <v>0</v>
      </c>
      <c r="D33" s="4">
        <f>'1PROJE'!E13</f>
        <v>0</v>
      </c>
      <c r="E33" s="4">
        <f>'1PROJE'!F13</f>
        <v>0</v>
      </c>
      <c r="F33" s="4">
        <f>'1PROJE'!G13</f>
        <v>0</v>
      </c>
      <c r="G33" s="4">
        <f>'1PROJE'!H13</f>
        <v>0</v>
      </c>
      <c r="H33" s="4">
        <f>'1PROJE'!I13</f>
        <v>0</v>
      </c>
      <c r="I33" s="4">
        <f>'1PROJE'!K13</f>
        <v>0</v>
      </c>
      <c r="J33" s="4">
        <f>'1PROJE'!L13</f>
        <v>0</v>
      </c>
      <c r="K33" s="4">
        <f>'1PROJE'!M13</f>
        <v>0</v>
      </c>
      <c r="L33" s="4">
        <f>'1PROJE'!N13</f>
        <v>0</v>
      </c>
      <c r="M33" s="4">
        <f>'1PROJE'!O13</f>
        <v>0</v>
      </c>
      <c r="N33" s="4">
        <f t="shared" si="3"/>
        <v>4</v>
      </c>
      <c r="O33" s="4">
        <f>'1PROJE'!P13</f>
        <v>0</v>
      </c>
      <c r="P33" s="4">
        <f>'1PROJE'!R13</f>
        <v>0</v>
      </c>
      <c r="Q33" s="4">
        <f>'1PROJE'!S13</f>
        <v>0</v>
      </c>
      <c r="R33" s="4">
        <f>'1PROJE'!T13</f>
        <v>0</v>
      </c>
      <c r="S33" s="4"/>
      <c r="U33" s="4" t="e">
        <f t="shared" si="1"/>
        <v>#N/A</v>
      </c>
      <c r="V33" s="4" t="e">
        <f>VLOOKUP(B33,'x Açılır Listeler'!$A$2:$B$15,2,0)</f>
        <v>#N/A</v>
      </c>
      <c r="W33" s="4" t="e">
        <f>VLOOKUP(B33,'x Açılır Listeler'!$A$2:$C$15,3,0)*2</f>
        <v>#N/A</v>
      </c>
      <c r="X33" s="4">
        <f t="shared" si="4"/>
        <v>0</v>
      </c>
      <c r="Y33" s="4">
        <f t="shared" si="5"/>
        <v>0</v>
      </c>
      <c r="Z33" s="4" t="s">
        <v>399</v>
      </c>
      <c r="AA33" s="4">
        <f t="shared" si="2"/>
        <v>25</v>
      </c>
      <c r="AB33" s="38" t="e">
        <f>VLOOKUP(J33,'x Malzemeler ve Özellikleri'!$N$147:$R$167,5,0)</f>
        <v>#N/A</v>
      </c>
      <c r="AC33" s="46" t="e">
        <f>IF('1PROJE'!J13="",VLOOKUP(H33,'x Malzemeler ve Özellikleri'!$N$137:$R$146,5,0),'1PROJE'!J13)</f>
        <v>#N/A</v>
      </c>
      <c r="AD33" s="52">
        <f t="shared" si="6"/>
        <v>-2.8511999999999999E-2</v>
      </c>
      <c r="AE33" s="46" t="e">
        <f t="shared" si="7"/>
        <v>#N/A</v>
      </c>
      <c r="AF33" s="46">
        <f>IF(O33="VAR",IF('1PROJE'!Q13="",$AI$10,'1PROJE'!Q13),0)</f>
        <v>0</v>
      </c>
      <c r="AG33" s="4" t="e">
        <f>IF('1PROJE'!S13="",VLOOKUP(xHesaplama!P33,'x Malzemeler ve Özellikleri'!$AS$2:$AT$11,2,0),'1PROJE'!S13/'1PROJE'!$P$3)</f>
        <v>#N/A</v>
      </c>
      <c r="AH33" s="4" t="e">
        <f>(X33+$AH$23)*VLOOKUP($AH$26,'x Malzemeler ve Özellikleri'!$O$2:$AJ$136,xHesaplama!U33,0)/1000</f>
        <v>#REF!</v>
      </c>
      <c r="AI33" s="4" t="e">
        <f>(X33+$AI$23)*VLOOKUP($AI$26,'x Malzemeler ve Özellikleri'!$O$2:$AJ$136,xHesaplama!U33,0)/1000</f>
        <v>#REF!</v>
      </c>
      <c r="AJ33" s="4" t="e">
        <f>(X33+$AJ$23)*VLOOKUP($AJ$26,'x Malzemeler ve Özellikleri'!$O$2:$AJ$136,xHesaplama!U33,0)/1000</f>
        <v>#REF!</v>
      </c>
      <c r="AK33" s="4" t="e">
        <f>(X33+$AK$23)*VLOOKUP($AK$26,'x Malzemeler ve Özellikleri'!$O$2:$AJ$136,xHesaplama!U33,0)/1000</f>
        <v>#REF!</v>
      </c>
      <c r="AL33" s="4" t="e">
        <f>(Y33+$AL$23)*VLOOKUP($AL$26,'x Malzemeler ve Özellikleri'!$O$2:$AJ$136,xHesaplama!U33,0)/1000*2</f>
        <v>#REF!</v>
      </c>
      <c r="AM33" s="4" t="e">
        <f>IF(AND(X33&lt;4500,Y33&lt;4500,X33*Y33/1000000&lt;12),(X33+$AM$23)*VLOOKUP($AM$26,'x Malzemeler ve Özellikleri'!$O$2:$AJ$136,xHesaplama!U33,0)/1000,0)</f>
        <v>#REF!</v>
      </c>
      <c r="AN33" s="4">
        <f>IF(OR(X33&gt;=4500,Y33&gt;=4500,X33*Y33/1000000&gt;=12),(X33+$AN$23)*VLOOKUP($AN$26,'x Malzemeler ve Özellikleri'!$O$2:$AJ$136,xHesaplama!U33,0)/1000,0)</f>
        <v>0</v>
      </c>
      <c r="AO33" s="4" t="e">
        <f>(Y33+$AO$23)*VLOOKUP($AO$26,'x Malzemeler ve Özellikleri'!$O$2:$AJ$136,xHesaplama!U33,0)/1000*2</f>
        <v>#REF!</v>
      </c>
      <c r="AP33" s="4" t="e">
        <f>$AP$23*VLOOKUP($AP$26,'x Malzemeler ve Özellikleri'!$O$2:$AJ$136,xHesaplama!U33,0)</f>
        <v>#REF!</v>
      </c>
      <c r="AQ33" s="4" t="e">
        <f>$AQ$23*VLOOKUP($AQ$26,'x Malzemeler ve Özellikleri'!$O$2:$AJ$136,xHesaplama!U33,0)</f>
        <v>#REF!</v>
      </c>
      <c r="AR33" s="4" t="e">
        <f>$AR$23*VLOOKUP($AR$26,'x Malzemeler ve Özellikleri'!$O$2:$AJ$136,xHesaplama!U33,0)</f>
        <v>#REF!</v>
      </c>
      <c r="AS33" s="4" t="e">
        <f>$AS$23*VLOOKUP($AS$26,'x Malzemeler ve Özellikleri'!$O$2:$AJ$136,xHesaplama!U33,0)</f>
        <v>#REF!</v>
      </c>
      <c r="AT33" s="4" t="e">
        <f>$AT$23*VLOOKUP($AT$26,'x Malzemeler ve Özellikleri'!$O$2:$AJ$136,xHesaplama!U33,0)</f>
        <v>#REF!</v>
      </c>
      <c r="AU33" s="4" t="e">
        <f>$AU$23*VLOOKUP($AU$26,'x Malzemeler ve Özellikleri'!$O$2:$AJ$136,xHesaplama!U33,0)</f>
        <v>#REF!</v>
      </c>
      <c r="AV33" s="4" t="e">
        <f>$AV$23*VLOOKUP($AV$26,'x Malzemeler ve Özellikleri'!$O$2:$AJ$136,xHesaplama!U33,0)</f>
        <v>#REF!</v>
      </c>
      <c r="AW33" s="4" t="e">
        <f>(Y33+$AW$23)*VLOOKUP($AW$26,'x Malzemeler ve Özellikleri'!$O$2:$AJ$136,xHesaplama!U33,0)/1000*2</f>
        <v>#REF!</v>
      </c>
      <c r="AX33" s="4" t="e">
        <f>$AX$23*VLOOKUP($AX$26,'x Malzemeler ve Özellikleri'!$O$2:$AJ$136,xHesaplama!U33,0)</f>
        <v>#REF!</v>
      </c>
      <c r="AY33" s="4" t="e">
        <f>$AY$23*VLOOKUP($AY$26,'x Malzemeler ve Özellikleri'!$O$2:$AJ$136,xHesaplama!U33,0)</f>
        <v>#REF!</v>
      </c>
      <c r="AZ33" s="23" t="e">
        <f>ROUNDUP(Y33/300,0)*4*VLOOKUP($AZ$26,'x Malzemeler ve Özellikleri'!$O$2:$AJ$136,xHesaplama!U33,0)</f>
        <v>#REF!</v>
      </c>
      <c r="BA33" s="4" t="e">
        <f>(2*X33-155-183)*VLOOKUP($BA$26,'x Malzemeler ve Özellikleri'!$O$2:$AJ$136,xHesaplama!U33,0)/1000</f>
        <v>#REF!</v>
      </c>
      <c r="BB33" s="4" t="e">
        <f>$BB$23*VLOOKUP($BB$26,'x Malzemeler ve Özellikleri'!$O$2:$AJ$136,xHesaplama!U33,0)</f>
        <v>#REF!</v>
      </c>
      <c r="BC33" s="4" t="e">
        <f>$BC$23*VLOOKUP($BC$26,'x Malzemeler ve Özellikleri'!$O$2:$AJ$136,xHesaplama!U33,0)</f>
        <v>#REF!</v>
      </c>
      <c r="BD33" s="4" t="e">
        <f>$BD$23*VLOOKUP($BD$26,'x Malzemeler ve Özellikleri'!$O$2:$AJ$136,xHesaplama!U33,0)</f>
        <v>#REF!</v>
      </c>
      <c r="BE33" s="4" t="e">
        <f>$BE$23*VLOOKUP($BE$26,'x Malzemeler ve Özellikleri'!$O$2:$AJ$136,xHesaplama!U33,0)</f>
        <v>#REF!</v>
      </c>
      <c r="BF33" s="4" t="e">
        <f>$BF$23*VLOOKUP($BF$26,'x Malzemeler ve Özellikleri'!$O$2:$AJ$136,xHesaplama!U33,0)</f>
        <v>#REF!</v>
      </c>
      <c r="BG33" s="4" t="e">
        <f>$BG$23*VLOOKUP($BG$26,'x Malzemeler ve Özellikleri'!$O$2:$AJ$136,xHesaplama!U33,0)</f>
        <v>#REF!</v>
      </c>
      <c r="BH33" s="4" t="e">
        <f>$BH$23*VLOOKUP($BH$26,'x Malzemeler ve Özellikleri'!$O$2:$AJ$136,xHesaplama!U33,0)*N33</f>
        <v>#REF!</v>
      </c>
      <c r="BI33" s="4" t="e">
        <f>$BI$23*VLOOKUP($BI$26,'x Malzemeler ve Özellikleri'!$O$2:$AJ$136,xHesaplama!U33,0)</f>
        <v>#REF!</v>
      </c>
      <c r="BJ33" s="4" t="e">
        <f>$BJ$23*VLOOKUP($BJ$26,'x Malzemeler ve Özellikleri'!$O$2:$AJ$136,xHesaplama!U33,0)</f>
        <v>#REF!</v>
      </c>
      <c r="BK33" s="4" t="e">
        <f>$BK$23*VLOOKUP($BK$26,'x Malzemeler ve Özellikleri'!$O$2:$AJ$136,xHesaplama!U33,0)</f>
        <v>#REF!</v>
      </c>
      <c r="BL33" s="4" t="e">
        <f>$BL$23*VLOOKUP($BL$26,'x Malzemeler ve Özellikleri'!$O$2:$AJ$136,xHesaplama!U33,0)</f>
        <v>#REF!</v>
      </c>
      <c r="BM33" s="4" t="e">
        <f>$BM$23*VLOOKUP($BM$26,'x Malzemeler ve Özellikleri'!$O$2:$AJ$136,xHesaplama!U33,0)</f>
        <v>#REF!</v>
      </c>
      <c r="BN33" s="4" t="e">
        <f>$BN$23*VLOOKUP($BN$26,'x Malzemeler ve Özellikleri'!$O$2:$AJ$136,xHesaplama!U33,0)</f>
        <v>#REF!</v>
      </c>
      <c r="BO33" s="4" t="e">
        <f>(2*(2*X33+Y33*2)*VLOOKUP($BO$26,'x Malzemeler ve Özellikleri'!$O$2:$AJ$136,xHesaplama!U33,0)/1000)</f>
        <v>#REF!</v>
      </c>
      <c r="BP33" s="4" t="e">
        <f>(X33+$BP$23)*VLOOKUP($BP$26,'x Malzemeler ve Özellikleri'!$O$2:$AJ$136,xHesaplama!U33,0)/1000</f>
        <v>#REF!</v>
      </c>
      <c r="BQ33" s="4" t="e">
        <f>(X33+$BQ$23)*VLOOKUP($BQ$26,'x Malzemeler ve Özellikleri'!$O$2:$AJ$136,xHesaplama!U33,0)/1000</f>
        <v>#REF!</v>
      </c>
      <c r="BR33" s="4" t="e">
        <f>(X33+$BR$23)*VLOOKUP($BR$26,'x Malzemeler ve Özellikleri'!$O$2:$AJ$136,xHesaplama!U33,0)/1000</f>
        <v>#REF!</v>
      </c>
      <c r="BS33" s="4" t="e">
        <f>(X33+$BS$23)*VLOOKUP($BS$26,'x Malzemeler ve Özellikleri'!$O$2:$AJ$136,xHesaplama!U33,0)/1000</f>
        <v>#REF!</v>
      </c>
      <c r="BT33" s="4" t="e">
        <f>$BT$23*VLOOKUP($BT$26,'x Malzemeler ve Özellikleri'!$O$2:$AJ$136,xHesaplama!U33,0)</f>
        <v>#REF!</v>
      </c>
      <c r="BU33" s="4" t="e">
        <f>(Y33+$BU$23)*VLOOKUP($BU$26,'x Malzemeler ve Özellikleri'!$O$2:$AJ$136,xHesaplama!U33,0)/1000*2</f>
        <v>#REF!</v>
      </c>
      <c r="BV33" s="4" t="e">
        <f>(X33+$BV$23)*VLOOKUP($BV$26,'x Malzemeler ve Özellikleri'!$O$2:$AJ$136,xHesaplama!U33,0)/1000</f>
        <v>#REF!</v>
      </c>
      <c r="BW33" s="4" t="e">
        <f>$BW$23*VLOOKUP($BW$26,'x Malzemeler ve Özellikleri'!$O$2:$AJ$136,xHesaplama!U33,0)</f>
        <v>#REF!</v>
      </c>
      <c r="BX33" s="23" t="e">
        <f>ROUNDUP(Y33/300,0)*4*VLOOKUP($BX$26,'x Malzemeler ve Özellikleri'!$O$2:$AJ$136,xHesaplama!U33,0)</f>
        <v>#REF!</v>
      </c>
      <c r="BY33" s="4" t="e">
        <f>$BY$23*VLOOKUP($BY$26,'x Malzemeler ve Özellikleri'!$O$2:$AJ$136,xHesaplama!U33,0)</f>
        <v>#REF!</v>
      </c>
      <c r="BZ33" s="4" t="e">
        <f>$BZ$23*VLOOKUP($BZ$26,'x Malzemeler ve Özellikleri'!$O$2:$AJ$136,xHesaplama!U33,0)</f>
        <v>#REF!</v>
      </c>
      <c r="CA33" s="4" t="e">
        <f>(X33+$CA$23)*VLOOKUP($CA$26,'x Malzemeler ve Özellikleri'!$O$2:$AJ$136,xHesaplama!U33,0)/1000</f>
        <v>#REF!</v>
      </c>
      <c r="CB33" s="4" t="e">
        <f>(X33+$CB$23)*VLOOKUP($CB$26,'x Malzemeler ve Özellikleri'!$O$2:$AJ$136,xHesaplama!U33,0)/1000</f>
        <v>#REF!</v>
      </c>
      <c r="CC33" s="4" t="e">
        <f>$CC$23*VLOOKUP($CC$26,'x Malzemeler ve Özellikleri'!$O$2:$AJ$136,xHesaplama!U33,0)</f>
        <v>#REF!</v>
      </c>
      <c r="CD33" s="4" t="e">
        <f>(X33+$CD$23)*VLOOKUP($CD$26,'x Malzemeler ve Özellikleri'!$O$2:$AJ$136,xHesaplama!U33,0)/1000</f>
        <v>#REF!</v>
      </c>
      <c r="CE33" s="4" t="e">
        <f>(2*X33-120-122)*VLOOKUP($CE$26,'x Malzemeler ve Özellikleri'!$O$2:$AJ$136,xHesaplama!U33,0)/1000</f>
        <v>#REF!</v>
      </c>
      <c r="CF33" s="4" t="e">
        <f>(Y33+$CF$23)*VLOOKUP($CF$26,'x Malzemeler ve Özellikleri'!$O$2:$AJ$136,xHesaplama!U33,0)/1000*2</f>
        <v>#REF!</v>
      </c>
      <c r="CG33" s="4" t="e">
        <f>$CG$23*VLOOKUP($CG$26,'x Malzemeler ve Özellikleri'!$O$2:$AJ$136,xHesaplama!U33,0)</f>
        <v>#REF!</v>
      </c>
      <c r="CH33" s="4" t="e">
        <f>(Y33+$CH$23)*VLOOKUP($CH$26,'x Malzemeler ve Özellikleri'!$O$2:$AJ$136,xHesaplama!U33,0)/1000*2</f>
        <v>#REF!</v>
      </c>
      <c r="CI33" s="4" t="e">
        <f>(Y33+$CI$23)*VLOOKUP($CI$26,'x Malzemeler ve Özellikleri'!$O$2:$AJ$136,xHesaplama!U33,0)/1000*2</f>
        <v>#REF!</v>
      </c>
      <c r="CJ33" s="4" t="e">
        <f>$CJ$23*VLOOKUP($CJ$26,'x Malzemeler ve Özellikleri'!$O$2:$AJ$136,xHesaplama!U33,0)</f>
        <v>#REF!</v>
      </c>
      <c r="CK33" s="4" t="e">
        <f>$CK$23*VLOOKUP($CK$26,'x Malzemeler ve Özellikleri'!$O$2:$AJ$136,xHesaplama!U33,0)</f>
        <v>#REF!</v>
      </c>
      <c r="CL33" s="4" t="e">
        <f>$CL$23*VLOOKUP($CL$26,'x Malzemeler ve Özellikleri'!$O$2:$AJ$136,xHesaplama!U33,0)</f>
        <v>#REF!</v>
      </c>
      <c r="CM33" s="4" t="e">
        <f>(X33+$CM$23)*VLOOKUP($CM$26,'x Malzemeler ve Özellikleri'!$O$2:$AJ$136,xHesaplama!U33,0)/1000</f>
        <v>#REF!</v>
      </c>
      <c r="CN33" s="4" t="e">
        <f>(X33+$CN$23)*VLOOKUP($CN$26,'x Malzemeler ve Özellikleri'!$O$2:$AJ$136,xHesaplama!U33,0)/1000</f>
        <v>#REF!</v>
      </c>
      <c r="CO33" s="4" t="e">
        <f>(X33+$CO$23)*VLOOKUP($CO$26,'x Malzemeler ve Özellikleri'!$O$2:$AJ$136,xHesaplama!U33,0)/1000</f>
        <v>#REF!</v>
      </c>
      <c r="CP33" s="4" t="e">
        <f>(X33+$CP$23)*VLOOKUP($CP$26,'x Malzemeler ve Özellikleri'!$O$2:$AJ$136,xHesaplama!U33,0)/1000</f>
        <v>#REF!</v>
      </c>
      <c r="CQ33" s="23" t="e">
        <f>ROUNDUP(Y33/300,0)*4*VLOOKUP($CQ$26,'x Malzemeler ve Özellikleri'!$O$2:$AJ$136,xHesaplama!U33,0)</f>
        <v>#REF!</v>
      </c>
      <c r="CR33" s="4" t="e">
        <f>(X33+$CR$23)*VLOOKUP($CR$26,'x Malzemeler ve Özellikleri'!$O$2:$AJ$136,xHesaplama!U33,0)/1000</f>
        <v>#REF!</v>
      </c>
      <c r="CS33" s="4" t="e">
        <f>$CS$23*VLOOKUP($CS$26,'x Malzemeler ve Özellikleri'!$O$2:$AJ$136,xHesaplama!U33,0)</f>
        <v>#REF!</v>
      </c>
      <c r="CT33" s="4" t="e">
        <f>$CT$23*VLOOKUP($CT$26,'x Malzemeler ve Özellikleri'!$O$2:$AJ$136,xHesaplama!U33,0)</f>
        <v>#REF!</v>
      </c>
      <c r="CU33" s="4" t="e">
        <f>(Y33+$CU$23)*VLOOKUP($CU$26,'x Malzemeler ve Özellikleri'!$O$2:$AJ$136,xHesaplama!U33,0)/1000*2</f>
        <v>#REF!</v>
      </c>
      <c r="CV33" s="4" t="e">
        <f>(Y33+$CV$23)*VLOOKUP($CV$26,'x Malzemeler ve Özellikleri'!$O$2:$AJ$136,xHesaplama!U33,0)/1000*2</f>
        <v>#REF!</v>
      </c>
      <c r="CW33" s="4" t="e">
        <f>$CW$23*VLOOKUP($CW$26,'x Malzemeler ve Özellikleri'!$O$2:$AJ$136,xHesaplama!U33,0)</f>
        <v>#REF!</v>
      </c>
      <c r="CX33" s="4" t="e">
        <f>(X33+$CX$23)*VLOOKUP($CX$26,'x Malzemeler ve Özellikleri'!$O$2:$AJ$136,xHesaplama!U33,0)/1000</f>
        <v>#REF!</v>
      </c>
      <c r="CY33" s="4" t="e">
        <f>(2*X33-112-108)*VLOOKUP($CY$26,'x Malzemeler ve Özellikleri'!$O$2:$AJ$136,xHesaplama!U33,0)/1000</f>
        <v>#REF!</v>
      </c>
      <c r="CZ33" s="4" t="e">
        <f>$CZ$23*VLOOKUP($CZ$26,'x Malzemeler ve Özellikleri'!$O$2:$AJ$136,xHesaplama!U33,0)</f>
        <v>#REF!</v>
      </c>
      <c r="DA33" s="4" t="e">
        <f>$DA$23*VLOOKUP($DA$26,'x Malzemeler ve Özellikleri'!$O$2:$AJ$136,xHesaplama!U33,0)</f>
        <v>#REF!</v>
      </c>
      <c r="DB33" s="4" t="e">
        <f>$DB$23*VLOOKUP($DB$26,'x Malzemeler ve Özellikleri'!$O$2:$AJ$136,xHesaplama!U33,0)</f>
        <v>#REF!</v>
      </c>
      <c r="DC33" s="4" t="e">
        <f>$DC$23*VLOOKUP($DC$26,'x Malzemeler ve Özellikleri'!$O$2:$AJ$136,xHesaplama!U33,0)</f>
        <v>#REF!</v>
      </c>
      <c r="DD33" s="4" t="e">
        <f>(X33+$DD$23)*VLOOKUP($DD$26,'x Malzemeler ve Özellikleri'!$O$2:$AJ$136,xHesaplama!U33,0)/1000</f>
        <v>#REF!</v>
      </c>
      <c r="DE33" s="4" t="e">
        <f>(X33+$DE$23)*VLOOKUP($DE$26,'x Malzemeler ve Özellikleri'!$O$2:$AJ$136,xHesaplama!U33,0)/1000</f>
        <v>#REF!</v>
      </c>
      <c r="DF33" s="4" t="e">
        <f>$DF$23*VLOOKUP($DF$26,'x Malzemeler ve Özellikleri'!$O$2:$AJ$136,xHesaplama!U33,0)</f>
        <v>#REF!</v>
      </c>
      <c r="DG33" s="4" t="e">
        <f>(Y33+$DG$23)*VLOOKUP($DG$26,'x Malzemeler ve Özellikleri'!$O$2:$AJ$136,xHesaplama!U33,0)/1000*2</f>
        <v>#REF!</v>
      </c>
      <c r="DH33" s="4" t="e">
        <f>(Y33+$DH$23)*VLOOKUP($DH$26,'x Malzemeler ve Özellikleri'!$O$2:$AJ$136,xHesaplama!U33,0)/1000*2</f>
        <v>#REF!</v>
      </c>
      <c r="DI33" s="4" t="e">
        <f>(Y33+$DI$23)*VLOOKUP($DI$26,'x Malzemeler ve Özellikleri'!$O$2:$AJ$136,xHesaplama!U33,0)/1000*2</f>
        <v>#REF!</v>
      </c>
      <c r="DJ33" s="4" t="e">
        <f>$DJ$23*VLOOKUP($DJ$26,'x Malzemeler ve Özellikleri'!$O$2:$AJ$136,xHesaplama!U33,0)</f>
        <v>#REF!</v>
      </c>
      <c r="DK33" s="4" t="e">
        <f>$DK$23*VLOOKUP($DK$26,'x Malzemeler ve Özellikleri'!$O$2:$AJ$136,xHesaplama!U33,0)</f>
        <v>#REF!</v>
      </c>
      <c r="DL33" s="4" t="e">
        <f>(X33+$DL$23)*VLOOKUP($DL$26,'x Malzemeler ve Özellikleri'!$O$2:$AJ$136,xHesaplama!U33,0)/1000</f>
        <v>#REF!</v>
      </c>
      <c r="DM33" s="4" t="e">
        <f>(X33+$DM$23)*VLOOKUP($DM$26,'x Malzemeler ve Özellikleri'!$O$2:$AJ$136,xHesaplama!U33,0)/1000</f>
        <v>#REF!</v>
      </c>
      <c r="DN33" s="4" t="e">
        <f>(X33+$DN$23)*VLOOKUP($DN$26,'x Malzemeler ve Özellikleri'!$O$2:$AJ$136,xHesaplama!U33,0)/1000</f>
        <v>#REF!</v>
      </c>
      <c r="DO33" s="4" t="e">
        <f>(X33+$DO$23)*VLOOKUP($DO$26,'x Malzemeler ve Özellikleri'!$O$2:$AJ$136,xHesaplama!U33,0)/1000</f>
        <v>#REF!</v>
      </c>
      <c r="DP33" s="23" t="e">
        <f>ROUNDUP(Y33/300,0)*4*VLOOKUP($DP$26,'x Malzemeler ve Özellikleri'!$O$2:$AJ$136,xHesaplama!U33,0)</f>
        <v>#REF!</v>
      </c>
      <c r="DQ33" s="4" t="e">
        <f>(X33+$DQ$23)*VLOOKUP($DQ$26,'x Malzemeler ve Özellikleri'!$O$2:$AJ$136,xHesaplama!U33,0)/1000</f>
        <v>#REF!</v>
      </c>
      <c r="DR33" s="4" t="e">
        <f>(Y33+$DR$23)*VLOOKUP($DR$26,'x Malzemeler ve Özellikleri'!$O$2:$AJ$136,xHesaplama!U33,0)/1000*2</f>
        <v>#REF!</v>
      </c>
      <c r="DS33" s="4" t="e">
        <f>(Y33+$DS$23)*VLOOKUP($DS$26,'x Malzemeler ve Özellikleri'!$O$2:$AJ$136,xHesaplama!U33,0)/1000*2</f>
        <v>#REF!</v>
      </c>
      <c r="DT33" s="4" t="e">
        <f>$DT$23*VLOOKUP($DT$26,'x Malzemeler ve Özellikleri'!$O$2:$AJ$136,xHesaplama!U33,0)</f>
        <v>#REF!</v>
      </c>
      <c r="DU33" s="4" t="e">
        <f>(X33+$DU$23)*VLOOKUP($DU$26,'x Malzemeler ve Özellikleri'!$O$2:$AJ$136,xHesaplama!U33,0)/1000</f>
        <v>#REF!</v>
      </c>
      <c r="DV33" s="4" t="e">
        <f>(2*X33-112-108)*VLOOKUP($DV$26,'x Malzemeler ve Özellikleri'!$O$2:$AJ$136,xHesaplama!U33,0)/1000</f>
        <v>#REF!</v>
      </c>
      <c r="DW33" s="4" t="e">
        <f>$DW$23*VLOOKUP($DW$26,'x Malzemeler ve Özellikleri'!$O$2:$AJ$136,xHesaplama!U33,0)</f>
        <v>#REF!</v>
      </c>
      <c r="DX33" s="4" t="e">
        <f>$DX$23*VLOOKUP($DX$26,'x Malzemeler ve Özellikleri'!$O$2:$AJ$136,xHesaplama!U33,0)</f>
        <v>#REF!</v>
      </c>
      <c r="DY33" s="4" t="e">
        <f>$DY$23*VLOOKUP($DY$26,'x Malzemeler ve Özellikleri'!$O$2:$AJ$136,xHesaplama!U33,0)</f>
        <v>#REF!</v>
      </c>
      <c r="DZ33" s="4" t="e">
        <f>$DZ$23*VLOOKUP($DZ$26,'x Malzemeler ve Özellikleri'!$O$2:$AJ$136,xHesaplama!U33,0)</f>
        <v>#REF!</v>
      </c>
      <c r="EA33" s="4" t="e">
        <f>(X33+$EA$23)*VLOOKUP($EA$26,'x Malzemeler ve Özellikleri'!$O$2:$AJ$136,xHesaplama!U33,0)/1000</f>
        <v>#REF!</v>
      </c>
      <c r="EB33" s="4" t="e">
        <f>(X33+$EB$23)*VLOOKUP($EB$26,'x Malzemeler ve Özellikleri'!$O$2:$AJ$136,xHesaplama!U33,0)/1000</f>
        <v>#REF!</v>
      </c>
      <c r="EC33" s="4" t="e">
        <f>$EC$23*VLOOKUP($EC$26,'x Malzemeler ve Özellikleri'!$O$2:$AJ$136,xHesaplama!U33,0)</f>
        <v>#REF!</v>
      </c>
      <c r="ED33" s="4" t="e">
        <f>(Y33+$ED$23)*VLOOKUP($ED$26,'x Malzemeler ve Özellikleri'!$O$2:$AJ$136,xHesaplama!U33,0)/1000*2</f>
        <v>#REF!</v>
      </c>
      <c r="EE33" s="4" t="e">
        <f>(Y33+$EE$23)*VLOOKUP($EE$26,'x Malzemeler ve Özellikleri'!$O$2:$AJ$136,xHesaplama!U33,0)/1000*2</f>
        <v>#REF!</v>
      </c>
      <c r="EF33" s="4" t="e">
        <f>(Y33+$EF$23)*VLOOKUP($EF$26,'x Malzemeler ve Özellikleri'!$O$2:$AJ$136,xHesaplama!U33,0)/1000*2</f>
        <v>#REF!</v>
      </c>
      <c r="EG33" s="4" t="e">
        <f>$EG$23*VLOOKUP($EG$26,'x Malzemeler ve Özellikleri'!$O$2:$AJ$136,xHesaplama!U33,0)</f>
        <v>#REF!</v>
      </c>
      <c r="EH33" s="4" t="e">
        <f>$EH$23*VLOOKUP($EH$26,'x Malzemeler ve Özellikleri'!$O$2:$AJ$136,xHesaplama!U33,0)</f>
        <v>#REF!</v>
      </c>
      <c r="EI33" s="4" t="e">
        <f>$EI$23*VLOOKUP($EI$26,'x Malzemeler ve Özellikleri'!$O$2:$AJ$136,xHesaplama!U33,0)</f>
        <v>#REF!</v>
      </c>
      <c r="EJ33" s="4" t="e">
        <f>$EJ$23*VLOOKUP($EJ$26,'x Malzemeler ve Özellikleri'!$O$2:$AJ$136,xHesaplama!U33,0)</f>
        <v>#REF!</v>
      </c>
      <c r="EK33" s="4" t="e">
        <f>$EK$23*VLOOKUP($EK$26,'x Malzemeler ve Özellikleri'!$O$2:$AJ$136,xHesaplama!U33,0)</f>
        <v>#REF!</v>
      </c>
      <c r="EL33" s="4" t="e">
        <f>$EL$23*VLOOKUP($EL$26,'x Malzemeler ve Özellikleri'!$O$2:$AJ$136,xHesaplama!U33,0)</f>
        <v>#REF!</v>
      </c>
      <c r="EM33" s="4" t="e">
        <f>(X33+$EM$23)*VLOOKUP($EM$26,'x Malzemeler ve Özellikleri'!$O$2:$AJ$136,xHesaplama!U33,0)/1000</f>
        <v>#REF!</v>
      </c>
      <c r="EN33" s="4" t="e">
        <f>(X33+$EN$23)*VLOOKUP($EN$26,'x Malzemeler ve Özellikleri'!$O$2:$AJ$136,xHesaplama!U33,0)/1000</f>
        <v>#REF!</v>
      </c>
      <c r="EO33" s="4" t="e">
        <f>(X33+$EO$23)*VLOOKUP($EO$26,'x Malzemeler ve Özellikleri'!$O$2:$AJ$136,xHesaplama!U33,0)/1000</f>
        <v>#REF!</v>
      </c>
      <c r="EP33" s="4" t="e">
        <f>(X33+$EP$23)*VLOOKUP($EP$26,'x Malzemeler ve Özellikleri'!$O$2:$AJ$136,xHesaplama!U33,0)/1000</f>
        <v>#REF!</v>
      </c>
      <c r="EQ33" s="4" t="e">
        <f>(X33+$EQ$23)*VLOOKUP($EQ$26,'x Malzemeler ve Özellikleri'!$O$2:$AJ$136,xHesaplama!U33,0)/1000</f>
        <v>#REF!</v>
      </c>
      <c r="ER33" s="4" t="e">
        <f>$ER$23*VLOOKUP($ER$26,'x Malzemeler ve Özellikleri'!$O$2:$AJ$136,xHesaplama!U33,0)</f>
        <v>#REF!</v>
      </c>
      <c r="ES33" s="4" t="e">
        <f>(X33+$ES$23)*VLOOKUP($ES$26,'x Malzemeler ve Özellikleri'!$O$2:$AJ$136,xHesaplama!U33,0)/1000</f>
        <v>#REF!</v>
      </c>
      <c r="ET33" s="4" t="e">
        <f>(2*X33-112-108)*VLOOKUP($ET$26,'x Malzemeler ve Özellikleri'!$O$2:$AJ$136,xHesaplama!U33,0)/1000</f>
        <v>#REF!</v>
      </c>
      <c r="EU33" s="4" t="e">
        <f>$EU$23*VLOOKUP($EU$26,'x Malzemeler ve Özellikleri'!$O$2:$AJ$136,xHesaplama!U33,0)</f>
        <v>#REF!</v>
      </c>
      <c r="EV33" s="4" t="e">
        <f>$EV$23*VLOOKUP($EV$26,'x Malzemeler ve Özellikleri'!$O$2:$AJ$136,xHesaplama!U33,0)</f>
        <v>#REF!</v>
      </c>
      <c r="EW33" s="4" t="e">
        <f>$EW$23*VLOOKUP($EW$26,'x Malzemeler ve Özellikleri'!$O$2:$AJ$136,xHesaplama!U33,0)</f>
        <v>#REF!</v>
      </c>
      <c r="EX33" s="4" t="e">
        <f>$EX$23*VLOOKUP($EX$26,'x Malzemeler ve Özellikleri'!$O$2:$AJ$136,xHesaplama!U33,0)</f>
        <v>#REF!</v>
      </c>
      <c r="EY33" s="4" t="e">
        <f>(X33+$EY$23)*VLOOKUP($EY$26,'x Malzemeler ve Özellikleri'!$O$2:$AJ$136,xHesaplama!U33,0)/1000</f>
        <v>#REF!</v>
      </c>
      <c r="EZ33" s="4" t="e">
        <f>(X33+$EZ$23)*VLOOKUP($EZ$26,'x Malzemeler ve Özellikleri'!$O$2:$AJ$136,xHesaplama!U33,0)/1000</f>
        <v>#REF!</v>
      </c>
      <c r="FA33" s="4" t="e">
        <f>$FA$23*VLOOKUP($FA$26,'x Malzemeler ve Özellikleri'!$O$2:$AJ$136,xHesaplama!U33,0)</f>
        <v>#REF!</v>
      </c>
      <c r="FB33" s="4" t="e">
        <f>$FB$23*VLOOKUP($FB$26,'x Malzemeler ve Özellikleri'!$O$2:$AJ$136,xHesaplama!U33,0)</f>
        <v>#REF!</v>
      </c>
      <c r="FC33" s="4" t="e">
        <f>$FC$23*VLOOKUP($FC$26,'x Malzemeler ve Özellikleri'!$O$2:$AJ$136,xHesaplama!U33,0)</f>
        <v>#REF!</v>
      </c>
      <c r="FD33" s="4" t="e">
        <f>$FD$23*VLOOKUP($FD$26,'x Malzemeler ve Özellikleri'!$O$2:$AJ$136,xHesaplama!U33,0)</f>
        <v>#REF!</v>
      </c>
      <c r="FE33" s="4" t="e">
        <f>$FE$23*VLOOKUP($FE$26,'x Malzemeler ve Özellikleri'!$O$2:$AJ$136,xHesaplama!U33,0)</f>
        <v>#REF!</v>
      </c>
      <c r="FF33" s="4" t="e">
        <f>$FF$23*VLOOKUP($FF$26,'x Malzemeler ve Özellikleri'!$O$2:$AJ$136,xHesaplama!U33,0)</f>
        <v>#REF!</v>
      </c>
      <c r="FG33" s="4" t="e">
        <f>$FG$23*VLOOKUP($FG$26,'x Malzemeler ve Özellikleri'!$O$2:$AJ$136,xHesaplama!U33,0)</f>
        <v>#REF!</v>
      </c>
      <c r="FH33" s="4" t="e">
        <f>$FH$23*VLOOKUP($FH$26,'x Malzemeler ve Özellikleri'!$O$2:$AJ$136,xHesaplama!U33,0)</f>
        <v>#REF!</v>
      </c>
    </row>
    <row r="34" spans="1:168">
      <c r="A34" s="4">
        <f>'1PROJE'!B14</f>
        <v>8</v>
      </c>
      <c r="B34" s="4">
        <f>'1PROJE'!C14</f>
        <v>0</v>
      </c>
      <c r="C34" s="4">
        <f>'1PROJE'!D14</f>
        <v>0</v>
      </c>
      <c r="D34" s="4">
        <f>'1PROJE'!E14</f>
        <v>0</v>
      </c>
      <c r="E34" s="4">
        <f>'1PROJE'!F14</f>
        <v>0</v>
      </c>
      <c r="F34" s="4">
        <f>'1PROJE'!G14</f>
        <v>0</v>
      </c>
      <c r="G34" s="4">
        <f>'1PROJE'!H14</f>
        <v>0</v>
      </c>
      <c r="H34" s="4">
        <f>'1PROJE'!I14</f>
        <v>0</v>
      </c>
      <c r="I34" s="4">
        <f>'1PROJE'!K14</f>
        <v>0</v>
      </c>
      <c r="J34" s="4">
        <f>'1PROJE'!L14</f>
        <v>0</v>
      </c>
      <c r="K34" s="4">
        <f>'1PROJE'!M14</f>
        <v>0</v>
      </c>
      <c r="L34" s="4">
        <f>'1PROJE'!N14</f>
        <v>0</v>
      </c>
      <c r="M34" s="4">
        <f>'1PROJE'!O14</f>
        <v>0</v>
      </c>
      <c r="N34" s="4">
        <f t="shared" si="3"/>
        <v>4</v>
      </c>
      <c r="O34" s="4">
        <f>'1PROJE'!P14</f>
        <v>0</v>
      </c>
      <c r="P34" s="4">
        <f>'1PROJE'!R14</f>
        <v>0</v>
      </c>
      <c r="Q34" s="4">
        <f>'1PROJE'!S14</f>
        <v>0</v>
      </c>
      <c r="R34" s="4">
        <f>'1PROJE'!T14</f>
        <v>0</v>
      </c>
      <c r="S34" s="4"/>
      <c r="U34" s="4" t="e">
        <f t="shared" si="1"/>
        <v>#N/A</v>
      </c>
      <c r="V34" s="4" t="e">
        <f>VLOOKUP(B34,'x Açılır Listeler'!$A$2:$B$15,2,0)</f>
        <v>#N/A</v>
      </c>
      <c r="W34" s="4" t="e">
        <f>VLOOKUP(B34,'x Açılır Listeler'!$A$2:$C$15,3,0)*2</f>
        <v>#N/A</v>
      </c>
      <c r="X34" s="4">
        <f t="shared" si="4"/>
        <v>0</v>
      </c>
      <c r="Y34" s="4">
        <f t="shared" si="5"/>
        <v>0</v>
      </c>
      <c r="Z34" s="4" t="s">
        <v>400</v>
      </c>
      <c r="AA34" s="4">
        <f t="shared" si="2"/>
        <v>25</v>
      </c>
      <c r="AB34" s="38" t="e">
        <f>VLOOKUP(J34,'x Malzemeler ve Özellikleri'!$N$147:$R$167,5,0)</f>
        <v>#N/A</v>
      </c>
      <c r="AC34" s="46" t="e">
        <f>IF('1PROJE'!J14="",VLOOKUP(H34,'x Malzemeler ve Özellikleri'!$N$137:$R$146,5,0),'1PROJE'!J14)</f>
        <v>#N/A</v>
      </c>
      <c r="AD34" s="52">
        <f t="shared" si="6"/>
        <v>-2.8511999999999999E-2</v>
      </c>
      <c r="AE34" s="46" t="e">
        <f t="shared" si="7"/>
        <v>#N/A</v>
      </c>
      <c r="AF34" s="46">
        <f>IF(O34="VAR",IF('1PROJE'!Q14="",$AI$10,'1PROJE'!Q14),0)</f>
        <v>0</v>
      </c>
      <c r="AG34" s="4" t="e">
        <f>IF('1PROJE'!S14="",VLOOKUP(xHesaplama!P34,'x Malzemeler ve Özellikleri'!$AS$2:$AT$11,2,0),'1PROJE'!S14/'1PROJE'!$P$3)</f>
        <v>#N/A</v>
      </c>
      <c r="AH34" s="4" t="e">
        <f>(X34+$AH$23)*VLOOKUP($AH$26,'x Malzemeler ve Özellikleri'!$O$2:$AJ$136,xHesaplama!U34,0)/1000</f>
        <v>#REF!</v>
      </c>
      <c r="AI34" s="4" t="e">
        <f>(X34+$AI$23)*VLOOKUP($AI$26,'x Malzemeler ve Özellikleri'!$O$2:$AJ$136,xHesaplama!U34,0)/1000</f>
        <v>#REF!</v>
      </c>
      <c r="AJ34" s="4" t="e">
        <f>(X34+$AJ$23)*VLOOKUP($AJ$26,'x Malzemeler ve Özellikleri'!$O$2:$AJ$136,xHesaplama!U34,0)/1000</f>
        <v>#REF!</v>
      </c>
      <c r="AK34" s="4" t="e">
        <f>(X34+$AK$23)*VLOOKUP($AK$26,'x Malzemeler ve Özellikleri'!$O$2:$AJ$136,xHesaplama!U34,0)/1000</f>
        <v>#REF!</v>
      </c>
      <c r="AL34" s="4" t="e">
        <f>(Y34+$AL$23)*VLOOKUP($AL$26,'x Malzemeler ve Özellikleri'!$O$2:$AJ$136,xHesaplama!U34,0)/1000*2</f>
        <v>#REF!</v>
      </c>
      <c r="AM34" s="4" t="e">
        <f>IF(AND(X34&lt;4500,Y34&lt;4500,X34*Y34/1000000&lt;12),(X34+$AM$23)*VLOOKUP($AM$26,'x Malzemeler ve Özellikleri'!$O$2:$AJ$136,xHesaplama!U34,0)/1000,0)</f>
        <v>#REF!</v>
      </c>
      <c r="AN34" s="4">
        <f>IF(OR(X34&gt;=4500,Y34&gt;=4500,X34*Y34/1000000&gt;=12),(X34+$AN$23)*VLOOKUP($AN$26,'x Malzemeler ve Özellikleri'!$O$2:$AJ$136,xHesaplama!U34,0)/1000,0)</f>
        <v>0</v>
      </c>
      <c r="AO34" s="4" t="e">
        <f>(Y34+$AO$23)*VLOOKUP($AO$26,'x Malzemeler ve Özellikleri'!$O$2:$AJ$136,xHesaplama!U34,0)/1000*2</f>
        <v>#REF!</v>
      </c>
      <c r="AP34" s="4" t="e">
        <f>$AP$23*VLOOKUP($AP$26,'x Malzemeler ve Özellikleri'!$O$2:$AJ$136,xHesaplama!U34,0)</f>
        <v>#REF!</v>
      </c>
      <c r="AQ34" s="4" t="e">
        <f>$AQ$23*VLOOKUP($AQ$26,'x Malzemeler ve Özellikleri'!$O$2:$AJ$136,xHesaplama!U34,0)</f>
        <v>#REF!</v>
      </c>
      <c r="AR34" s="4" t="e">
        <f>$AR$23*VLOOKUP($AR$26,'x Malzemeler ve Özellikleri'!$O$2:$AJ$136,xHesaplama!U34,0)</f>
        <v>#REF!</v>
      </c>
      <c r="AS34" s="4" t="e">
        <f>$AS$23*VLOOKUP($AS$26,'x Malzemeler ve Özellikleri'!$O$2:$AJ$136,xHesaplama!U34,0)</f>
        <v>#REF!</v>
      </c>
      <c r="AT34" s="4" t="e">
        <f>$AT$23*VLOOKUP($AT$26,'x Malzemeler ve Özellikleri'!$O$2:$AJ$136,xHesaplama!U34,0)</f>
        <v>#REF!</v>
      </c>
      <c r="AU34" s="4" t="e">
        <f>$AU$23*VLOOKUP($AU$26,'x Malzemeler ve Özellikleri'!$O$2:$AJ$136,xHesaplama!U34,0)</f>
        <v>#REF!</v>
      </c>
      <c r="AV34" s="4" t="e">
        <f>$AV$23*VLOOKUP($AV$26,'x Malzemeler ve Özellikleri'!$O$2:$AJ$136,xHesaplama!U34,0)</f>
        <v>#REF!</v>
      </c>
      <c r="AW34" s="4" t="e">
        <f>(Y34+$AW$23)*VLOOKUP($AW$26,'x Malzemeler ve Özellikleri'!$O$2:$AJ$136,xHesaplama!U34,0)/1000*2</f>
        <v>#REF!</v>
      </c>
      <c r="AX34" s="4" t="e">
        <f>$AX$23*VLOOKUP($AX$26,'x Malzemeler ve Özellikleri'!$O$2:$AJ$136,xHesaplama!U34,0)</f>
        <v>#REF!</v>
      </c>
      <c r="AY34" s="4" t="e">
        <f>$AY$23*VLOOKUP($AY$26,'x Malzemeler ve Özellikleri'!$O$2:$AJ$136,xHesaplama!U34,0)</f>
        <v>#REF!</v>
      </c>
      <c r="AZ34" s="23" t="e">
        <f>ROUNDUP(Y34/300,0)*4*VLOOKUP($AZ$26,'x Malzemeler ve Özellikleri'!$O$2:$AJ$136,xHesaplama!U34,0)</f>
        <v>#REF!</v>
      </c>
      <c r="BA34" s="4" t="e">
        <f>(2*X34-155-183)*VLOOKUP($BA$26,'x Malzemeler ve Özellikleri'!$O$2:$AJ$136,xHesaplama!U34,0)/1000</f>
        <v>#REF!</v>
      </c>
      <c r="BB34" s="4" t="e">
        <f>$BB$23*VLOOKUP($BB$26,'x Malzemeler ve Özellikleri'!$O$2:$AJ$136,xHesaplama!U34,0)</f>
        <v>#REF!</v>
      </c>
      <c r="BC34" s="4" t="e">
        <f>$BC$23*VLOOKUP($BC$26,'x Malzemeler ve Özellikleri'!$O$2:$AJ$136,xHesaplama!U34,0)</f>
        <v>#REF!</v>
      </c>
      <c r="BD34" s="4" t="e">
        <f>$BD$23*VLOOKUP($BD$26,'x Malzemeler ve Özellikleri'!$O$2:$AJ$136,xHesaplama!U34,0)</f>
        <v>#REF!</v>
      </c>
      <c r="BE34" s="4" t="e">
        <f>$BE$23*VLOOKUP($BE$26,'x Malzemeler ve Özellikleri'!$O$2:$AJ$136,xHesaplama!U34,0)</f>
        <v>#REF!</v>
      </c>
      <c r="BF34" s="4" t="e">
        <f>$BF$23*VLOOKUP($BF$26,'x Malzemeler ve Özellikleri'!$O$2:$AJ$136,xHesaplama!U34,0)</f>
        <v>#REF!</v>
      </c>
      <c r="BG34" s="4" t="e">
        <f>$BG$23*VLOOKUP($BG$26,'x Malzemeler ve Özellikleri'!$O$2:$AJ$136,xHesaplama!U34,0)</f>
        <v>#REF!</v>
      </c>
      <c r="BH34" s="4" t="e">
        <f>$BH$23*VLOOKUP($BH$26,'x Malzemeler ve Özellikleri'!$O$2:$AJ$136,xHesaplama!U34,0)*N34</f>
        <v>#REF!</v>
      </c>
      <c r="BI34" s="4" t="e">
        <f>$BI$23*VLOOKUP($BI$26,'x Malzemeler ve Özellikleri'!$O$2:$AJ$136,xHesaplama!U34,0)</f>
        <v>#REF!</v>
      </c>
      <c r="BJ34" s="4" t="e">
        <f>$BJ$23*VLOOKUP($BJ$26,'x Malzemeler ve Özellikleri'!$O$2:$AJ$136,xHesaplama!U34,0)</f>
        <v>#REF!</v>
      </c>
      <c r="BK34" s="4" t="e">
        <f>$BK$23*VLOOKUP($BK$26,'x Malzemeler ve Özellikleri'!$O$2:$AJ$136,xHesaplama!U34,0)</f>
        <v>#REF!</v>
      </c>
      <c r="BL34" s="4" t="e">
        <f>$BL$23*VLOOKUP($BL$26,'x Malzemeler ve Özellikleri'!$O$2:$AJ$136,xHesaplama!U34,0)</f>
        <v>#REF!</v>
      </c>
      <c r="BM34" s="4" t="e">
        <f>$BM$23*VLOOKUP($BM$26,'x Malzemeler ve Özellikleri'!$O$2:$AJ$136,xHesaplama!U34,0)</f>
        <v>#REF!</v>
      </c>
      <c r="BN34" s="4" t="e">
        <f>$BN$23*VLOOKUP($BN$26,'x Malzemeler ve Özellikleri'!$O$2:$AJ$136,xHesaplama!U34,0)</f>
        <v>#REF!</v>
      </c>
      <c r="BO34" s="4" t="e">
        <f>(2*(2*X34+Y34*2)*VLOOKUP($BO$26,'x Malzemeler ve Özellikleri'!$O$2:$AJ$136,xHesaplama!U34,0)/1000)</f>
        <v>#REF!</v>
      </c>
      <c r="BP34" s="4" t="e">
        <f>(X34+$BP$23)*VLOOKUP($BP$26,'x Malzemeler ve Özellikleri'!$O$2:$AJ$136,xHesaplama!U34,0)/1000</f>
        <v>#REF!</v>
      </c>
      <c r="BQ34" s="4" t="e">
        <f>(X34+$BQ$23)*VLOOKUP($BQ$26,'x Malzemeler ve Özellikleri'!$O$2:$AJ$136,xHesaplama!U34,0)/1000</f>
        <v>#REF!</v>
      </c>
      <c r="BR34" s="4" t="e">
        <f>(X34+$BR$23)*VLOOKUP($BR$26,'x Malzemeler ve Özellikleri'!$O$2:$AJ$136,xHesaplama!U34,0)/1000</f>
        <v>#REF!</v>
      </c>
      <c r="BS34" s="4" t="e">
        <f>(X34+$BS$23)*VLOOKUP($BS$26,'x Malzemeler ve Özellikleri'!$O$2:$AJ$136,xHesaplama!U34,0)/1000</f>
        <v>#REF!</v>
      </c>
      <c r="BT34" s="4" t="e">
        <f>$BT$23*VLOOKUP($BT$26,'x Malzemeler ve Özellikleri'!$O$2:$AJ$136,xHesaplama!U34,0)</f>
        <v>#REF!</v>
      </c>
      <c r="BU34" s="4" t="e">
        <f>(Y34+$BU$23)*VLOOKUP($BU$26,'x Malzemeler ve Özellikleri'!$O$2:$AJ$136,xHesaplama!U34,0)/1000*2</f>
        <v>#REF!</v>
      </c>
      <c r="BV34" s="4" t="e">
        <f>(X34+$BV$23)*VLOOKUP($BV$26,'x Malzemeler ve Özellikleri'!$O$2:$AJ$136,xHesaplama!U34,0)/1000</f>
        <v>#REF!</v>
      </c>
      <c r="BW34" s="4" t="e">
        <f>$BW$23*VLOOKUP($BW$26,'x Malzemeler ve Özellikleri'!$O$2:$AJ$136,xHesaplama!U34,0)</f>
        <v>#REF!</v>
      </c>
      <c r="BX34" s="23" t="e">
        <f>ROUNDUP(Y34/300,0)*4*VLOOKUP($BX$26,'x Malzemeler ve Özellikleri'!$O$2:$AJ$136,xHesaplama!U34,0)</f>
        <v>#REF!</v>
      </c>
      <c r="BY34" s="4" t="e">
        <f>$BY$23*VLOOKUP($BY$26,'x Malzemeler ve Özellikleri'!$O$2:$AJ$136,xHesaplama!U34,0)</f>
        <v>#REF!</v>
      </c>
      <c r="BZ34" s="4" t="e">
        <f>$BZ$23*VLOOKUP($BZ$26,'x Malzemeler ve Özellikleri'!$O$2:$AJ$136,xHesaplama!U34,0)</f>
        <v>#REF!</v>
      </c>
      <c r="CA34" s="4" t="e">
        <f>(X34+$CA$23)*VLOOKUP($CA$26,'x Malzemeler ve Özellikleri'!$O$2:$AJ$136,xHesaplama!U34,0)/1000</f>
        <v>#REF!</v>
      </c>
      <c r="CB34" s="4" t="e">
        <f>(X34+$CB$23)*VLOOKUP($CB$26,'x Malzemeler ve Özellikleri'!$O$2:$AJ$136,xHesaplama!U34,0)/1000</f>
        <v>#REF!</v>
      </c>
      <c r="CC34" s="4" t="e">
        <f>$CC$23*VLOOKUP($CC$26,'x Malzemeler ve Özellikleri'!$O$2:$AJ$136,xHesaplama!U34,0)</f>
        <v>#REF!</v>
      </c>
      <c r="CD34" s="4" t="e">
        <f>(X34+$CD$23)*VLOOKUP($CD$26,'x Malzemeler ve Özellikleri'!$O$2:$AJ$136,xHesaplama!U34,0)/1000</f>
        <v>#REF!</v>
      </c>
      <c r="CE34" s="4" t="e">
        <f>(2*X34-120-122)*VLOOKUP($CE$26,'x Malzemeler ve Özellikleri'!$O$2:$AJ$136,xHesaplama!U34,0)/1000</f>
        <v>#REF!</v>
      </c>
      <c r="CF34" s="4" t="e">
        <f>(Y34+$CF$23)*VLOOKUP($CF$26,'x Malzemeler ve Özellikleri'!$O$2:$AJ$136,xHesaplama!U34,0)/1000*2</f>
        <v>#REF!</v>
      </c>
      <c r="CG34" s="4" t="e">
        <f>$CG$23*VLOOKUP($CG$26,'x Malzemeler ve Özellikleri'!$O$2:$AJ$136,xHesaplama!U34,0)</f>
        <v>#REF!</v>
      </c>
      <c r="CH34" s="4" t="e">
        <f>(Y34+$CH$23)*VLOOKUP($CH$26,'x Malzemeler ve Özellikleri'!$O$2:$AJ$136,xHesaplama!U34,0)/1000*2</f>
        <v>#REF!</v>
      </c>
      <c r="CI34" s="4" t="e">
        <f>(Y34+$CI$23)*VLOOKUP($CI$26,'x Malzemeler ve Özellikleri'!$O$2:$AJ$136,xHesaplama!U34,0)/1000*2</f>
        <v>#REF!</v>
      </c>
      <c r="CJ34" s="4" t="e">
        <f>$CJ$23*VLOOKUP($CJ$26,'x Malzemeler ve Özellikleri'!$O$2:$AJ$136,xHesaplama!U34,0)</f>
        <v>#REF!</v>
      </c>
      <c r="CK34" s="4" t="e">
        <f>$CK$23*VLOOKUP($CK$26,'x Malzemeler ve Özellikleri'!$O$2:$AJ$136,xHesaplama!U34,0)</f>
        <v>#REF!</v>
      </c>
      <c r="CL34" s="4" t="e">
        <f>$CL$23*VLOOKUP($CL$26,'x Malzemeler ve Özellikleri'!$O$2:$AJ$136,xHesaplama!U34,0)</f>
        <v>#REF!</v>
      </c>
      <c r="CM34" s="4" t="e">
        <f>(X34+$CM$23)*VLOOKUP($CM$26,'x Malzemeler ve Özellikleri'!$O$2:$AJ$136,xHesaplama!U34,0)/1000</f>
        <v>#REF!</v>
      </c>
      <c r="CN34" s="4" t="e">
        <f>(X34+$CN$23)*VLOOKUP($CN$26,'x Malzemeler ve Özellikleri'!$O$2:$AJ$136,xHesaplama!U34,0)/1000</f>
        <v>#REF!</v>
      </c>
      <c r="CO34" s="4" t="e">
        <f>(X34+$CO$23)*VLOOKUP($CO$26,'x Malzemeler ve Özellikleri'!$O$2:$AJ$136,xHesaplama!U34,0)/1000</f>
        <v>#REF!</v>
      </c>
      <c r="CP34" s="4" t="e">
        <f>(X34+$CP$23)*VLOOKUP($CP$26,'x Malzemeler ve Özellikleri'!$O$2:$AJ$136,xHesaplama!U34,0)/1000</f>
        <v>#REF!</v>
      </c>
      <c r="CQ34" s="23" t="e">
        <f>ROUNDUP(Y34/300,0)*4*VLOOKUP($CQ$26,'x Malzemeler ve Özellikleri'!$O$2:$AJ$136,xHesaplama!U34,0)</f>
        <v>#REF!</v>
      </c>
      <c r="CR34" s="4" t="e">
        <f>(X34+$CR$23)*VLOOKUP($CR$26,'x Malzemeler ve Özellikleri'!$O$2:$AJ$136,xHesaplama!U34,0)/1000</f>
        <v>#REF!</v>
      </c>
      <c r="CS34" s="4" t="e">
        <f>$CS$23*VLOOKUP($CS$26,'x Malzemeler ve Özellikleri'!$O$2:$AJ$136,xHesaplama!U34,0)</f>
        <v>#REF!</v>
      </c>
      <c r="CT34" s="4" t="e">
        <f>$CT$23*VLOOKUP($CT$26,'x Malzemeler ve Özellikleri'!$O$2:$AJ$136,xHesaplama!U34,0)</f>
        <v>#REF!</v>
      </c>
      <c r="CU34" s="4" t="e">
        <f>(Y34+$CU$23)*VLOOKUP($CU$26,'x Malzemeler ve Özellikleri'!$O$2:$AJ$136,xHesaplama!U34,0)/1000*2</f>
        <v>#REF!</v>
      </c>
      <c r="CV34" s="4" t="e">
        <f>(Y34+$CV$23)*VLOOKUP($CV$26,'x Malzemeler ve Özellikleri'!$O$2:$AJ$136,xHesaplama!U34,0)/1000*2</f>
        <v>#REF!</v>
      </c>
      <c r="CW34" s="4" t="e">
        <f>$CW$23*VLOOKUP($CW$26,'x Malzemeler ve Özellikleri'!$O$2:$AJ$136,xHesaplama!U34,0)</f>
        <v>#REF!</v>
      </c>
      <c r="CX34" s="4" t="e">
        <f>(X34+$CX$23)*VLOOKUP($CX$26,'x Malzemeler ve Özellikleri'!$O$2:$AJ$136,xHesaplama!U34,0)/1000</f>
        <v>#REF!</v>
      </c>
      <c r="CY34" s="4" t="e">
        <f>(2*X34-112-108)*VLOOKUP($CY$26,'x Malzemeler ve Özellikleri'!$O$2:$AJ$136,xHesaplama!U34,0)/1000</f>
        <v>#REF!</v>
      </c>
      <c r="CZ34" s="4" t="e">
        <f>$CZ$23*VLOOKUP($CZ$26,'x Malzemeler ve Özellikleri'!$O$2:$AJ$136,xHesaplama!U34,0)</f>
        <v>#REF!</v>
      </c>
      <c r="DA34" s="4" t="e">
        <f>$DA$23*VLOOKUP($DA$26,'x Malzemeler ve Özellikleri'!$O$2:$AJ$136,xHesaplama!U34,0)</f>
        <v>#REF!</v>
      </c>
      <c r="DB34" s="4" t="e">
        <f>$DB$23*VLOOKUP($DB$26,'x Malzemeler ve Özellikleri'!$O$2:$AJ$136,xHesaplama!U34,0)</f>
        <v>#REF!</v>
      </c>
      <c r="DC34" s="4" t="e">
        <f>$DC$23*VLOOKUP($DC$26,'x Malzemeler ve Özellikleri'!$O$2:$AJ$136,xHesaplama!U34,0)</f>
        <v>#REF!</v>
      </c>
      <c r="DD34" s="4" t="e">
        <f>(X34+$DD$23)*VLOOKUP($DD$26,'x Malzemeler ve Özellikleri'!$O$2:$AJ$136,xHesaplama!U34,0)/1000</f>
        <v>#REF!</v>
      </c>
      <c r="DE34" s="4" t="e">
        <f>(X34+$DE$23)*VLOOKUP($DE$26,'x Malzemeler ve Özellikleri'!$O$2:$AJ$136,xHesaplama!U34,0)/1000</f>
        <v>#REF!</v>
      </c>
      <c r="DF34" s="4" t="e">
        <f>$DF$23*VLOOKUP($DF$26,'x Malzemeler ve Özellikleri'!$O$2:$AJ$136,xHesaplama!U34,0)</f>
        <v>#REF!</v>
      </c>
      <c r="DG34" s="4" t="e">
        <f>(Y34+$DG$23)*VLOOKUP($DG$26,'x Malzemeler ve Özellikleri'!$O$2:$AJ$136,xHesaplama!U34,0)/1000*2</f>
        <v>#REF!</v>
      </c>
      <c r="DH34" s="4" t="e">
        <f>(Y34+$DH$23)*VLOOKUP($DH$26,'x Malzemeler ve Özellikleri'!$O$2:$AJ$136,xHesaplama!U34,0)/1000*2</f>
        <v>#REF!</v>
      </c>
      <c r="DI34" s="4" t="e">
        <f>(Y34+$DI$23)*VLOOKUP($DI$26,'x Malzemeler ve Özellikleri'!$O$2:$AJ$136,xHesaplama!U34,0)/1000*2</f>
        <v>#REF!</v>
      </c>
      <c r="DJ34" s="4" t="e">
        <f>$DJ$23*VLOOKUP($DJ$26,'x Malzemeler ve Özellikleri'!$O$2:$AJ$136,xHesaplama!U34,0)</f>
        <v>#REF!</v>
      </c>
      <c r="DK34" s="4" t="e">
        <f>$DK$23*VLOOKUP($DK$26,'x Malzemeler ve Özellikleri'!$O$2:$AJ$136,xHesaplama!U34,0)</f>
        <v>#REF!</v>
      </c>
      <c r="DL34" s="4" t="e">
        <f>(X34+$DL$23)*VLOOKUP($DL$26,'x Malzemeler ve Özellikleri'!$O$2:$AJ$136,xHesaplama!U34,0)/1000</f>
        <v>#REF!</v>
      </c>
      <c r="DM34" s="4" t="e">
        <f>(X34+$DM$23)*VLOOKUP($DM$26,'x Malzemeler ve Özellikleri'!$O$2:$AJ$136,xHesaplama!U34,0)/1000</f>
        <v>#REF!</v>
      </c>
      <c r="DN34" s="4" t="e">
        <f>(X34+$DN$23)*VLOOKUP($DN$26,'x Malzemeler ve Özellikleri'!$O$2:$AJ$136,xHesaplama!U34,0)/1000</f>
        <v>#REF!</v>
      </c>
      <c r="DO34" s="4" t="e">
        <f>(X34+$DO$23)*VLOOKUP($DO$26,'x Malzemeler ve Özellikleri'!$O$2:$AJ$136,xHesaplama!U34,0)/1000</f>
        <v>#REF!</v>
      </c>
      <c r="DP34" s="23" t="e">
        <f>ROUNDUP(Y34/300,0)*4*VLOOKUP($DP$26,'x Malzemeler ve Özellikleri'!$O$2:$AJ$136,xHesaplama!U34,0)</f>
        <v>#REF!</v>
      </c>
      <c r="DQ34" s="4" t="e">
        <f>(X34+$DQ$23)*VLOOKUP($DQ$26,'x Malzemeler ve Özellikleri'!$O$2:$AJ$136,xHesaplama!U34,0)/1000</f>
        <v>#REF!</v>
      </c>
      <c r="DR34" s="4" t="e">
        <f>(Y34+$DR$23)*VLOOKUP($DR$26,'x Malzemeler ve Özellikleri'!$O$2:$AJ$136,xHesaplama!U34,0)/1000*2</f>
        <v>#REF!</v>
      </c>
      <c r="DS34" s="4" t="e">
        <f>(Y34+$DS$23)*VLOOKUP($DS$26,'x Malzemeler ve Özellikleri'!$O$2:$AJ$136,xHesaplama!U34,0)/1000*2</f>
        <v>#REF!</v>
      </c>
      <c r="DT34" s="4" t="e">
        <f>$DT$23*VLOOKUP($DT$26,'x Malzemeler ve Özellikleri'!$O$2:$AJ$136,xHesaplama!U34,0)</f>
        <v>#REF!</v>
      </c>
      <c r="DU34" s="4" t="e">
        <f>(X34+$DU$23)*VLOOKUP($DU$26,'x Malzemeler ve Özellikleri'!$O$2:$AJ$136,xHesaplama!U34,0)/1000</f>
        <v>#REF!</v>
      </c>
      <c r="DV34" s="4" t="e">
        <f>(2*X34-112-108)*VLOOKUP($DV$26,'x Malzemeler ve Özellikleri'!$O$2:$AJ$136,xHesaplama!U34,0)/1000</f>
        <v>#REF!</v>
      </c>
      <c r="DW34" s="4" t="e">
        <f>$DW$23*VLOOKUP($DW$26,'x Malzemeler ve Özellikleri'!$O$2:$AJ$136,xHesaplama!U34,0)</f>
        <v>#REF!</v>
      </c>
      <c r="DX34" s="4" t="e">
        <f>$DX$23*VLOOKUP($DX$26,'x Malzemeler ve Özellikleri'!$O$2:$AJ$136,xHesaplama!U34,0)</f>
        <v>#REF!</v>
      </c>
      <c r="DY34" s="4" t="e">
        <f>$DY$23*VLOOKUP($DY$26,'x Malzemeler ve Özellikleri'!$O$2:$AJ$136,xHesaplama!U34,0)</f>
        <v>#REF!</v>
      </c>
      <c r="DZ34" s="4" t="e">
        <f>$DZ$23*VLOOKUP($DZ$26,'x Malzemeler ve Özellikleri'!$O$2:$AJ$136,xHesaplama!U34,0)</f>
        <v>#REF!</v>
      </c>
      <c r="EA34" s="4" t="e">
        <f>(X34+$EA$23)*VLOOKUP($EA$26,'x Malzemeler ve Özellikleri'!$O$2:$AJ$136,xHesaplama!U34,0)/1000</f>
        <v>#REF!</v>
      </c>
      <c r="EB34" s="4" t="e">
        <f>(X34+$EB$23)*VLOOKUP($EB$26,'x Malzemeler ve Özellikleri'!$O$2:$AJ$136,xHesaplama!U34,0)/1000</f>
        <v>#REF!</v>
      </c>
      <c r="EC34" s="4" t="e">
        <f>$EC$23*VLOOKUP($EC$26,'x Malzemeler ve Özellikleri'!$O$2:$AJ$136,xHesaplama!U34,0)</f>
        <v>#REF!</v>
      </c>
      <c r="ED34" s="4" t="e">
        <f>(Y34+$ED$23)*VLOOKUP($ED$26,'x Malzemeler ve Özellikleri'!$O$2:$AJ$136,xHesaplama!U34,0)/1000*2</f>
        <v>#REF!</v>
      </c>
      <c r="EE34" s="4" t="e">
        <f>(Y34+$EE$23)*VLOOKUP($EE$26,'x Malzemeler ve Özellikleri'!$O$2:$AJ$136,xHesaplama!U34,0)/1000*2</f>
        <v>#REF!</v>
      </c>
      <c r="EF34" s="4" t="e">
        <f>(Y34+$EF$23)*VLOOKUP($EF$26,'x Malzemeler ve Özellikleri'!$O$2:$AJ$136,xHesaplama!U34,0)/1000*2</f>
        <v>#REF!</v>
      </c>
      <c r="EG34" s="4" t="e">
        <f>$EG$23*VLOOKUP($EG$26,'x Malzemeler ve Özellikleri'!$O$2:$AJ$136,xHesaplama!U34,0)</f>
        <v>#REF!</v>
      </c>
      <c r="EH34" s="4" t="e">
        <f>$EH$23*VLOOKUP($EH$26,'x Malzemeler ve Özellikleri'!$O$2:$AJ$136,xHesaplama!U34,0)</f>
        <v>#REF!</v>
      </c>
      <c r="EI34" s="4" t="e">
        <f>$EI$23*VLOOKUP($EI$26,'x Malzemeler ve Özellikleri'!$O$2:$AJ$136,xHesaplama!U34,0)</f>
        <v>#REF!</v>
      </c>
      <c r="EJ34" s="4" t="e">
        <f>$EJ$23*VLOOKUP($EJ$26,'x Malzemeler ve Özellikleri'!$O$2:$AJ$136,xHesaplama!U34,0)</f>
        <v>#REF!</v>
      </c>
      <c r="EK34" s="4" t="e">
        <f>$EK$23*VLOOKUP($EK$26,'x Malzemeler ve Özellikleri'!$O$2:$AJ$136,xHesaplama!U34,0)</f>
        <v>#REF!</v>
      </c>
      <c r="EL34" s="4" t="e">
        <f>$EL$23*VLOOKUP($EL$26,'x Malzemeler ve Özellikleri'!$O$2:$AJ$136,xHesaplama!U34,0)</f>
        <v>#REF!</v>
      </c>
      <c r="EM34" s="4" t="e">
        <f>(X34+$EM$23)*VLOOKUP($EM$26,'x Malzemeler ve Özellikleri'!$O$2:$AJ$136,xHesaplama!U34,0)/1000</f>
        <v>#REF!</v>
      </c>
      <c r="EN34" s="4" t="e">
        <f>(X34+$EN$23)*VLOOKUP($EN$26,'x Malzemeler ve Özellikleri'!$O$2:$AJ$136,xHesaplama!U34,0)/1000</f>
        <v>#REF!</v>
      </c>
      <c r="EO34" s="4" t="e">
        <f>(X34+$EO$23)*VLOOKUP($EO$26,'x Malzemeler ve Özellikleri'!$O$2:$AJ$136,xHesaplama!U34,0)/1000</f>
        <v>#REF!</v>
      </c>
      <c r="EP34" s="4" t="e">
        <f>(X34+$EP$23)*VLOOKUP($EP$26,'x Malzemeler ve Özellikleri'!$O$2:$AJ$136,xHesaplama!U34,0)/1000</f>
        <v>#REF!</v>
      </c>
      <c r="EQ34" s="4" t="e">
        <f>(X34+$EQ$23)*VLOOKUP($EQ$26,'x Malzemeler ve Özellikleri'!$O$2:$AJ$136,xHesaplama!U34,0)/1000</f>
        <v>#REF!</v>
      </c>
      <c r="ER34" s="4" t="e">
        <f>$ER$23*VLOOKUP($ER$26,'x Malzemeler ve Özellikleri'!$O$2:$AJ$136,xHesaplama!U34,0)</f>
        <v>#REF!</v>
      </c>
      <c r="ES34" s="4" t="e">
        <f>(X34+$ES$23)*VLOOKUP($ES$26,'x Malzemeler ve Özellikleri'!$O$2:$AJ$136,xHesaplama!U34,0)/1000</f>
        <v>#REF!</v>
      </c>
      <c r="ET34" s="4" t="e">
        <f>(2*X34-112-108)*VLOOKUP($ET$26,'x Malzemeler ve Özellikleri'!$O$2:$AJ$136,xHesaplama!U34,0)/1000</f>
        <v>#REF!</v>
      </c>
      <c r="EU34" s="4" t="e">
        <f>$EU$23*VLOOKUP($EU$26,'x Malzemeler ve Özellikleri'!$O$2:$AJ$136,xHesaplama!U34,0)</f>
        <v>#REF!</v>
      </c>
      <c r="EV34" s="4" t="e">
        <f>$EV$23*VLOOKUP($EV$26,'x Malzemeler ve Özellikleri'!$O$2:$AJ$136,xHesaplama!U34,0)</f>
        <v>#REF!</v>
      </c>
      <c r="EW34" s="4" t="e">
        <f>$EW$23*VLOOKUP($EW$26,'x Malzemeler ve Özellikleri'!$O$2:$AJ$136,xHesaplama!U34,0)</f>
        <v>#REF!</v>
      </c>
      <c r="EX34" s="4" t="e">
        <f>$EX$23*VLOOKUP($EX$26,'x Malzemeler ve Özellikleri'!$O$2:$AJ$136,xHesaplama!U34,0)</f>
        <v>#REF!</v>
      </c>
      <c r="EY34" s="4" t="e">
        <f>(X34+$EY$23)*VLOOKUP($EY$26,'x Malzemeler ve Özellikleri'!$O$2:$AJ$136,xHesaplama!U34,0)/1000</f>
        <v>#REF!</v>
      </c>
      <c r="EZ34" s="4" t="e">
        <f>(X34+$EZ$23)*VLOOKUP($EZ$26,'x Malzemeler ve Özellikleri'!$O$2:$AJ$136,xHesaplama!U34,0)/1000</f>
        <v>#REF!</v>
      </c>
      <c r="FA34" s="4" t="e">
        <f>$FA$23*VLOOKUP($FA$26,'x Malzemeler ve Özellikleri'!$O$2:$AJ$136,xHesaplama!U34,0)</f>
        <v>#REF!</v>
      </c>
      <c r="FB34" s="4" t="e">
        <f>$FB$23*VLOOKUP($FB$26,'x Malzemeler ve Özellikleri'!$O$2:$AJ$136,xHesaplama!U34,0)</f>
        <v>#REF!</v>
      </c>
      <c r="FC34" s="4" t="e">
        <f>$FC$23*VLOOKUP($FC$26,'x Malzemeler ve Özellikleri'!$O$2:$AJ$136,xHesaplama!U34,0)</f>
        <v>#REF!</v>
      </c>
      <c r="FD34" s="4" t="e">
        <f>$FD$23*VLOOKUP($FD$26,'x Malzemeler ve Özellikleri'!$O$2:$AJ$136,xHesaplama!U34,0)</f>
        <v>#REF!</v>
      </c>
      <c r="FE34" s="4" t="e">
        <f>$FE$23*VLOOKUP($FE$26,'x Malzemeler ve Özellikleri'!$O$2:$AJ$136,xHesaplama!U34,0)</f>
        <v>#REF!</v>
      </c>
      <c r="FF34" s="4" t="e">
        <f>$FF$23*VLOOKUP($FF$26,'x Malzemeler ve Özellikleri'!$O$2:$AJ$136,xHesaplama!U34,0)</f>
        <v>#REF!</v>
      </c>
      <c r="FG34" s="4" t="e">
        <f>$FG$23*VLOOKUP($FG$26,'x Malzemeler ve Özellikleri'!$O$2:$AJ$136,xHesaplama!U34,0)</f>
        <v>#REF!</v>
      </c>
      <c r="FH34" s="4" t="e">
        <f>$FH$23*VLOOKUP($FH$26,'x Malzemeler ve Özellikleri'!$O$2:$AJ$136,xHesaplama!U34,0)</f>
        <v>#REF!</v>
      </c>
    </row>
    <row r="35" spans="1:168">
      <c r="A35" s="4">
        <f>'1PROJE'!B15</f>
        <v>9</v>
      </c>
      <c r="B35" s="4">
        <f>'1PROJE'!C15</f>
        <v>0</v>
      </c>
      <c r="C35" s="4">
        <f>'1PROJE'!D15</f>
        <v>0</v>
      </c>
      <c r="D35" s="4">
        <f>'1PROJE'!E15</f>
        <v>0</v>
      </c>
      <c r="E35" s="4">
        <f>'1PROJE'!F15</f>
        <v>0</v>
      </c>
      <c r="F35" s="4">
        <f>'1PROJE'!G15</f>
        <v>0</v>
      </c>
      <c r="G35" s="4">
        <f>'1PROJE'!H15</f>
        <v>0</v>
      </c>
      <c r="H35" s="4">
        <f>'1PROJE'!I15</f>
        <v>0</v>
      </c>
      <c r="I35" s="4">
        <f>'1PROJE'!K15</f>
        <v>0</v>
      </c>
      <c r="J35" s="4">
        <f>'1PROJE'!L15</f>
        <v>0</v>
      </c>
      <c r="K35" s="4">
        <f>'1PROJE'!M15</f>
        <v>0</v>
      </c>
      <c r="L35" s="4">
        <f>'1PROJE'!N15</f>
        <v>0</v>
      </c>
      <c r="M35" s="4">
        <f>'1PROJE'!O15</f>
        <v>0</v>
      </c>
      <c r="N35" s="4">
        <f t="shared" si="3"/>
        <v>4</v>
      </c>
      <c r="O35" s="4">
        <f>'1PROJE'!P15</f>
        <v>0</v>
      </c>
      <c r="P35" s="4">
        <f>'1PROJE'!R15</f>
        <v>0</v>
      </c>
      <c r="Q35" s="4">
        <f>'1PROJE'!S15</f>
        <v>0</v>
      </c>
      <c r="R35" s="4">
        <f>'1PROJE'!T15</f>
        <v>0</v>
      </c>
      <c r="S35" s="4"/>
      <c r="U35" s="4" t="e">
        <f t="shared" si="1"/>
        <v>#N/A</v>
      </c>
      <c r="V35" s="4" t="e">
        <f>VLOOKUP(B35,'x Açılır Listeler'!$A$2:$B$15,2,0)</f>
        <v>#N/A</v>
      </c>
      <c r="W35" s="4" t="e">
        <f>VLOOKUP(B35,'x Açılır Listeler'!$A$2:$C$15,3,0)*2</f>
        <v>#N/A</v>
      </c>
      <c r="X35" s="4">
        <f t="shared" si="4"/>
        <v>0</v>
      </c>
      <c r="Y35" s="4">
        <f t="shared" si="5"/>
        <v>0</v>
      </c>
      <c r="Z35" s="4" t="s">
        <v>401</v>
      </c>
      <c r="AA35" s="4">
        <f t="shared" si="2"/>
        <v>25</v>
      </c>
      <c r="AB35" s="38" t="e">
        <f>VLOOKUP(J35,'x Malzemeler ve Özellikleri'!$N$147:$R$167,5,0)</f>
        <v>#N/A</v>
      </c>
      <c r="AC35" s="46" t="e">
        <f>IF('1PROJE'!J15="",VLOOKUP(H35,'x Malzemeler ve Özellikleri'!$N$137:$R$146,5,0),'1PROJE'!J15)</f>
        <v>#N/A</v>
      </c>
      <c r="AD35" s="52">
        <f t="shared" si="6"/>
        <v>-2.8511999999999999E-2</v>
      </c>
      <c r="AE35" s="46" t="e">
        <f t="shared" si="7"/>
        <v>#N/A</v>
      </c>
      <c r="AF35" s="46">
        <f>IF(O35="VAR",IF('1PROJE'!Q15="",$AI$10,'1PROJE'!Q15),0)</f>
        <v>0</v>
      </c>
      <c r="AG35" s="4" t="e">
        <f>IF('1PROJE'!S15="",VLOOKUP(xHesaplama!P35,'x Malzemeler ve Özellikleri'!$AS$2:$AT$11,2,0),'1PROJE'!S15/'1PROJE'!$P$3)</f>
        <v>#N/A</v>
      </c>
      <c r="AH35" s="4" t="e">
        <f>(X35+$AH$23)*VLOOKUP($AH$26,'x Malzemeler ve Özellikleri'!$O$2:$AJ$136,xHesaplama!U35,0)/1000</f>
        <v>#REF!</v>
      </c>
      <c r="AI35" s="4" t="e">
        <f>(X35+$AI$23)*VLOOKUP($AI$26,'x Malzemeler ve Özellikleri'!$O$2:$AJ$136,xHesaplama!U35,0)/1000</f>
        <v>#REF!</v>
      </c>
      <c r="AJ35" s="4" t="e">
        <f>(X35+$AJ$23)*VLOOKUP($AJ$26,'x Malzemeler ve Özellikleri'!$O$2:$AJ$136,xHesaplama!U35,0)/1000</f>
        <v>#REF!</v>
      </c>
      <c r="AK35" s="4" t="e">
        <f>(X35+$AK$23)*VLOOKUP($AK$26,'x Malzemeler ve Özellikleri'!$O$2:$AJ$136,xHesaplama!U35,0)/1000</f>
        <v>#REF!</v>
      </c>
      <c r="AL35" s="4" t="e">
        <f>(Y35+$AL$23)*VLOOKUP($AL$26,'x Malzemeler ve Özellikleri'!$O$2:$AJ$136,xHesaplama!U35,0)/1000*2</f>
        <v>#REF!</v>
      </c>
      <c r="AM35" s="4" t="e">
        <f>IF(AND(X35&lt;4500,Y35&lt;4500,X35*Y35/1000000&lt;12),(X35+$AM$23)*VLOOKUP($AM$26,'x Malzemeler ve Özellikleri'!$O$2:$AJ$136,xHesaplama!U35,0)/1000,0)</f>
        <v>#REF!</v>
      </c>
      <c r="AN35" s="4">
        <f>IF(OR(X35&gt;=4500,Y35&gt;=4500,X35*Y35/1000000&gt;=12),(X35+$AN$23)*VLOOKUP($AN$26,'x Malzemeler ve Özellikleri'!$O$2:$AJ$136,xHesaplama!U35,0)/1000,0)</f>
        <v>0</v>
      </c>
      <c r="AO35" s="4" t="e">
        <f>(Y35+$AO$23)*VLOOKUP($AO$26,'x Malzemeler ve Özellikleri'!$O$2:$AJ$136,xHesaplama!U35,0)/1000*2</f>
        <v>#REF!</v>
      </c>
      <c r="AP35" s="4" t="e">
        <f>$AP$23*VLOOKUP($AP$26,'x Malzemeler ve Özellikleri'!$O$2:$AJ$136,xHesaplama!U35,0)</f>
        <v>#REF!</v>
      </c>
      <c r="AQ35" s="4" t="e">
        <f>$AQ$23*VLOOKUP($AQ$26,'x Malzemeler ve Özellikleri'!$O$2:$AJ$136,xHesaplama!U35,0)</f>
        <v>#REF!</v>
      </c>
      <c r="AR35" s="4" t="e">
        <f>$AR$23*VLOOKUP($AR$26,'x Malzemeler ve Özellikleri'!$O$2:$AJ$136,xHesaplama!U35,0)</f>
        <v>#REF!</v>
      </c>
      <c r="AS35" s="4" t="e">
        <f>$AS$23*VLOOKUP($AS$26,'x Malzemeler ve Özellikleri'!$O$2:$AJ$136,xHesaplama!U35,0)</f>
        <v>#REF!</v>
      </c>
      <c r="AT35" s="4" t="e">
        <f>$AT$23*VLOOKUP($AT$26,'x Malzemeler ve Özellikleri'!$O$2:$AJ$136,xHesaplama!U35,0)</f>
        <v>#REF!</v>
      </c>
      <c r="AU35" s="4" t="e">
        <f>$AU$23*VLOOKUP($AU$26,'x Malzemeler ve Özellikleri'!$O$2:$AJ$136,xHesaplama!U35,0)</f>
        <v>#REF!</v>
      </c>
      <c r="AV35" s="4" t="e">
        <f>$AV$23*VLOOKUP($AV$26,'x Malzemeler ve Özellikleri'!$O$2:$AJ$136,xHesaplama!U35,0)</f>
        <v>#REF!</v>
      </c>
      <c r="AW35" s="4" t="e">
        <f>(Y35+$AW$23)*VLOOKUP($AW$26,'x Malzemeler ve Özellikleri'!$O$2:$AJ$136,xHesaplama!U35,0)/1000*2</f>
        <v>#REF!</v>
      </c>
      <c r="AX35" s="4" t="e">
        <f>$AX$23*VLOOKUP($AX$26,'x Malzemeler ve Özellikleri'!$O$2:$AJ$136,xHesaplama!U35,0)</f>
        <v>#REF!</v>
      </c>
      <c r="AY35" s="4" t="e">
        <f>$AY$23*VLOOKUP($AY$26,'x Malzemeler ve Özellikleri'!$O$2:$AJ$136,xHesaplama!U35,0)</f>
        <v>#REF!</v>
      </c>
      <c r="AZ35" s="23" t="e">
        <f>ROUNDUP(Y35/300,0)*4*VLOOKUP($AZ$26,'x Malzemeler ve Özellikleri'!$O$2:$AJ$136,xHesaplama!U35,0)</f>
        <v>#REF!</v>
      </c>
      <c r="BA35" s="4" t="e">
        <f>(2*X35-155-183)*VLOOKUP($BA$26,'x Malzemeler ve Özellikleri'!$O$2:$AJ$136,xHesaplama!U35,0)/1000</f>
        <v>#REF!</v>
      </c>
      <c r="BB35" s="4" t="e">
        <f>$BB$23*VLOOKUP($BB$26,'x Malzemeler ve Özellikleri'!$O$2:$AJ$136,xHesaplama!U35,0)</f>
        <v>#REF!</v>
      </c>
      <c r="BC35" s="4" t="e">
        <f>$BC$23*VLOOKUP($BC$26,'x Malzemeler ve Özellikleri'!$O$2:$AJ$136,xHesaplama!U35,0)</f>
        <v>#REF!</v>
      </c>
      <c r="BD35" s="4" t="e">
        <f>$BD$23*VLOOKUP($BD$26,'x Malzemeler ve Özellikleri'!$O$2:$AJ$136,xHesaplama!U35,0)</f>
        <v>#REF!</v>
      </c>
      <c r="BE35" s="4" t="e">
        <f>$BE$23*VLOOKUP($BE$26,'x Malzemeler ve Özellikleri'!$O$2:$AJ$136,xHesaplama!U35,0)</f>
        <v>#REF!</v>
      </c>
      <c r="BF35" s="4" t="e">
        <f>$BF$23*VLOOKUP($BF$26,'x Malzemeler ve Özellikleri'!$O$2:$AJ$136,xHesaplama!U35,0)</f>
        <v>#REF!</v>
      </c>
      <c r="BG35" s="4" t="e">
        <f>$BG$23*VLOOKUP($BG$26,'x Malzemeler ve Özellikleri'!$O$2:$AJ$136,xHesaplama!U35,0)</f>
        <v>#REF!</v>
      </c>
      <c r="BH35" s="4" t="e">
        <f>$BH$23*VLOOKUP($BH$26,'x Malzemeler ve Özellikleri'!$O$2:$AJ$136,xHesaplama!U35,0)*N35</f>
        <v>#REF!</v>
      </c>
      <c r="BI35" s="4" t="e">
        <f>$BI$23*VLOOKUP($BI$26,'x Malzemeler ve Özellikleri'!$O$2:$AJ$136,xHesaplama!U35,0)</f>
        <v>#REF!</v>
      </c>
      <c r="BJ35" s="4" t="e">
        <f>$BJ$23*VLOOKUP($BJ$26,'x Malzemeler ve Özellikleri'!$O$2:$AJ$136,xHesaplama!U35,0)</f>
        <v>#REF!</v>
      </c>
      <c r="BK35" s="4" t="e">
        <f>$BK$23*VLOOKUP($BK$26,'x Malzemeler ve Özellikleri'!$O$2:$AJ$136,xHesaplama!U35,0)</f>
        <v>#REF!</v>
      </c>
      <c r="BL35" s="4" t="e">
        <f>$BL$23*VLOOKUP($BL$26,'x Malzemeler ve Özellikleri'!$O$2:$AJ$136,xHesaplama!U35,0)</f>
        <v>#REF!</v>
      </c>
      <c r="BM35" s="4" t="e">
        <f>$BM$23*VLOOKUP($BM$26,'x Malzemeler ve Özellikleri'!$O$2:$AJ$136,xHesaplama!U35,0)</f>
        <v>#REF!</v>
      </c>
      <c r="BN35" s="4" t="e">
        <f>$BN$23*VLOOKUP($BN$26,'x Malzemeler ve Özellikleri'!$O$2:$AJ$136,xHesaplama!U35,0)</f>
        <v>#REF!</v>
      </c>
      <c r="BO35" s="4" t="e">
        <f>(2*(2*X35+Y35*2)*VLOOKUP($BO$26,'x Malzemeler ve Özellikleri'!$O$2:$AJ$136,xHesaplama!U35,0)/1000)</f>
        <v>#REF!</v>
      </c>
      <c r="BP35" s="4" t="e">
        <f>(X35+$BP$23)*VLOOKUP($BP$26,'x Malzemeler ve Özellikleri'!$O$2:$AJ$136,xHesaplama!U35,0)/1000</f>
        <v>#REF!</v>
      </c>
      <c r="BQ35" s="4" t="e">
        <f>(X35+$BQ$23)*VLOOKUP($BQ$26,'x Malzemeler ve Özellikleri'!$O$2:$AJ$136,xHesaplama!U35,0)/1000</f>
        <v>#REF!</v>
      </c>
      <c r="BR35" s="4" t="e">
        <f>(X35+$BR$23)*VLOOKUP($BR$26,'x Malzemeler ve Özellikleri'!$O$2:$AJ$136,xHesaplama!U35,0)/1000</f>
        <v>#REF!</v>
      </c>
      <c r="BS35" s="4" t="e">
        <f>(X35+$BS$23)*VLOOKUP($BS$26,'x Malzemeler ve Özellikleri'!$O$2:$AJ$136,xHesaplama!U35,0)/1000</f>
        <v>#REF!</v>
      </c>
      <c r="BT35" s="4" t="e">
        <f>$BT$23*VLOOKUP($BT$26,'x Malzemeler ve Özellikleri'!$O$2:$AJ$136,xHesaplama!U35,0)</f>
        <v>#REF!</v>
      </c>
      <c r="BU35" s="4" t="e">
        <f>(Y35+$BU$23)*VLOOKUP($BU$26,'x Malzemeler ve Özellikleri'!$O$2:$AJ$136,xHesaplama!U35,0)/1000*2</f>
        <v>#REF!</v>
      </c>
      <c r="BV35" s="4" t="e">
        <f>(X35+$BV$23)*VLOOKUP($BV$26,'x Malzemeler ve Özellikleri'!$O$2:$AJ$136,xHesaplama!U35,0)/1000</f>
        <v>#REF!</v>
      </c>
      <c r="BW35" s="4" t="e">
        <f>$BW$23*VLOOKUP($BW$26,'x Malzemeler ve Özellikleri'!$O$2:$AJ$136,xHesaplama!U35,0)</f>
        <v>#REF!</v>
      </c>
      <c r="BX35" s="23" t="e">
        <f>ROUNDUP(Y35/300,0)*4*VLOOKUP($BX$26,'x Malzemeler ve Özellikleri'!$O$2:$AJ$136,xHesaplama!U35,0)</f>
        <v>#REF!</v>
      </c>
      <c r="BY35" s="4" t="e">
        <f>$BY$23*VLOOKUP($BY$26,'x Malzemeler ve Özellikleri'!$O$2:$AJ$136,xHesaplama!U35,0)</f>
        <v>#REF!</v>
      </c>
      <c r="BZ35" s="4" t="e">
        <f>$BZ$23*VLOOKUP($BZ$26,'x Malzemeler ve Özellikleri'!$O$2:$AJ$136,xHesaplama!U35,0)</f>
        <v>#REF!</v>
      </c>
      <c r="CA35" s="4" t="e">
        <f>(X35+$CA$23)*VLOOKUP($CA$26,'x Malzemeler ve Özellikleri'!$O$2:$AJ$136,xHesaplama!U35,0)/1000</f>
        <v>#REF!</v>
      </c>
      <c r="CB35" s="4" t="e">
        <f>(X35+$CB$23)*VLOOKUP($CB$26,'x Malzemeler ve Özellikleri'!$O$2:$AJ$136,xHesaplama!U35,0)/1000</f>
        <v>#REF!</v>
      </c>
      <c r="CC35" s="4" t="e">
        <f>$CC$23*VLOOKUP($CC$26,'x Malzemeler ve Özellikleri'!$O$2:$AJ$136,xHesaplama!U35,0)</f>
        <v>#REF!</v>
      </c>
      <c r="CD35" s="4" t="e">
        <f>(X35+$CD$23)*VLOOKUP($CD$26,'x Malzemeler ve Özellikleri'!$O$2:$AJ$136,xHesaplama!U35,0)/1000</f>
        <v>#REF!</v>
      </c>
      <c r="CE35" s="4" t="e">
        <f>(2*X35-120-122)*VLOOKUP($CE$26,'x Malzemeler ve Özellikleri'!$O$2:$AJ$136,xHesaplama!U35,0)/1000</f>
        <v>#REF!</v>
      </c>
      <c r="CF35" s="4" t="e">
        <f>(Y35+$CF$23)*VLOOKUP($CF$26,'x Malzemeler ve Özellikleri'!$O$2:$AJ$136,xHesaplama!U35,0)/1000*2</f>
        <v>#REF!</v>
      </c>
      <c r="CG35" s="4" t="e">
        <f>$CG$23*VLOOKUP($CG$26,'x Malzemeler ve Özellikleri'!$O$2:$AJ$136,xHesaplama!U35,0)</f>
        <v>#REF!</v>
      </c>
      <c r="CH35" s="4" t="e">
        <f>(Y35+$CH$23)*VLOOKUP($CH$26,'x Malzemeler ve Özellikleri'!$O$2:$AJ$136,xHesaplama!U35,0)/1000*2</f>
        <v>#REF!</v>
      </c>
      <c r="CI35" s="4" t="e">
        <f>(Y35+$CI$23)*VLOOKUP($CI$26,'x Malzemeler ve Özellikleri'!$O$2:$AJ$136,xHesaplama!U35,0)/1000*2</f>
        <v>#REF!</v>
      </c>
      <c r="CJ35" s="4" t="e">
        <f>$CJ$23*VLOOKUP($CJ$26,'x Malzemeler ve Özellikleri'!$O$2:$AJ$136,xHesaplama!U35,0)</f>
        <v>#REF!</v>
      </c>
      <c r="CK35" s="4" t="e">
        <f>$CK$23*VLOOKUP($CK$26,'x Malzemeler ve Özellikleri'!$O$2:$AJ$136,xHesaplama!U35,0)</f>
        <v>#REF!</v>
      </c>
      <c r="CL35" s="4" t="e">
        <f>$CL$23*VLOOKUP($CL$26,'x Malzemeler ve Özellikleri'!$O$2:$AJ$136,xHesaplama!U35,0)</f>
        <v>#REF!</v>
      </c>
      <c r="CM35" s="4" t="e">
        <f>(X35+$CM$23)*VLOOKUP($CM$26,'x Malzemeler ve Özellikleri'!$O$2:$AJ$136,xHesaplama!U35,0)/1000</f>
        <v>#REF!</v>
      </c>
      <c r="CN35" s="4" t="e">
        <f>(X35+$CN$23)*VLOOKUP($CN$26,'x Malzemeler ve Özellikleri'!$O$2:$AJ$136,xHesaplama!U35,0)/1000</f>
        <v>#REF!</v>
      </c>
      <c r="CO35" s="4" t="e">
        <f>(X35+$CO$23)*VLOOKUP($CO$26,'x Malzemeler ve Özellikleri'!$O$2:$AJ$136,xHesaplama!U35,0)/1000</f>
        <v>#REF!</v>
      </c>
      <c r="CP35" s="4" t="e">
        <f>(X35+$CP$23)*VLOOKUP($CP$26,'x Malzemeler ve Özellikleri'!$O$2:$AJ$136,xHesaplama!U35,0)/1000</f>
        <v>#REF!</v>
      </c>
      <c r="CQ35" s="23" t="e">
        <f>ROUNDUP(Y35/300,0)*4*VLOOKUP($CQ$26,'x Malzemeler ve Özellikleri'!$O$2:$AJ$136,xHesaplama!U35,0)</f>
        <v>#REF!</v>
      </c>
      <c r="CR35" s="4" t="e">
        <f>(X35+$CR$23)*VLOOKUP($CR$26,'x Malzemeler ve Özellikleri'!$O$2:$AJ$136,xHesaplama!U35,0)/1000</f>
        <v>#REF!</v>
      </c>
      <c r="CS35" s="4" t="e">
        <f>$CS$23*VLOOKUP($CS$26,'x Malzemeler ve Özellikleri'!$O$2:$AJ$136,xHesaplama!U35,0)</f>
        <v>#REF!</v>
      </c>
      <c r="CT35" s="4" t="e">
        <f>$CT$23*VLOOKUP($CT$26,'x Malzemeler ve Özellikleri'!$O$2:$AJ$136,xHesaplama!U35,0)</f>
        <v>#REF!</v>
      </c>
      <c r="CU35" s="4" t="e">
        <f>(Y35+$CU$23)*VLOOKUP($CU$26,'x Malzemeler ve Özellikleri'!$O$2:$AJ$136,xHesaplama!U35,0)/1000*2</f>
        <v>#REF!</v>
      </c>
      <c r="CV35" s="4" t="e">
        <f>(Y35+$CV$23)*VLOOKUP($CV$26,'x Malzemeler ve Özellikleri'!$O$2:$AJ$136,xHesaplama!U35,0)/1000*2</f>
        <v>#REF!</v>
      </c>
      <c r="CW35" s="4" t="e">
        <f>$CW$23*VLOOKUP($CW$26,'x Malzemeler ve Özellikleri'!$O$2:$AJ$136,xHesaplama!U35,0)</f>
        <v>#REF!</v>
      </c>
      <c r="CX35" s="4" t="e">
        <f>(X35+$CX$23)*VLOOKUP($CX$26,'x Malzemeler ve Özellikleri'!$O$2:$AJ$136,xHesaplama!U35,0)/1000</f>
        <v>#REF!</v>
      </c>
      <c r="CY35" s="4" t="e">
        <f>(2*X35-112-108)*VLOOKUP($CY$26,'x Malzemeler ve Özellikleri'!$O$2:$AJ$136,xHesaplama!U35,0)/1000</f>
        <v>#REF!</v>
      </c>
      <c r="CZ35" s="4" t="e">
        <f>$CZ$23*VLOOKUP($CZ$26,'x Malzemeler ve Özellikleri'!$O$2:$AJ$136,xHesaplama!U35,0)</f>
        <v>#REF!</v>
      </c>
      <c r="DA35" s="4" t="e">
        <f>$DA$23*VLOOKUP($DA$26,'x Malzemeler ve Özellikleri'!$O$2:$AJ$136,xHesaplama!U35,0)</f>
        <v>#REF!</v>
      </c>
      <c r="DB35" s="4" t="e">
        <f>$DB$23*VLOOKUP($DB$26,'x Malzemeler ve Özellikleri'!$O$2:$AJ$136,xHesaplama!U35,0)</f>
        <v>#REF!</v>
      </c>
      <c r="DC35" s="4" t="e">
        <f>$DC$23*VLOOKUP($DC$26,'x Malzemeler ve Özellikleri'!$O$2:$AJ$136,xHesaplama!U35,0)</f>
        <v>#REF!</v>
      </c>
      <c r="DD35" s="4" t="e">
        <f>(X35+$DD$23)*VLOOKUP($DD$26,'x Malzemeler ve Özellikleri'!$O$2:$AJ$136,xHesaplama!U35,0)/1000</f>
        <v>#REF!</v>
      </c>
      <c r="DE35" s="4" t="e">
        <f>(X35+$DE$23)*VLOOKUP($DE$26,'x Malzemeler ve Özellikleri'!$O$2:$AJ$136,xHesaplama!U35,0)/1000</f>
        <v>#REF!</v>
      </c>
      <c r="DF35" s="4" t="e">
        <f>$DF$23*VLOOKUP($DF$26,'x Malzemeler ve Özellikleri'!$O$2:$AJ$136,xHesaplama!U35,0)</f>
        <v>#REF!</v>
      </c>
      <c r="DG35" s="4" t="e">
        <f>(Y35+$DG$23)*VLOOKUP($DG$26,'x Malzemeler ve Özellikleri'!$O$2:$AJ$136,xHesaplama!U35,0)/1000*2</f>
        <v>#REF!</v>
      </c>
      <c r="DH35" s="4" t="e">
        <f>(Y35+$DH$23)*VLOOKUP($DH$26,'x Malzemeler ve Özellikleri'!$O$2:$AJ$136,xHesaplama!U35,0)/1000*2</f>
        <v>#REF!</v>
      </c>
      <c r="DI35" s="4" t="e">
        <f>(Y35+$DI$23)*VLOOKUP($DI$26,'x Malzemeler ve Özellikleri'!$O$2:$AJ$136,xHesaplama!U35,0)/1000*2</f>
        <v>#REF!</v>
      </c>
      <c r="DJ35" s="4" t="e">
        <f>$DJ$23*VLOOKUP($DJ$26,'x Malzemeler ve Özellikleri'!$O$2:$AJ$136,xHesaplama!U35,0)</f>
        <v>#REF!</v>
      </c>
      <c r="DK35" s="4" t="e">
        <f>$DK$23*VLOOKUP($DK$26,'x Malzemeler ve Özellikleri'!$O$2:$AJ$136,xHesaplama!U35,0)</f>
        <v>#REF!</v>
      </c>
      <c r="DL35" s="4" t="e">
        <f>(X35+$DL$23)*VLOOKUP($DL$26,'x Malzemeler ve Özellikleri'!$O$2:$AJ$136,xHesaplama!U35,0)/1000</f>
        <v>#REF!</v>
      </c>
      <c r="DM35" s="4" t="e">
        <f>(X35+$DM$23)*VLOOKUP($DM$26,'x Malzemeler ve Özellikleri'!$O$2:$AJ$136,xHesaplama!U35,0)/1000</f>
        <v>#REF!</v>
      </c>
      <c r="DN35" s="4" t="e">
        <f>(X35+$DN$23)*VLOOKUP($DN$26,'x Malzemeler ve Özellikleri'!$O$2:$AJ$136,xHesaplama!U35,0)/1000</f>
        <v>#REF!</v>
      </c>
      <c r="DO35" s="4" t="e">
        <f>(X35+$DO$23)*VLOOKUP($DO$26,'x Malzemeler ve Özellikleri'!$O$2:$AJ$136,xHesaplama!U35,0)/1000</f>
        <v>#REF!</v>
      </c>
      <c r="DP35" s="23" t="e">
        <f>ROUNDUP(Y35/300,0)*4*VLOOKUP($DP$26,'x Malzemeler ve Özellikleri'!$O$2:$AJ$136,xHesaplama!U35,0)</f>
        <v>#REF!</v>
      </c>
      <c r="DQ35" s="4" t="e">
        <f>(X35+$DQ$23)*VLOOKUP($DQ$26,'x Malzemeler ve Özellikleri'!$O$2:$AJ$136,xHesaplama!U35,0)/1000</f>
        <v>#REF!</v>
      </c>
      <c r="DR35" s="4" t="e">
        <f>(Y35+$DR$23)*VLOOKUP($DR$26,'x Malzemeler ve Özellikleri'!$O$2:$AJ$136,xHesaplama!U35,0)/1000*2</f>
        <v>#REF!</v>
      </c>
      <c r="DS35" s="4" t="e">
        <f>(Y35+$DS$23)*VLOOKUP($DS$26,'x Malzemeler ve Özellikleri'!$O$2:$AJ$136,xHesaplama!U35,0)/1000*2</f>
        <v>#REF!</v>
      </c>
      <c r="DT35" s="4" t="e">
        <f>$DT$23*VLOOKUP($DT$26,'x Malzemeler ve Özellikleri'!$O$2:$AJ$136,xHesaplama!U35,0)</f>
        <v>#REF!</v>
      </c>
      <c r="DU35" s="4" t="e">
        <f>(X35+$DU$23)*VLOOKUP($DU$26,'x Malzemeler ve Özellikleri'!$O$2:$AJ$136,xHesaplama!U35,0)/1000</f>
        <v>#REF!</v>
      </c>
      <c r="DV35" s="4" t="e">
        <f>(2*X35-112-108)*VLOOKUP($DV$26,'x Malzemeler ve Özellikleri'!$O$2:$AJ$136,xHesaplama!U35,0)/1000</f>
        <v>#REF!</v>
      </c>
      <c r="DW35" s="4" t="e">
        <f>$DW$23*VLOOKUP($DW$26,'x Malzemeler ve Özellikleri'!$O$2:$AJ$136,xHesaplama!U35,0)</f>
        <v>#REF!</v>
      </c>
      <c r="DX35" s="4" t="e">
        <f>$DX$23*VLOOKUP($DX$26,'x Malzemeler ve Özellikleri'!$O$2:$AJ$136,xHesaplama!U35,0)</f>
        <v>#REF!</v>
      </c>
      <c r="DY35" s="4" t="e">
        <f>$DY$23*VLOOKUP($DY$26,'x Malzemeler ve Özellikleri'!$O$2:$AJ$136,xHesaplama!U35,0)</f>
        <v>#REF!</v>
      </c>
      <c r="DZ35" s="4" t="e">
        <f>$DZ$23*VLOOKUP($DZ$26,'x Malzemeler ve Özellikleri'!$O$2:$AJ$136,xHesaplama!U35,0)</f>
        <v>#REF!</v>
      </c>
      <c r="EA35" s="4" t="e">
        <f>(X35+$EA$23)*VLOOKUP($EA$26,'x Malzemeler ve Özellikleri'!$O$2:$AJ$136,xHesaplama!U35,0)/1000</f>
        <v>#REF!</v>
      </c>
      <c r="EB35" s="4" t="e">
        <f>(X35+$EB$23)*VLOOKUP($EB$26,'x Malzemeler ve Özellikleri'!$O$2:$AJ$136,xHesaplama!U35,0)/1000</f>
        <v>#REF!</v>
      </c>
      <c r="EC35" s="4" t="e">
        <f>$EC$23*VLOOKUP($EC$26,'x Malzemeler ve Özellikleri'!$O$2:$AJ$136,xHesaplama!U35,0)</f>
        <v>#REF!</v>
      </c>
      <c r="ED35" s="4" t="e">
        <f>(Y35+$ED$23)*VLOOKUP($ED$26,'x Malzemeler ve Özellikleri'!$O$2:$AJ$136,xHesaplama!U35,0)/1000*2</f>
        <v>#REF!</v>
      </c>
      <c r="EE35" s="4" t="e">
        <f>(Y35+$EE$23)*VLOOKUP($EE$26,'x Malzemeler ve Özellikleri'!$O$2:$AJ$136,xHesaplama!U35,0)/1000*2</f>
        <v>#REF!</v>
      </c>
      <c r="EF35" s="4" t="e">
        <f>(Y35+$EF$23)*VLOOKUP($EF$26,'x Malzemeler ve Özellikleri'!$O$2:$AJ$136,xHesaplama!U35,0)/1000*2</f>
        <v>#REF!</v>
      </c>
      <c r="EG35" s="4" t="e">
        <f>$EG$23*VLOOKUP($EG$26,'x Malzemeler ve Özellikleri'!$O$2:$AJ$136,xHesaplama!U35,0)</f>
        <v>#REF!</v>
      </c>
      <c r="EH35" s="4" t="e">
        <f>$EH$23*VLOOKUP($EH$26,'x Malzemeler ve Özellikleri'!$O$2:$AJ$136,xHesaplama!U35,0)</f>
        <v>#REF!</v>
      </c>
      <c r="EI35" s="4" t="e">
        <f>$EI$23*VLOOKUP($EI$26,'x Malzemeler ve Özellikleri'!$O$2:$AJ$136,xHesaplama!U35,0)</f>
        <v>#REF!</v>
      </c>
      <c r="EJ35" s="4" t="e">
        <f>$EJ$23*VLOOKUP($EJ$26,'x Malzemeler ve Özellikleri'!$O$2:$AJ$136,xHesaplama!U35,0)</f>
        <v>#REF!</v>
      </c>
      <c r="EK35" s="4" t="e">
        <f>$EK$23*VLOOKUP($EK$26,'x Malzemeler ve Özellikleri'!$O$2:$AJ$136,xHesaplama!U35,0)</f>
        <v>#REF!</v>
      </c>
      <c r="EL35" s="4" t="e">
        <f>$EL$23*VLOOKUP($EL$26,'x Malzemeler ve Özellikleri'!$O$2:$AJ$136,xHesaplama!U35,0)</f>
        <v>#REF!</v>
      </c>
      <c r="EM35" s="4" t="e">
        <f>(X35+$EM$23)*VLOOKUP($EM$26,'x Malzemeler ve Özellikleri'!$O$2:$AJ$136,xHesaplama!U35,0)/1000</f>
        <v>#REF!</v>
      </c>
      <c r="EN35" s="4" t="e">
        <f>(X35+$EN$23)*VLOOKUP($EN$26,'x Malzemeler ve Özellikleri'!$O$2:$AJ$136,xHesaplama!U35,0)/1000</f>
        <v>#REF!</v>
      </c>
      <c r="EO35" s="4" t="e">
        <f>(X35+$EO$23)*VLOOKUP($EO$26,'x Malzemeler ve Özellikleri'!$O$2:$AJ$136,xHesaplama!U35,0)/1000</f>
        <v>#REF!</v>
      </c>
      <c r="EP35" s="4" t="e">
        <f>(X35+$EP$23)*VLOOKUP($EP$26,'x Malzemeler ve Özellikleri'!$O$2:$AJ$136,xHesaplama!U35,0)/1000</f>
        <v>#REF!</v>
      </c>
      <c r="EQ35" s="4" t="e">
        <f>(X35+$EQ$23)*VLOOKUP($EQ$26,'x Malzemeler ve Özellikleri'!$O$2:$AJ$136,xHesaplama!U35,0)/1000</f>
        <v>#REF!</v>
      </c>
      <c r="ER35" s="4" t="e">
        <f>$ER$23*VLOOKUP($ER$26,'x Malzemeler ve Özellikleri'!$O$2:$AJ$136,xHesaplama!U35,0)</f>
        <v>#REF!</v>
      </c>
      <c r="ES35" s="4" t="e">
        <f>(X35+$ES$23)*VLOOKUP($ES$26,'x Malzemeler ve Özellikleri'!$O$2:$AJ$136,xHesaplama!U35,0)/1000</f>
        <v>#REF!</v>
      </c>
      <c r="ET35" s="4" t="e">
        <f>(2*X35-112-108)*VLOOKUP($ET$26,'x Malzemeler ve Özellikleri'!$O$2:$AJ$136,xHesaplama!U35,0)/1000</f>
        <v>#REF!</v>
      </c>
      <c r="EU35" s="4" t="e">
        <f>$EU$23*VLOOKUP($EU$26,'x Malzemeler ve Özellikleri'!$O$2:$AJ$136,xHesaplama!U35,0)</f>
        <v>#REF!</v>
      </c>
      <c r="EV35" s="4" t="e">
        <f>$EV$23*VLOOKUP($EV$26,'x Malzemeler ve Özellikleri'!$O$2:$AJ$136,xHesaplama!U35,0)</f>
        <v>#REF!</v>
      </c>
      <c r="EW35" s="4" t="e">
        <f>$EW$23*VLOOKUP($EW$26,'x Malzemeler ve Özellikleri'!$O$2:$AJ$136,xHesaplama!U35,0)</f>
        <v>#REF!</v>
      </c>
      <c r="EX35" s="4" t="e">
        <f>$EX$23*VLOOKUP($EX$26,'x Malzemeler ve Özellikleri'!$O$2:$AJ$136,xHesaplama!U35,0)</f>
        <v>#REF!</v>
      </c>
      <c r="EY35" s="4" t="e">
        <f>(X35+$EY$23)*VLOOKUP($EY$26,'x Malzemeler ve Özellikleri'!$O$2:$AJ$136,xHesaplama!U35,0)/1000</f>
        <v>#REF!</v>
      </c>
      <c r="EZ35" s="4" t="e">
        <f>(X35+$EZ$23)*VLOOKUP($EZ$26,'x Malzemeler ve Özellikleri'!$O$2:$AJ$136,xHesaplama!U35,0)/1000</f>
        <v>#REF!</v>
      </c>
      <c r="FA35" s="4" t="e">
        <f>$FA$23*VLOOKUP($FA$26,'x Malzemeler ve Özellikleri'!$O$2:$AJ$136,xHesaplama!U35,0)</f>
        <v>#REF!</v>
      </c>
      <c r="FB35" s="4" t="e">
        <f>$FB$23*VLOOKUP($FB$26,'x Malzemeler ve Özellikleri'!$O$2:$AJ$136,xHesaplama!U35,0)</f>
        <v>#REF!</v>
      </c>
      <c r="FC35" s="4" t="e">
        <f>$FC$23*VLOOKUP($FC$26,'x Malzemeler ve Özellikleri'!$O$2:$AJ$136,xHesaplama!U35,0)</f>
        <v>#REF!</v>
      </c>
      <c r="FD35" s="4" t="e">
        <f>$FD$23*VLOOKUP($FD$26,'x Malzemeler ve Özellikleri'!$O$2:$AJ$136,xHesaplama!U35,0)</f>
        <v>#REF!</v>
      </c>
      <c r="FE35" s="4" t="e">
        <f>$FE$23*VLOOKUP($FE$26,'x Malzemeler ve Özellikleri'!$O$2:$AJ$136,xHesaplama!U35,0)</f>
        <v>#REF!</v>
      </c>
      <c r="FF35" s="4" t="e">
        <f>$FF$23*VLOOKUP($FF$26,'x Malzemeler ve Özellikleri'!$O$2:$AJ$136,xHesaplama!U35,0)</f>
        <v>#REF!</v>
      </c>
      <c r="FG35" s="4" t="e">
        <f>$FG$23*VLOOKUP($FG$26,'x Malzemeler ve Özellikleri'!$O$2:$AJ$136,xHesaplama!U35,0)</f>
        <v>#REF!</v>
      </c>
      <c r="FH35" s="4" t="e">
        <f>$FH$23*VLOOKUP($FH$26,'x Malzemeler ve Özellikleri'!$O$2:$AJ$136,xHesaplama!U35,0)</f>
        <v>#REF!</v>
      </c>
    </row>
    <row r="36" spans="1:168">
      <c r="A36" s="4">
        <f>'1PROJE'!B16</f>
        <v>10</v>
      </c>
      <c r="B36" s="4">
        <f>'1PROJE'!C16</f>
        <v>0</v>
      </c>
      <c r="C36" s="4">
        <f>'1PROJE'!D16</f>
        <v>0</v>
      </c>
      <c r="D36" s="4">
        <f>'1PROJE'!E16</f>
        <v>0</v>
      </c>
      <c r="E36" s="4">
        <f>'1PROJE'!F16</f>
        <v>0</v>
      </c>
      <c r="F36" s="4">
        <f>'1PROJE'!G16</f>
        <v>0</v>
      </c>
      <c r="G36" s="4">
        <f>'1PROJE'!H16</f>
        <v>0</v>
      </c>
      <c r="H36" s="4">
        <f>'1PROJE'!I16</f>
        <v>0</v>
      </c>
      <c r="I36" s="4">
        <f>'1PROJE'!K16</f>
        <v>0</v>
      </c>
      <c r="J36" s="4">
        <f>'1PROJE'!L16</f>
        <v>0</v>
      </c>
      <c r="K36" s="4">
        <f>'1PROJE'!M16</f>
        <v>0</v>
      </c>
      <c r="L36" s="4">
        <f>'1PROJE'!N16</f>
        <v>0</v>
      </c>
      <c r="M36" s="4">
        <f>'1PROJE'!O16</f>
        <v>0</v>
      </c>
      <c r="N36" s="4">
        <f t="shared" si="3"/>
        <v>4</v>
      </c>
      <c r="O36" s="4">
        <f>'1PROJE'!P16</f>
        <v>0</v>
      </c>
      <c r="P36" s="4">
        <f>'1PROJE'!R16</f>
        <v>0</v>
      </c>
      <c r="Q36" s="4">
        <f>'1PROJE'!S16</f>
        <v>0</v>
      </c>
      <c r="R36" s="4">
        <f>'1PROJE'!T16</f>
        <v>0</v>
      </c>
      <c r="S36" s="4"/>
      <c r="U36" s="4" t="e">
        <f t="shared" si="1"/>
        <v>#N/A</v>
      </c>
      <c r="V36" s="4" t="e">
        <f>VLOOKUP(B36,'x Açılır Listeler'!$A$2:$B$15,2,0)</f>
        <v>#N/A</v>
      </c>
      <c r="W36" s="4" t="e">
        <f>VLOOKUP(B36,'x Açılır Listeler'!$A$2:$C$15,3,0)*2</f>
        <v>#N/A</v>
      </c>
      <c r="X36" s="4">
        <f t="shared" si="4"/>
        <v>0</v>
      </c>
      <c r="Y36" s="4">
        <f t="shared" si="5"/>
        <v>0</v>
      </c>
      <c r="Z36" s="4" t="s">
        <v>402</v>
      </c>
      <c r="AA36" s="4">
        <f t="shared" si="2"/>
        <v>25</v>
      </c>
      <c r="AB36" s="38" t="e">
        <f>VLOOKUP(J36,'x Malzemeler ve Özellikleri'!$N$147:$R$167,5,0)</f>
        <v>#N/A</v>
      </c>
      <c r="AC36" s="46" t="e">
        <f>IF('1PROJE'!J16="",VLOOKUP(H36,'x Malzemeler ve Özellikleri'!$N$137:$R$146,5,0),'1PROJE'!J16)</f>
        <v>#N/A</v>
      </c>
      <c r="AD36" s="52">
        <f t="shared" si="6"/>
        <v>-2.8511999999999999E-2</v>
      </c>
      <c r="AE36" s="46" t="e">
        <f t="shared" si="7"/>
        <v>#N/A</v>
      </c>
      <c r="AF36" s="46">
        <f>IF(O36="VAR",IF('1PROJE'!Q16="",$AI$10,'1PROJE'!Q16),0)</f>
        <v>0</v>
      </c>
      <c r="AG36" s="4" t="e">
        <f>IF('1PROJE'!S16="",VLOOKUP(xHesaplama!P36,'x Malzemeler ve Özellikleri'!$AS$2:$AT$11,2,0),'1PROJE'!S16/'1PROJE'!$P$3)</f>
        <v>#N/A</v>
      </c>
      <c r="AH36" s="4" t="e">
        <f>(X36+$AH$23)*VLOOKUP($AH$26,'x Malzemeler ve Özellikleri'!$O$2:$AJ$136,xHesaplama!U36,0)/1000</f>
        <v>#REF!</v>
      </c>
      <c r="AI36" s="4" t="e">
        <f>(X36+$AI$23)*VLOOKUP($AI$26,'x Malzemeler ve Özellikleri'!$O$2:$AJ$136,xHesaplama!U36,0)/1000</f>
        <v>#REF!</v>
      </c>
      <c r="AJ36" s="4" t="e">
        <f>(X36+$AJ$23)*VLOOKUP($AJ$26,'x Malzemeler ve Özellikleri'!$O$2:$AJ$136,xHesaplama!U36,0)/1000</f>
        <v>#REF!</v>
      </c>
      <c r="AK36" s="4" t="e">
        <f>(X36+$AK$23)*VLOOKUP($AK$26,'x Malzemeler ve Özellikleri'!$O$2:$AJ$136,xHesaplama!U36,0)/1000</f>
        <v>#REF!</v>
      </c>
      <c r="AL36" s="4" t="e">
        <f>(Y36+$AL$23)*VLOOKUP($AL$26,'x Malzemeler ve Özellikleri'!$O$2:$AJ$136,xHesaplama!U36,0)/1000*2</f>
        <v>#REF!</v>
      </c>
      <c r="AM36" s="4" t="e">
        <f>IF(AND(X36&lt;4500,Y36&lt;4500,X36*Y36/1000000&lt;12),(X36+$AM$23)*VLOOKUP($AM$26,'x Malzemeler ve Özellikleri'!$O$2:$AJ$136,xHesaplama!U36,0)/1000,0)</f>
        <v>#REF!</v>
      </c>
      <c r="AN36" s="4">
        <f>IF(OR(X36&gt;=4500,Y36&gt;=4500,X36*Y36/1000000&gt;=12),(X36+$AN$23)*VLOOKUP($AN$26,'x Malzemeler ve Özellikleri'!$O$2:$AJ$136,xHesaplama!U36,0)/1000,0)</f>
        <v>0</v>
      </c>
      <c r="AO36" s="4" t="e">
        <f>(Y36+$AO$23)*VLOOKUP($AO$26,'x Malzemeler ve Özellikleri'!$O$2:$AJ$136,xHesaplama!U36,0)/1000*2</f>
        <v>#REF!</v>
      </c>
      <c r="AP36" s="4" t="e">
        <f>$AP$23*VLOOKUP($AP$26,'x Malzemeler ve Özellikleri'!$O$2:$AJ$136,xHesaplama!U36,0)</f>
        <v>#REF!</v>
      </c>
      <c r="AQ36" s="4" t="e">
        <f>$AQ$23*VLOOKUP($AQ$26,'x Malzemeler ve Özellikleri'!$O$2:$AJ$136,xHesaplama!U36,0)</f>
        <v>#REF!</v>
      </c>
      <c r="AR36" s="4" t="e">
        <f>$AR$23*VLOOKUP($AR$26,'x Malzemeler ve Özellikleri'!$O$2:$AJ$136,xHesaplama!U36,0)</f>
        <v>#REF!</v>
      </c>
      <c r="AS36" s="4" t="e">
        <f>$AS$23*VLOOKUP($AS$26,'x Malzemeler ve Özellikleri'!$O$2:$AJ$136,xHesaplama!U36,0)</f>
        <v>#REF!</v>
      </c>
      <c r="AT36" s="4" t="e">
        <f>$AT$23*VLOOKUP($AT$26,'x Malzemeler ve Özellikleri'!$O$2:$AJ$136,xHesaplama!U36,0)</f>
        <v>#REF!</v>
      </c>
      <c r="AU36" s="4" t="e">
        <f>$AU$23*VLOOKUP($AU$26,'x Malzemeler ve Özellikleri'!$O$2:$AJ$136,xHesaplama!U36,0)</f>
        <v>#REF!</v>
      </c>
      <c r="AV36" s="4" t="e">
        <f>$AV$23*VLOOKUP($AV$26,'x Malzemeler ve Özellikleri'!$O$2:$AJ$136,xHesaplama!U36,0)</f>
        <v>#REF!</v>
      </c>
      <c r="AW36" s="4" t="e">
        <f>(Y36+$AW$23)*VLOOKUP($AW$26,'x Malzemeler ve Özellikleri'!$O$2:$AJ$136,xHesaplama!U36,0)/1000*2</f>
        <v>#REF!</v>
      </c>
      <c r="AX36" s="4" t="e">
        <f>$AX$23*VLOOKUP($AX$26,'x Malzemeler ve Özellikleri'!$O$2:$AJ$136,xHesaplama!U36,0)</f>
        <v>#REF!</v>
      </c>
      <c r="AY36" s="4" t="e">
        <f>$AY$23*VLOOKUP($AY$26,'x Malzemeler ve Özellikleri'!$O$2:$AJ$136,xHesaplama!U36,0)</f>
        <v>#REF!</v>
      </c>
      <c r="AZ36" s="23" t="e">
        <f>ROUNDUP(Y36/300,0)*4*VLOOKUP($AZ$26,'x Malzemeler ve Özellikleri'!$O$2:$AJ$136,xHesaplama!U36,0)</f>
        <v>#REF!</v>
      </c>
      <c r="BA36" s="4" t="e">
        <f>(2*X36-155-183)*VLOOKUP($BA$26,'x Malzemeler ve Özellikleri'!$O$2:$AJ$136,xHesaplama!U36,0)/1000</f>
        <v>#REF!</v>
      </c>
      <c r="BB36" s="4" t="e">
        <f>$BB$23*VLOOKUP($BB$26,'x Malzemeler ve Özellikleri'!$O$2:$AJ$136,xHesaplama!U36,0)</f>
        <v>#REF!</v>
      </c>
      <c r="BC36" s="4" t="e">
        <f>$BC$23*VLOOKUP($BC$26,'x Malzemeler ve Özellikleri'!$O$2:$AJ$136,xHesaplama!U36,0)</f>
        <v>#REF!</v>
      </c>
      <c r="BD36" s="4" t="e">
        <f>$BD$23*VLOOKUP($BD$26,'x Malzemeler ve Özellikleri'!$O$2:$AJ$136,xHesaplama!U36,0)</f>
        <v>#REF!</v>
      </c>
      <c r="BE36" s="4" t="e">
        <f>$BE$23*VLOOKUP($BE$26,'x Malzemeler ve Özellikleri'!$O$2:$AJ$136,xHesaplama!U36,0)</f>
        <v>#REF!</v>
      </c>
      <c r="BF36" s="4" t="e">
        <f>$BF$23*VLOOKUP($BF$26,'x Malzemeler ve Özellikleri'!$O$2:$AJ$136,xHesaplama!U36,0)</f>
        <v>#REF!</v>
      </c>
      <c r="BG36" s="4" t="e">
        <f>$BG$23*VLOOKUP($BG$26,'x Malzemeler ve Özellikleri'!$O$2:$AJ$136,xHesaplama!U36,0)</f>
        <v>#REF!</v>
      </c>
      <c r="BH36" s="4" t="e">
        <f>$BH$23*VLOOKUP($BH$26,'x Malzemeler ve Özellikleri'!$O$2:$AJ$136,xHesaplama!U36,0)*N36</f>
        <v>#REF!</v>
      </c>
      <c r="BI36" s="4" t="e">
        <f>$BI$23*VLOOKUP($BI$26,'x Malzemeler ve Özellikleri'!$O$2:$AJ$136,xHesaplama!U36,0)</f>
        <v>#REF!</v>
      </c>
      <c r="BJ36" s="4" t="e">
        <f>$BJ$23*VLOOKUP($BJ$26,'x Malzemeler ve Özellikleri'!$O$2:$AJ$136,xHesaplama!U36,0)</f>
        <v>#REF!</v>
      </c>
      <c r="BK36" s="4" t="e">
        <f>$BK$23*VLOOKUP($BK$26,'x Malzemeler ve Özellikleri'!$O$2:$AJ$136,xHesaplama!U36,0)</f>
        <v>#REF!</v>
      </c>
      <c r="BL36" s="4" t="e">
        <f>$BL$23*VLOOKUP($BL$26,'x Malzemeler ve Özellikleri'!$O$2:$AJ$136,xHesaplama!U36,0)</f>
        <v>#REF!</v>
      </c>
      <c r="BM36" s="4" t="e">
        <f>$BM$23*VLOOKUP($BM$26,'x Malzemeler ve Özellikleri'!$O$2:$AJ$136,xHesaplama!U36,0)</f>
        <v>#REF!</v>
      </c>
      <c r="BN36" s="4" t="e">
        <f>$BN$23*VLOOKUP($BN$26,'x Malzemeler ve Özellikleri'!$O$2:$AJ$136,xHesaplama!U36,0)</f>
        <v>#REF!</v>
      </c>
      <c r="BO36" s="4" t="e">
        <f>(2*(2*X36+Y36*2)*VLOOKUP($BO$26,'x Malzemeler ve Özellikleri'!$O$2:$AJ$136,xHesaplama!U36,0)/1000)</f>
        <v>#REF!</v>
      </c>
      <c r="BP36" s="4" t="e">
        <f>(X36+$BP$23)*VLOOKUP($BP$26,'x Malzemeler ve Özellikleri'!$O$2:$AJ$136,xHesaplama!U36,0)/1000</f>
        <v>#REF!</v>
      </c>
      <c r="BQ36" s="4" t="e">
        <f>(X36+$BQ$23)*VLOOKUP($BQ$26,'x Malzemeler ve Özellikleri'!$O$2:$AJ$136,xHesaplama!U36,0)/1000</f>
        <v>#REF!</v>
      </c>
      <c r="BR36" s="4" t="e">
        <f>(X36+$BR$23)*VLOOKUP($BR$26,'x Malzemeler ve Özellikleri'!$O$2:$AJ$136,xHesaplama!U36,0)/1000</f>
        <v>#REF!</v>
      </c>
      <c r="BS36" s="4" t="e">
        <f>(X36+$BS$23)*VLOOKUP($BS$26,'x Malzemeler ve Özellikleri'!$O$2:$AJ$136,xHesaplama!U36,0)/1000</f>
        <v>#REF!</v>
      </c>
      <c r="BT36" s="4" t="e">
        <f>$BT$23*VLOOKUP($BT$26,'x Malzemeler ve Özellikleri'!$O$2:$AJ$136,xHesaplama!U36,0)</f>
        <v>#REF!</v>
      </c>
      <c r="BU36" s="4" t="e">
        <f>(Y36+$BU$23)*VLOOKUP($BU$26,'x Malzemeler ve Özellikleri'!$O$2:$AJ$136,xHesaplama!U36,0)/1000*2</f>
        <v>#REF!</v>
      </c>
      <c r="BV36" s="4" t="e">
        <f>(X36+$BV$23)*VLOOKUP($BV$26,'x Malzemeler ve Özellikleri'!$O$2:$AJ$136,xHesaplama!U36,0)/1000</f>
        <v>#REF!</v>
      </c>
      <c r="BW36" s="4" t="e">
        <f>$BW$23*VLOOKUP($BW$26,'x Malzemeler ve Özellikleri'!$O$2:$AJ$136,xHesaplama!U36,0)</f>
        <v>#REF!</v>
      </c>
      <c r="BX36" s="23" t="e">
        <f>ROUNDUP(Y36/300,0)*4*VLOOKUP($BX$26,'x Malzemeler ve Özellikleri'!$O$2:$AJ$136,xHesaplama!U36,0)</f>
        <v>#REF!</v>
      </c>
      <c r="BY36" s="4" t="e">
        <f>$BY$23*VLOOKUP($BY$26,'x Malzemeler ve Özellikleri'!$O$2:$AJ$136,xHesaplama!U36,0)</f>
        <v>#REF!</v>
      </c>
      <c r="BZ36" s="4" t="e">
        <f>$BZ$23*VLOOKUP($BZ$26,'x Malzemeler ve Özellikleri'!$O$2:$AJ$136,xHesaplama!U36,0)</f>
        <v>#REF!</v>
      </c>
      <c r="CA36" s="4" t="e">
        <f>(X36+$CA$23)*VLOOKUP($CA$26,'x Malzemeler ve Özellikleri'!$O$2:$AJ$136,xHesaplama!U36,0)/1000</f>
        <v>#REF!</v>
      </c>
      <c r="CB36" s="4" t="e">
        <f>(X36+$CB$23)*VLOOKUP($CB$26,'x Malzemeler ve Özellikleri'!$O$2:$AJ$136,xHesaplama!U36,0)/1000</f>
        <v>#REF!</v>
      </c>
      <c r="CC36" s="4" t="e">
        <f>$CC$23*VLOOKUP($CC$26,'x Malzemeler ve Özellikleri'!$O$2:$AJ$136,xHesaplama!U36,0)</f>
        <v>#REF!</v>
      </c>
      <c r="CD36" s="4" t="e">
        <f>(X36+$CD$23)*VLOOKUP($CD$26,'x Malzemeler ve Özellikleri'!$O$2:$AJ$136,xHesaplama!U36,0)/1000</f>
        <v>#REF!</v>
      </c>
      <c r="CE36" s="4" t="e">
        <f>(2*X36-120-122)*VLOOKUP($CE$26,'x Malzemeler ve Özellikleri'!$O$2:$AJ$136,xHesaplama!U36,0)/1000</f>
        <v>#REF!</v>
      </c>
      <c r="CF36" s="4" t="e">
        <f>(Y36+$CF$23)*VLOOKUP($CF$26,'x Malzemeler ve Özellikleri'!$O$2:$AJ$136,xHesaplama!U36,0)/1000*2</f>
        <v>#REF!</v>
      </c>
      <c r="CG36" s="4" t="e">
        <f>$CG$23*VLOOKUP($CG$26,'x Malzemeler ve Özellikleri'!$O$2:$AJ$136,xHesaplama!U36,0)</f>
        <v>#REF!</v>
      </c>
      <c r="CH36" s="4" t="e">
        <f>(Y36+$CH$23)*VLOOKUP($CH$26,'x Malzemeler ve Özellikleri'!$O$2:$AJ$136,xHesaplama!U36,0)/1000*2</f>
        <v>#REF!</v>
      </c>
      <c r="CI36" s="4" t="e">
        <f>(Y36+$CI$23)*VLOOKUP($CI$26,'x Malzemeler ve Özellikleri'!$O$2:$AJ$136,xHesaplama!U36,0)/1000*2</f>
        <v>#REF!</v>
      </c>
      <c r="CJ36" s="4" t="e">
        <f>$CJ$23*VLOOKUP($CJ$26,'x Malzemeler ve Özellikleri'!$O$2:$AJ$136,xHesaplama!U36,0)</f>
        <v>#REF!</v>
      </c>
      <c r="CK36" s="4" t="e">
        <f>$CK$23*VLOOKUP($CK$26,'x Malzemeler ve Özellikleri'!$O$2:$AJ$136,xHesaplama!U36,0)</f>
        <v>#REF!</v>
      </c>
      <c r="CL36" s="4" t="e">
        <f>$CL$23*VLOOKUP($CL$26,'x Malzemeler ve Özellikleri'!$O$2:$AJ$136,xHesaplama!U36,0)</f>
        <v>#REF!</v>
      </c>
      <c r="CM36" s="4" t="e">
        <f>(X36+$CM$23)*VLOOKUP($CM$26,'x Malzemeler ve Özellikleri'!$O$2:$AJ$136,xHesaplama!U36,0)/1000</f>
        <v>#REF!</v>
      </c>
      <c r="CN36" s="4" t="e">
        <f>(X36+$CN$23)*VLOOKUP($CN$26,'x Malzemeler ve Özellikleri'!$O$2:$AJ$136,xHesaplama!U36,0)/1000</f>
        <v>#REF!</v>
      </c>
      <c r="CO36" s="4" t="e">
        <f>(X36+$CO$23)*VLOOKUP($CO$26,'x Malzemeler ve Özellikleri'!$O$2:$AJ$136,xHesaplama!U36,0)/1000</f>
        <v>#REF!</v>
      </c>
      <c r="CP36" s="4" t="e">
        <f>(X36+$CP$23)*VLOOKUP($CP$26,'x Malzemeler ve Özellikleri'!$O$2:$AJ$136,xHesaplama!U36,0)/1000</f>
        <v>#REF!</v>
      </c>
      <c r="CQ36" s="23" t="e">
        <f>ROUNDUP(Y36/300,0)*4*VLOOKUP($CQ$26,'x Malzemeler ve Özellikleri'!$O$2:$AJ$136,xHesaplama!U36,0)</f>
        <v>#REF!</v>
      </c>
      <c r="CR36" s="4" t="e">
        <f>(X36+$CR$23)*VLOOKUP($CR$26,'x Malzemeler ve Özellikleri'!$O$2:$AJ$136,xHesaplama!U36,0)/1000</f>
        <v>#REF!</v>
      </c>
      <c r="CS36" s="4" t="e">
        <f>$CS$23*VLOOKUP($CS$26,'x Malzemeler ve Özellikleri'!$O$2:$AJ$136,xHesaplama!U36,0)</f>
        <v>#REF!</v>
      </c>
      <c r="CT36" s="4" t="e">
        <f>$CT$23*VLOOKUP($CT$26,'x Malzemeler ve Özellikleri'!$O$2:$AJ$136,xHesaplama!U36,0)</f>
        <v>#REF!</v>
      </c>
      <c r="CU36" s="4" t="e">
        <f>(Y36+$CU$23)*VLOOKUP($CU$26,'x Malzemeler ve Özellikleri'!$O$2:$AJ$136,xHesaplama!U36,0)/1000*2</f>
        <v>#REF!</v>
      </c>
      <c r="CV36" s="4" t="e">
        <f>(Y36+$CV$23)*VLOOKUP($CV$26,'x Malzemeler ve Özellikleri'!$O$2:$AJ$136,xHesaplama!U36,0)/1000*2</f>
        <v>#REF!</v>
      </c>
      <c r="CW36" s="4" t="e">
        <f>$CW$23*VLOOKUP($CW$26,'x Malzemeler ve Özellikleri'!$O$2:$AJ$136,xHesaplama!U36,0)</f>
        <v>#REF!</v>
      </c>
      <c r="CX36" s="4" t="e">
        <f>(X36+$CX$23)*VLOOKUP($CX$26,'x Malzemeler ve Özellikleri'!$O$2:$AJ$136,xHesaplama!U36,0)/1000</f>
        <v>#REF!</v>
      </c>
      <c r="CY36" s="4" t="e">
        <f>(2*X36-112-108)*VLOOKUP($CY$26,'x Malzemeler ve Özellikleri'!$O$2:$AJ$136,xHesaplama!U36,0)/1000</f>
        <v>#REF!</v>
      </c>
      <c r="CZ36" s="4" t="e">
        <f>$CZ$23*VLOOKUP($CZ$26,'x Malzemeler ve Özellikleri'!$O$2:$AJ$136,xHesaplama!U36,0)</f>
        <v>#REF!</v>
      </c>
      <c r="DA36" s="4" t="e">
        <f>$DA$23*VLOOKUP($DA$26,'x Malzemeler ve Özellikleri'!$O$2:$AJ$136,xHesaplama!U36,0)</f>
        <v>#REF!</v>
      </c>
      <c r="DB36" s="4" t="e">
        <f>$DB$23*VLOOKUP($DB$26,'x Malzemeler ve Özellikleri'!$O$2:$AJ$136,xHesaplama!U36,0)</f>
        <v>#REF!</v>
      </c>
      <c r="DC36" s="4" t="e">
        <f>$DC$23*VLOOKUP($DC$26,'x Malzemeler ve Özellikleri'!$O$2:$AJ$136,xHesaplama!U36,0)</f>
        <v>#REF!</v>
      </c>
      <c r="DD36" s="4" t="e">
        <f>(X36+$DD$23)*VLOOKUP($DD$26,'x Malzemeler ve Özellikleri'!$O$2:$AJ$136,xHesaplama!U36,0)/1000</f>
        <v>#REF!</v>
      </c>
      <c r="DE36" s="4" t="e">
        <f>(X36+$DE$23)*VLOOKUP($DE$26,'x Malzemeler ve Özellikleri'!$O$2:$AJ$136,xHesaplama!U36,0)/1000</f>
        <v>#REF!</v>
      </c>
      <c r="DF36" s="4" t="e">
        <f>$DF$23*VLOOKUP($DF$26,'x Malzemeler ve Özellikleri'!$O$2:$AJ$136,xHesaplama!U36,0)</f>
        <v>#REF!</v>
      </c>
      <c r="DG36" s="4" t="e">
        <f>(Y36+$DG$23)*VLOOKUP($DG$26,'x Malzemeler ve Özellikleri'!$O$2:$AJ$136,xHesaplama!U36,0)/1000*2</f>
        <v>#REF!</v>
      </c>
      <c r="DH36" s="4" t="e">
        <f>(Y36+$DH$23)*VLOOKUP($DH$26,'x Malzemeler ve Özellikleri'!$O$2:$AJ$136,xHesaplama!U36,0)/1000*2</f>
        <v>#REF!</v>
      </c>
      <c r="DI36" s="4" t="e">
        <f>(Y36+$DI$23)*VLOOKUP($DI$26,'x Malzemeler ve Özellikleri'!$O$2:$AJ$136,xHesaplama!U36,0)/1000*2</f>
        <v>#REF!</v>
      </c>
      <c r="DJ36" s="4" t="e">
        <f>$DJ$23*VLOOKUP($DJ$26,'x Malzemeler ve Özellikleri'!$O$2:$AJ$136,xHesaplama!U36,0)</f>
        <v>#REF!</v>
      </c>
      <c r="DK36" s="4" t="e">
        <f>$DK$23*VLOOKUP($DK$26,'x Malzemeler ve Özellikleri'!$O$2:$AJ$136,xHesaplama!U36,0)</f>
        <v>#REF!</v>
      </c>
      <c r="DL36" s="4" t="e">
        <f>(X36+$DL$23)*VLOOKUP($DL$26,'x Malzemeler ve Özellikleri'!$O$2:$AJ$136,xHesaplama!U36,0)/1000</f>
        <v>#REF!</v>
      </c>
      <c r="DM36" s="4" t="e">
        <f>(X36+$DM$23)*VLOOKUP($DM$26,'x Malzemeler ve Özellikleri'!$O$2:$AJ$136,xHesaplama!U36,0)/1000</f>
        <v>#REF!</v>
      </c>
      <c r="DN36" s="4" t="e">
        <f>(X36+$DN$23)*VLOOKUP($DN$26,'x Malzemeler ve Özellikleri'!$O$2:$AJ$136,xHesaplama!U36,0)/1000</f>
        <v>#REF!</v>
      </c>
      <c r="DO36" s="4" t="e">
        <f>(X36+$DO$23)*VLOOKUP($DO$26,'x Malzemeler ve Özellikleri'!$O$2:$AJ$136,xHesaplama!U36,0)/1000</f>
        <v>#REF!</v>
      </c>
      <c r="DP36" s="23" t="e">
        <f>ROUNDUP(Y36/300,0)*4*VLOOKUP($DP$26,'x Malzemeler ve Özellikleri'!$O$2:$AJ$136,xHesaplama!U36,0)</f>
        <v>#REF!</v>
      </c>
      <c r="DQ36" s="4" t="e">
        <f>(X36+$DQ$23)*VLOOKUP($DQ$26,'x Malzemeler ve Özellikleri'!$O$2:$AJ$136,xHesaplama!U36,0)/1000</f>
        <v>#REF!</v>
      </c>
      <c r="DR36" s="4" t="e">
        <f>(Y36+$DR$23)*VLOOKUP($DR$26,'x Malzemeler ve Özellikleri'!$O$2:$AJ$136,xHesaplama!U36,0)/1000*2</f>
        <v>#REF!</v>
      </c>
      <c r="DS36" s="4" t="e">
        <f>(Y36+$DS$23)*VLOOKUP($DS$26,'x Malzemeler ve Özellikleri'!$O$2:$AJ$136,xHesaplama!U36,0)/1000*2</f>
        <v>#REF!</v>
      </c>
      <c r="DT36" s="4" t="e">
        <f>$DT$23*VLOOKUP($DT$26,'x Malzemeler ve Özellikleri'!$O$2:$AJ$136,xHesaplama!U36,0)</f>
        <v>#REF!</v>
      </c>
      <c r="DU36" s="4" t="e">
        <f>(X36+$DU$23)*VLOOKUP($DU$26,'x Malzemeler ve Özellikleri'!$O$2:$AJ$136,xHesaplama!U36,0)/1000</f>
        <v>#REF!</v>
      </c>
      <c r="DV36" s="4" t="e">
        <f>(2*X36-112-108)*VLOOKUP($DV$26,'x Malzemeler ve Özellikleri'!$O$2:$AJ$136,xHesaplama!U36,0)/1000</f>
        <v>#REF!</v>
      </c>
      <c r="DW36" s="4" t="e">
        <f>$DW$23*VLOOKUP($DW$26,'x Malzemeler ve Özellikleri'!$O$2:$AJ$136,xHesaplama!U36,0)</f>
        <v>#REF!</v>
      </c>
      <c r="DX36" s="4" t="e">
        <f>$DX$23*VLOOKUP($DX$26,'x Malzemeler ve Özellikleri'!$O$2:$AJ$136,xHesaplama!U36,0)</f>
        <v>#REF!</v>
      </c>
      <c r="DY36" s="4" t="e">
        <f>$DY$23*VLOOKUP($DY$26,'x Malzemeler ve Özellikleri'!$O$2:$AJ$136,xHesaplama!U36,0)</f>
        <v>#REF!</v>
      </c>
      <c r="DZ36" s="4" t="e">
        <f>$DZ$23*VLOOKUP($DZ$26,'x Malzemeler ve Özellikleri'!$O$2:$AJ$136,xHesaplama!U36,0)</f>
        <v>#REF!</v>
      </c>
      <c r="EA36" s="4" t="e">
        <f>(X36+$EA$23)*VLOOKUP($EA$26,'x Malzemeler ve Özellikleri'!$O$2:$AJ$136,xHesaplama!U36,0)/1000</f>
        <v>#REF!</v>
      </c>
      <c r="EB36" s="4" t="e">
        <f>(X36+$EB$23)*VLOOKUP($EB$26,'x Malzemeler ve Özellikleri'!$O$2:$AJ$136,xHesaplama!U36,0)/1000</f>
        <v>#REF!</v>
      </c>
      <c r="EC36" s="4" t="e">
        <f>$EC$23*VLOOKUP($EC$26,'x Malzemeler ve Özellikleri'!$O$2:$AJ$136,xHesaplama!U36,0)</f>
        <v>#REF!</v>
      </c>
      <c r="ED36" s="4" t="e">
        <f>(Y36+$ED$23)*VLOOKUP($ED$26,'x Malzemeler ve Özellikleri'!$O$2:$AJ$136,xHesaplama!U36,0)/1000*2</f>
        <v>#REF!</v>
      </c>
      <c r="EE36" s="4" t="e">
        <f>(Y36+$EE$23)*VLOOKUP($EE$26,'x Malzemeler ve Özellikleri'!$O$2:$AJ$136,xHesaplama!U36,0)/1000*2</f>
        <v>#REF!</v>
      </c>
      <c r="EF36" s="4" t="e">
        <f>(Y36+$EF$23)*VLOOKUP($EF$26,'x Malzemeler ve Özellikleri'!$O$2:$AJ$136,xHesaplama!U36,0)/1000*2</f>
        <v>#REF!</v>
      </c>
      <c r="EG36" s="4" t="e">
        <f>$EG$23*VLOOKUP($EG$26,'x Malzemeler ve Özellikleri'!$O$2:$AJ$136,xHesaplama!U36,0)</f>
        <v>#REF!</v>
      </c>
      <c r="EH36" s="4" t="e">
        <f>$EH$23*VLOOKUP($EH$26,'x Malzemeler ve Özellikleri'!$O$2:$AJ$136,xHesaplama!U36,0)</f>
        <v>#REF!</v>
      </c>
      <c r="EI36" s="4" t="e">
        <f>$EI$23*VLOOKUP($EI$26,'x Malzemeler ve Özellikleri'!$O$2:$AJ$136,xHesaplama!U36,0)</f>
        <v>#REF!</v>
      </c>
      <c r="EJ36" s="4" t="e">
        <f>$EJ$23*VLOOKUP($EJ$26,'x Malzemeler ve Özellikleri'!$O$2:$AJ$136,xHesaplama!U36,0)</f>
        <v>#REF!</v>
      </c>
      <c r="EK36" s="4" t="e">
        <f>$EK$23*VLOOKUP($EK$26,'x Malzemeler ve Özellikleri'!$O$2:$AJ$136,xHesaplama!U36,0)</f>
        <v>#REF!</v>
      </c>
      <c r="EL36" s="4" t="e">
        <f>$EL$23*VLOOKUP($EL$26,'x Malzemeler ve Özellikleri'!$O$2:$AJ$136,xHesaplama!U36,0)</f>
        <v>#REF!</v>
      </c>
      <c r="EM36" s="4" t="e">
        <f>(X36+$EM$23)*VLOOKUP($EM$26,'x Malzemeler ve Özellikleri'!$O$2:$AJ$136,xHesaplama!U36,0)/1000</f>
        <v>#REF!</v>
      </c>
      <c r="EN36" s="4" t="e">
        <f>(X36+$EN$23)*VLOOKUP($EN$26,'x Malzemeler ve Özellikleri'!$O$2:$AJ$136,xHesaplama!U36,0)/1000</f>
        <v>#REF!</v>
      </c>
      <c r="EO36" s="4" t="e">
        <f>(X36+$EO$23)*VLOOKUP($EO$26,'x Malzemeler ve Özellikleri'!$O$2:$AJ$136,xHesaplama!U36,0)/1000</f>
        <v>#REF!</v>
      </c>
      <c r="EP36" s="4" t="e">
        <f>(X36+$EP$23)*VLOOKUP($EP$26,'x Malzemeler ve Özellikleri'!$O$2:$AJ$136,xHesaplama!U36,0)/1000</f>
        <v>#REF!</v>
      </c>
      <c r="EQ36" s="4" t="e">
        <f>(X36+$EQ$23)*VLOOKUP($EQ$26,'x Malzemeler ve Özellikleri'!$O$2:$AJ$136,xHesaplama!U36,0)/1000</f>
        <v>#REF!</v>
      </c>
      <c r="ER36" s="4" t="e">
        <f>$ER$23*VLOOKUP($ER$26,'x Malzemeler ve Özellikleri'!$O$2:$AJ$136,xHesaplama!U36,0)</f>
        <v>#REF!</v>
      </c>
      <c r="ES36" s="4" t="e">
        <f>(X36+$ES$23)*VLOOKUP($ES$26,'x Malzemeler ve Özellikleri'!$O$2:$AJ$136,xHesaplama!U36,0)/1000</f>
        <v>#REF!</v>
      </c>
      <c r="ET36" s="4" t="e">
        <f>(2*X36-112-108)*VLOOKUP($ET$26,'x Malzemeler ve Özellikleri'!$O$2:$AJ$136,xHesaplama!U36,0)/1000</f>
        <v>#REF!</v>
      </c>
      <c r="EU36" s="4" t="e">
        <f>$EU$23*VLOOKUP($EU$26,'x Malzemeler ve Özellikleri'!$O$2:$AJ$136,xHesaplama!U36,0)</f>
        <v>#REF!</v>
      </c>
      <c r="EV36" s="4" t="e">
        <f>$EV$23*VLOOKUP($EV$26,'x Malzemeler ve Özellikleri'!$O$2:$AJ$136,xHesaplama!U36,0)</f>
        <v>#REF!</v>
      </c>
      <c r="EW36" s="4" t="e">
        <f>$EW$23*VLOOKUP($EW$26,'x Malzemeler ve Özellikleri'!$O$2:$AJ$136,xHesaplama!U36,0)</f>
        <v>#REF!</v>
      </c>
      <c r="EX36" s="4" t="e">
        <f>$EX$23*VLOOKUP($EX$26,'x Malzemeler ve Özellikleri'!$O$2:$AJ$136,xHesaplama!U36,0)</f>
        <v>#REF!</v>
      </c>
      <c r="EY36" s="4" t="e">
        <f>(X36+$EY$23)*VLOOKUP($EY$26,'x Malzemeler ve Özellikleri'!$O$2:$AJ$136,xHesaplama!U36,0)/1000</f>
        <v>#REF!</v>
      </c>
      <c r="EZ36" s="4" t="e">
        <f>(X36+$EZ$23)*VLOOKUP($EZ$26,'x Malzemeler ve Özellikleri'!$O$2:$AJ$136,xHesaplama!U36,0)/1000</f>
        <v>#REF!</v>
      </c>
      <c r="FA36" s="4" t="e">
        <f>$FA$23*VLOOKUP($FA$26,'x Malzemeler ve Özellikleri'!$O$2:$AJ$136,xHesaplama!U36,0)</f>
        <v>#REF!</v>
      </c>
      <c r="FB36" s="4" t="e">
        <f>$FB$23*VLOOKUP($FB$26,'x Malzemeler ve Özellikleri'!$O$2:$AJ$136,xHesaplama!U36,0)</f>
        <v>#REF!</v>
      </c>
      <c r="FC36" s="4" t="e">
        <f>$FC$23*VLOOKUP($FC$26,'x Malzemeler ve Özellikleri'!$O$2:$AJ$136,xHesaplama!U36,0)</f>
        <v>#REF!</v>
      </c>
      <c r="FD36" s="4" t="e">
        <f>$FD$23*VLOOKUP($FD$26,'x Malzemeler ve Özellikleri'!$O$2:$AJ$136,xHesaplama!U36,0)</f>
        <v>#REF!</v>
      </c>
      <c r="FE36" s="4" t="e">
        <f>$FE$23*VLOOKUP($FE$26,'x Malzemeler ve Özellikleri'!$O$2:$AJ$136,xHesaplama!U36,0)</f>
        <v>#REF!</v>
      </c>
      <c r="FF36" s="4" t="e">
        <f>$FF$23*VLOOKUP($FF$26,'x Malzemeler ve Özellikleri'!$O$2:$AJ$136,xHesaplama!U36,0)</f>
        <v>#REF!</v>
      </c>
      <c r="FG36" s="4" t="e">
        <f>$FG$23*VLOOKUP($FG$26,'x Malzemeler ve Özellikleri'!$O$2:$AJ$136,xHesaplama!U36,0)</f>
        <v>#REF!</v>
      </c>
      <c r="FH36" s="4" t="e">
        <f>$FH$23*VLOOKUP($FH$26,'x Malzemeler ve Özellikleri'!$O$2:$AJ$136,xHesaplama!U36,0)</f>
        <v>#REF!</v>
      </c>
    </row>
    <row r="37" spans="1:168">
      <c r="A37" s="4">
        <f>'1PROJE'!B17</f>
        <v>11</v>
      </c>
      <c r="B37" s="4">
        <f>'1PROJE'!C17</f>
        <v>0</v>
      </c>
      <c r="C37" s="4">
        <f>'1PROJE'!D17</f>
        <v>0</v>
      </c>
      <c r="D37" s="4">
        <f>'1PROJE'!E17</f>
        <v>0</v>
      </c>
      <c r="E37" s="4">
        <f>'1PROJE'!F17</f>
        <v>0</v>
      </c>
      <c r="F37" s="4">
        <f>'1PROJE'!G17</f>
        <v>0</v>
      </c>
      <c r="G37" s="4">
        <f>'1PROJE'!H17</f>
        <v>0</v>
      </c>
      <c r="H37" s="4">
        <f>'1PROJE'!I17</f>
        <v>0</v>
      </c>
      <c r="I37" s="4">
        <f>'1PROJE'!K17</f>
        <v>0</v>
      </c>
      <c r="J37" s="4">
        <f>'1PROJE'!L17</f>
        <v>0</v>
      </c>
      <c r="K37" s="4">
        <f>'1PROJE'!M17</f>
        <v>0</v>
      </c>
      <c r="L37" s="4">
        <f>'1PROJE'!N17</f>
        <v>0</v>
      </c>
      <c r="M37" s="4">
        <f>'1PROJE'!O17</f>
        <v>0</v>
      </c>
      <c r="N37" s="4">
        <f t="shared" si="3"/>
        <v>4</v>
      </c>
      <c r="O37" s="4">
        <f>'1PROJE'!P17</f>
        <v>0</v>
      </c>
      <c r="P37" s="4">
        <f>'1PROJE'!R17</f>
        <v>0</v>
      </c>
      <c r="Q37" s="4">
        <f>'1PROJE'!S17</f>
        <v>0</v>
      </c>
      <c r="R37" s="4">
        <f>'1PROJE'!T17</f>
        <v>0</v>
      </c>
      <c r="S37" s="4"/>
      <c r="U37" s="4" t="e">
        <f t="shared" si="1"/>
        <v>#N/A</v>
      </c>
      <c r="V37" s="4" t="e">
        <f>VLOOKUP(B37,'x Açılır Listeler'!$A$2:$B$15,2,0)</f>
        <v>#N/A</v>
      </c>
      <c r="W37" s="4" t="e">
        <f>VLOOKUP(B37,'x Açılır Listeler'!$A$2:$C$15,3,0)*2</f>
        <v>#N/A</v>
      </c>
      <c r="X37" s="4">
        <f t="shared" si="4"/>
        <v>0</v>
      </c>
      <c r="Y37" s="4">
        <f t="shared" si="5"/>
        <v>0</v>
      </c>
      <c r="Z37" s="4" t="s">
        <v>403</v>
      </c>
      <c r="AA37" s="4">
        <f t="shared" si="2"/>
        <v>25</v>
      </c>
      <c r="AB37" s="38" t="e">
        <f>VLOOKUP(J37,'x Malzemeler ve Özellikleri'!$N$147:$R$167,5,0)</f>
        <v>#N/A</v>
      </c>
      <c r="AC37" s="46" t="e">
        <f>IF('1PROJE'!J17="",VLOOKUP(H37,'x Malzemeler ve Özellikleri'!$N$137:$R$146,5,0),'1PROJE'!J17)</f>
        <v>#N/A</v>
      </c>
      <c r="AD37" s="52">
        <f t="shared" si="6"/>
        <v>-2.8511999999999999E-2</v>
      </c>
      <c r="AE37" s="46" t="e">
        <f t="shared" si="7"/>
        <v>#N/A</v>
      </c>
      <c r="AF37" s="46">
        <f>IF(O37="VAR",IF('1PROJE'!Q17="",$AI$10,'1PROJE'!Q17),0)</f>
        <v>0</v>
      </c>
      <c r="AG37" s="4" t="e">
        <f>IF('1PROJE'!S17="",VLOOKUP(xHesaplama!P37,'x Malzemeler ve Özellikleri'!$AS$2:$AT$11,2,0),'1PROJE'!S17/'1PROJE'!$P$3)</f>
        <v>#N/A</v>
      </c>
      <c r="AH37" s="4" t="e">
        <f>(X37+$AH$23)*VLOOKUP($AH$26,'x Malzemeler ve Özellikleri'!$O$2:$AJ$136,xHesaplama!U37,0)/1000</f>
        <v>#REF!</v>
      </c>
      <c r="AI37" s="4" t="e">
        <f>(X37+$AI$23)*VLOOKUP($AI$26,'x Malzemeler ve Özellikleri'!$O$2:$AJ$136,xHesaplama!U37,0)/1000</f>
        <v>#REF!</v>
      </c>
      <c r="AJ37" s="4" t="e">
        <f>(X37+$AJ$23)*VLOOKUP($AJ$26,'x Malzemeler ve Özellikleri'!$O$2:$AJ$136,xHesaplama!U37,0)/1000</f>
        <v>#REF!</v>
      </c>
      <c r="AK37" s="4" t="e">
        <f>(X37+$AK$23)*VLOOKUP($AK$26,'x Malzemeler ve Özellikleri'!$O$2:$AJ$136,xHesaplama!U37,0)/1000</f>
        <v>#REF!</v>
      </c>
      <c r="AL37" s="4" t="e">
        <f>(Y37+$AL$23)*VLOOKUP($AL$26,'x Malzemeler ve Özellikleri'!$O$2:$AJ$136,xHesaplama!U37,0)/1000*2</f>
        <v>#REF!</v>
      </c>
      <c r="AM37" s="4" t="e">
        <f>IF(AND(X37&lt;4500,Y37&lt;4500,X37*Y37/1000000&lt;12),(X37+$AM$23)*VLOOKUP($AM$26,'x Malzemeler ve Özellikleri'!$O$2:$AJ$136,xHesaplama!U37,0)/1000,0)</f>
        <v>#REF!</v>
      </c>
      <c r="AN37" s="4">
        <f>IF(OR(X37&gt;=4500,Y37&gt;=4500,X37*Y37/1000000&gt;=12),(X37+$AN$23)*VLOOKUP($AN$26,'x Malzemeler ve Özellikleri'!$O$2:$AJ$136,xHesaplama!U37,0)/1000,0)</f>
        <v>0</v>
      </c>
      <c r="AO37" s="4" t="e">
        <f>(Y37+$AO$23)*VLOOKUP($AO$26,'x Malzemeler ve Özellikleri'!$O$2:$AJ$136,xHesaplama!U37,0)/1000*2</f>
        <v>#REF!</v>
      </c>
      <c r="AP37" s="4" t="e">
        <f>$AP$23*VLOOKUP($AP$26,'x Malzemeler ve Özellikleri'!$O$2:$AJ$136,xHesaplama!U37,0)</f>
        <v>#REF!</v>
      </c>
      <c r="AQ37" s="4" t="e">
        <f>$AQ$23*VLOOKUP($AQ$26,'x Malzemeler ve Özellikleri'!$O$2:$AJ$136,xHesaplama!U37,0)</f>
        <v>#REF!</v>
      </c>
      <c r="AR37" s="4" t="e">
        <f>$AR$23*VLOOKUP($AR$26,'x Malzemeler ve Özellikleri'!$O$2:$AJ$136,xHesaplama!U37,0)</f>
        <v>#REF!</v>
      </c>
      <c r="AS37" s="4" t="e">
        <f>$AS$23*VLOOKUP($AS$26,'x Malzemeler ve Özellikleri'!$O$2:$AJ$136,xHesaplama!U37,0)</f>
        <v>#REF!</v>
      </c>
      <c r="AT37" s="4" t="e">
        <f>$AT$23*VLOOKUP($AT$26,'x Malzemeler ve Özellikleri'!$O$2:$AJ$136,xHesaplama!U37,0)</f>
        <v>#REF!</v>
      </c>
      <c r="AU37" s="4" t="e">
        <f>$AU$23*VLOOKUP($AU$26,'x Malzemeler ve Özellikleri'!$O$2:$AJ$136,xHesaplama!U37,0)</f>
        <v>#REF!</v>
      </c>
      <c r="AV37" s="4" t="e">
        <f>$AV$23*VLOOKUP($AV$26,'x Malzemeler ve Özellikleri'!$O$2:$AJ$136,xHesaplama!U37,0)</f>
        <v>#REF!</v>
      </c>
      <c r="AW37" s="4" t="e">
        <f>(Y37+$AW$23)*VLOOKUP($AW$26,'x Malzemeler ve Özellikleri'!$O$2:$AJ$136,xHesaplama!U37,0)/1000*2</f>
        <v>#REF!</v>
      </c>
      <c r="AX37" s="4" t="e">
        <f>$AX$23*VLOOKUP($AX$26,'x Malzemeler ve Özellikleri'!$O$2:$AJ$136,xHesaplama!U37,0)</f>
        <v>#REF!</v>
      </c>
      <c r="AY37" s="4" t="e">
        <f>$AY$23*VLOOKUP($AY$26,'x Malzemeler ve Özellikleri'!$O$2:$AJ$136,xHesaplama!U37,0)</f>
        <v>#REF!</v>
      </c>
      <c r="AZ37" s="23" t="e">
        <f>ROUNDUP(Y37/300,0)*4*VLOOKUP($AZ$26,'x Malzemeler ve Özellikleri'!$O$2:$AJ$136,xHesaplama!U37,0)</f>
        <v>#REF!</v>
      </c>
      <c r="BA37" s="4" t="e">
        <f>(2*X37-155-183)*VLOOKUP($BA$26,'x Malzemeler ve Özellikleri'!$O$2:$AJ$136,xHesaplama!U37,0)/1000</f>
        <v>#REF!</v>
      </c>
      <c r="BB37" s="4" t="e">
        <f>$BB$23*VLOOKUP($BB$26,'x Malzemeler ve Özellikleri'!$O$2:$AJ$136,xHesaplama!U37,0)</f>
        <v>#REF!</v>
      </c>
      <c r="BC37" s="4" t="e">
        <f>$BC$23*VLOOKUP($BC$26,'x Malzemeler ve Özellikleri'!$O$2:$AJ$136,xHesaplama!U37,0)</f>
        <v>#REF!</v>
      </c>
      <c r="BD37" s="4" t="e">
        <f>$BD$23*VLOOKUP($BD$26,'x Malzemeler ve Özellikleri'!$O$2:$AJ$136,xHesaplama!U37,0)</f>
        <v>#REF!</v>
      </c>
      <c r="BE37" s="4" t="e">
        <f>$BE$23*VLOOKUP($BE$26,'x Malzemeler ve Özellikleri'!$O$2:$AJ$136,xHesaplama!U37,0)</f>
        <v>#REF!</v>
      </c>
      <c r="BF37" s="4" t="e">
        <f>$BF$23*VLOOKUP($BF$26,'x Malzemeler ve Özellikleri'!$O$2:$AJ$136,xHesaplama!U37,0)</f>
        <v>#REF!</v>
      </c>
      <c r="BG37" s="4" t="e">
        <f>$BG$23*VLOOKUP($BG$26,'x Malzemeler ve Özellikleri'!$O$2:$AJ$136,xHesaplama!U37,0)</f>
        <v>#REF!</v>
      </c>
      <c r="BH37" s="4" t="e">
        <f>$BH$23*VLOOKUP($BH$26,'x Malzemeler ve Özellikleri'!$O$2:$AJ$136,xHesaplama!U37,0)*N37</f>
        <v>#REF!</v>
      </c>
      <c r="BI37" s="4" t="e">
        <f>$BI$23*VLOOKUP($BI$26,'x Malzemeler ve Özellikleri'!$O$2:$AJ$136,xHesaplama!U37,0)</f>
        <v>#REF!</v>
      </c>
      <c r="BJ37" s="4" t="e">
        <f>$BJ$23*VLOOKUP($BJ$26,'x Malzemeler ve Özellikleri'!$O$2:$AJ$136,xHesaplama!U37,0)</f>
        <v>#REF!</v>
      </c>
      <c r="BK37" s="4" t="e">
        <f>$BK$23*VLOOKUP($BK$26,'x Malzemeler ve Özellikleri'!$O$2:$AJ$136,xHesaplama!U37,0)</f>
        <v>#REF!</v>
      </c>
      <c r="BL37" s="4" t="e">
        <f>$BL$23*VLOOKUP($BL$26,'x Malzemeler ve Özellikleri'!$O$2:$AJ$136,xHesaplama!U37,0)</f>
        <v>#REF!</v>
      </c>
      <c r="BM37" s="4" t="e">
        <f>$BM$23*VLOOKUP($BM$26,'x Malzemeler ve Özellikleri'!$O$2:$AJ$136,xHesaplama!U37,0)</f>
        <v>#REF!</v>
      </c>
      <c r="BN37" s="4" t="e">
        <f>$BN$23*VLOOKUP($BN$26,'x Malzemeler ve Özellikleri'!$O$2:$AJ$136,xHesaplama!U37,0)</f>
        <v>#REF!</v>
      </c>
      <c r="BO37" s="4" t="e">
        <f>(2*(2*X37+Y37*2)*VLOOKUP($BO$26,'x Malzemeler ve Özellikleri'!$O$2:$AJ$136,xHesaplama!U37,0)/1000)</f>
        <v>#REF!</v>
      </c>
      <c r="BP37" s="4" t="e">
        <f>(X37+$BP$23)*VLOOKUP($BP$26,'x Malzemeler ve Özellikleri'!$O$2:$AJ$136,xHesaplama!U37,0)/1000</f>
        <v>#REF!</v>
      </c>
      <c r="BQ37" s="4" t="e">
        <f>(X37+$BQ$23)*VLOOKUP($BQ$26,'x Malzemeler ve Özellikleri'!$O$2:$AJ$136,xHesaplama!U37,0)/1000</f>
        <v>#REF!</v>
      </c>
      <c r="BR37" s="4" t="e">
        <f>(X37+$BR$23)*VLOOKUP($BR$26,'x Malzemeler ve Özellikleri'!$O$2:$AJ$136,xHesaplama!U37,0)/1000</f>
        <v>#REF!</v>
      </c>
      <c r="BS37" s="4" t="e">
        <f>(X37+$BS$23)*VLOOKUP($BS$26,'x Malzemeler ve Özellikleri'!$O$2:$AJ$136,xHesaplama!U37,0)/1000</f>
        <v>#REF!</v>
      </c>
      <c r="BT37" s="4" t="e">
        <f>$BT$23*VLOOKUP($BT$26,'x Malzemeler ve Özellikleri'!$O$2:$AJ$136,xHesaplama!U37,0)</f>
        <v>#REF!</v>
      </c>
      <c r="BU37" s="4" t="e">
        <f>(Y37+$BU$23)*VLOOKUP($BU$26,'x Malzemeler ve Özellikleri'!$O$2:$AJ$136,xHesaplama!U37,0)/1000*2</f>
        <v>#REF!</v>
      </c>
      <c r="BV37" s="4" t="e">
        <f>(X37+$BV$23)*VLOOKUP($BV$26,'x Malzemeler ve Özellikleri'!$O$2:$AJ$136,xHesaplama!U37,0)/1000</f>
        <v>#REF!</v>
      </c>
      <c r="BW37" s="4" t="e">
        <f>$BW$23*VLOOKUP($BW$26,'x Malzemeler ve Özellikleri'!$O$2:$AJ$136,xHesaplama!U37,0)</f>
        <v>#REF!</v>
      </c>
      <c r="BX37" s="23" t="e">
        <f>ROUNDUP(Y37/300,0)*4*VLOOKUP($BX$26,'x Malzemeler ve Özellikleri'!$O$2:$AJ$136,xHesaplama!U37,0)</f>
        <v>#REF!</v>
      </c>
      <c r="BY37" s="4" t="e">
        <f>$BY$23*VLOOKUP($BY$26,'x Malzemeler ve Özellikleri'!$O$2:$AJ$136,xHesaplama!U37,0)</f>
        <v>#REF!</v>
      </c>
      <c r="BZ37" s="4" t="e">
        <f>$BZ$23*VLOOKUP($BZ$26,'x Malzemeler ve Özellikleri'!$O$2:$AJ$136,xHesaplama!U37,0)</f>
        <v>#REF!</v>
      </c>
      <c r="CA37" s="4" t="e">
        <f>(X37+$CA$23)*VLOOKUP($CA$26,'x Malzemeler ve Özellikleri'!$O$2:$AJ$136,xHesaplama!U37,0)/1000</f>
        <v>#REF!</v>
      </c>
      <c r="CB37" s="4" t="e">
        <f>(X37+$CB$23)*VLOOKUP($CB$26,'x Malzemeler ve Özellikleri'!$O$2:$AJ$136,xHesaplama!U37,0)/1000</f>
        <v>#REF!</v>
      </c>
      <c r="CC37" s="4" t="e">
        <f>$CC$23*VLOOKUP($CC$26,'x Malzemeler ve Özellikleri'!$O$2:$AJ$136,xHesaplama!U37,0)</f>
        <v>#REF!</v>
      </c>
      <c r="CD37" s="4" t="e">
        <f>(X37+$CD$23)*VLOOKUP($CD$26,'x Malzemeler ve Özellikleri'!$O$2:$AJ$136,xHesaplama!U37,0)/1000</f>
        <v>#REF!</v>
      </c>
      <c r="CE37" s="4" t="e">
        <f>(2*X37-120-122)*VLOOKUP($CE$26,'x Malzemeler ve Özellikleri'!$O$2:$AJ$136,xHesaplama!U37,0)/1000</f>
        <v>#REF!</v>
      </c>
      <c r="CF37" s="4" t="e">
        <f>(Y37+$CF$23)*VLOOKUP($CF$26,'x Malzemeler ve Özellikleri'!$O$2:$AJ$136,xHesaplama!U37,0)/1000*2</f>
        <v>#REF!</v>
      </c>
      <c r="CG37" s="4" t="e">
        <f>$CG$23*VLOOKUP($CG$26,'x Malzemeler ve Özellikleri'!$O$2:$AJ$136,xHesaplama!U37,0)</f>
        <v>#REF!</v>
      </c>
      <c r="CH37" s="4" t="e">
        <f>(Y37+$CH$23)*VLOOKUP($CH$26,'x Malzemeler ve Özellikleri'!$O$2:$AJ$136,xHesaplama!U37,0)/1000*2</f>
        <v>#REF!</v>
      </c>
      <c r="CI37" s="4" t="e">
        <f>(Y37+$CI$23)*VLOOKUP($CI$26,'x Malzemeler ve Özellikleri'!$O$2:$AJ$136,xHesaplama!U37,0)/1000*2</f>
        <v>#REF!</v>
      </c>
      <c r="CJ37" s="4" t="e">
        <f>$CJ$23*VLOOKUP($CJ$26,'x Malzemeler ve Özellikleri'!$O$2:$AJ$136,xHesaplama!U37,0)</f>
        <v>#REF!</v>
      </c>
      <c r="CK37" s="4" t="e">
        <f>$CK$23*VLOOKUP($CK$26,'x Malzemeler ve Özellikleri'!$O$2:$AJ$136,xHesaplama!U37,0)</f>
        <v>#REF!</v>
      </c>
      <c r="CL37" s="4" t="e">
        <f>$CL$23*VLOOKUP($CL$26,'x Malzemeler ve Özellikleri'!$O$2:$AJ$136,xHesaplama!U37,0)</f>
        <v>#REF!</v>
      </c>
      <c r="CM37" s="4" t="e">
        <f>(X37+$CM$23)*VLOOKUP($CM$26,'x Malzemeler ve Özellikleri'!$O$2:$AJ$136,xHesaplama!U37,0)/1000</f>
        <v>#REF!</v>
      </c>
      <c r="CN37" s="4" t="e">
        <f>(X37+$CN$23)*VLOOKUP($CN$26,'x Malzemeler ve Özellikleri'!$O$2:$AJ$136,xHesaplama!U37,0)/1000</f>
        <v>#REF!</v>
      </c>
      <c r="CO37" s="4" t="e">
        <f>(X37+$CO$23)*VLOOKUP($CO$26,'x Malzemeler ve Özellikleri'!$O$2:$AJ$136,xHesaplama!U37,0)/1000</f>
        <v>#REF!</v>
      </c>
      <c r="CP37" s="4" t="e">
        <f>(X37+$CP$23)*VLOOKUP($CP$26,'x Malzemeler ve Özellikleri'!$O$2:$AJ$136,xHesaplama!U37,0)/1000</f>
        <v>#REF!</v>
      </c>
      <c r="CQ37" s="23" t="e">
        <f>ROUNDUP(Y37/300,0)*4*VLOOKUP($CQ$26,'x Malzemeler ve Özellikleri'!$O$2:$AJ$136,xHesaplama!U37,0)</f>
        <v>#REF!</v>
      </c>
      <c r="CR37" s="4" t="e">
        <f>(X37+$CR$23)*VLOOKUP($CR$26,'x Malzemeler ve Özellikleri'!$O$2:$AJ$136,xHesaplama!U37,0)/1000</f>
        <v>#REF!</v>
      </c>
      <c r="CS37" s="4" t="e">
        <f>$CS$23*VLOOKUP($CS$26,'x Malzemeler ve Özellikleri'!$O$2:$AJ$136,xHesaplama!U37,0)</f>
        <v>#REF!</v>
      </c>
      <c r="CT37" s="4" t="e">
        <f>$CT$23*VLOOKUP($CT$26,'x Malzemeler ve Özellikleri'!$O$2:$AJ$136,xHesaplama!U37,0)</f>
        <v>#REF!</v>
      </c>
      <c r="CU37" s="4" t="e">
        <f>(Y37+$CU$23)*VLOOKUP($CU$26,'x Malzemeler ve Özellikleri'!$O$2:$AJ$136,xHesaplama!U37,0)/1000*2</f>
        <v>#REF!</v>
      </c>
      <c r="CV37" s="4" t="e">
        <f>(Y37+$CV$23)*VLOOKUP($CV$26,'x Malzemeler ve Özellikleri'!$O$2:$AJ$136,xHesaplama!U37,0)/1000*2</f>
        <v>#REF!</v>
      </c>
      <c r="CW37" s="4" t="e">
        <f>$CW$23*VLOOKUP($CW$26,'x Malzemeler ve Özellikleri'!$O$2:$AJ$136,xHesaplama!U37,0)</f>
        <v>#REF!</v>
      </c>
      <c r="CX37" s="4" t="e">
        <f>(X37+$CX$23)*VLOOKUP($CX$26,'x Malzemeler ve Özellikleri'!$O$2:$AJ$136,xHesaplama!U37,0)/1000</f>
        <v>#REF!</v>
      </c>
      <c r="CY37" s="4" t="e">
        <f>(2*X37-112-108)*VLOOKUP($CY$26,'x Malzemeler ve Özellikleri'!$O$2:$AJ$136,xHesaplama!U37,0)/1000</f>
        <v>#REF!</v>
      </c>
      <c r="CZ37" s="4" t="e">
        <f>$CZ$23*VLOOKUP($CZ$26,'x Malzemeler ve Özellikleri'!$O$2:$AJ$136,xHesaplama!U37,0)</f>
        <v>#REF!</v>
      </c>
      <c r="DA37" s="4" t="e">
        <f>$DA$23*VLOOKUP($DA$26,'x Malzemeler ve Özellikleri'!$O$2:$AJ$136,xHesaplama!U37,0)</f>
        <v>#REF!</v>
      </c>
      <c r="DB37" s="4" t="e">
        <f>$DB$23*VLOOKUP($DB$26,'x Malzemeler ve Özellikleri'!$O$2:$AJ$136,xHesaplama!U37,0)</f>
        <v>#REF!</v>
      </c>
      <c r="DC37" s="4" t="e">
        <f>$DC$23*VLOOKUP($DC$26,'x Malzemeler ve Özellikleri'!$O$2:$AJ$136,xHesaplama!U37,0)</f>
        <v>#REF!</v>
      </c>
      <c r="DD37" s="4" t="e">
        <f>(X37+$DD$23)*VLOOKUP($DD$26,'x Malzemeler ve Özellikleri'!$O$2:$AJ$136,xHesaplama!U37,0)/1000</f>
        <v>#REF!</v>
      </c>
      <c r="DE37" s="4" t="e">
        <f>(X37+$DE$23)*VLOOKUP($DE$26,'x Malzemeler ve Özellikleri'!$O$2:$AJ$136,xHesaplama!U37,0)/1000</f>
        <v>#REF!</v>
      </c>
      <c r="DF37" s="4" t="e">
        <f>$DF$23*VLOOKUP($DF$26,'x Malzemeler ve Özellikleri'!$O$2:$AJ$136,xHesaplama!U37,0)</f>
        <v>#REF!</v>
      </c>
      <c r="DG37" s="4" t="e">
        <f>(Y37+$DG$23)*VLOOKUP($DG$26,'x Malzemeler ve Özellikleri'!$O$2:$AJ$136,xHesaplama!U37,0)/1000*2</f>
        <v>#REF!</v>
      </c>
      <c r="DH37" s="4" t="e">
        <f>(Y37+$DH$23)*VLOOKUP($DH$26,'x Malzemeler ve Özellikleri'!$O$2:$AJ$136,xHesaplama!U37,0)/1000*2</f>
        <v>#REF!</v>
      </c>
      <c r="DI37" s="4" t="e">
        <f>(Y37+$DI$23)*VLOOKUP($DI$26,'x Malzemeler ve Özellikleri'!$O$2:$AJ$136,xHesaplama!U37,0)/1000*2</f>
        <v>#REF!</v>
      </c>
      <c r="DJ37" s="4" t="e">
        <f>$DJ$23*VLOOKUP($DJ$26,'x Malzemeler ve Özellikleri'!$O$2:$AJ$136,xHesaplama!U37,0)</f>
        <v>#REF!</v>
      </c>
      <c r="DK37" s="4" t="e">
        <f>$DK$23*VLOOKUP($DK$26,'x Malzemeler ve Özellikleri'!$O$2:$AJ$136,xHesaplama!U37,0)</f>
        <v>#REF!</v>
      </c>
      <c r="DL37" s="4" t="e">
        <f>(X37+$DL$23)*VLOOKUP($DL$26,'x Malzemeler ve Özellikleri'!$O$2:$AJ$136,xHesaplama!U37,0)/1000</f>
        <v>#REF!</v>
      </c>
      <c r="DM37" s="4" t="e">
        <f>(X37+$DM$23)*VLOOKUP($DM$26,'x Malzemeler ve Özellikleri'!$O$2:$AJ$136,xHesaplama!U37,0)/1000</f>
        <v>#REF!</v>
      </c>
      <c r="DN37" s="4" t="e">
        <f>(X37+$DN$23)*VLOOKUP($DN$26,'x Malzemeler ve Özellikleri'!$O$2:$AJ$136,xHesaplama!U37,0)/1000</f>
        <v>#REF!</v>
      </c>
      <c r="DO37" s="4" t="e">
        <f>(X37+$DO$23)*VLOOKUP($DO$26,'x Malzemeler ve Özellikleri'!$O$2:$AJ$136,xHesaplama!U37,0)/1000</f>
        <v>#REF!</v>
      </c>
      <c r="DP37" s="23" t="e">
        <f>ROUNDUP(Y37/300,0)*4*VLOOKUP($DP$26,'x Malzemeler ve Özellikleri'!$O$2:$AJ$136,xHesaplama!U37,0)</f>
        <v>#REF!</v>
      </c>
      <c r="DQ37" s="4" t="e">
        <f>(X37+$DQ$23)*VLOOKUP($DQ$26,'x Malzemeler ve Özellikleri'!$O$2:$AJ$136,xHesaplama!U37,0)/1000</f>
        <v>#REF!</v>
      </c>
      <c r="DR37" s="4" t="e">
        <f>(Y37+$DR$23)*VLOOKUP($DR$26,'x Malzemeler ve Özellikleri'!$O$2:$AJ$136,xHesaplama!U37,0)/1000*2</f>
        <v>#REF!</v>
      </c>
      <c r="DS37" s="4" t="e">
        <f>(Y37+$DS$23)*VLOOKUP($DS$26,'x Malzemeler ve Özellikleri'!$O$2:$AJ$136,xHesaplama!U37,0)/1000*2</f>
        <v>#REF!</v>
      </c>
      <c r="DT37" s="4" t="e">
        <f>$DT$23*VLOOKUP($DT$26,'x Malzemeler ve Özellikleri'!$O$2:$AJ$136,xHesaplama!U37,0)</f>
        <v>#REF!</v>
      </c>
      <c r="DU37" s="4" t="e">
        <f>(X37+$DU$23)*VLOOKUP($DU$26,'x Malzemeler ve Özellikleri'!$O$2:$AJ$136,xHesaplama!U37,0)/1000</f>
        <v>#REF!</v>
      </c>
      <c r="DV37" s="4" t="e">
        <f>(2*X37-112-108)*VLOOKUP($DV$26,'x Malzemeler ve Özellikleri'!$O$2:$AJ$136,xHesaplama!U37,0)/1000</f>
        <v>#REF!</v>
      </c>
      <c r="DW37" s="4" t="e">
        <f>$DW$23*VLOOKUP($DW$26,'x Malzemeler ve Özellikleri'!$O$2:$AJ$136,xHesaplama!U37,0)</f>
        <v>#REF!</v>
      </c>
      <c r="DX37" s="4" t="e">
        <f>$DX$23*VLOOKUP($DX$26,'x Malzemeler ve Özellikleri'!$O$2:$AJ$136,xHesaplama!U37,0)</f>
        <v>#REF!</v>
      </c>
      <c r="DY37" s="4" t="e">
        <f>$DY$23*VLOOKUP($DY$26,'x Malzemeler ve Özellikleri'!$O$2:$AJ$136,xHesaplama!U37,0)</f>
        <v>#REF!</v>
      </c>
      <c r="DZ37" s="4" t="e">
        <f>$DZ$23*VLOOKUP($DZ$26,'x Malzemeler ve Özellikleri'!$O$2:$AJ$136,xHesaplama!U37,0)</f>
        <v>#REF!</v>
      </c>
      <c r="EA37" s="4" t="e">
        <f>(X37+$EA$23)*VLOOKUP($EA$26,'x Malzemeler ve Özellikleri'!$O$2:$AJ$136,xHesaplama!U37,0)/1000</f>
        <v>#REF!</v>
      </c>
      <c r="EB37" s="4" t="e">
        <f>(X37+$EB$23)*VLOOKUP($EB$26,'x Malzemeler ve Özellikleri'!$O$2:$AJ$136,xHesaplama!U37,0)/1000</f>
        <v>#REF!</v>
      </c>
      <c r="EC37" s="4" t="e">
        <f>$EC$23*VLOOKUP($EC$26,'x Malzemeler ve Özellikleri'!$O$2:$AJ$136,xHesaplama!U37,0)</f>
        <v>#REF!</v>
      </c>
      <c r="ED37" s="4" t="e">
        <f>(Y37+$ED$23)*VLOOKUP($ED$26,'x Malzemeler ve Özellikleri'!$O$2:$AJ$136,xHesaplama!U37,0)/1000*2</f>
        <v>#REF!</v>
      </c>
      <c r="EE37" s="4" t="e">
        <f>(Y37+$EE$23)*VLOOKUP($EE$26,'x Malzemeler ve Özellikleri'!$O$2:$AJ$136,xHesaplama!U37,0)/1000*2</f>
        <v>#REF!</v>
      </c>
      <c r="EF37" s="4" t="e">
        <f>(Y37+$EF$23)*VLOOKUP($EF$26,'x Malzemeler ve Özellikleri'!$O$2:$AJ$136,xHesaplama!U37,0)/1000*2</f>
        <v>#REF!</v>
      </c>
      <c r="EG37" s="4" t="e">
        <f>$EG$23*VLOOKUP($EG$26,'x Malzemeler ve Özellikleri'!$O$2:$AJ$136,xHesaplama!U37,0)</f>
        <v>#REF!</v>
      </c>
      <c r="EH37" s="4" t="e">
        <f>$EH$23*VLOOKUP($EH$26,'x Malzemeler ve Özellikleri'!$O$2:$AJ$136,xHesaplama!U37,0)</f>
        <v>#REF!</v>
      </c>
      <c r="EI37" s="4" t="e">
        <f>$EI$23*VLOOKUP($EI$26,'x Malzemeler ve Özellikleri'!$O$2:$AJ$136,xHesaplama!U37,0)</f>
        <v>#REF!</v>
      </c>
      <c r="EJ37" s="4" t="e">
        <f>$EJ$23*VLOOKUP($EJ$26,'x Malzemeler ve Özellikleri'!$O$2:$AJ$136,xHesaplama!U37,0)</f>
        <v>#REF!</v>
      </c>
      <c r="EK37" s="4" t="e">
        <f>$EK$23*VLOOKUP($EK$26,'x Malzemeler ve Özellikleri'!$O$2:$AJ$136,xHesaplama!U37,0)</f>
        <v>#REF!</v>
      </c>
      <c r="EL37" s="4" t="e">
        <f>$EL$23*VLOOKUP($EL$26,'x Malzemeler ve Özellikleri'!$O$2:$AJ$136,xHesaplama!U37,0)</f>
        <v>#REF!</v>
      </c>
      <c r="EM37" s="4" t="e">
        <f>(X37+$EM$23)*VLOOKUP($EM$26,'x Malzemeler ve Özellikleri'!$O$2:$AJ$136,xHesaplama!U37,0)/1000</f>
        <v>#REF!</v>
      </c>
      <c r="EN37" s="4" t="e">
        <f>(X37+$EN$23)*VLOOKUP($EN$26,'x Malzemeler ve Özellikleri'!$O$2:$AJ$136,xHesaplama!U37,0)/1000</f>
        <v>#REF!</v>
      </c>
      <c r="EO37" s="4" t="e">
        <f>(X37+$EO$23)*VLOOKUP($EO$26,'x Malzemeler ve Özellikleri'!$O$2:$AJ$136,xHesaplama!U37,0)/1000</f>
        <v>#REF!</v>
      </c>
      <c r="EP37" s="4" t="e">
        <f>(X37+$EP$23)*VLOOKUP($EP$26,'x Malzemeler ve Özellikleri'!$O$2:$AJ$136,xHesaplama!U37,0)/1000</f>
        <v>#REF!</v>
      </c>
      <c r="EQ37" s="4" t="e">
        <f>(X37+$EQ$23)*VLOOKUP($EQ$26,'x Malzemeler ve Özellikleri'!$O$2:$AJ$136,xHesaplama!U37,0)/1000</f>
        <v>#REF!</v>
      </c>
      <c r="ER37" s="4" t="e">
        <f>$ER$23*VLOOKUP($ER$26,'x Malzemeler ve Özellikleri'!$O$2:$AJ$136,xHesaplama!U37,0)</f>
        <v>#REF!</v>
      </c>
      <c r="ES37" s="4" t="e">
        <f>(X37+$ES$23)*VLOOKUP($ES$26,'x Malzemeler ve Özellikleri'!$O$2:$AJ$136,xHesaplama!U37,0)/1000</f>
        <v>#REF!</v>
      </c>
      <c r="ET37" s="4" t="e">
        <f>(2*X37-112-108)*VLOOKUP($ET$26,'x Malzemeler ve Özellikleri'!$O$2:$AJ$136,xHesaplama!U37,0)/1000</f>
        <v>#REF!</v>
      </c>
      <c r="EU37" s="4" t="e">
        <f>$EU$23*VLOOKUP($EU$26,'x Malzemeler ve Özellikleri'!$O$2:$AJ$136,xHesaplama!U37,0)</f>
        <v>#REF!</v>
      </c>
      <c r="EV37" s="4" t="e">
        <f>$EV$23*VLOOKUP($EV$26,'x Malzemeler ve Özellikleri'!$O$2:$AJ$136,xHesaplama!U37,0)</f>
        <v>#REF!</v>
      </c>
      <c r="EW37" s="4" t="e">
        <f>$EW$23*VLOOKUP($EW$26,'x Malzemeler ve Özellikleri'!$O$2:$AJ$136,xHesaplama!U37,0)</f>
        <v>#REF!</v>
      </c>
      <c r="EX37" s="4" t="e">
        <f>$EX$23*VLOOKUP($EX$26,'x Malzemeler ve Özellikleri'!$O$2:$AJ$136,xHesaplama!U37,0)</f>
        <v>#REF!</v>
      </c>
      <c r="EY37" s="4" t="e">
        <f>(X37+$EY$23)*VLOOKUP($EY$26,'x Malzemeler ve Özellikleri'!$O$2:$AJ$136,xHesaplama!U37,0)/1000</f>
        <v>#REF!</v>
      </c>
      <c r="EZ37" s="4" t="e">
        <f>(X37+$EZ$23)*VLOOKUP($EZ$26,'x Malzemeler ve Özellikleri'!$O$2:$AJ$136,xHesaplama!U37,0)/1000</f>
        <v>#REF!</v>
      </c>
      <c r="FA37" s="4" t="e">
        <f>$FA$23*VLOOKUP($FA$26,'x Malzemeler ve Özellikleri'!$O$2:$AJ$136,xHesaplama!U37,0)</f>
        <v>#REF!</v>
      </c>
      <c r="FB37" s="4" t="e">
        <f>$FB$23*VLOOKUP($FB$26,'x Malzemeler ve Özellikleri'!$O$2:$AJ$136,xHesaplama!U37,0)</f>
        <v>#REF!</v>
      </c>
      <c r="FC37" s="4" t="e">
        <f>$FC$23*VLOOKUP($FC$26,'x Malzemeler ve Özellikleri'!$O$2:$AJ$136,xHesaplama!U37,0)</f>
        <v>#REF!</v>
      </c>
      <c r="FD37" s="4" t="e">
        <f>$FD$23*VLOOKUP($FD$26,'x Malzemeler ve Özellikleri'!$O$2:$AJ$136,xHesaplama!U37,0)</f>
        <v>#REF!</v>
      </c>
      <c r="FE37" s="4" t="e">
        <f>$FE$23*VLOOKUP($FE$26,'x Malzemeler ve Özellikleri'!$O$2:$AJ$136,xHesaplama!U37,0)</f>
        <v>#REF!</v>
      </c>
      <c r="FF37" s="4" t="e">
        <f>$FF$23*VLOOKUP($FF$26,'x Malzemeler ve Özellikleri'!$O$2:$AJ$136,xHesaplama!U37,0)</f>
        <v>#REF!</v>
      </c>
      <c r="FG37" s="4" t="e">
        <f>$FG$23*VLOOKUP($FG$26,'x Malzemeler ve Özellikleri'!$O$2:$AJ$136,xHesaplama!U37,0)</f>
        <v>#REF!</v>
      </c>
      <c r="FH37" s="4" t="e">
        <f>$FH$23*VLOOKUP($FH$26,'x Malzemeler ve Özellikleri'!$O$2:$AJ$136,xHesaplama!U37,0)</f>
        <v>#REF!</v>
      </c>
    </row>
    <row r="38" spans="1:168">
      <c r="A38" s="4">
        <f>'1PROJE'!B18</f>
        <v>12</v>
      </c>
      <c r="B38" s="4">
        <f>'1PROJE'!C18</f>
        <v>0</v>
      </c>
      <c r="C38" s="4">
        <f>'1PROJE'!D18</f>
        <v>0</v>
      </c>
      <c r="D38" s="4">
        <f>'1PROJE'!E18</f>
        <v>0</v>
      </c>
      <c r="E38" s="4">
        <f>'1PROJE'!F18</f>
        <v>0</v>
      </c>
      <c r="F38" s="4">
        <f>'1PROJE'!G18</f>
        <v>0</v>
      </c>
      <c r="G38" s="4">
        <f>'1PROJE'!H18</f>
        <v>0</v>
      </c>
      <c r="H38" s="4">
        <f>'1PROJE'!I18</f>
        <v>0</v>
      </c>
      <c r="I38" s="4">
        <f>'1PROJE'!K18</f>
        <v>0</v>
      </c>
      <c r="J38" s="4">
        <f>'1PROJE'!L18</f>
        <v>0</v>
      </c>
      <c r="K38" s="4">
        <f>'1PROJE'!M18</f>
        <v>0</v>
      </c>
      <c r="L38" s="4">
        <f>'1PROJE'!N18</f>
        <v>0</v>
      </c>
      <c r="M38" s="4">
        <f>'1PROJE'!O18</f>
        <v>0</v>
      </c>
      <c r="N38" s="4">
        <f t="shared" si="3"/>
        <v>4</v>
      </c>
      <c r="O38" s="4">
        <f>'1PROJE'!P18</f>
        <v>0</v>
      </c>
      <c r="P38" s="4">
        <f>'1PROJE'!R18</f>
        <v>0</v>
      </c>
      <c r="Q38" s="4">
        <f>'1PROJE'!S18</f>
        <v>0</v>
      </c>
      <c r="R38" s="4">
        <f>'1PROJE'!T18</f>
        <v>0</v>
      </c>
      <c r="S38" s="4"/>
      <c r="U38" s="4" t="e">
        <f t="shared" si="1"/>
        <v>#N/A</v>
      </c>
      <c r="V38" s="4" t="e">
        <f>VLOOKUP(B38,'x Açılır Listeler'!$A$2:$B$15,2,0)</f>
        <v>#N/A</v>
      </c>
      <c r="W38" s="4" t="e">
        <f>VLOOKUP(B38,'x Açılır Listeler'!$A$2:$C$15,3,0)*2</f>
        <v>#N/A</v>
      </c>
      <c r="X38" s="4">
        <f t="shared" si="4"/>
        <v>0</v>
      </c>
      <c r="Y38" s="4">
        <f t="shared" si="5"/>
        <v>0</v>
      </c>
      <c r="Z38" s="4" t="s">
        <v>404</v>
      </c>
      <c r="AA38" s="4">
        <f t="shared" si="2"/>
        <v>25</v>
      </c>
      <c r="AB38" s="38" t="e">
        <f>VLOOKUP(J38,'x Malzemeler ve Özellikleri'!$N$147:$R$167,5,0)</f>
        <v>#N/A</v>
      </c>
      <c r="AC38" s="46" t="e">
        <f>IF('1PROJE'!J18="",VLOOKUP(H38,'x Malzemeler ve Özellikleri'!$N$137:$R$146,5,0),'1PROJE'!J18)</f>
        <v>#N/A</v>
      </c>
      <c r="AD38" s="52">
        <f t="shared" si="6"/>
        <v>-2.8511999999999999E-2</v>
      </c>
      <c r="AE38" s="46" t="e">
        <f t="shared" si="7"/>
        <v>#N/A</v>
      </c>
      <c r="AF38" s="46">
        <f>IF(O38="VAR",IF('1PROJE'!Q18="",$AI$10,'1PROJE'!Q18),0)</f>
        <v>0</v>
      </c>
      <c r="AG38" s="4" t="e">
        <f>IF('1PROJE'!S18="",VLOOKUP(xHesaplama!P38,'x Malzemeler ve Özellikleri'!$AS$2:$AT$11,2,0),'1PROJE'!S18/'1PROJE'!$P$3)</f>
        <v>#N/A</v>
      </c>
      <c r="AH38" s="4" t="e">
        <f>(X38+$AH$23)*VLOOKUP($AH$26,'x Malzemeler ve Özellikleri'!$O$2:$AJ$136,xHesaplama!U38,0)/1000</f>
        <v>#REF!</v>
      </c>
      <c r="AI38" s="4" t="e">
        <f>(X38+$AI$23)*VLOOKUP($AI$26,'x Malzemeler ve Özellikleri'!$O$2:$AJ$136,xHesaplama!U38,0)/1000</f>
        <v>#REF!</v>
      </c>
      <c r="AJ38" s="4" t="e">
        <f>(X38+$AJ$23)*VLOOKUP($AJ$26,'x Malzemeler ve Özellikleri'!$O$2:$AJ$136,xHesaplama!U38,0)/1000</f>
        <v>#REF!</v>
      </c>
      <c r="AK38" s="4" t="e">
        <f>(X38+$AK$23)*VLOOKUP($AK$26,'x Malzemeler ve Özellikleri'!$O$2:$AJ$136,xHesaplama!U38,0)/1000</f>
        <v>#REF!</v>
      </c>
      <c r="AL38" s="4" t="e">
        <f>(Y38+$AL$23)*VLOOKUP($AL$26,'x Malzemeler ve Özellikleri'!$O$2:$AJ$136,xHesaplama!U38,0)/1000*2</f>
        <v>#REF!</v>
      </c>
      <c r="AM38" s="4" t="e">
        <f>IF(AND(X38&lt;4500,Y38&lt;4500,X38*Y38/1000000&lt;12),(X38+$AM$23)*VLOOKUP($AM$26,'x Malzemeler ve Özellikleri'!$O$2:$AJ$136,xHesaplama!U38,0)/1000,0)</f>
        <v>#REF!</v>
      </c>
      <c r="AN38" s="4">
        <f>IF(OR(X38&gt;=4500,Y38&gt;=4500,X38*Y38/1000000&gt;=12),(X38+$AN$23)*VLOOKUP($AN$26,'x Malzemeler ve Özellikleri'!$O$2:$AJ$136,xHesaplama!U38,0)/1000,0)</f>
        <v>0</v>
      </c>
      <c r="AO38" s="4" t="e">
        <f>(Y38+$AO$23)*VLOOKUP($AO$26,'x Malzemeler ve Özellikleri'!$O$2:$AJ$136,xHesaplama!U38,0)/1000*2</f>
        <v>#REF!</v>
      </c>
      <c r="AP38" s="4" t="e">
        <f>$AP$23*VLOOKUP($AP$26,'x Malzemeler ve Özellikleri'!$O$2:$AJ$136,xHesaplama!U38,0)</f>
        <v>#REF!</v>
      </c>
      <c r="AQ38" s="4" t="e">
        <f>$AQ$23*VLOOKUP($AQ$26,'x Malzemeler ve Özellikleri'!$O$2:$AJ$136,xHesaplama!U38,0)</f>
        <v>#REF!</v>
      </c>
      <c r="AR38" s="4" t="e">
        <f>$AR$23*VLOOKUP($AR$26,'x Malzemeler ve Özellikleri'!$O$2:$AJ$136,xHesaplama!U38,0)</f>
        <v>#REF!</v>
      </c>
      <c r="AS38" s="4" t="e">
        <f>$AS$23*VLOOKUP($AS$26,'x Malzemeler ve Özellikleri'!$O$2:$AJ$136,xHesaplama!U38,0)</f>
        <v>#REF!</v>
      </c>
      <c r="AT38" s="4" t="e">
        <f>$AT$23*VLOOKUP($AT$26,'x Malzemeler ve Özellikleri'!$O$2:$AJ$136,xHesaplama!U38,0)</f>
        <v>#REF!</v>
      </c>
      <c r="AU38" s="4" t="e">
        <f>$AU$23*VLOOKUP($AU$26,'x Malzemeler ve Özellikleri'!$O$2:$AJ$136,xHesaplama!U38,0)</f>
        <v>#REF!</v>
      </c>
      <c r="AV38" s="4" t="e">
        <f>$AV$23*VLOOKUP($AV$26,'x Malzemeler ve Özellikleri'!$O$2:$AJ$136,xHesaplama!U38,0)</f>
        <v>#REF!</v>
      </c>
      <c r="AW38" s="4" t="e">
        <f>(Y38+$AW$23)*VLOOKUP($AW$26,'x Malzemeler ve Özellikleri'!$O$2:$AJ$136,xHesaplama!U38,0)/1000*2</f>
        <v>#REF!</v>
      </c>
      <c r="AX38" s="4" t="e">
        <f>$AX$23*VLOOKUP($AX$26,'x Malzemeler ve Özellikleri'!$O$2:$AJ$136,xHesaplama!U38,0)</f>
        <v>#REF!</v>
      </c>
      <c r="AY38" s="4" t="e">
        <f>$AY$23*VLOOKUP($AY$26,'x Malzemeler ve Özellikleri'!$O$2:$AJ$136,xHesaplama!U38,0)</f>
        <v>#REF!</v>
      </c>
      <c r="AZ38" s="23" t="e">
        <f>ROUNDUP(Y38/300,0)*4*VLOOKUP($AZ$26,'x Malzemeler ve Özellikleri'!$O$2:$AJ$136,xHesaplama!U38,0)</f>
        <v>#REF!</v>
      </c>
      <c r="BA38" s="4" t="e">
        <f>(2*X38-155-183)*VLOOKUP($BA$26,'x Malzemeler ve Özellikleri'!$O$2:$AJ$136,xHesaplama!U38,0)/1000</f>
        <v>#REF!</v>
      </c>
      <c r="BB38" s="4" t="e">
        <f>$BB$23*VLOOKUP($BB$26,'x Malzemeler ve Özellikleri'!$O$2:$AJ$136,xHesaplama!U38,0)</f>
        <v>#REF!</v>
      </c>
      <c r="BC38" s="4" t="e">
        <f>$BC$23*VLOOKUP($BC$26,'x Malzemeler ve Özellikleri'!$O$2:$AJ$136,xHesaplama!U38,0)</f>
        <v>#REF!</v>
      </c>
      <c r="BD38" s="4" t="e">
        <f>$BD$23*VLOOKUP($BD$26,'x Malzemeler ve Özellikleri'!$O$2:$AJ$136,xHesaplama!U38,0)</f>
        <v>#REF!</v>
      </c>
      <c r="BE38" s="4" t="e">
        <f>$BE$23*VLOOKUP($BE$26,'x Malzemeler ve Özellikleri'!$O$2:$AJ$136,xHesaplama!U38,0)</f>
        <v>#REF!</v>
      </c>
      <c r="BF38" s="4" t="e">
        <f>$BF$23*VLOOKUP($BF$26,'x Malzemeler ve Özellikleri'!$O$2:$AJ$136,xHesaplama!U38,0)</f>
        <v>#REF!</v>
      </c>
      <c r="BG38" s="4" t="e">
        <f>$BG$23*VLOOKUP($BG$26,'x Malzemeler ve Özellikleri'!$O$2:$AJ$136,xHesaplama!U38,0)</f>
        <v>#REF!</v>
      </c>
      <c r="BH38" s="4" t="e">
        <f>$BH$23*VLOOKUP($BH$26,'x Malzemeler ve Özellikleri'!$O$2:$AJ$136,xHesaplama!U38,0)*N38</f>
        <v>#REF!</v>
      </c>
      <c r="BI38" s="4" t="e">
        <f>$BI$23*VLOOKUP($BI$26,'x Malzemeler ve Özellikleri'!$O$2:$AJ$136,xHesaplama!U38,0)</f>
        <v>#REF!</v>
      </c>
      <c r="BJ38" s="4" t="e">
        <f>$BJ$23*VLOOKUP($BJ$26,'x Malzemeler ve Özellikleri'!$O$2:$AJ$136,xHesaplama!U38,0)</f>
        <v>#REF!</v>
      </c>
      <c r="BK38" s="4" t="e">
        <f>$BK$23*VLOOKUP($BK$26,'x Malzemeler ve Özellikleri'!$O$2:$AJ$136,xHesaplama!U38,0)</f>
        <v>#REF!</v>
      </c>
      <c r="BL38" s="4" t="e">
        <f>$BL$23*VLOOKUP($BL$26,'x Malzemeler ve Özellikleri'!$O$2:$AJ$136,xHesaplama!U38,0)</f>
        <v>#REF!</v>
      </c>
      <c r="BM38" s="4" t="e">
        <f>$BM$23*VLOOKUP($BM$26,'x Malzemeler ve Özellikleri'!$O$2:$AJ$136,xHesaplama!U38,0)</f>
        <v>#REF!</v>
      </c>
      <c r="BN38" s="4" t="e">
        <f>$BN$23*VLOOKUP($BN$26,'x Malzemeler ve Özellikleri'!$O$2:$AJ$136,xHesaplama!U38,0)</f>
        <v>#REF!</v>
      </c>
      <c r="BO38" s="4" t="e">
        <f>(2*(2*X38+Y38*2)*VLOOKUP($BO$26,'x Malzemeler ve Özellikleri'!$O$2:$AJ$136,xHesaplama!U38,0)/1000)</f>
        <v>#REF!</v>
      </c>
      <c r="BP38" s="4" t="e">
        <f>(X38+$BP$23)*VLOOKUP($BP$26,'x Malzemeler ve Özellikleri'!$O$2:$AJ$136,xHesaplama!U38,0)/1000</f>
        <v>#REF!</v>
      </c>
      <c r="BQ38" s="4" t="e">
        <f>(X38+$BQ$23)*VLOOKUP($BQ$26,'x Malzemeler ve Özellikleri'!$O$2:$AJ$136,xHesaplama!U38,0)/1000</f>
        <v>#REF!</v>
      </c>
      <c r="BR38" s="4" t="e">
        <f>(X38+$BR$23)*VLOOKUP($BR$26,'x Malzemeler ve Özellikleri'!$O$2:$AJ$136,xHesaplama!U38,0)/1000</f>
        <v>#REF!</v>
      </c>
      <c r="BS38" s="4" t="e">
        <f>(X38+$BS$23)*VLOOKUP($BS$26,'x Malzemeler ve Özellikleri'!$O$2:$AJ$136,xHesaplama!U38,0)/1000</f>
        <v>#REF!</v>
      </c>
      <c r="BT38" s="4" t="e">
        <f>$BT$23*VLOOKUP($BT$26,'x Malzemeler ve Özellikleri'!$O$2:$AJ$136,xHesaplama!U38,0)</f>
        <v>#REF!</v>
      </c>
      <c r="BU38" s="4" t="e">
        <f>(Y38+$BU$23)*VLOOKUP($BU$26,'x Malzemeler ve Özellikleri'!$O$2:$AJ$136,xHesaplama!U38,0)/1000*2</f>
        <v>#REF!</v>
      </c>
      <c r="BV38" s="4" t="e">
        <f>(X38+$BV$23)*VLOOKUP($BV$26,'x Malzemeler ve Özellikleri'!$O$2:$AJ$136,xHesaplama!U38,0)/1000</f>
        <v>#REF!</v>
      </c>
      <c r="BW38" s="4" t="e">
        <f>$BW$23*VLOOKUP($BW$26,'x Malzemeler ve Özellikleri'!$O$2:$AJ$136,xHesaplama!U38,0)</f>
        <v>#REF!</v>
      </c>
      <c r="BX38" s="23" t="e">
        <f>ROUNDUP(Y38/300,0)*4*VLOOKUP($BX$26,'x Malzemeler ve Özellikleri'!$O$2:$AJ$136,xHesaplama!U38,0)</f>
        <v>#REF!</v>
      </c>
      <c r="BY38" s="4" t="e">
        <f>$BY$23*VLOOKUP($BY$26,'x Malzemeler ve Özellikleri'!$O$2:$AJ$136,xHesaplama!U38,0)</f>
        <v>#REF!</v>
      </c>
      <c r="BZ38" s="4" t="e">
        <f>$BZ$23*VLOOKUP($BZ$26,'x Malzemeler ve Özellikleri'!$O$2:$AJ$136,xHesaplama!U38,0)</f>
        <v>#REF!</v>
      </c>
      <c r="CA38" s="4" t="e">
        <f>(X38+$CA$23)*VLOOKUP($CA$26,'x Malzemeler ve Özellikleri'!$O$2:$AJ$136,xHesaplama!U38,0)/1000</f>
        <v>#REF!</v>
      </c>
      <c r="CB38" s="4" t="e">
        <f>(X38+$CB$23)*VLOOKUP($CB$26,'x Malzemeler ve Özellikleri'!$O$2:$AJ$136,xHesaplama!U38,0)/1000</f>
        <v>#REF!</v>
      </c>
      <c r="CC38" s="4" t="e">
        <f>$CC$23*VLOOKUP($CC$26,'x Malzemeler ve Özellikleri'!$O$2:$AJ$136,xHesaplama!U38,0)</f>
        <v>#REF!</v>
      </c>
      <c r="CD38" s="4" t="e">
        <f>(X38+$CD$23)*VLOOKUP($CD$26,'x Malzemeler ve Özellikleri'!$O$2:$AJ$136,xHesaplama!U38,0)/1000</f>
        <v>#REF!</v>
      </c>
      <c r="CE38" s="4" t="e">
        <f>(2*X38-120-122)*VLOOKUP($CE$26,'x Malzemeler ve Özellikleri'!$O$2:$AJ$136,xHesaplama!U38,0)/1000</f>
        <v>#REF!</v>
      </c>
      <c r="CF38" s="4" t="e">
        <f>(Y38+$CF$23)*VLOOKUP($CF$26,'x Malzemeler ve Özellikleri'!$O$2:$AJ$136,xHesaplama!U38,0)/1000*2</f>
        <v>#REF!</v>
      </c>
      <c r="CG38" s="4" t="e">
        <f>$CG$23*VLOOKUP($CG$26,'x Malzemeler ve Özellikleri'!$O$2:$AJ$136,xHesaplama!U38,0)</f>
        <v>#REF!</v>
      </c>
      <c r="CH38" s="4" t="e">
        <f>(Y38+$CH$23)*VLOOKUP($CH$26,'x Malzemeler ve Özellikleri'!$O$2:$AJ$136,xHesaplama!U38,0)/1000*2</f>
        <v>#REF!</v>
      </c>
      <c r="CI38" s="4" t="e">
        <f>(Y38+$CI$23)*VLOOKUP($CI$26,'x Malzemeler ve Özellikleri'!$O$2:$AJ$136,xHesaplama!U38,0)/1000*2</f>
        <v>#REF!</v>
      </c>
      <c r="CJ38" s="4" t="e">
        <f>$CJ$23*VLOOKUP($CJ$26,'x Malzemeler ve Özellikleri'!$O$2:$AJ$136,xHesaplama!U38,0)</f>
        <v>#REF!</v>
      </c>
      <c r="CK38" s="4" t="e">
        <f>$CK$23*VLOOKUP($CK$26,'x Malzemeler ve Özellikleri'!$O$2:$AJ$136,xHesaplama!U38,0)</f>
        <v>#REF!</v>
      </c>
      <c r="CL38" s="4" t="e">
        <f>$CL$23*VLOOKUP($CL$26,'x Malzemeler ve Özellikleri'!$O$2:$AJ$136,xHesaplama!U38,0)</f>
        <v>#REF!</v>
      </c>
      <c r="CM38" s="4" t="e">
        <f>(X38+$CM$23)*VLOOKUP($CM$26,'x Malzemeler ve Özellikleri'!$O$2:$AJ$136,xHesaplama!U38,0)/1000</f>
        <v>#REF!</v>
      </c>
      <c r="CN38" s="4" t="e">
        <f>(X38+$CN$23)*VLOOKUP($CN$26,'x Malzemeler ve Özellikleri'!$O$2:$AJ$136,xHesaplama!U38,0)/1000</f>
        <v>#REF!</v>
      </c>
      <c r="CO38" s="4" t="e">
        <f>(X38+$CO$23)*VLOOKUP($CO$26,'x Malzemeler ve Özellikleri'!$O$2:$AJ$136,xHesaplama!U38,0)/1000</f>
        <v>#REF!</v>
      </c>
      <c r="CP38" s="4" t="e">
        <f>(X38+$CP$23)*VLOOKUP($CP$26,'x Malzemeler ve Özellikleri'!$O$2:$AJ$136,xHesaplama!U38,0)/1000</f>
        <v>#REF!</v>
      </c>
      <c r="CQ38" s="23" t="e">
        <f>ROUNDUP(Y38/300,0)*4*VLOOKUP($CQ$26,'x Malzemeler ve Özellikleri'!$O$2:$AJ$136,xHesaplama!U38,0)</f>
        <v>#REF!</v>
      </c>
      <c r="CR38" s="4" t="e">
        <f>(X38+$CR$23)*VLOOKUP($CR$26,'x Malzemeler ve Özellikleri'!$O$2:$AJ$136,xHesaplama!U38,0)/1000</f>
        <v>#REF!</v>
      </c>
      <c r="CS38" s="4" t="e">
        <f>$CS$23*VLOOKUP($CS$26,'x Malzemeler ve Özellikleri'!$O$2:$AJ$136,xHesaplama!U38,0)</f>
        <v>#REF!</v>
      </c>
      <c r="CT38" s="4" t="e">
        <f>$CT$23*VLOOKUP($CT$26,'x Malzemeler ve Özellikleri'!$O$2:$AJ$136,xHesaplama!U38,0)</f>
        <v>#REF!</v>
      </c>
      <c r="CU38" s="4" t="e">
        <f>(Y38+$CU$23)*VLOOKUP($CU$26,'x Malzemeler ve Özellikleri'!$O$2:$AJ$136,xHesaplama!U38,0)/1000*2</f>
        <v>#REF!</v>
      </c>
      <c r="CV38" s="4" t="e">
        <f>(Y38+$CV$23)*VLOOKUP($CV$26,'x Malzemeler ve Özellikleri'!$O$2:$AJ$136,xHesaplama!U38,0)/1000*2</f>
        <v>#REF!</v>
      </c>
      <c r="CW38" s="4" t="e">
        <f>$CW$23*VLOOKUP($CW$26,'x Malzemeler ve Özellikleri'!$O$2:$AJ$136,xHesaplama!U38,0)</f>
        <v>#REF!</v>
      </c>
      <c r="CX38" s="4" t="e">
        <f>(X38+$CX$23)*VLOOKUP($CX$26,'x Malzemeler ve Özellikleri'!$O$2:$AJ$136,xHesaplama!U38,0)/1000</f>
        <v>#REF!</v>
      </c>
      <c r="CY38" s="4" t="e">
        <f>(2*X38-112-108)*VLOOKUP($CY$26,'x Malzemeler ve Özellikleri'!$O$2:$AJ$136,xHesaplama!U38,0)/1000</f>
        <v>#REF!</v>
      </c>
      <c r="CZ38" s="4" t="e">
        <f>$CZ$23*VLOOKUP($CZ$26,'x Malzemeler ve Özellikleri'!$O$2:$AJ$136,xHesaplama!U38,0)</f>
        <v>#REF!</v>
      </c>
      <c r="DA38" s="4" t="e">
        <f>$DA$23*VLOOKUP($DA$26,'x Malzemeler ve Özellikleri'!$O$2:$AJ$136,xHesaplama!U38,0)</f>
        <v>#REF!</v>
      </c>
      <c r="DB38" s="4" t="e">
        <f>$DB$23*VLOOKUP($DB$26,'x Malzemeler ve Özellikleri'!$O$2:$AJ$136,xHesaplama!U38,0)</f>
        <v>#REF!</v>
      </c>
      <c r="DC38" s="4" t="e">
        <f>$DC$23*VLOOKUP($DC$26,'x Malzemeler ve Özellikleri'!$O$2:$AJ$136,xHesaplama!U38,0)</f>
        <v>#REF!</v>
      </c>
      <c r="DD38" s="4" t="e">
        <f>(X38+$DD$23)*VLOOKUP($DD$26,'x Malzemeler ve Özellikleri'!$O$2:$AJ$136,xHesaplama!U38,0)/1000</f>
        <v>#REF!</v>
      </c>
      <c r="DE38" s="4" t="e">
        <f>(X38+$DE$23)*VLOOKUP($DE$26,'x Malzemeler ve Özellikleri'!$O$2:$AJ$136,xHesaplama!U38,0)/1000</f>
        <v>#REF!</v>
      </c>
      <c r="DF38" s="4" t="e">
        <f>$DF$23*VLOOKUP($DF$26,'x Malzemeler ve Özellikleri'!$O$2:$AJ$136,xHesaplama!U38,0)</f>
        <v>#REF!</v>
      </c>
      <c r="DG38" s="4" t="e">
        <f>(Y38+$DG$23)*VLOOKUP($DG$26,'x Malzemeler ve Özellikleri'!$O$2:$AJ$136,xHesaplama!U38,0)/1000*2</f>
        <v>#REF!</v>
      </c>
      <c r="DH38" s="4" t="e">
        <f>(Y38+$DH$23)*VLOOKUP($DH$26,'x Malzemeler ve Özellikleri'!$O$2:$AJ$136,xHesaplama!U38,0)/1000*2</f>
        <v>#REF!</v>
      </c>
      <c r="DI38" s="4" t="e">
        <f>(Y38+$DI$23)*VLOOKUP($DI$26,'x Malzemeler ve Özellikleri'!$O$2:$AJ$136,xHesaplama!U38,0)/1000*2</f>
        <v>#REF!</v>
      </c>
      <c r="DJ38" s="4" t="e">
        <f>$DJ$23*VLOOKUP($DJ$26,'x Malzemeler ve Özellikleri'!$O$2:$AJ$136,xHesaplama!U38,0)</f>
        <v>#REF!</v>
      </c>
      <c r="DK38" s="4" t="e">
        <f>$DK$23*VLOOKUP($DK$26,'x Malzemeler ve Özellikleri'!$O$2:$AJ$136,xHesaplama!U38,0)</f>
        <v>#REF!</v>
      </c>
      <c r="DL38" s="4" t="e">
        <f>(X38+$DL$23)*VLOOKUP($DL$26,'x Malzemeler ve Özellikleri'!$O$2:$AJ$136,xHesaplama!U38,0)/1000</f>
        <v>#REF!</v>
      </c>
      <c r="DM38" s="4" t="e">
        <f>(X38+$DM$23)*VLOOKUP($DM$26,'x Malzemeler ve Özellikleri'!$O$2:$AJ$136,xHesaplama!U38,0)/1000</f>
        <v>#REF!</v>
      </c>
      <c r="DN38" s="4" t="e">
        <f>(X38+$DN$23)*VLOOKUP($DN$26,'x Malzemeler ve Özellikleri'!$O$2:$AJ$136,xHesaplama!U38,0)/1000</f>
        <v>#REF!</v>
      </c>
      <c r="DO38" s="4" t="e">
        <f>(X38+$DO$23)*VLOOKUP($DO$26,'x Malzemeler ve Özellikleri'!$O$2:$AJ$136,xHesaplama!U38,0)/1000</f>
        <v>#REF!</v>
      </c>
      <c r="DP38" s="23" t="e">
        <f>ROUNDUP(Y38/300,0)*4*VLOOKUP($DP$26,'x Malzemeler ve Özellikleri'!$O$2:$AJ$136,xHesaplama!U38,0)</f>
        <v>#REF!</v>
      </c>
      <c r="DQ38" s="4" t="e">
        <f>(X38+$DQ$23)*VLOOKUP($DQ$26,'x Malzemeler ve Özellikleri'!$O$2:$AJ$136,xHesaplama!U38,0)/1000</f>
        <v>#REF!</v>
      </c>
      <c r="DR38" s="4" t="e">
        <f>(Y38+$DR$23)*VLOOKUP($DR$26,'x Malzemeler ve Özellikleri'!$O$2:$AJ$136,xHesaplama!U38,0)/1000*2</f>
        <v>#REF!</v>
      </c>
      <c r="DS38" s="4" t="e">
        <f>(Y38+$DS$23)*VLOOKUP($DS$26,'x Malzemeler ve Özellikleri'!$O$2:$AJ$136,xHesaplama!U38,0)/1000*2</f>
        <v>#REF!</v>
      </c>
      <c r="DT38" s="4" t="e">
        <f>$DT$23*VLOOKUP($DT$26,'x Malzemeler ve Özellikleri'!$O$2:$AJ$136,xHesaplama!U38,0)</f>
        <v>#REF!</v>
      </c>
      <c r="DU38" s="4" t="e">
        <f>(X38+$DU$23)*VLOOKUP($DU$26,'x Malzemeler ve Özellikleri'!$O$2:$AJ$136,xHesaplama!U38,0)/1000</f>
        <v>#REF!</v>
      </c>
      <c r="DV38" s="4" t="e">
        <f>(2*X38-112-108)*VLOOKUP($DV$26,'x Malzemeler ve Özellikleri'!$O$2:$AJ$136,xHesaplama!U38,0)/1000</f>
        <v>#REF!</v>
      </c>
      <c r="DW38" s="4" t="e">
        <f>$DW$23*VLOOKUP($DW$26,'x Malzemeler ve Özellikleri'!$O$2:$AJ$136,xHesaplama!U38,0)</f>
        <v>#REF!</v>
      </c>
      <c r="DX38" s="4" t="e">
        <f>$DX$23*VLOOKUP($DX$26,'x Malzemeler ve Özellikleri'!$O$2:$AJ$136,xHesaplama!U38,0)</f>
        <v>#REF!</v>
      </c>
      <c r="DY38" s="4" t="e">
        <f>$DY$23*VLOOKUP($DY$26,'x Malzemeler ve Özellikleri'!$O$2:$AJ$136,xHesaplama!U38,0)</f>
        <v>#REF!</v>
      </c>
      <c r="DZ38" s="4" t="e">
        <f>$DZ$23*VLOOKUP($DZ$26,'x Malzemeler ve Özellikleri'!$O$2:$AJ$136,xHesaplama!U38,0)</f>
        <v>#REF!</v>
      </c>
      <c r="EA38" s="4" t="e">
        <f>(X38+$EA$23)*VLOOKUP($EA$26,'x Malzemeler ve Özellikleri'!$O$2:$AJ$136,xHesaplama!U38,0)/1000</f>
        <v>#REF!</v>
      </c>
      <c r="EB38" s="4" t="e">
        <f>(X38+$EB$23)*VLOOKUP($EB$26,'x Malzemeler ve Özellikleri'!$O$2:$AJ$136,xHesaplama!U38,0)/1000</f>
        <v>#REF!</v>
      </c>
      <c r="EC38" s="4" t="e">
        <f>$EC$23*VLOOKUP($EC$26,'x Malzemeler ve Özellikleri'!$O$2:$AJ$136,xHesaplama!U38,0)</f>
        <v>#REF!</v>
      </c>
      <c r="ED38" s="4" t="e">
        <f>(Y38+$ED$23)*VLOOKUP($ED$26,'x Malzemeler ve Özellikleri'!$O$2:$AJ$136,xHesaplama!U38,0)/1000*2</f>
        <v>#REF!</v>
      </c>
      <c r="EE38" s="4" t="e">
        <f>(Y38+$EE$23)*VLOOKUP($EE$26,'x Malzemeler ve Özellikleri'!$O$2:$AJ$136,xHesaplama!U38,0)/1000*2</f>
        <v>#REF!</v>
      </c>
      <c r="EF38" s="4" t="e">
        <f>(Y38+$EF$23)*VLOOKUP($EF$26,'x Malzemeler ve Özellikleri'!$O$2:$AJ$136,xHesaplama!U38,0)/1000*2</f>
        <v>#REF!</v>
      </c>
      <c r="EG38" s="4" t="e">
        <f>$EG$23*VLOOKUP($EG$26,'x Malzemeler ve Özellikleri'!$O$2:$AJ$136,xHesaplama!U38,0)</f>
        <v>#REF!</v>
      </c>
      <c r="EH38" s="4" t="e">
        <f>$EH$23*VLOOKUP($EH$26,'x Malzemeler ve Özellikleri'!$O$2:$AJ$136,xHesaplama!U38,0)</f>
        <v>#REF!</v>
      </c>
      <c r="EI38" s="4" t="e">
        <f>$EI$23*VLOOKUP($EI$26,'x Malzemeler ve Özellikleri'!$O$2:$AJ$136,xHesaplama!U38,0)</f>
        <v>#REF!</v>
      </c>
      <c r="EJ38" s="4" t="e">
        <f>$EJ$23*VLOOKUP($EJ$26,'x Malzemeler ve Özellikleri'!$O$2:$AJ$136,xHesaplama!U38,0)</f>
        <v>#REF!</v>
      </c>
      <c r="EK38" s="4" t="e">
        <f>$EK$23*VLOOKUP($EK$26,'x Malzemeler ve Özellikleri'!$O$2:$AJ$136,xHesaplama!U38,0)</f>
        <v>#REF!</v>
      </c>
      <c r="EL38" s="4" t="e">
        <f>$EL$23*VLOOKUP($EL$26,'x Malzemeler ve Özellikleri'!$O$2:$AJ$136,xHesaplama!U38,0)</f>
        <v>#REF!</v>
      </c>
      <c r="EM38" s="4" t="e">
        <f>(X38+$EM$23)*VLOOKUP($EM$26,'x Malzemeler ve Özellikleri'!$O$2:$AJ$136,xHesaplama!U38,0)/1000</f>
        <v>#REF!</v>
      </c>
      <c r="EN38" s="4" t="e">
        <f>(X38+$EN$23)*VLOOKUP($EN$26,'x Malzemeler ve Özellikleri'!$O$2:$AJ$136,xHesaplama!U38,0)/1000</f>
        <v>#REF!</v>
      </c>
      <c r="EO38" s="4" t="e">
        <f>(X38+$EO$23)*VLOOKUP($EO$26,'x Malzemeler ve Özellikleri'!$O$2:$AJ$136,xHesaplama!U38,0)/1000</f>
        <v>#REF!</v>
      </c>
      <c r="EP38" s="4" t="e">
        <f>(X38+$EP$23)*VLOOKUP($EP$26,'x Malzemeler ve Özellikleri'!$O$2:$AJ$136,xHesaplama!U38,0)/1000</f>
        <v>#REF!</v>
      </c>
      <c r="EQ38" s="4" t="e">
        <f>(X38+$EQ$23)*VLOOKUP($EQ$26,'x Malzemeler ve Özellikleri'!$O$2:$AJ$136,xHesaplama!U38,0)/1000</f>
        <v>#REF!</v>
      </c>
      <c r="ER38" s="4" t="e">
        <f>$ER$23*VLOOKUP($ER$26,'x Malzemeler ve Özellikleri'!$O$2:$AJ$136,xHesaplama!U38,0)</f>
        <v>#REF!</v>
      </c>
      <c r="ES38" s="4" t="e">
        <f>(X38+$ES$23)*VLOOKUP($ES$26,'x Malzemeler ve Özellikleri'!$O$2:$AJ$136,xHesaplama!U38,0)/1000</f>
        <v>#REF!</v>
      </c>
      <c r="ET38" s="4" t="e">
        <f>(2*X38-112-108)*VLOOKUP($ET$26,'x Malzemeler ve Özellikleri'!$O$2:$AJ$136,xHesaplama!U38,0)/1000</f>
        <v>#REF!</v>
      </c>
      <c r="EU38" s="4" t="e">
        <f>$EU$23*VLOOKUP($EU$26,'x Malzemeler ve Özellikleri'!$O$2:$AJ$136,xHesaplama!U38,0)</f>
        <v>#REF!</v>
      </c>
      <c r="EV38" s="4" t="e">
        <f>$EV$23*VLOOKUP($EV$26,'x Malzemeler ve Özellikleri'!$O$2:$AJ$136,xHesaplama!U38,0)</f>
        <v>#REF!</v>
      </c>
      <c r="EW38" s="4" t="e">
        <f>$EW$23*VLOOKUP($EW$26,'x Malzemeler ve Özellikleri'!$O$2:$AJ$136,xHesaplama!U38,0)</f>
        <v>#REF!</v>
      </c>
      <c r="EX38" s="4" t="e">
        <f>$EX$23*VLOOKUP($EX$26,'x Malzemeler ve Özellikleri'!$O$2:$AJ$136,xHesaplama!U38,0)</f>
        <v>#REF!</v>
      </c>
      <c r="EY38" s="4" t="e">
        <f>(X38+$EY$23)*VLOOKUP($EY$26,'x Malzemeler ve Özellikleri'!$O$2:$AJ$136,xHesaplama!U38,0)/1000</f>
        <v>#REF!</v>
      </c>
      <c r="EZ38" s="4" t="e">
        <f>(X38+$EZ$23)*VLOOKUP($EZ$26,'x Malzemeler ve Özellikleri'!$O$2:$AJ$136,xHesaplama!U38,0)/1000</f>
        <v>#REF!</v>
      </c>
      <c r="FA38" s="4" t="e">
        <f>$FA$23*VLOOKUP($FA$26,'x Malzemeler ve Özellikleri'!$O$2:$AJ$136,xHesaplama!U38,0)</f>
        <v>#REF!</v>
      </c>
      <c r="FB38" s="4" t="e">
        <f>$FB$23*VLOOKUP($FB$26,'x Malzemeler ve Özellikleri'!$O$2:$AJ$136,xHesaplama!U38,0)</f>
        <v>#REF!</v>
      </c>
      <c r="FC38" s="4" t="e">
        <f>$FC$23*VLOOKUP($FC$26,'x Malzemeler ve Özellikleri'!$O$2:$AJ$136,xHesaplama!U38,0)</f>
        <v>#REF!</v>
      </c>
      <c r="FD38" s="4" t="e">
        <f>$FD$23*VLOOKUP($FD$26,'x Malzemeler ve Özellikleri'!$O$2:$AJ$136,xHesaplama!U38,0)</f>
        <v>#REF!</v>
      </c>
      <c r="FE38" s="4" t="e">
        <f>$FE$23*VLOOKUP($FE$26,'x Malzemeler ve Özellikleri'!$O$2:$AJ$136,xHesaplama!U38,0)</f>
        <v>#REF!</v>
      </c>
      <c r="FF38" s="4" t="e">
        <f>$FF$23*VLOOKUP($FF$26,'x Malzemeler ve Özellikleri'!$O$2:$AJ$136,xHesaplama!U38,0)</f>
        <v>#REF!</v>
      </c>
      <c r="FG38" s="4" t="e">
        <f>$FG$23*VLOOKUP($FG$26,'x Malzemeler ve Özellikleri'!$O$2:$AJ$136,xHesaplama!U38,0)</f>
        <v>#REF!</v>
      </c>
      <c r="FH38" s="4" t="e">
        <f>$FH$23*VLOOKUP($FH$26,'x Malzemeler ve Özellikleri'!$O$2:$AJ$136,xHesaplama!U38,0)</f>
        <v>#REF!</v>
      </c>
    </row>
    <row r="39" spans="1:168">
      <c r="A39" s="4">
        <f>'1PROJE'!B19</f>
        <v>13</v>
      </c>
      <c r="B39" s="4">
        <f>'1PROJE'!C19</f>
        <v>0</v>
      </c>
      <c r="C39" s="4">
        <f>'1PROJE'!D19</f>
        <v>0</v>
      </c>
      <c r="D39" s="4">
        <f>'1PROJE'!E19</f>
        <v>0</v>
      </c>
      <c r="E39" s="4">
        <f>'1PROJE'!F19</f>
        <v>0</v>
      </c>
      <c r="F39" s="4">
        <f>'1PROJE'!G19</f>
        <v>0</v>
      </c>
      <c r="G39" s="4">
        <f>'1PROJE'!H19</f>
        <v>0</v>
      </c>
      <c r="H39" s="4">
        <f>'1PROJE'!I19</f>
        <v>0</v>
      </c>
      <c r="I39" s="4">
        <f>'1PROJE'!K19</f>
        <v>0</v>
      </c>
      <c r="J39" s="4">
        <f>'1PROJE'!L19</f>
        <v>0</v>
      </c>
      <c r="K39" s="4">
        <f>'1PROJE'!M19</f>
        <v>0</v>
      </c>
      <c r="L39" s="4">
        <f>'1PROJE'!N19</f>
        <v>0</v>
      </c>
      <c r="M39" s="4">
        <f>'1PROJE'!O19</f>
        <v>0</v>
      </c>
      <c r="N39" s="4">
        <f t="shared" si="3"/>
        <v>4</v>
      </c>
      <c r="O39" s="4">
        <f>'1PROJE'!P19</f>
        <v>0</v>
      </c>
      <c r="P39" s="4">
        <f>'1PROJE'!R19</f>
        <v>0</v>
      </c>
      <c r="Q39" s="4">
        <f>'1PROJE'!S19</f>
        <v>0</v>
      </c>
      <c r="R39" s="4">
        <f>'1PROJE'!T19</f>
        <v>0</v>
      </c>
      <c r="S39" s="4"/>
      <c r="U39" s="4" t="e">
        <f t="shared" si="1"/>
        <v>#N/A</v>
      </c>
      <c r="V39" s="4" t="e">
        <f>VLOOKUP(B39,'x Açılır Listeler'!$A$2:$B$15,2,0)</f>
        <v>#N/A</v>
      </c>
      <c r="W39" s="4" t="e">
        <f>VLOOKUP(B39,'x Açılır Listeler'!$A$2:$C$15,3,0)*2</f>
        <v>#N/A</v>
      </c>
      <c r="X39" s="4">
        <f t="shared" si="4"/>
        <v>0</v>
      </c>
      <c r="Y39" s="4">
        <f t="shared" si="5"/>
        <v>0</v>
      </c>
      <c r="Z39" s="4" t="s">
        <v>405</v>
      </c>
      <c r="AA39" s="4">
        <f t="shared" si="2"/>
        <v>25</v>
      </c>
      <c r="AB39" s="38" t="e">
        <f>VLOOKUP(J39,'x Malzemeler ve Özellikleri'!$N$147:$R$167,5,0)</f>
        <v>#N/A</v>
      </c>
      <c r="AC39" s="46" t="e">
        <f>IF('1PROJE'!J19="",VLOOKUP(H39,'x Malzemeler ve Özellikleri'!$N$137:$R$146,5,0),'1PROJE'!J19)</f>
        <v>#N/A</v>
      </c>
      <c r="AD39" s="52">
        <f t="shared" si="6"/>
        <v>-2.8511999999999999E-2</v>
      </c>
      <c r="AE39" s="46" t="e">
        <f t="shared" si="7"/>
        <v>#N/A</v>
      </c>
      <c r="AF39" s="46">
        <f>IF(O39="VAR",IF('1PROJE'!Q19="",$AI$10,'1PROJE'!Q19),0)</f>
        <v>0</v>
      </c>
      <c r="AG39" s="4" t="e">
        <f>IF('1PROJE'!S19="",VLOOKUP(xHesaplama!P39,'x Malzemeler ve Özellikleri'!$AS$2:$AT$11,2,0),'1PROJE'!S19/'1PROJE'!$P$3)</f>
        <v>#N/A</v>
      </c>
      <c r="AH39" s="4" t="e">
        <f>(X39+$AH$23)*VLOOKUP($AH$26,'x Malzemeler ve Özellikleri'!$O$2:$AJ$136,xHesaplama!U39,0)/1000</f>
        <v>#REF!</v>
      </c>
      <c r="AI39" s="4" t="e">
        <f>(X39+$AI$23)*VLOOKUP($AI$26,'x Malzemeler ve Özellikleri'!$O$2:$AJ$136,xHesaplama!U39,0)/1000</f>
        <v>#REF!</v>
      </c>
      <c r="AJ39" s="4" t="e">
        <f>(X39+$AJ$23)*VLOOKUP($AJ$26,'x Malzemeler ve Özellikleri'!$O$2:$AJ$136,xHesaplama!U39,0)/1000</f>
        <v>#REF!</v>
      </c>
      <c r="AK39" s="4" t="e">
        <f>(X39+$AK$23)*VLOOKUP($AK$26,'x Malzemeler ve Özellikleri'!$O$2:$AJ$136,xHesaplama!U39,0)/1000</f>
        <v>#REF!</v>
      </c>
      <c r="AL39" s="4" t="e">
        <f>(Y39+$AL$23)*VLOOKUP($AL$26,'x Malzemeler ve Özellikleri'!$O$2:$AJ$136,xHesaplama!U39,0)/1000*2</f>
        <v>#REF!</v>
      </c>
      <c r="AM39" s="4" t="e">
        <f>IF(AND(X39&lt;4500,Y39&lt;4500,X39*Y39/1000000&lt;12),(X39+$AM$23)*VLOOKUP($AM$26,'x Malzemeler ve Özellikleri'!$O$2:$AJ$136,xHesaplama!U39,0)/1000,0)</f>
        <v>#REF!</v>
      </c>
      <c r="AN39" s="4">
        <f>IF(OR(X39&gt;=4500,Y39&gt;=4500,X39*Y39/1000000&gt;=12),(X39+$AN$23)*VLOOKUP($AN$26,'x Malzemeler ve Özellikleri'!$O$2:$AJ$136,xHesaplama!U39,0)/1000,0)</f>
        <v>0</v>
      </c>
      <c r="AO39" s="4" t="e">
        <f>(Y39+$AO$23)*VLOOKUP($AO$26,'x Malzemeler ve Özellikleri'!$O$2:$AJ$136,xHesaplama!U39,0)/1000*2</f>
        <v>#REF!</v>
      </c>
      <c r="AP39" s="4" t="e">
        <f>$AP$23*VLOOKUP($AP$26,'x Malzemeler ve Özellikleri'!$O$2:$AJ$136,xHesaplama!U39,0)</f>
        <v>#REF!</v>
      </c>
      <c r="AQ39" s="4" t="e">
        <f>$AQ$23*VLOOKUP($AQ$26,'x Malzemeler ve Özellikleri'!$O$2:$AJ$136,xHesaplama!U39,0)</f>
        <v>#REF!</v>
      </c>
      <c r="AR39" s="4" t="e">
        <f>$AR$23*VLOOKUP($AR$26,'x Malzemeler ve Özellikleri'!$O$2:$AJ$136,xHesaplama!U39,0)</f>
        <v>#REF!</v>
      </c>
      <c r="AS39" s="4" t="e">
        <f>$AS$23*VLOOKUP($AS$26,'x Malzemeler ve Özellikleri'!$O$2:$AJ$136,xHesaplama!U39,0)</f>
        <v>#REF!</v>
      </c>
      <c r="AT39" s="4" t="e">
        <f>$AT$23*VLOOKUP($AT$26,'x Malzemeler ve Özellikleri'!$O$2:$AJ$136,xHesaplama!U39,0)</f>
        <v>#REF!</v>
      </c>
      <c r="AU39" s="4" t="e">
        <f>$AU$23*VLOOKUP($AU$26,'x Malzemeler ve Özellikleri'!$O$2:$AJ$136,xHesaplama!U39,0)</f>
        <v>#REF!</v>
      </c>
      <c r="AV39" s="4" t="e">
        <f>$AV$23*VLOOKUP($AV$26,'x Malzemeler ve Özellikleri'!$O$2:$AJ$136,xHesaplama!U39,0)</f>
        <v>#REF!</v>
      </c>
      <c r="AW39" s="4" t="e">
        <f>(Y39+$AW$23)*VLOOKUP($AW$26,'x Malzemeler ve Özellikleri'!$O$2:$AJ$136,xHesaplama!U39,0)/1000*2</f>
        <v>#REF!</v>
      </c>
      <c r="AX39" s="4" t="e">
        <f>$AX$23*VLOOKUP($AX$26,'x Malzemeler ve Özellikleri'!$O$2:$AJ$136,xHesaplama!U39,0)</f>
        <v>#REF!</v>
      </c>
      <c r="AY39" s="4" t="e">
        <f>$AY$23*VLOOKUP($AY$26,'x Malzemeler ve Özellikleri'!$O$2:$AJ$136,xHesaplama!U39,0)</f>
        <v>#REF!</v>
      </c>
      <c r="AZ39" s="23" t="e">
        <f>ROUNDUP(Y39/300,0)*4*VLOOKUP($AZ$26,'x Malzemeler ve Özellikleri'!$O$2:$AJ$136,xHesaplama!U39,0)</f>
        <v>#REF!</v>
      </c>
      <c r="BA39" s="4" t="e">
        <f>(2*X39-155-183)*VLOOKUP($BA$26,'x Malzemeler ve Özellikleri'!$O$2:$AJ$136,xHesaplama!U39,0)/1000</f>
        <v>#REF!</v>
      </c>
      <c r="BB39" s="4" t="e">
        <f>$BB$23*VLOOKUP($BB$26,'x Malzemeler ve Özellikleri'!$O$2:$AJ$136,xHesaplama!U39,0)</f>
        <v>#REF!</v>
      </c>
      <c r="BC39" s="4" t="e">
        <f>$BC$23*VLOOKUP($BC$26,'x Malzemeler ve Özellikleri'!$O$2:$AJ$136,xHesaplama!U39,0)</f>
        <v>#REF!</v>
      </c>
      <c r="BD39" s="4" t="e">
        <f>$BD$23*VLOOKUP($BD$26,'x Malzemeler ve Özellikleri'!$O$2:$AJ$136,xHesaplama!U39,0)</f>
        <v>#REF!</v>
      </c>
      <c r="BE39" s="4" t="e">
        <f>$BE$23*VLOOKUP($BE$26,'x Malzemeler ve Özellikleri'!$O$2:$AJ$136,xHesaplama!U39,0)</f>
        <v>#REF!</v>
      </c>
      <c r="BF39" s="4" t="e">
        <f>$BF$23*VLOOKUP($BF$26,'x Malzemeler ve Özellikleri'!$O$2:$AJ$136,xHesaplama!U39,0)</f>
        <v>#REF!</v>
      </c>
      <c r="BG39" s="4" t="e">
        <f>$BG$23*VLOOKUP($BG$26,'x Malzemeler ve Özellikleri'!$O$2:$AJ$136,xHesaplama!U39,0)</f>
        <v>#REF!</v>
      </c>
      <c r="BH39" s="4" t="e">
        <f>$BH$23*VLOOKUP($BH$26,'x Malzemeler ve Özellikleri'!$O$2:$AJ$136,xHesaplama!U39,0)*N39</f>
        <v>#REF!</v>
      </c>
      <c r="BI39" s="4" t="e">
        <f>$BI$23*VLOOKUP($BI$26,'x Malzemeler ve Özellikleri'!$O$2:$AJ$136,xHesaplama!U39,0)</f>
        <v>#REF!</v>
      </c>
      <c r="BJ39" s="4" t="e">
        <f>$BJ$23*VLOOKUP($BJ$26,'x Malzemeler ve Özellikleri'!$O$2:$AJ$136,xHesaplama!U39,0)</f>
        <v>#REF!</v>
      </c>
      <c r="BK39" s="4" t="e">
        <f>$BK$23*VLOOKUP($BK$26,'x Malzemeler ve Özellikleri'!$O$2:$AJ$136,xHesaplama!U39,0)</f>
        <v>#REF!</v>
      </c>
      <c r="BL39" s="4" t="e">
        <f>$BL$23*VLOOKUP($BL$26,'x Malzemeler ve Özellikleri'!$O$2:$AJ$136,xHesaplama!U39,0)</f>
        <v>#REF!</v>
      </c>
      <c r="BM39" s="4" t="e">
        <f>$BM$23*VLOOKUP($BM$26,'x Malzemeler ve Özellikleri'!$O$2:$AJ$136,xHesaplama!U39,0)</f>
        <v>#REF!</v>
      </c>
      <c r="BN39" s="4" t="e">
        <f>$BN$23*VLOOKUP($BN$26,'x Malzemeler ve Özellikleri'!$O$2:$AJ$136,xHesaplama!U39,0)</f>
        <v>#REF!</v>
      </c>
      <c r="BO39" s="4" t="e">
        <f>(2*(2*X39+Y39*2)*VLOOKUP($BO$26,'x Malzemeler ve Özellikleri'!$O$2:$AJ$136,xHesaplama!U39,0)/1000)</f>
        <v>#REF!</v>
      </c>
      <c r="BP39" s="4" t="e">
        <f>(X39+$BP$23)*VLOOKUP($BP$26,'x Malzemeler ve Özellikleri'!$O$2:$AJ$136,xHesaplama!U39,0)/1000</f>
        <v>#REF!</v>
      </c>
      <c r="BQ39" s="4" t="e">
        <f>(X39+$BQ$23)*VLOOKUP($BQ$26,'x Malzemeler ve Özellikleri'!$O$2:$AJ$136,xHesaplama!U39,0)/1000</f>
        <v>#REF!</v>
      </c>
      <c r="BR39" s="4" t="e">
        <f>(X39+$BR$23)*VLOOKUP($BR$26,'x Malzemeler ve Özellikleri'!$O$2:$AJ$136,xHesaplama!U39,0)/1000</f>
        <v>#REF!</v>
      </c>
      <c r="BS39" s="4" t="e">
        <f>(X39+$BS$23)*VLOOKUP($BS$26,'x Malzemeler ve Özellikleri'!$O$2:$AJ$136,xHesaplama!U39,0)/1000</f>
        <v>#REF!</v>
      </c>
      <c r="BT39" s="4" t="e">
        <f>$BT$23*VLOOKUP($BT$26,'x Malzemeler ve Özellikleri'!$O$2:$AJ$136,xHesaplama!U39,0)</f>
        <v>#REF!</v>
      </c>
      <c r="BU39" s="4" t="e">
        <f>(Y39+$BU$23)*VLOOKUP($BU$26,'x Malzemeler ve Özellikleri'!$O$2:$AJ$136,xHesaplama!U39,0)/1000*2</f>
        <v>#REF!</v>
      </c>
      <c r="BV39" s="4" t="e">
        <f>(X39+$BV$23)*VLOOKUP($BV$26,'x Malzemeler ve Özellikleri'!$O$2:$AJ$136,xHesaplama!U39,0)/1000</f>
        <v>#REF!</v>
      </c>
      <c r="BW39" s="4" t="e">
        <f>$BW$23*VLOOKUP($BW$26,'x Malzemeler ve Özellikleri'!$O$2:$AJ$136,xHesaplama!U39,0)</f>
        <v>#REF!</v>
      </c>
      <c r="BX39" s="23" t="e">
        <f>ROUNDUP(Y39/300,0)*4*VLOOKUP($BX$26,'x Malzemeler ve Özellikleri'!$O$2:$AJ$136,xHesaplama!U39,0)</f>
        <v>#REF!</v>
      </c>
      <c r="BY39" s="4" t="e">
        <f>$BY$23*VLOOKUP($BY$26,'x Malzemeler ve Özellikleri'!$O$2:$AJ$136,xHesaplama!U39,0)</f>
        <v>#REF!</v>
      </c>
      <c r="BZ39" s="4" t="e">
        <f>$BZ$23*VLOOKUP($BZ$26,'x Malzemeler ve Özellikleri'!$O$2:$AJ$136,xHesaplama!U39,0)</f>
        <v>#REF!</v>
      </c>
      <c r="CA39" s="4" t="e">
        <f>(X39+$CA$23)*VLOOKUP($CA$26,'x Malzemeler ve Özellikleri'!$O$2:$AJ$136,xHesaplama!U39,0)/1000</f>
        <v>#REF!</v>
      </c>
      <c r="CB39" s="4" t="e">
        <f>(X39+$CB$23)*VLOOKUP($CB$26,'x Malzemeler ve Özellikleri'!$O$2:$AJ$136,xHesaplama!U39,0)/1000</f>
        <v>#REF!</v>
      </c>
      <c r="CC39" s="4" t="e">
        <f>$CC$23*VLOOKUP($CC$26,'x Malzemeler ve Özellikleri'!$O$2:$AJ$136,xHesaplama!U39,0)</f>
        <v>#REF!</v>
      </c>
      <c r="CD39" s="4" t="e">
        <f>(X39+$CD$23)*VLOOKUP($CD$26,'x Malzemeler ve Özellikleri'!$O$2:$AJ$136,xHesaplama!U39,0)/1000</f>
        <v>#REF!</v>
      </c>
      <c r="CE39" s="4" t="e">
        <f>(2*X39-120-122)*VLOOKUP($CE$26,'x Malzemeler ve Özellikleri'!$O$2:$AJ$136,xHesaplama!U39,0)/1000</f>
        <v>#REF!</v>
      </c>
      <c r="CF39" s="4" t="e">
        <f>(Y39+$CF$23)*VLOOKUP($CF$26,'x Malzemeler ve Özellikleri'!$O$2:$AJ$136,xHesaplama!U39,0)/1000*2</f>
        <v>#REF!</v>
      </c>
      <c r="CG39" s="4" t="e">
        <f>$CG$23*VLOOKUP($CG$26,'x Malzemeler ve Özellikleri'!$O$2:$AJ$136,xHesaplama!U39,0)</f>
        <v>#REF!</v>
      </c>
      <c r="CH39" s="4" t="e">
        <f>(Y39+$CH$23)*VLOOKUP($CH$26,'x Malzemeler ve Özellikleri'!$O$2:$AJ$136,xHesaplama!U39,0)/1000*2</f>
        <v>#REF!</v>
      </c>
      <c r="CI39" s="4" t="e">
        <f>(Y39+$CI$23)*VLOOKUP($CI$26,'x Malzemeler ve Özellikleri'!$O$2:$AJ$136,xHesaplama!U39,0)/1000*2</f>
        <v>#REF!</v>
      </c>
      <c r="CJ39" s="4" t="e">
        <f>$CJ$23*VLOOKUP($CJ$26,'x Malzemeler ve Özellikleri'!$O$2:$AJ$136,xHesaplama!U39,0)</f>
        <v>#REF!</v>
      </c>
      <c r="CK39" s="4" t="e">
        <f>$CK$23*VLOOKUP($CK$26,'x Malzemeler ve Özellikleri'!$O$2:$AJ$136,xHesaplama!U39,0)</f>
        <v>#REF!</v>
      </c>
      <c r="CL39" s="4" t="e">
        <f>$CL$23*VLOOKUP($CL$26,'x Malzemeler ve Özellikleri'!$O$2:$AJ$136,xHesaplama!U39,0)</f>
        <v>#REF!</v>
      </c>
      <c r="CM39" s="4" t="e">
        <f>(X39+$CM$23)*VLOOKUP($CM$26,'x Malzemeler ve Özellikleri'!$O$2:$AJ$136,xHesaplama!U39,0)/1000</f>
        <v>#REF!</v>
      </c>
      <c r="CN39" s="4" t="e">
        <f>(X39+$CN$23)*VLOOKUP($CN$26,'x Malzemeler ve Özellikleri'!$O$2:$AJ$136,xHesaplama!U39,0)/1000</f>
        <v>#REF!</v>
      </c>
      <c r="CO39" s="4" t="e">
        <f>(X39+$CO$23)*VLOOKUP($CO$26,'x Malzemeler ve Özellikleri'!$O$2:$AJ$136,xHesaplama!U39,0)/1000</f>
        <v>#REF!</v>
      </c>
      <c r="CP39" s="4" t="e">
        <f>(X39+$CP$23)*VLOOKUP($CP$26,'x Malzemeler ve Özellikleri'!$O$2:$AJ$136,xHesaplama!U39,0)/1000</f>
        <v>#REF!</v>
      </c>
      <c r="CQ39" s="23" t="e">
        <f>ROUNDUP(Y39/300,0)*4*VLOOKUP($CQ$26,'x Malzemeler ve Özellikleri'!$O$2:$AJ$136,xHesaplama!U39,0)</f>
        <v>#REF!</v>
      </c>
      <c r="CR39" s="4" t="e">
        <f>(X39+$CR$23)*VLOOKUP($CR$26,'x Malzemeler ve Özellikleri'!$O$2:$AJ$136,xHesaplama!U39,0)/1000</f>
        <v>#REF!</v>
      </c>
      <c r="CS39" s="4" t="e">
        <f>$CS$23*VLOOKUP($CS$26,'x Malzemeler ve Özellikleri'!$O$2:$AJ$136,xHesaplama!U39,0)</f>
        <v>#REF!</v>
      </c>
      <c r="CT39" s="4" t="e">
        <f>$CT$23*VLOOKUP($CT$26,'x Malzemeler ve Özellikleri'!$O$2:$AJ$136,xHesaplama!U39,0)</f>
        <v>#REF!</v>
      </c>
      <c r="CU39" s="4" t="e">
        <f>(Y39+$CU$23)*VLOOKUP($CU$26,'x Malzemeler ve Özellikleri'!$O$2:$AJ$136,xHesaplama!U39,0)/1000*2</f>
        <v>#REF!</v>
      </c>
      <c r="CV39" s="4" t="e">
        <f>(Y39+$CV$23)*VLOOKUP($CV$26,'x Malzemeler ve Özellikleri'!$O$2:$AJ$136,xHesaplama!U39,0)/1000*2</f>
        <v>#REF!</v>
      </c>
      <c r="CW39" s="4" t="e">
        <f>$CW$23*VLOOKUP($CW$26,'x Malzemeler ve Özellikleri'!$O$2:$AJ$136,xHesaplama!U39,0)</f>
        <v>#REF!</v>
      </c>
      <c r="CX39" s="4" t="e">
        <f>(X39+$CX$23)*VLOOKUP($CX$26,'x Malzemeler ve Özellikleri'!$O$2:$AJ$136,xHesaplama!U39,0)/1000</f>
        <v>#REF!</v>
      </c>
      <c r="CY39" s="4" t="e">
        <f>(2*X39-112-108)*VLOOKUP($CY$26,'x Malzemeler ve Özellikleri'!$O$2:$AJ$136,xHesaplama!U39,0)/1000</f>
        <v>#REF!</v>
      </c>
      <c r="CZ39" s="4" t="e">
        <f>$CZ$23*VLOOKUP($CZ$26,'x Malzemeler ve Özellikleri'!$O$2:$AJ$136,xHesaplama!U39,0)</f>
        <v>#REF!</v>
      </c>
      <c r="DA39" s="4" t="e">
        <f>$DA$23*VLOOKUP($DA$26,'x Malzemeler ve Özellikleri'!$O$2:$AJ$136,xHesaplama!U39,0)</f>
        <v>#REF!</v>
      </c>
      <c r="DB39" s="4" t="e">
        <f>$DB$23*VLOOKUP($DB$26,'x Malzemeler ve Özellikleri'!$O$2:$AJ$136,xHesaplama!U39,0)</f>
        <v>#REF!</v>
      </c>
      <c r="DC39" s="4" t="e">
        <f>$DC$23*VLOOKUP($DC$26,'x Malzemeler ve Özellikleri'!$O$2:$AJ$136,xHesaplama!U39,0)</f>
        <v>#REF!</v>
      </c>
      <c r="DD39" s="4" t="e">
        <f>(X39+$DD$23)*VLOOKUP($DD$26,'x Malzemeler ve Özellikleri'!$O$2:$AJ$136,xHesaplama!U39,0)/1000</f>
        <v>#REF!</v>
      </c>
      <c r="DE39" s="4" t="e">
        <f>(X39+$DE$23)*VLOOKUP($DE$26,'x Malzemeler ve Özellikleri'!$O$2:$AJ$136,xHesaplama!U39,0)/1000</f>
        <v>#REF!</v>
      </c>
      <c r="DF39" s="4" t="e">
        <f>$DF$23*VLOOKUP($DF$26,'x Malzemeler ve Özellikleri'!$O$2:$AJ$136,xHesaplama!U39,0)</f>
        <v>#REF!</v>
      </c>
      <c r="DG39" s="4" t="e">
        <f>(Y39+$DG$23)*VLOOKUP($DG$26,'x Malzemeler ve Özellikleri'!$O$2:$AJ$136,xHesaplama!U39,0)/1000*2</f>
        <v>#REF!</v>
      </c>
      <c r="DH39" s="4" t="e">
        <f>(Y39+$DH$23)*VLOOKUP($DH$26,'x Malzemeler ve Özellikleri'!$O$2:$AJ$136,xHesaplama!U39,0)/1000*2</f>
        <v>#REF!</v>
      </c>
      <c r="DI39" s="4" t="e">
        <f>(Y39+$DI$23)*VLOOKUP($DI$26,'x Malzemeler ve Özellikleri'!$O$2:$AJ$136,xHesaplama!U39,0)/1000*2</f>
        <v>#REF!</v>
      </c>
      <c r="DJ39" s="4" t="e">
        <f>$DJ$23*VLOOKUP($DJ$26,'x Malzemeler ve Özellikleri'!$O$2:$AJ$136,xHesaplama!U39,0)</f>
        <v>#REF!</v>
      </c>
      <c r="DK39" s="4" t="e">
        <f>$DK$23*VLOOKUP($DK$26,'x Malzemeler ve Özellikleri'!$O$2:$AJ$136,xHesaplama!U39,0)</f>
        <v>#REF!</v>
      </c>
      <c r="DL39" s="4" t="e">
        <f>(X39+$DL$23)*VLOOKUP($DL$26,'x Malzemeler ve Özellikleri'!$O$2:$AJ$136,xHesaplama!U39,0)/1000</f>
        <v>#REF!</v>
      </c>
      <c r="DM39" s="4" t="e">
        <f>(X39+$DM$23)*VLOOKUP($DM$26,'x Malzemeler ve Özellikleri'!$O$2:$AJ$136,xHesaplama!U39,0)/1000</f>
        <v>#REF!</v>
      </c>
      <c r="DN39" s="4" t="e">
        <f>(X39+$DN$23)*VLOOKUP($DN$26,'x Malzemeler ve Özellikleri'!$O$2:$AJ$136,xHesaplama!U39,0)/1000</f>
        <v>#REF!</v>
      </c>
      <c r="DO39" s="4" t="e">
        <f>(X39+$DO$23)*VLOOKUP($DO$26,'x Malzemeler ve Özellikleri'!$O$2:$AJ$136,xHesaplama!U39,0)/1000</f>
        <v>#REF!</v>
      </c>
      <c r="DP39" s="23" t="e">
        <f>ROUNDUP(Y39/300,0)*4*VLOOKUP($DP$26,'x Malzemeler ve Özellikleri'!$O$2:$AJ$136,xHesaplama!U39,0)</f>
        <v>#REF!</v>
      </c>
      <c r="DQ39" s="4" t="e">
        <f>(X39+$DQ$23)*VLOOKUP($DQ$26,'x Malzemeler ve Özellikleri'!$O$2:$AJ$136,xHesaplama!U39,0)/1000</f>
        <v>#REF!</v>
      </c>
      <c r="DR39" s="4" t="e">
        <f>(Y39+$DR$23)*VLOOKUP($DR$26,'x Malzemeler ve Özellikleri'!$O$2:$AJ$136,xHesaplama!U39,0)/1000*2</f>
        <v>#REF!</v>
      </c>
      <c r="DS39" s="4" t="e">
        <f>(Y39+$DS$23)*VLOOKUP($DS$26,'x Malzemeler ve Özellikleri'!$O$2:$AJ$136,xHesaplama!U39,0)/1000*2</f>
        <v>#REF!</v>
      </c>
      <c r="DT39" s="4" t="e">
        <f>$DT$23*VLOOKUP($DT$26,'x Malzemeler ve Özellikleri'!$O$2:$AJ$136,xHesaplama!U39,0)</f>
        <v>#REF!</v>
      </c>
      <c r="DU39" s="4" t="e">
        <f>(X39+$DU$23)*VLOOKUP($DU$26,'x Malzemeler ve Özellikleri'!$O$2:$AJ$136,xHesaplama!U39,0)/1000</f>
        <v>#REF!</v>
      </c>
      <c r="DV39" s="4" t="e">
        <f>(2*X39-112-108)*VLOOKUP($DV$26,'x Malzemeler ve Özellikleri'!$O$2:$AJ$136,xHesaplama!U39,0)/1000</f>
        <v>#REF!</v>
      </c>
      <c r="DW39" s="4" t="e">
        <f>$DW$23*VLOOKUP($DW$26,'x Malzemeler ve Özellikleri'!$O$2:$AJ$136,xHesaplama!U39,0)</f>
        <v>#REF!</v>
      </c>
      <c r="DX39" s="4" t="e">
        <f>$DX$23*VLOOKUP($DX$26,'x Malzemeler ve Özellikleri'!$O$2:$AJ$136,xHesaplama!U39,0)</f>
        <v>#REF!</v>
      </c>
      <c r="DY39" s="4" t="e">
        <f>$DY$23*VLOOKUP($DY$26,'x Malzemeler ve Özellikleri'!$O$2:$AJ$136,xHesaplama!U39,0)</f>
        <v>#REF!</v>
      </c>
      <c r="DZ39" s="4" t="e">
        <f>$DZ$23*VLOOKUP($DZ$26,'x Malzemeler ve Özellikleri'!$O$2:$AJ$136,xHesaplama!U39,0)</f>
        <v>#REF!</v>
      </c>
      <c r="EA39" s="4" t="e">
        <f>(X39+$EA$23)*VLOOKUP($EA$26,'x Malzemeler ve Özellikleri'!$O$2:$AJ$136,xHesaplama!U39,0)/1000</f>
        <v>#REF!</v>
      </c>
      <c r="EB39" s="4" t="e">
        <f>(X39+$EB$23)*VLOOKUP($EB$26,'x Malzemeler ve Özellikleri'!$O$2:$AJ$136,xHesaplama!U39,0)/1000</f>
        <v>#REF!</v>
      </c>
      <c r="EC39" s="4" t="e">
        <f>$EC$23*VLOOKUP($EC$26,'x Malzemeler ve Özellikleri'!$O$2:$AJ$136,xHesaplama!U39,0)</f>
        <v>#REF!</v>
      </c>
      <c r="ED39" s="4" t="e">
        <f>(Y39+$ED$23)*VLOOKUP($ED$26,'x Malzemeler ve Özellikleri'!$O$2:$AJ$136,xHesaplama!U39,0)/1000*2</f>
        <v>#REF!</v>
      </c>
      <c r="EE39" s="4" t="e">
        <f>(Y39+$EE$23)*VLOOKUP($EE$26,'x Malzemeler ve Özellikleri'!$O$2:$AJ$136,xHesaplama!U39,0)/1000*2</f>
        <v>#REF!</v>
      </c>
      <c r="EF39" s="4" t="e">
        <f>(Y39+$EF$23)*VLOOKUP($EF$26,'x Malzemeler ve Özellikleri'!$O$2:$AJ$136,xHesaplama!U39,0)/1000*2</f>
        <v>#REF!</v>
      </c>
      <c r="EG39" s="4" t="e">
        <f>$EG$23*VLOOKUP($EG$26,'x Malzemeler ve Özellikleri'!$O$2:$AJ$136,xHesaplama!U39,0)</f>
        <v>#REF!</v>
      </c>
      <c r="EH39" s="4" t="e">
        <f>$EH$23*VLOOKUP($EH$26,'x Malzemeler ve Özellikleri'!$O$2:$AJ$136,xHesaplama!U39,0)</f>
        <v>#REF!</v>
      </c>
      <c r="EI39" s="4" t="e">
        <f>$EI$23*VLOOKUP($EI$26,'x Malzemeler ve Özellikleri'!$O$2:$AJ$136,xHesaplama!U39,0)</f>
        <v>#REF!</v>
      </c>
      <c r="EJ39" s="4" t="e">
        <f>$EJ$23*VLOOKUP($EJ$26,'x Malzemeler ve Özellikleri'!$O$2:$AJ$136,xHesaplama!U39,0)</f>
        <v>#REF!</v>
      </c>
      <c r="EK39" s="4" t="e">
        <f>$EK$23*VLOOKUP($EK$26,'x Malzemeler ve Özellikleri'!$O$2:$AJ$136,xHesaplama!U39,0)</f>
        <v>#REF!</v>
      </c>
      <c r="EL39" s="4" t="e">
        <f>$EL$23*VLOOKUP($EL$26,'x Malzemeler ve Özellikleri'!$O$2:$AJ$136,xHesaplama!U39,0)</f>
        <v>#REF!</v>
      </c>
      <c r="EM39" s="4" t="e">
        <f>(X39+$EM$23)*VLOOKUP($EM$26,'x Malzemeler ve Özellikleri'!$O$2:$AJ$136,xHesaplama!U39,0)/1000</f>
        <v>#REF!</v>
      </c>
      <c r="EN39" s="4" t="e">
        <f>(X39+$EN$23)*VLOOKUP($EN$26,'x Malzemeler ve Özellikleri'!$O$2:$AJ$136,xHesaplama!U39,0)/1000</f>
        <v>#REF!</v>
      </c>
      <c r="EO39" s="4" t="e">
        <f>(X39+$EO$23)*VLOOKUP($EO$26,'x Malzemeler ve Özellikleri'!$O$2:$AJ$136,xHesaplama!U39,0)/1000</f>
        <v>#REF!</v>
      </c>
      <c r="EP39" s="4" t="e">
        <f>(X39+$EP$23)*VLOOKUP($EP$26,'x Malzemeler ve Özellikleri'!$O$2:$AJ$136,xHesaplama!U39,0)/1000</f>
        <v>#REF!</v>
      </c>
      <c r="EQ39" s="4" t="e">
        <f>(X39+$EQ$23)*VLOOKUP($EQ$26,'x Malzemeler ve Özellikleri'!$O$2:$AJ$136,xHesaplama!U39,0)/1000</f>
        <v>#REF!</v>
      </c>
      <c r="ER39" s="4" t="e">
        <f>$ER$23*VLOOKUP($ER$26,'x Malzemeler ve Özellikleri'!$O$2:$AJ$136,xHesaplama!U39,0)</f>
        <v>#REF!</v>
      </c>
      <c r="ES39" s="4" t="e">
        <f>(X39+$ES$23)*VLOOKUP($ES$26,'x Malzemeler ve Özellikleri'!$O$2:$AJ$136,xHesaplama!U39,0)/1000</f>
        <v>#REF!</v>
      </c>
      <c r="ET39" s="4" t="e">
        <f>(2*X39-112-108)*VLOOKUP($ET$26,'x Malzemeler ve Özellikleri'!$O$2:$AJ$136,xHesaplama!U39,0)/1000</f>
        <v>#REF!</v>
      </c>
      <c r="EU39" s="4" t="e">
        <f>$EU$23*VLOOKUP($EU$26,'x Malzemeler ve Özellikleri'!$O$2:$AJ$136,xHesaplama!U39,0)</f>
        <v>#REF!</v>
      </c>
      <c r="EV39" s="4" t="e">
        <f>$EV$23*VLOOKUP($EV$26,'x Malzemeler ve Özellikleri'!$O$2:$AJ$136,xHesaplama!U39,0)</f>
        <v>#REF!</v>
      </c>
      <c r="EW39" s="4" t="e">
        <f>$EW$23*VLOOKUP($EW$26,'x Malzemeler ve Özellikleri'!$O$2:$AJ$136,xHesaplama!U39,0)</f>
        <v>#REF!</v>
      </c>
      <c r="EX39" s="4" t="e">
        <f>$EX$23*VLOOKUP($EX$26,'x Malzemeler ve Özellikleri'!$O$2:$AJ$136,xHesaplama!U39,0)</f>
        <v>#REF!</v>
      </c>
      <c r="EY39" s="4" t="e">
        <f>(X39+$EY$23)*VLOOKUP($EY$26,'x Malzemeler ve Özellikleri'!$O$2:$AJ$136,xHesaplama!U39,0)/1000</f>
        <v>#REF!</v>
      </c>
      <c r="EZ39" s="4" t="e">
        <f>(X39+$EZ$23)*VLOOKUP($EZ$26,'x Malzemeler ve Özellikleri'!$O$2:$AJ$136,xHesaplama!U39,0)/1000</f>
        <v>#REF!</v>
      </c>
      <c r="FA39" s="4" t="e">
        <f>$FA$23*VLOOKUP($FA$26,'x Malzemeler ve Özellikleri'!$O$2:$AJ$136,xHesaplama!U39,0)</f>
        <v>#REF!</v>
      </c>
      <c r="FB39" s="4" t="e">
        <f>$FB$23*VLOOKUP($FB$26,'x Malzemeler ve Özellikleri'!$O$2:$AJ$136,xHesaplama!U39,0)</f>
        <v>#REF!</v>
      </c>
      <c r="FC39" s="4" t="e">
        <f>$FC$23*VLOOKUP($FC$26,'x Malzemeler ve Özellikleri'!$O$2:$AJ$136,xHesaplama!U39,0)</f>
        <v>#REF!</v>
      </c>
      <c r="FD39" s="4" t="e">
        <f>$FD$23*VLOOKUP($FD$26,'x Malzemeler ve Özellikleri'!$O$2:$AJ$136,xHesaplama!U39,0)</f>
        <v>#REF!</v>
      </c>
      <c r="FE39" s="4" t="e">
        <f>$FE$23*VLOOKUP($FE$26,'x Malzemeler ve Özellikleri'!$O$2:$AJ$136,xHesaplama!U39,0)</f>
        <v>#REF!</v>
      </c>
      <c r="FF39" s="4" t="e">
        <f>$FF$23*VLOOKUP($FF$26,'x Malzemeler ve Özellikleri'!$O$2:$AJ$136,xHesaplama!U39,0)</f>
        <v>#REF!</v>
      </c>
      <c r="FG39" s="4" t="e">
        <f>$FG$23*VLOOKUP($FG$26,'x Malzemeler ve Özellikleri'!$O$2:$AJ$136,xHesaplama!U39,0)</f>
        <v>#REF!</v>
      </c>
      <c r="FH39" s="4" t="e">
        <f>$FH$23*VLOOKUP($FH$26,'x Malzemeler ve Özellikleri'!$O$2:$AJ$136,xHesaplama!U39,0)</f>
        <v>#REF!</v>
      </c>
    </row>
    <row r="40" spans="1:168">
      <c r="A40" s="4">
        <f>'1PROJE'!B20</f>
        <v>14</v>
      </c>
      <c r="B40" s="4">
        <f>'1PROJE'!C20</f>
        <v>0</v>
      </c>
      <c r="C40" s="4">
        <f>'1PROJE'!D20</f>
        <v>0</v>
      </c>
      <c r="D40" s="4">
        <f>'1PROJE'!E20</f>
        <v>0</v>
      </c>
      <c r="E40" s="4">
        <f>'1PROJE'!F20</f>
        <v>0</v>
      </c>
      <c r="F40" s="4">
        <f>'1PROJE'!G20</f>
        <v>0</v>
      </c>
      <c r="G40" s="4">
        <f>'1PROJE'!H20</f>
        <v>0</v>
      </c>
      <c r="H40" s="4">
        <f>'1PROJE'!I20</f>
        <v>0</v>
      </c>
      <c r="I40" s="4">
        <f>'1PROJE'!K20</f>
        <v>0</v>
      </c>
      <c r="J40" s="4">
        <f>'1PROJE'!L20</f>
        <v>0</v>
      </c>
      <c r="K40" s="4">
        <f>'1PROJE'!M20</f>
        <v>0</v>
      </c>
      <c r="L40" s="4">
        <f>'1PROJE'!N20</f>
        <v>0</v>
      </c>
      <c r="M40" s="4">
        <f>'1PROJE'!O20</f>
        <v>0</v>
      </c>
      <c r="N40" s="4">
        <f t="shared" si="3"/>
        <v>4</v>
      </c>
      <c r="O40" s="4">
        <f>'1PROJE'!P20</f>
        <v>0</v>
      </c>
      <c r="P40" s="4">
        <f>'1PROJE'!R20</f>
        <v>0</v>
      </c>
      <c r="Q40" s="4">
        <f>'1PROJE'!S20</f>
        <v>0</v>
      </c>
      <c r="R40" s="4">
        <f>'1PROJE'!T20</f>
        <v>0</v>
      </c>
      <c r="S40" s="4"/>
      <c r="U40" s="4" t="e">
        <f t="shared" si="1"/>
        <v>#N/A</v>
      </c>
      <c r="V40" s="4" t="e">
        <f>VLOOKUP(B40,'x Açılır Listeler'!$A$2:$B$15,2,0)</f>
        <v>#N/A</v>
      </c>
      <c r="W40" s="4" t="e">
        <f>VLOOKUP(B40,'x Açılır Listeler'!$A$2:$C$15,3,0)*2</f>
        <v>#N/A</v>
      </c>
      <c r="X40" s="4">
        <f t="shared" si="4"/>
        <v>0</v>
      </c>
      <c r="Y40" s="4">
        <f t="shared" si="5"/>
        <v>0</v>
      </c>
      <c r="Z40" s="4" t="s">
        <v>406</v>
      </c>
      <c r="AA40" s="4">
        <f t="shared" si="2"/>
        <v>25</v>
      </c>
      <c r="AB40" s="38" t="e">
        <f>VLOOKUP(J40,'x Malzemeler ve Özellikleri'!$N$147:$R$167,5,0)</f>
        <v>#N/A</v>
      </c>
      <c r="AC40" s="46" t="e">
        <f>IF('1PROJE'!J20="",VLOOKUP(H40,'x Malzemeler ve Özellikleri'!$N$137:$R$146,5,0),'1PROJE'!J20)</f>
        <v>#N/A</v>
      </c>
      <c r="AD40" s="52">
        <f t="shared" si="6"/>
        <v>-2.8511999999999999E-2</v>
      </c>
      <c r="AE40" s="46" t="e">
        <f t="shared" si="7"/>
        <v>#N/A</v>
      </c>
      <c r="AF40" s="46">
        <f>IF(O40="VAR",IF('1PROJE'!Q20="",$AI$10,'1PROJE'!Q20),0)</f>
        <v>0</v>
      </c>
      <c r="AG40" s="4" t="e">
        <f>IF('1PROJE'!S20="",VLOOKUP(xHesaplama!P40,'x Malzemeler ve Özellikleri'!$AS$2:$AT$11,2,0),'1PROJE'!S20/'1PROJE'!$P$3)</f>
        <v>#N/A</v>
      </c>
      <c r="AH40" s="4" t="e">
        <f>(X40+$AH$23)*VLOOKUP($AH$26,'x Malzemeler ve Özellikleri'!$O$2:$AJ$136,xHesaplama!U40,0)/1000</f>
        <v>#REF!</v>
      </c>
      <c r="AI40" s="4" t="e">
        <f>(X40+$AI$23)*VLOOKUP($AI$26,'x Malzemeler ve Özellikleri'!$O$2:$AJ$136,xHesaplama!U40,0)/1000</f>
        <v>#REF!</v>
      </c>
      <c r="AJ40" s="4" t="e">
        <f>(X40+$AJ$23)*VLOOKUP($AJ$26,'x Malzemeler ve Özellikleri'!$O$2:$AJ$136,xHesaplama!U40,0)/1000</f>
        <v>#REF!</v>
      </c>
      <c r="AK40" s="4" t="e">
        <f>(X40+$AK$23)*VLOOKUP($AK$26,'x Malzemeler ve Özellikleri'!$O$2:$AJ$136,xHesaplama!U40,0)/1000</f>
        <v>#REF!</v>
      </c>
      <c r="AL40" s="4" t="e">
        <f>(Y40+$AL$23)*VLOOKUP($AL$26,'x Malzemeler ve Özellikleri'!$O$2:$AJ$136,xHesaplama!U40,0)/1000*2</f>
        <v>#REF!</v>
      </c>
      <c r="AM40" s="4" t="e">
        <f>IF(AND(X40&lt;4500,Y40&lt;4500,X40*Y40/1000000&lt;12),(X40+$AM$23)*VLOOKUP($AM$26,'x Malzemeler ve Özellikleri'!$O$2:$AJ$136,xHesaplama!U40,0)/1000,0)</f>
        <v>#REF!</v>
      </c>
      <c r="AN40" s="4">
        <f>IF(OR(X40&gt;=4500,Y40&gt;=4500,X40*Y40/1000000&gt;=12),(X40+$AN$23)*VLOOKUP($AN$26,'x Malzemeler ve Özellikleri'!$O$2:$AJ$136,xHesaplama!U40,0)/1000,0)</f>
        <v>0</v>
      </c>
      <c r="AO40" s="4" t="e">
        <f>(Y40+$AO$23)*VLOOKUP($AO$26,'x Malzemeler ve Özellikleri'!$O$2:$AJ$136,xHesaplama!U40,0)/1000*2</f>
        <v>#REF!</v>
      </c>
      <c r="AP40" s="4" t="e">
        <f>$AP$23*VLOOKUP($AP$26,'x Malzemeler ve Özellikleri'!$O$2:$AJ$136,xHesaplama!U40,0)</f>
        <v>#REF!</v>
      </c>
      <c r="AQ40" s="4" t="e">
        <f>$AQ$23*VLOOKUP($AQ$26,'x Malzemeler ve Özellikleri'!$O$2:$AJ$136,xHesaplama!U40,0)</f>
        <v>#REF!</v>
      </c>
      <c r="AR40" s="4" t="e">
        <f>$AR$23*VLOOKUP($AR$26,'x Malzemeler ve Özellikleri'!$O$2:$AJ$136,xHesaplama!U40,0)</f>
        <v>#REF!</v>
      </c>
      <c r="AS40" s="4" t="e">
        <f>$AS$23*VLOOKUP($AS$26,'x Malzemeler ve Özellikleri'!$O$2:$AJ$136,xHesaplama!U40,0)</f>
        <v>#REF!</v>
      </c>
      <c r="AT40" s="4" t="e">
        <f>$AT$23*VLOOKUP($AT$26,'x Malzemeler ve Özellikleri'!$O$2:$AJ$136,xHesaplama!U40,0)</f>
        <v>#REF!</v>
      </c>
      <c r="AU40" s="4" t="e">
        <f>$AU$23*VLOOKUP($AU$26,'x Malzemeler ve Özellikleri'!$O$2:$AJ$136,xHesaplama!U40,0)</f>
        <v>#REF!</v>
      </c>
      <c r="AV40" s="4" t="e">
        <f>$AV$23*VLOOKUP($AV$26,'x Malzemeler ve Özellikleri'!$O$2:$AJ$136,xHesaplama!U40,0)</f>
        <v>#REF!</v>
      </c>
      <c r="AW40" s="4" t="e">
        <f>(Y40+$AW$23)*VLOOKUP($AW$26,'x Malzemeler ve Özellikleri'!$O$2:$AJ$136,xHesaplama!U40,0)/1000*2</f>
        <v>#REF!</v>
      </c>
      <c r="AX40" s="4" t="e">
        <f>$AX$23*VLOOKUP($AX$26,'x Malzemeler ve Özellikleri'!$O$2:$AJ$136,xHesaplama!U40,0)</f>
        <v>#REF!</v>
      </c>
      <c r="AY40" s="4" t="e">
        <f>$AY$23*VLOOKUP($AY$26,'x Malzemeler ve Özellikleri'!$O$2:$AJ$136,xHesaplama!U40,0)</f>
        <v>#REF!</v>
      </c>
      <c r="AZ40" s="23" t="e">
        <f>ROUNDUP(Y40/300,0)*4*VLOOKUP($AZ$26,'x Malzemeler ve Özellikleri'!$O$2:$AJ$136,xHesaplama!U40,0)</f>
        <v>#REF!</v>
      </c>
      <c r="BA40" s="4" t="e">
        <f>(2*X40-155-183)*VLOOKUP($BA$26,'x Malzemeler ve Özellikleri'!$O$2:$AJ$136,xHesaplama!U40,0)/1000</f>
        <v>#REF!</v>
      </c>
      <c r="BB40" s="4" t="e">
        <f>$BB$23*VLOOKUP($BB$26,'x Malzemeler ve Özellikleri'!$O$2:$AJ$136,xHesaplama!U40,0)</f>
        <v>#REF!</v>
      </c>
      <c r="BC40" s="4" t="e">
        <f>$BC$23*VLOOKUP($BC$26,'x Malzemeler ve Özellikleri'!$O$2:$AJ$136,xHesaplama!U40,0)</f>
        <v>#REF!</v>
      </c>
      <c r="BD40" s="4" t="e">
        <f>$BD$23*VLOOKUP($BD$26,'x Malzemeler ve Özellikleri'!$O$2:$AJ$136,xHesaplama!U40,0)</f>
        <v>#REF!</v>
      </c>
      <c r="BE40" s="4" t="e">
        <f>$BE$23*VLOOKUP($BE$26,'x Malzemeler ve Özellikleri'!$O$2:$AJ$136,xHesaplama!U40,0)</f>
        <v>#REF!</v>
      </c>
      <c r="BF40" s="4" t="e">
        <f>$BF$23*VLOOKUP($BF$26,'x Malzemeler ve Özellikleri'!$O$2:$AJ$136,xHesaplama!U40,0)</f>
        <v>#REF!</v>
      </c>
      <c r="BG40" s="4" t="e">
        <f>$BG$23*VLOOKUP($BG$26,'x Malzemeler ve Özellikleri'!$O$2:$AJ$136,xHesaplama!U40,0)</f>
        <v>#REF!</v>
      </c>
      <c r="BH40" s="4" t="e">
        <f>$BH$23*VLOOKUP($BH$26,'x Malzemeler ve Özellikleri'!$O$2:$AJ$136,xHesaplama!U40,0)*N40</f>
        <v>#REF!</v>
      </c>
      <c r="BI40" s="4" t="e">
        <f>$BI$23*VLOOKUP($BI$26,'x Malzemeler ve Özellikleri'!$O$2:$AJ$136,xHesaplama!U40,0)</f>
        <v>#REF!</v>
      </c>
      <c r="BJ40" s="4" t="e">
        <f>$BJ$23*VLOOKUP($BJ$26,'x Malzemeler ve Özellikleri'!$O$2:$AJ$136,xHesaplama!U40,0)</f>
        <v>#REF!</v>
      </c>
      <c r="BK40" s="4" t="e">
        <f>$BK$23*VLOOKUP($BK$26,'x Malzemeler ve Özellikleri'!$O$2:$AJ$136,xHesaplama!U40,0)</f>
        <v>#REF!</v>
      </c>
      <c r="BL40" s="4" t="e">
        <f>$BL$23*VLOOKUP($BL$26,'x Malzemeler ve Özellikleri'!$O$2:$AJ$136,xHesaplama!U40,0)</f>
        <v>#REF!</v>
      </c>
      <c r="BM40" s="4" t="e">
        <f>$BM$23*VLOOKUP($BM$26,'x Malzemeler ve Özellikleri'!$O$2:$AJ$136,xHesaplama!U40,0)</f>
        <v>#REF!</v>
      </c>
      <c r="BN40" s="4" t="e">
        <f>$BN$23*VLOOKUP($BN$26,'x Malzemeler ve Özellikleri'!$O$2:$AJ$136,xHesaplama!U40,0)</f>
        <v>#REF!</v>
      </c>
      <c r="BO40" s="4" t="e">
        <f>(2*(2*X40+Y40*2)*VLOOKUP($BO$26,'x Malzemeler ve Özellikleri'!$O$2:$AJ$136,xHesaplama!U40,0)/1000)</f>
        <v>#REF!</v>
      </c>
      <c r="BP40" s="4" t="e">
        <f>(X40+$BP$23)*VLOOKUP($BP$26,'x Malzemeler ve Özellikleri'!$O$2:$AJ$136,xHesaplama!U40,0)/1000</f>
        <v>#REF!</v>
      </c>
      <c r="BQ40" s="4" t="e">
        <f>(X40+$BQ$23)*VLOOKUP($BQ$26,'x Malzemeler ve Özellikleri'!$O$2:$AJ$136,xHesaplama!U40,0)/1000</f>
        <v>#REF!</v>
      </c>
      <c r="BR40" s="4" t="e">
        <f>(X40+$BR$23)*VLOOKUP($BR$26,'x Malzemeler ve Özellikleri'!$O$2:$AJ$136,xHesaplama!U40,0)/1000</f>
        <v>#REF!</v>
      </c>
      <c r="BS40" s="4" t="e">
        <f>(X40+$BS$23)*VLOOKUP($BS$26,'x Malzemeler ve Özellikleri'!$O$2:$AJ$136,xHesaplama!U40,0)/1000</f>
        <v>#REF!</v>
      </c>
      <c r="BT40" s="4" t="e">
        <f>$BT$23*VLOOKUP($BT$26,'x Malzemeler ve Özellikleri'!$O$2:$AJ$136,xHesaplama!U40,0)</f>
        <v>#REF!</v>
      </c>
      <c r="BU40" s="4" t="e">
        <f>(Y40+$BU$23)*VLOOKUP($BU$26,'x Malzemeler ve Özellikleri'!$O$2:$AJ$136,xHesaplama!U40,0)/1000*2</f>
        <v>#REF!</v>
      </c>
      <c r="BV40" s="4" t="e">
        <f>(X40+$BV$23)*VLOOKUP($BV$26,'x Malzemeler ve Özellikleri'!$O$2:$AJ$136,xHesaplama!U40,0)/1000</f>
        <v>#REF!</v>
      </c>
      <c r="BW40" s="4" t="e">
        <f>$BW$23*VLOOKUP($BW$26,'x Malzemeler ve Özellikleri'!$O$2:$AJ$136,xHesaplama!U40,0)</f>
        <v>#REF!</v>
      </c>
      <c r="BX40" s="23" t="e">
        <f>ROUNDUP(Y40/300,0)*4*VLOOKUP($BX$26,'x Malzemeler ve Özellikleri'!$O$2:$AJ$136,xHesaplama!U40,0)</f>
        <v>#REF!</v>
      </c>
      <c r="BY40" s="4" t="e">
        <f>$BY$23*VLOOKUP($BY$26,'x Malzemeler ve Özellikleri'!$O$2:$AJ$136,xHesaplama!U40,0)</f>
        <v>#REF!</v>
      </c>
      <c r="BZ40" s="4" t="e">
        <f>$BZ$23*VLOOKUP($BZ$26,'x Malzemeler ve Özellikleri'!$O$2:$AJ$136,xHesaplama!U40,0)</f>
        <v>#REF!</v>
      </c>
      <c r="CA40" s="4" t="e">
        <f>(X40+$CA$23)*VLOOKUP($CA$26,'x Malzemeler ve Özellikleri'!$O$2:$AJ$136,xHesaplama!U40,0)/1000</f>
        <v>#REF!</v>
      </c>
      <c r="CB40" s="4" t="e">
        <f>(X40+$CB$23)*VLOOKUP($CB$26,'x Malzemeler ve Özellikleri'!$O$2:$AJ$136,xHesaplama!U40,0)/1000</f>
        <v>#REF!</v>
      </c>
      <c r="CC40" s="4" t="e">
        <f>$CC$23*VLOOKUP($CC$26,'x Malzemeler ve Özellikleri'!$O$2:$AJ$136,xHesaplama!U40,0)</f>
        <v>#REF!</v>
      </c>
      <c r="CD40" s="4" t="e">
        <f>(X40+$CD$23)*VLOOKUP($CD$26,'x Malzemeler ve Özellikleri'!$O$2:$AJ$136,xHesaplama!U40,0)/1000</f>
        <v>#REF!</v>
      </c>
      <c r="CE40" s="4" t="e">
        <f>(2*X40-120-122)*VLOOKUP($CE$26,'x Malzemeler ve Özellikleri'!$O$2:$AJ$136,xHesaplama!U40,0)/1000</f>
        <v>#REF!</v>
      </c>
      <c r="CF40" s="4" t="e">
        <f>(Y40+$CF$23)*VLOOKUP($CF$26,'x Malzemeler ve Özellikleri'!$O$2:$AJ$136,xHesaplama!U40,0)/1000*2</f>
        <v>#REF!</v>
      </c>
      <c r="CG40" s="4" t="e">
        <f>$CG$23*VLOOKUP($CG$26,'x Malzemeler ve Özellikleri'!$O$2:$AJ$136,xHesaplama!U40,0)</f>
        <v>#REF!</v>
      </c>
      <c r="CH40" s="4" t="e">
        <f>(Y40+$CH$23)*VLOOKUP($CH$26,'x Malzemeler ve Özellikleri'!$O$2:$AJ$136,xHesaplama!U40,0)/1000*2</f>
        <v>#REF!</v>
      </c>
      <c r="CI40" s="4" t="e">
        <f>(Y40+$CI$23)*VLOOKUP($CI$26,'x Malzemeler ve Özellikleri'!$O$2:$AJ$136,xHesaplama!U40,0)/1000*2</f>
        <v>#REF!</v>
      </c>
      <c r="CJ40" s="4" t="e">
        <f>$CJ$23*VLOOKUP($CJ$26,'x Malzemeler ve Özellikleri'!$O$2:$AJ$136,xHesaplama!U40,0)</f>
        <v>#REF!</v>
      </c>
      <c r="CK40" s="4" t="e">
        <f>$CK$23*VLOOKUP($CK$26,'x Malzemeler ve Özellikleri'!$O$2:$AJ$136,xHesaplama!U40,0)</f>
        <v>#REF!</v>
      </c>
      <c r="CL40" s="4" t="e">
        <f>$CL$23*VLOOKUP($CL$26,'x Malzemeler ve Özellikleri'!$O$2:$AJ$136,xHesaplama!U40,0)</f>
        <v>#REF!</v>
      </c>
      <c r="CM40" s="4" t="e">
        <f>(X40+$CM$23)*VLOOKUP($CM$26,'x Malzemeler ve Özellikleri'!$O$2:$AJ$136,xHesaplama!U40,0)/1000</f>
        <v>#REF!</v>
      </c>
      <c r="CN40" s="4" t="e">
        <f>(X40+$CN$23)*VLOOKUP($CN$26,'x Malzemeler ve Özellikleri'!$O$2:$AJ$136,xHesaplama!U40,0)/1000</f>
        <v>#REF!</v>
      </c>
      <c r="CO40" s="4" t="e">
        <f>(X40+$CO$23)*VLOOKUP($CO$26,'x Malzemeler ve Özellikleri'!$O$2:$AJ$136,xHesaplama!U40,0)/1000</f>
        <v>#REF!</v>
      </c>
      <c r="CP40" s="4" t="e">
        <f>(X40+$CP$23)*VLOOKUP($CP$26,'x Malzemeler ve Özellikleri'!$O$2:$AJ$136,xHesaplama!U40,0)/1000</f>
        <v>#REF!</v>
      </c>
      <c r="CQ40" s="23" t="e">
        <f>ROUNDUP(Y40/300,0)*4*VLOOKUP($CQ$26,'x Malzemeler ve Özellikleri'!$O$2:$AJ$136,xHesaplama!U40,0)</f>
        <v>#REF!</v>
      </c>
      <c r="CR40" s="4" t="e">
        <f>(X40+$CR$23)*VLOOKUP($CR$26,'x Malzemeler ve Özellikleri'!$O$2:$AJ$136,xHesaplama!U40,0)/1000</f>
        <v>#REF!</v>
      </c>
      <c r="CS40" s="4" t="e">
        <f>$CS$23*VLOOKUP($CS$26,'x Malzemeler ve Özellikleri'!$O$2:$AJ$136,xHesaplama!U40,0)</f>
        <v>#REF!</v>
      </c>
      <c r="CT40" s="4" t="e">
        <f>$CT$23*VLOOKUP($CT$26,'x Malzemeler ve Özellikleri'!$O$2:$AJ$136,xHesaplama!U40,0)</f>
        <v>#REF!</v>
      </c>
      <c r="CU40" s="4" t="e">
        <f>(Y40+$CU$23)*VLOOKUP($CU$26,'x Malzemeler ve Özellikleri'!$O$2:$AJ$136,xHesaplama!U40,0)/1000*2</f>
        <v>#REF!</v>
      </c>
      <c r="CV40" s="4" t="e">
        <f>(Y40+$CV$23)*VLOOKUP($CV$26,'x Malzemeler ve Özellikleri'!$O$2:$AJ$136,xHesaplama!U40,0)/1000*2</f>
        <v>#REF!</v>
      </c>
      <c r="CW40" s="4" t="e">
        <f>$CW$23*VLOOKUP($CW$26,'x Malzemeler ve Özellikleri'!$O$2:$AJ$136,xHesaplama!U40,0)</f>
        <v>#REF!</v>
      </c>
      <c r="CX40" s="4" t="e">
        <f>(X40+$CX$23)*VLOOKUP($CX$26,'x Malzemeler ve Özellikleri'!$O$2:$AJ$136,xHesaplama!U40,0)/1000</f>
        <v>#REF!</v>
      </c>
      <c r="CY40" s="4" t="e">
        <f>(2*X40-112-108)*VLOOKUP($CY$26,'x Malzemeler ve Özellikleri'!$O$2:$AJ$136,xHesaplama!U40,0)/1000</f>
        <v>#REF!</v>
      </c>
      <c r="CZ40" s="4" t="e">
        <f>$CZ$23*VLOOKUP($CZ$26,'x Malzemeler ve Özellikleri'!$O$2:$AJ$136,xHesaplama!U40,0)</f>
        <v>#REF!</v>
      </c>
      <c r="DA40" s="4" t="e">
        <f>$DA$23*VLOOKUP($DA$26,'x Malzemeler ve Özellikleri'!$O$2:$AJ$136,xHesaplama!U40,0)</f>
        <v>#REF!</v>
      </c>
      <c r="DB40" s="4" t="e">
        <f>$DB$23*VLOOKUP($DB$26,'x Malzemeler ve Özellikleri'!$O$2:$AJ$136,xHesaplama!U40,0)</f>
        <v>#REF!</v>
      </c>
      <c r="DC40" s="4" t="e">
        <f>$DC$23*VLOOKUP($DC$26,'x Malzemeler ve Özellikleri'!$O$2:$AJ$136,xHesaplama!U40,0)</f>
        <v>#REF!</v>
      </c>
      <c r="DD40" s="4" t="e">
        <f>(X40+$DD$23)*VLOOKUP($DD$26,'x Malzemeler ve Özellikleri'!$O$2:$AJ$136,xHesaplama!U40,0)/1000</f>
        <v>#REF!</v>
      </c>
      <c r="DE40" s="4" t="e">
        <f>(X40+$DE$23)*VLOOKUP($DE$26,'x Malzemeler ve Özellikleri'!$O$2:$AJ$136,xHesaplama!U40,0)/1000</f>
        <v>#REF!</v>
      </c>
      <c r="DF40" s="4" t="e">
        <f>$DF$23*VLOOKUP($DF$26,'x Malzemeler ve Özellikleri'!$O$2:$AJ$136,xHesaplama!U40,0)</f>
        <v>#REF!</v>
      </c>
      <c r="DG40" s="4" t="e">
        <f>(Y40+$DG$23)*VLOOKUP($DG$26,'x Malzemeler ve Özellikleri'!$O$2:$AJ$136,xHesaplama!U40,0)/1000*2</f>
        <v>#REF!</v>
      </c>
      <c r="DH40" s="4" t="e">
        <f>(Y40+$DH$23)*VLOOKUP($DH$26,'x Malzemeler ve Özellikleri'!$O$2:$AJ$136,xHesaplama!U40,0)/1000*2</f>
        <v>#REF!</v>
      </c>
      <c r="DI40" s="4" t="e">
        <f>(Y40+$DI$23)*VLOOKUP($DI$26,'x Malzemeler ve Özellikleri'!$O$2:$AJ$136,xHesaplama!U40,0)/1000*2</f>
        <v>#REF!</v>
      </c>
      <c r="DJ40" s="4" t="e">
        <f>$DJ$23*VLOOKUP($DJ$26,'x Malzemeler ve Özellikleri'!$O$2:$AJ$136,xHesaplama!U40,0)</f>
        <v>#REF!</v>
      </c>
      <c r="DK40" s="4" t="e">
        <f>$DK$23*VLOOKUP($DK$26,'x Malzemeler ve Özellikleri'!$O$2:$AJ$136,xHesaplama!U40,0)</f>
        <v>#REF!</v>
      </c>
      <c r="DL40" s="4" t="e">
        <f>(X40+$DL$23)*VLOOKUP($DL$26,'x Malzemeler ve Özellikleri'!$O$2:$AJ$136,xHesaplama!U40,0)/1000</f>
        <v>#REF!</v>
      </c>
      <c r="DM40" s="4" t="e">
        <f>(X40+$DM$23)*VLOOKUP($DM$26,'x Malzemeler ve Özellikleri'!$O$2:$AJ$136,xHesaplama!U40,0)/1000</f>
        <v>#REF!</v>
      </c>
      <c r="DN40" s="4" t="e">
        <f>(X40+$DN$23)*VLOOKUP($DN$26,'x Malzemeler ve Özellikleri'!$O$2:$AJ$136,xHesaplama!U40,0)/1000</f>
        <v>#REF!</v>
      </c>
      <c r="DO40" s="4" t="e">
        <f>(X40+$DO$23)*VLOOKUP($DO$26,'x Malzemeler ve Özellikleri'!$O$2:$AJ$136,xHesaplama!U40,0)/1000</f>
        <v>#REF!</v>
      </c>
      <c r="DP40" s="23" t="e">
        <f>ROUNDUP(Y40/300,0)*4*VLOOKUP($DP$26,'x Malzemeler ve Özellikleri'!$O$2:$AJ$136,xHesaplama!U40,0)</f>
        <v>#REF!</v>
      </c>
      <c r="DQ40" s="4" t="e">
        <f>(X40+$DQ$23)*VLOOKUP($DQ$26,'x Malzemeler ve Özellikleri'!$O$2:$AJ$136,xHesaplama!U40,0)/1000</f>
        <v>#REF!</v>
      </c>
      <c r="DR40" s="4" t="e">
        <f>(Y40+$DR$23)*VLOOKUP($DR$26,'x Malzemeler ve Özellikleri'!$O$2:$AJ$136,xHesaplama!U40,0)/1000*2</f>
        <v>#REF!</v>
      </c>
      <c r="DS40" s="4" t="e">
        <f>(Y40+$DS$23)*VLOOKUP($DS$26,'x Malzemeler ve Özellikleri'!$O$2:$AJ$136,xHesaplama!U40,0)/1000*2</f>
        <v>#REF!</v>
      </c>
      <c r="DT40" s="4" t="e">
        <f>$DT$23*VLOOKUP($DT$26,'x Malzemeler ve Özellikleri'!$O$2:$AJ$136,xHesaplama!U40,0)</f>
        <v>#REF!</v>
      </c>
      <c r="DU40" s="4" t="e">
        <f>(X40+$DU$23)*VLOOKUP($DU$26,'x Malzemeler ve Özellikleri'!$O$2:$AJ$136,xHesaplama!U40,0)/1000</f>
        <v>#REF!</v>
      </c>
      <c r="DV40" s="4" t="e">
        <f>(2*X40-112-108)*VLOOKUP($DV$26,'x Malzemeler ve Özellikleri'!$O$2:$AJ$136,xHesaplama!U40,0)/1000</f>
        <v>#REF!</v>
      </c>
      <c r="DW40" s="4" t="e">
        <f>$DW$23*VLOOKUP($DW$26,'x Malzemeler ve Özellikleri'!$O$2:$AJ$136,xHesaplama!U40,0)</f>
        <v>#REF!</v>
      </c>
      <c r="DX40" s="4" t="e">
        <f>$DX$23*VLOOKUP($DX$26,'x Malzemeler ve Özellikleri'!$O$2:$AJ$136,xHesaplama!U40,0)</f>
        <v>#REF!</v>
      </c>
      <c r="DY40" s="4" t="e">
        <f>$DY$23*VLOOKUP($DY$26,'x Malzemeler ve Özellikleri'!$O$2:$AJ$136,xHesaplama!U40,0)</f>
        <v>#REF!</v>
      </c>
      <c r="DZ40" s="4" t="e">
        <f>$DZ$23*VLOOKUP($DZ$26,'x Malzemeler ve Özellikleri'!$O$2:$AJ$136,xHesaplama!U40,0)</f>
        <v>#REF!</v>
      </c>
      <c r="EA40" s="4" t="e">
        <f>(X40+$EA$23)*VLOOKUP($EA$26,'x Malzemeler ve Özellikleri'!$O$2:$AJ$136,xHesaplama!U40,0)/1000</f>
        <v>#REF!</v>
      </c>
      <c r="EB40" s="4" t="e">
        <f>(X40+$EB$23)*VLOOKUP($EB$26,'x Malzemeler ve Özellikleri'!$O$2:$AJ$136,xHesaplama!U40,0)/1000</f>
        <v>#REF!</v>
      </c>
      <c r="EC40" s="4" t="e">
        <f>$EC$23*VLOOKUP($EC$26,'x Malzemeler ve Özellikleri'!$O$2:$AJ$136,xHesaplama!U40,0)</f>
        <v>#REF!</v>
      </c>
      <c r="ED40" s="4" t="e">
        <f>(Y40+$ED$23)*VLOOKUP($ED$26,'x Malzemeler ve Özellikleri'!$O$2:$AJ$136,xHesaplama!U40,0)/1000*2</f>
        <v>#REF!</v>
      </c>
      <c r="EE40" s="4" t="e">
        <f>(Y40+$EE$23)*VLOOKUP($EE$26,'x Malzemeler ve Özellikleri'!$O$2:$AJ$136,xHesaplama!U40,0)/1000*2</f>
        <v>#REF!</v>
      </c>
      <c r="EF40" s="4" t="e">
        <f>(Y40+$EF$23)*VLOOKUP($EF$26,'x Malzemeler ve Özellikleri'!$O$2:$AJ$136,xHesaplama!U40,0)/1000*2</f>
        <v>#REF!</v>
      </c>
      <c r="EG40" s="4" t="e">
        <f>$EG$23*VLOOKUP($EG$26,'x Malzemeler ve Özellikleri'!$O$2:$AJ$136,xHesaplama!U40,0)</f>
        <v>#REF!</v>
      </c>
      <c r="EH40" s="4" t="e">
        <f>$EH$23*VLOOKUP($EH$26,'x Malzemeler ve Özellikleri'!$O$2:$AJ$136,xHesaplama!U40,0)</f>
        <v>#REF!</v>
      </c>
      <c r="EI40" s="4" t="e">
        <f>$EI$23*VLOOKUP($EI$26,'x Malzemeler ve Özellikleri'!$O$2:$AJ$136,xHesaplama!U40,0)</f>
        <v>#REF!</v>
      </c>
      <c r="EJ40" s="4" t="e">
        <f>$EJ$23*VLOOKUP($EJ$26,'x Malzemeler ve Özellikleri'!$O$2:$AJ$136,xHesaplama!U40,0)</f>
        <v>#REF!</v>
      </c>
      <c r="EK40" s="4" t="e">
        <f>$EK$23*VLOOKUP($EK$26,'x Malzemeler ve Özellikleri'!$O$2:$AJ$136,xHesaplama!U40,0)</f>
        <v>#REF!</v>
      </c>
      <c r="EL40" s="4" t="e">
        <f>$EL$23*VLOOKUP($EL$26,'x Malzemeler ve Özellikleri'!$O$2:$AJ$136,xHesaplama!U40,0)</f>
        <v>#REF!</v>
      </c>
      <c r="EM40" s="4" t="e">
        <f>(X40+$EM$23)*VLOOKUP($EM$26,'x Malzemeler ve Özellikleri'!$O$2:$AJ$136,xHesaplama!U40,0)/1000</f>
        <v>#REF!</v>
      </c>
      <c r="EN40" s="4" t="e">
        <f>(X40+$EN$23)*VLOOKUP($EN$26,'x Malzemeler ve Özellikleri'!$O$2:$AJ$136,xHesaplama!U40,0)/1000</f>
        <v>#REF!</v>
      </c>
      <c r="EO40" s="4" t="e">
        <f>(X40+$EO$23)*VLOOKUP($EO$26,'x Malzemeler ve Özellikleri'!$O$2:$AJ$136,xHesaplama!U40,0)/1000</f>
        <v>#REF!</v>
      </c>
      <c r="EP40" s="4" t="e">
        <f>(X40+$EP$23)*VLOOKUP($EP$26,'x Malzemeler ve Özellikleri'!$O$2:$AJ$136,xHesaplama!U40,0)/1000</f>
        <v>#REF!</v>
      </c>
      <c r="EQ40" s="4" t="e">
        <f>(X40+$EQ$23)*VLOOKUP($EQ$26,'x Malzemeler ve Özellikleri'!$O$2:$AJ$136,xHesaplama!U40,0)/1000</f>
        <v>#REF!</v>
      </c>
      <c r="ER40" s="4" t="e">
        <f>$ER$23*VLOOKUP($ER$26,'x Malzemeler ve Özellikleri'!$O$2:$AJ$136,xHesaplama!U40,0)</f>
        <v>#REF!</v>
      </c>
      <c r="ES40" s="4" t="e">
        <f>(X40+$ES$23)*VLOOKUP($ES$26,'x Malzemeler ve Özellikleri'!$O$2:$AJ$136,xHesaplama!U40,0)/1000</f>
        <v>#REF!</v>
      </c>
      <c r="ET40" s="4" t="e">
        <f>(2*X40-112-108)*VLOOKUP($ET$26,'x Malzemeler ve Özellikleri'!$O$2:$AJ$136,xHesaplama!U40,0)/1000</f>
        <v>#REF!</v>
      </c>
      <c r="EU40" s="4" t="e">
        <f>$EU$23*VLOOKUP($EU$26,'x Malzemeler ve Özellikleri'!$O$2:$AJ$136,xHesaplama!U40,0)</f>
        <v>#REF!</v>
      </c>
      <c r="EV40" s="4" t="e">
        <f>$EV$23*VLOOKUP($EV$26,'x Malzemeler ve Özellikleri'!$O$2:$AJ$136,xHesaplama!U40,0)</f>
        <v>#REF!</v>
      </c>
      <c r="EW40" s="4" t="e">
        <f>$EW$23*VLOOKUP($EW$26,'x Malzemeler ve Özellikleri'!$O$2:$AJ$136,xHesaplama!U40,0)</f>
        <v>#REF!</v>
      </c>
      <c r="EX40" s="4" t="e">
        <f>$EX$23*VLOOKUP($EX$26,'x Malzemeler ve Özellikleri'!$O$2:$AJ$136,xHesaplama!U40,0)</f>
        <v>#REF!</v>
      </c>
      <c r="EY40" s="4" t="e">
        <f>(X40+$EY$23)*VLOOKUP($EY$26,'x Malzemeler ve Özellikleri'!$O$2:$AJ$136,xHesaplama!U40,0)/1000</f>
        <v>#REF!</v>
      </c>
      <c r="EZ40" s="4" t="e">
        <f>(X40+$EZ$23)*VLOOKUP($EZ$26,'x Malzemeler ve Özellikleri'!$O$2:$AJ$136,xHesaplama!U40,0)/1000</f>
        <v>#REF!</v>
      </c>
      <c r="FA40" s="4" t="e">
        <f>$FA$23*VLOOKUP($FA$26,'x Malzemeler ve Özellikleri'!$O$2:$AJ$136,xHesaplama!U40,0)</f>
        <v>#REF!</v>
      </c>
      <c r="FB40" s="4" t="e">
        <f>$FB$23*VLOOKUP($FB$26,'x Malzemeler ve Özellikleri'!$O$2:$AJ$136,xHesaplama!U40,0)</f>
        <v>#REF!</v>
      </c>
      <c r="FC40" s="4" t="e">
        <f>$FC$23*VLOOKUP($FC$26,'x Malzemeler ve Özellikleri'!$O$2:$AJ$136,xHesaplama!U40,0)</f>
        <v>#REF!</v>
      </c>
      <c r="FD40" s="4" t="e">
        <f>$FD$23*VLOOKUP($FD$26,'x Malzemeler ve Özellikleri'!$O$2:$AJ$136,xHesaplama!U40,0)</f>
        <v>#REF!</v>
      </c>
      <c r="FE40" s="4" t="e">
        <f>$FE$23*VLOOKUP($FE$26,'x Malzemeler ve Özellikleri'!$O$2:$AJ$136,xHesaplama!U40,0)</f>
        <v>#REF!</v>
      </c>
      <c r="FF40" s="4" t="e">
        <f>$FF$23*VLOOKUP($FF$26,'x Malzemeler ve Özellikleri'!$O$2:$AJ$136,xHesaplama!U40,0)</f>
        <v>#REF!</v>
      </c>
      <c r="FG40" s="4" t="e">
        <f>$FG$23*VLOOKUP($FG$26,'x Malzemeler ve Özellikleri'!$O$2:$AJ$136,xHesaplama!U40,0)</f>
        <v>#REF!</v>
      </c>
      <c r="FH40" s="4" t="e">
        <f>$FH$23*VLOOKUP($FH$26,'x Malzemeler ve Özellikleri'!$O$2:$AJ$136,xHesaplama!U40,0)</f>
        <v>#REF!</v>
      </c>
    </row>
    <row r="41" spans="1:168">
      <c r="A41" s="4">
        <f>'1PROJE'!B21</f>
        <v>15</v>
      </c>
      <c r="B41" s="4">
        <f>'1PROJE'!C21</f>
        <v>0</v>
      </c>
      <c r="C41" s="4">
        <f>'1PROJE'!D21</f>
        <v>0</v>
      </c>
      <c r="D41" s="4">
        <f>'1PROJE'!E21</f>
        <v>0</v>
      </c>
      <c r="E41" s="4">
        <f>'1PROJE'!F21</f>
        <v>0</v>
      </c>
      <c r="F41" s="4">
        <f>'1PROJE'!G21</f>
        <v>0</v>
      </c>
      <c r="G41" s="4">
        <f>'1PROJE'!H21</f>
        <v>0</v>
      </c>
      <c r="H41" s="4">
        <f>'1PROJE'!I21</f>
        <v>0</v>
      </c>
      <c r="I41" s="4">
        <f>'1PROJE'!K21</f>
        <v>0</v>
      </c>
      <c r="J41" s="4">
        <f>'1PROJE'!L21</f>
        <v>0</v>
      </c>
      <c r="K41" s="4">
        <f>'1PROJE'!M21</f>
        <v>0</v>
      </c>
      <c r="L41" s="4">
        <f>'1PROJE'!N21</f>
        <v>0</v>
      </c>
      <c r="M41" s="4">
        <f>'1PROJE'!O21</f>
        <v>0</v>
      </c>
      <c r="N41" s="4">
        <f t="shared" si="3"/>
        <v>4</v>
      </c>
      <c r="O41" s="4">
        <f>'1PROJE'!P21</f>
        <v>0</v>
      </c>
      <c r="P41" s="4">
        <f>'1PROJE'!R21</f>
        <v>0</v>
      </c>
      <c r="Q41" s="4">
        <f>'1PROJE'!S21</f>
        <v>0</v>
      </c>
      <c r="R41" s="4">
        <f>'1PROJE'!T21</f>
        <v>0</v>
      </c>
      <c r="S41" s="4"/>
      <c r="U41" s="4" t="e">
        <f t="shared" si="1"/>
        <v>#N/A</v>
      </c>
      <c r="V41" s="4" t="e">
        <f>VLOOKUP(B41,'x Açılır Listeler'!$A$2:$B$15,2,0)</f>
        <v>#N/A</v>
      </c>
      <c r="W41" s="4" t="e">
        <f>VLOOKUP(B41,'x Açılır Listeler'!$A$2:$C$15,3,0)*2</f>
        <v>#N/A</v>
      </c>
      <c r="X41" s="4">
        <f t="shared" si="4"/>
        <v>0</v>
      </c>
      <c r="Y41" s="4">
        <f t="shared" si="5"/>
        <v>0</v>
      </c>
      <c r="Z41" s="4" t="s">
        <v>407</v>
      </c>
      <c r="AA41" s="4">
        <f t="shared" si="2"/>
        <v>25</v>
      </c>
      <c r="AB41" s="38" t="e">
        <f>VLOOKUP(J41,'x Malzemeler ve Özellikleri'!$N$147:$R$167,5,0)</f>
        <v>#N/A</v>
      </c>
      <c r="AC41" s="46" t="e">
        <f>IF('1PROJE'!J21="",VLOOKUP(H41,'x Malzemeler ve Özellikleri'!$N$137:$R$146,5,0),'1PROJE'!J21)</f>
        <v>#N/A</v>
      </c>
      <c r="AD41" s="52">
        <f t="shared" si="6"/>
        <v>-2.8511999999999999E-2</v>
      </c>
      <c r="AE41" s="46" t="e">
        <f t="shared" si="7"/>
        <v>#N/A</v>
      </c>
      <c r="AF41" s="46">
        <f>IF(O41="VAR",IF('1PROJE'!Q21="",$AI$10,'1PROJE'!Q21),0)</f>
        <v>0</v>
      </c>
      <c r="AG41" s="4" t="e">
        <f>IF('1PROJE'!S21="",VLOOKUP(xHesaplama!P41,'x Malzemeler ve Özellikleri'!$AS$2:$AT$11,2,0),'1PROJE'!S21/'1PROJE'!$P$3)</f>
        <v>#N/A</v>
      </c>
      <c r="AH41" s="4" t="e">
        <f>(X41+$AH$23)*VLOOKUP($AH$26,'x Malzemeler ve Özellikleri'!$O$2:$AJ$136,xHesaplama!U41,0)/1000</f>
        <v>#REF!</v>
      </c>
      <c r="AI41" s="4" t="e">
        <f>(X41+$AI$23)*VLOOKUP($AI$26,'x Malzemeler ve Özellikleri'!$O$2:$AJ$136,xHesaplama!U41,0)/1000</f>
        <v>#REF!</v>
      </c>
      <c r="AJ41" s="4" t="e">
        <f>(X41+$AJ$23)*VLOOKUP($AJ$26,'x Malzemeler ve Özellikleri'!$O$2:$AJ$136,xHesaplama!U41,0)/1000</f>
        <v>#REF!</v>
      </c>
      <c r="AK41" s="4" t="e">
        <f>(X41+$AK$23)*VLOOKUP($AK$26,'x Malzemeler ve Özellikleri'!$O$2:$AJ$136,xHesaplama!U41,0)/1000</f>
        <v>#REF!</v>
      </c>
      <c r="AL41" s="4" t="e">
        <f>(Y41+$AL$23)*VLOOKUP($AL$26,'x Malzemeler ve Özellikleri'!$O$2:$AJ$136,xHesaplama!U41,0)/1000*2</f>
        <v>#REF!</v>
      </c>
      <c r="AM41" s="4" t="e">
        <f>IF(AND(X41&lt;4500,Y41&lt;4500,X41*Y41/1000000&lt;12),(X41+$AM$23)*VLOOKUP($AM$26,'x Malzemeler ve Özellikleri'!$O$2:$AJ$136,xHesaplama!U41,0)/1000,0)</f>
        <v>#REF!</v>
      </c>
      <c r="AN41" s="4">
        <f>IF(OR(X41&gt;=4500,Y41&gt;=4500,X41*Y41/1000000&gt;=12),(X41+$AN$23)*VLOOKUP($AN$26,'x Malzemeler ve Özellikleri'!$O$2:$AJ$136,xHesaplama!U41,0)/1000,0)</f>
        <v>0</v>
      </c>
      <c r="AO41" s="4" t="e">
        <f>(Y41+$AO$23)*VLOOKUP($AO$26,'x Malzemeler ve Özellikleri'!$O$2:$AJ$136,xHesaplama!U41,0)/1000*2</f>
        <v>#REF!</v>
      </c>
      <c r="AP41" s="4" t="e">
        <f>$AP$23*VLOOKUP($AP$26,'x Malzemeler ve Özellikleri'!$O$2:$AJ$136,xHesaplama!U41,0)</f>
        <v>#REF!</v>
      </c>
      <c r="AQ41" s="4" t="e">
        <f>$AQ$23*VLOOKUP($AQ$26,'x Malzemeler ve Özellikleri'!$O$2:$AJ$136,xHesaplama!U41,0)</f>
        <v>#REF!</v>
      </c>
      <c r="AR41" s="4" t="e">
        <f>$AR$23*VLOOKUP($AR$26,'x Malzemeler ve Özellikleri'!$O$2:$AJ$136,xHesaplama!U41,0)</f>
        <v>#REF!</v>
      </c>
      <c r="AS41" s="4" t="e">
        <f>$AS$23*VLOOKUP($AS$26,'x Malzemeler ve Özellikleri'!$O$2:$AJ$136,xHesaplama!U41,0)</f>
        <v>#REF!</v>
      </c>
      <c r="AT41" s="4" t="e">
        <f>$AT$23*VLOOKUP($AT$26,'x Malzemeler ve Özellikleri'!$O$2:$AJ$136,xHesaplama!U41,0)</f>
        <v>#REF!</v>
      </c>
      <c r="AU41" s="4" t="e">
        <f>$AU$23*VLOOKUP($AU$26,'x Malzemeler ve Özellikleri'!$O$2:$AJ$136,xHesaplama!U41,0)</f>
        <v>#REF!</v>
      </c>
      <c r="AV41" s="4" t="e">
        <f>$AV$23*VLOOKUP($AV$26,'x Malzemeler ve Özellikleri'!$O$2:$AJ$136,xHesaplama!U41,0)</f>
        <v>#REF!</v>
      </c>
      <c r="AW41" s="4" t="e">
        <f>(Y41+$AW$23)*VLOOKUP($AW$26,'x Malzemeler ve Özellikleri'!$O$2:$AJ$136,xHesaplama!U41,0)/1000*2</f>
        <v>#REF!</v>
      </c>
      <c r="AX41" s="4" t="e">
        <f>$AX$23*VLOOKUP($AX$26,'x Malzemeler ve Özellikleri'!$O$2:$AJ$136,xHesaplama!U41,0)</f>
        <v>#REF!</v>
      </c>
      <c r="AY41" s="4" t="e">
        <f>$AY$23*VLOOKUP($AY$26,'x Malzemeler ve Özellikleri'!$O$2:$AJ$136,xHesaplama!U41,0)</f>
        <v>#REF!</v>
      </c>
      <c r="AZ41" s="23" t="e">
        <f>ROUNDUP(Y41/300,0)*4*VLOOKUP($AZ$26,'x Malzemeler ve Özellikleri'!$O$2:$AJ$136,xHesaplama!U41,0)</f>
        <v>#REF!</v>
      </c>
      <c r="BA41" s="4" t="e">
        <f>(2*X41-155-183)*VLOOKUP($BA$26,'x Malzemeler ve Özellikleri'!$O$2:$AJ$136,xHesaplama!U41,0)/1000</f>
        <v>#REF!</v>
      </c>
      <c r="BB41" s="4" t="e">
        <f>$BB$23*VLOOKUP($BB$26,'x Malzemeler ve Özellikleri'!$O$2:$AJ$136,xHesaplama!U41,0)</f>
        <v>#REF!</v>
      </c>
      <c r="BC41" s="4" t="e">
        <f>$BC$23*VLOOKUP($BC$26,'x Malzemeler ve Özellikleri'!$O$2:$AJ$136,xHesaplama!U41,0)</f>
        <v>#REF!</v>
      </c>
      <c r="BD41" s="4" t="e">
        <f>$BD$23*VLOOKUP($BD$26,'x Malzemeler ve Özellikleri'!$O$2:$AJ$136,xHesaplama!U41,0)</f>
        <v>#REF!</v>
      </c>
      <c r="BE41" s="4" t="e">
        <f>$BE$23*VLOOKUP($BE$26,'x Malzemeler ve Özellikleri'!$O$2:$AJ$136,xHesaplama!U41,0)</f>
        <v>#REF!</v>
      </c>
      <c r="BF41" s="4" t="e">
        <f>$BF$23*VLOOKUP($BF$26,'x Malzemeler ve Özellikleri'!$O$2:$AJ$136,xHesaplama!U41,0)</f>
        <v>#REF!</v>
      </c>
      <c r="BG41" s="4" t="e">
        <f>$BG$23*VLOOKUP($BG$26,'x Malzemeler ve Özellikleri'!$O$2:$AJ$136,xHesaplama!U41,0)</f>
        <v>#REF!</v>
      </c>
      <c r="BH41" s="4" t="e">
        <f>$BH$23*VLOOKUP($BH$26,'x Malzemeler ve Özellikleri'!$O$2:$AJ$136,xHesaplama!U41,0)*N41</f>
        <v>#REF!</v>
      </c>
      <c r="BI41" s="4" t="e">
        <f>$BI$23*VLOOKUP($BI$26,'x Malzemeler ve Özellikleri'!$O$2:$AJ$136,xHesaplama!U41,0)</f>
        <v>#REF!</v>
      </c>
      <c r="BJ41" s="4" t="e">
        <f>$BJ$23*VLOOKUP($BJ$26,'x Malzemeler ve Özellikleri'!$O$2:$AJ$136,xHesaplama!U41,0)</f>
        <v>#REF!</v>
      </c>
      <c r="BK41" s="4" t="e">
        <f>$BK$23*VLOOKUP($BK$26,'x Malzemeler ve Özellikleri'!$O$2:$AJ$136,xHesaplama!U41,0)</f>
        <v>#REF!</v>
      </c>
      <c r="BL41" s="4" t="e">
        <f>$BL$23*VLOOKUP($BL$26,'x Malzemeler ve Özellikleri'!$O$2:$AJ$136,xHesaplama!U41,0)</f>
        <v>#REF!</v>
      </c>
      <c r="BM41" s="4" t="e">
        <f>$BM$23*VLOOKUP($BM$26,'x Malzemeler ve Özellikleri'!$O$2:$AJ$136,xHesaplama!U41,0)</f>
        <v>#REF!</v>
      </c>
      <c r="BN41" s="4" t="e">
        <f>$BN$23*VLOOKUP($BN$26,'x Malzemeler ve Özellikleri'!$O$2:$AJ$136,xHesaplama!U41,0)</f>
        <v>#REF!</v>
      </c>
      <c r="BO41" s="4" t="e">
        <f>(2*(2*X41+Y41*2)*VLOOKUP($BO$26,'x Malzemeler ve Özellikleri'!$O$2:$AJ$136,xHesaplama!U41,0)/1000)</f>
        <v>#REF!</v>
      </c>
      <c r="BP41" s="4" t="e">
        <f>(X41+$BP$23)*VLOOKUP($BP$26,'x Malzemeler ve Özellikleri'!$O$2:$AJ$136,xHesaplama!U41,0)/1000</f>
        <v>#REF!</v>
      </c>
      <c r="BQ41" s="4" t="e">
        <f>(X41+$BQ$23)*VLOOKUP($BQ$26,'x Malzemeler ve Özellikleri'!$O$2:$AJ$136,xHesaplama!U41,0)/1000</f>
        <v>#REF!</v>
      </c>
      <c r="BR41" s="4" t="e">
        <f>(X41+$BR$23)*VLOOKUP($BR$26,'x Malzemeler ve Özellikleri'!$O$2:$AJ$136,xHesaplama!U41,0)/1000</f>
        <v>#REF!</v>
      </c>
      <c r="BS41" s="4" t="e">
        <f>(X41+$BS$23)*VLOOKUP($BS$26,'x Malzemeler ve Özellikleri'!$O$2:$AJ$136,xHesaplama!U41,0)/1000</f>
        <v>#REF!</v>
      </c>
      <c r="BT41" s="4" t="e">
        <f>$BT$23*VLOOKUP($BT$26,'x Malzemeler ve Özellikleri'!$O$2:$AJ$136,xHesaplama!U41,0)</f>
        <v>#REF!</v>
      </c>
      <c r="BU41" s="4" t="e">
        <f>(Y41+$BU$23)*VLOOKUP($BU$26,'x Malzemeler ve Özellikleri'!$O$2:$AJ$136,xHesaplama!U41,0)/1000*2</f>
        <v>#REF!</v>
      </c>
      <c r="BV41" s="4" t="e">
        <f>(X41+$BV$23)*VLOOKUP($BV$26,'x Malzemeler ve Özellikleri'!$O$2:$AJ$136,xHesaplama!U41,0)/1000</f>
        <v>#REF!</v>
      </c>
      <c r="BW41" s="4" t="e">
        <f>$BW$23*VLOOKUP($BW$26,'x Malzemeler ve Özellikleri'!$O$2:$AJ$136,xHesaplama!U41,0)</f>
        <v>#REF!</v>
      </c>
      <c r="BX41" s="23" t="e">
        <f>ROUNDUP(Y41/300,0)*4*VLOOKUP($BX$26,'x Malzemeler ve Özellikleri'!$O$2:$AJ$136,xHesaplama!U41,0)</f>
        <v>#REF!</v>
      </c>
      <c r="BY41" s="4" t="e">
        <f>$BY$23*VLOOKUP($BY$26,'x Malzemeler ve Özellikleri'!$O$2:$AJ$136,xHesaplama!U41,0)</f>
        <v>#REF!</v>
      </c>
      <c r="BZ41" s="4" t="e">
        <f>$BZ$23*VLOOKUP($BZ$26,'x Malzemeler ve Özellikleri'!$O$2:$AJ$136,xHesaplama!U41,0)</f>
        <v>#REF!</v>
      </c>
      <c r="CA41" s="4" t="e">
        <f>(X41+$CA$23)*VLOOKUP($CA$26,'x Malzemeler ve Özellikleri'!$O$2:$AJ$136,xHesaplama!U41,0)/1000</f>
        <v>#REF!</v>
      </c>
      <c r="CB41" s="4" t="e">
        <f>(X41+$CB$23)*VLOOKUP($CB$26,'x Malzemeler ve Özellikleri'!$O$2:$AJ$136,xHesaplama!U41,0)/1000</f>
        <v>#REF!</v>
      </c>
      <c r="CC41" s="4" t="e">
        <f>$CC$23*VLOOKUP($CC$26,'x Malzemeler ve Özellikleri'!$O$2:$AJ$136,xHesaplama!U41,0)</f>
        <v>#REF!</v>
      </c>
      <c r="CD41" s="4" t="e">
        <f>(X41+$CD$23)*VLOOKUP($CD$26,'x Malzemeler ve Özellikleri'!$O$2:$AJ$136,xHesaplama!U41,0)/1000</f>
        <v>#REF!</v>
      </c>
      <c r="CE41" s="4" t="e">
        <f>(2*X41-120-122)*VLOOKUP($CE$26,'x Malzemeler ve Özellikleri'!$O$2:$AJ$136,xHesaplama!U41,0)/1000</f>
        <v>#REF!</v>
      </c>
      <c r="CF41" s="4" t="e">
        <f>(Y41+$CF$23)*VLOOKUP($CF$26,'x Malzemeler ve Özellikleri'!$O$2:$AJ$136,xHesaplama!U41,0)/1000*2</f>
        <v>#REF!</v>
      </c>
      <c r="CG41" s="4" t="e">
        <f>$CG$23*VLOOKUP($CG$26,'x Malzemeler ve Özellikleri'!$O$2:$AJ$136,xHesaplama!U41,0)</f>
        <v>#REF!</v>
      </c>
      <c r="CH41" s="4" t="e">
        <f>(Y41+$CH$23)*VLOOKUP($CH$26,'x Malzemeler ve Özellikleri'!$O$2:$AJ$136,xHesaplama!U41,0)/1000*2</f>
        <v>#REF!</v>
      </c>
      <c r="CI41" s="4" t="e">
        <f>(Y41+$CI$23)*VLOOKUP($CI$26,'x Malzemeler ve Özellikleri'!$O$2:$AJ$136,xHesaplama!U41,0)/1000*2</f>
        <v>#REF!</v>
      </c>
      <c r="CJ41" s="4" t="e">
        <f>$CJ$23*VLOOKUP($CJ$26,'x Malzemeler ve Özellikleri'!$O$2:$AJ$136,xHesaplama!U41,0)</f>
        <v>#REF!</v>
      </c>
      <c r="CK41" s="4" t="e">
        <f>$CK$23*VLOOKUP($CK$26,'x Malzemeler ve Özellikleri'!$O$2:$AJ$136,xHesaplama!U41,0)</f>
        <v>#REF!</v>
      </c>
      <c r="CL41" s="4" t="e">
        <f>$CL$23*VLOOKUP($CL$26,'x Malzemeler ve Özellikleri'!$O$2:$AJ$136,xHesaplama!U41,0)</f>
        <v>#REF!</v>
      </c>
      <c r="CM41" s="4" t="e">
        <f>(X41+$CM$23)*VLOOKUP($CM$26,'x Malzemeler ve Özellikleri'!$O$2:$AJ$136,xHesaplama!U41,0)/1000</f>
        <v>#REF!</v>
      </c>
      <c r="CN41" s="4" t="e">
        <f>(X41+$CN$23)*VLOOKUP($CN$26,'x Malzemeler ve Özellikleri'!$O$2:$AJ$136,xHesaplama!U41,0)/1000</f>
        <v>#REF!</v>
      </c>
      <c r="CO41" s="4" t="e">
        <f>(X41+$CO$23)*VLOOKUP($CO$26,'x Malzemeler ve Özellikleri'!$O$2:$AJ$136,xHesaplama!U41,0)/1000</f>
        <v>#REF!</v>
      </c>
      <c r="CP41" s="4" t="e">
        <f>(X41+$CP$23)*VLOOKUP($CP$26,'x Malzemeler ve Özellikleri'!$O$2:$AJ$136,xHesaplama!U41,0)/1000</f>
        <v>#REF!</v>
      </c>
      <c r="CQ41" s="23" t="e">
        <f>ROUNDUP(Y41/300,0)*4*VLOOKUP($CQ$26,'x Malzemeler ve Özellikleri'!$O$2:$AJ$136,xHesaplama!U41,0)</f>
        <v>#REF!</v>
      </c>
      <c r="CR41" s="4" t="e">
        <f>(X41+$CR$23)*VLOOKUP($CR$26,'x Malzemeler ve Özellikleri'!$O$2:$AJ$136,xHesaplama!U41,0)/1000</f>
        <v>#REF!</v>
      </c>
      <c r="CS41" s="4" t="e">
        <f>$CS$23*VLOOKUP($CS$26,'x Malzemeler ve Özellikleri'!$O$2:$AJ$136,xHesaplama!U41,0)</f>
        <v>#REF!</v>
      </c>
      <c r="CT41" s="4" t="e">
        <f>$CT$23*VLOOKUP($CT$26,'x Malzemeler ve Özellikleri'!$O$2:$AJ$136,xHesaplama!U41,0)</f>
        <v>#REF!</v>
      </c>
      <c r="CU41" s="4" t="e">
        <f>(Y41+$CU$23)*VLOOKUP($CU$26,'x Malzemeler ve Özellikleri'!$O$2:$AJ$136,xHesaplama!U41,0)/1000*2</f>
        <v>#REF!</v>
      </c>
      <c r="CV41" s="4" t="e">
        <f>(Y41+$CV$23)*VLOOKUP($CV$26,'x Malzemeler ve Özellikleri'!$O$2:$AJ$136,xHesaplama!U41,0)/1000*2</f>
        <v>#REF!</v>
      </c>
      <c r="CW41" s="4" t="e">
        <f>$CW$23*VLOOKUP($CW$26,'x Malzemeler ve Özellikleri'!$O$2:$AJ$136,xHesaplama!U41,0)</f>
        <v>#REF!</v>
      </c>
      <c r="CX41" s="4" t="e">
        <f>(X41+$CX$23)*VLOOKUP($CX$26,'x Malzemeler ve Özellikleri'!$O$2:$AJ$136,xHesaplama!U41,0)/1000</f>
        <v>#REF!</v>
      </c>
      <c r="CY41" s="4" t="e">
        <f>(2*X41-112-108)*VLOOKUP($CY$26,'x Malzemeler ve Özellikleri'!$O$2:$AJ$136,xHesaplama!U41,0)/1000</f>
        <v>#REF!</v>
      </c>
      <c r="CZ41" s="4" t="e">
        <f>$CZ$23*VLOOKUP($CZ$26,'x Malzemeler ve Özellikleri'!$O$2:$AJ$136,xHesaplama!U41,0)</f>
        <v>#REF!</v>
      </c>
      <c r="DA41" s="4" t="e">
        <f>$DA$23*VLOOKUP($DA$26,'x Malzemeler ve Özellikleri'!$O$2:$AJ$136,xHesaplama!U41,0)</f>
        <v>#REF!</v>
      </c>
      <c r="DB41" s="4" t="e">
        <f>$DB$23*VLOOKUP($DB$26,'x Malzemeler ve Özellikleri'!$O$2:$AJ$136,xHesaplama!U41,0)</f>
        <v>#REF!</v>
      </c>
      <c r="DC41" s="4" t="e">
        <f>$DC$23*VLOOKUP($DC$26,'x Malzemeler ve Özellikleri'!$O$2:$AJ$136,xHesaplama!U41,0)</f>
        <v>#REF!</v>
      </c>
      <c r="DD41" s="4" t="e">
        <f>(X41+$DD$23)*VLOOKUP($DD$26,'x Malzemeler ve Özellikleri'!$O$2:$AJ$136,xHesaplama!U41,0)/1000</f>
        <v>#REF!</v>
      </c>
      <c r="DE41" s="4" t="e">
        <f>(X41+$DE$23)*VLOOKUP($DE$26,'x Malzemeler ve Özellikleri'!$O$2:$AJ$136,xHesaplama!U41,0)/1000</f>
        <v>#REF!</v>
      </c>
      <c r="DF41" s="4" t="e">
        <f>$DF$23*VLOOKUP($DF$26,'x Malzemeler ve Özellikleri'!$O$2:$AJ$136,xHesaplama!U41,0)</f>
        <v>#REF!</v>
      </c>
      <c r="DG41" s="4" t="e">
        <f>(Y41+$DG$23)*VLOOKUP($DG$26,'x Malzemeler ve Özellikleri'!$O$2:$AJ$136,xHesaplama!U41,0)/1000*2</f>
        <v>#REF!</v>
      </c>
      <c r="DH41" s="4" t="e">
        <f>(Y41+$DH$23)*VLOOKUP($DH$26,'x Malzemeler ve Özellikleri'!$O$2:$AJ$136,xHesaplama!U41,0)/1000*2</f>
        <v>#REF!</v>
      </c>
      <c r="DI41" s="4" t="e">
        <f>(Y41+$DI$23)*VLOOKUP($DI$26,'x Malzemeler ve Özellikleri'!$O$2:$AJ$136,xHesaplama!U41,0)/1000*2</f>
        <v>#REF!</v>
      </c>
      <c r="DJ41" s="4" t="e">
        <f>$DJ$23*VLOOKUP($DJ$26,'x Malzemeler ve Özellikleri'!$O$2:$AJ$136,xHesaplama!U41,0)</f>
        <v>#REF!</v>
      </c>
      <c r="DK41" s="4" t="e">
        <f>$DK$23*VLOOKUP($DK$26,'x Malzemeler ve Özellikleri'!$O$2:$AJ$136,xHesaplama!U41,0)</f>
        <v>#REF!</v>
      </c>
      <c r="DL41" s="4" t="e">
        <f>(X41+$DL$23)*VLOOKUP($DL$26,'x Malzemeler ve Özellikleri'!$O$2:$AJ$136,xHesaplama!U41,0)/1000</f>
        <v>#REF!</v>
      </c>
      <c r="DM41" s="4" t="e">
        <f>(X41+$DM$23)*VLOOKUP($DM$26,'x Malzemeler ve Özellikleri'!$O$2:$AJ$136,xHesaplama!U41,0)/1000</f>
        <v>#REF!</v>
      </c>
      <c r="DN41" s="4" t="e">
        <f>(X41+$DN$23)*VLOOKUP($DN$26,'x Malzemeler ve Özellikleri'!$O$2:$AJ$136,xHesaplama!U41,0)/1000</f>
        <v>#REF!</v>
      </c>
      <c r="DO41" s="4" t="e">
        <f>(X41+$DO$23)*VLOOKUP($DO$26,'x Malzemeler ve Özellikleri'!$O$2:$AJ$136,xHesaplama!U41,0)/1000</f>
        <v>#REF!</v>
      </c>
      <c r="DP41" s="23" t="e">
        <f>ROUNDUP(Y41/300,0)*4*VLOOKUP($DP$26,'x Malzemeler ve Özellikleri'!$O$2:$AJ$136,xHesaplama!U41,0)</f>
        <v>#REF!</v>
      </c>
      <c r="DQ41" s="4" t="e">
        <f>(X41+$DQ$23)*VLOOKUP($DQ$26,'x Malzemeler ve Özellikleri'!$O$2:$AJ$136,xHesaplama!U41,0)/1000</f>
        <v>#REF!</v>
      </c>
      <c r="DR41" s="4" t="e">
        <f>(Y41+$DR$23)*VLOOKUP($DR$26,'x Malzemeler ve Özellikleri'!$O$2:$AJ$136,xHesaplama!U41,0)/1000*2</f>
        <v>#REF!</v>
      </c>
      <c r="DS41" s="4" t="e">
        <f>(Y41+$DS$23)*VLOOKUP($DS$26,'x Malzemeler ve Özellikleri'!$O$2:$AJ$136,xHesaplama!U41,0)/1000*2</f>
        <v>#REF!</v>
      </c>
      <c r="DT41" s="4" t="e">
        <f>$DT$23*VLOOKUP($DT$26,'x Malzemeler ve Özellikleri'!$O$2:$AJ$136,xHesaplama!U41,0)</f>
        <v>#REF!</v>
      </c>
      <c r="DU41" s="4" t="e">
        <f>(X41+$DU$23)*VLOOKUP($DU$26,'x Malzemeler ve Özellikleri'!$O$2:$AJ$136,xHesaplama!U41,0)/1000</f>
        <v>#REF!</v>
      </c>
      <c r="DV41" s="4" t="e">
        <f>(2*X41-112-108)*VLOOKUP($DV$26,'x Malzemeler ve Özellikleri'!$O$2:$AJ$136,xHesaplama!U41,0)/1000</f>
        <v>#REF!</v>
      </c>
      <c r="DW41" s="4" t="e">
        <f>$DW$23*VLOOKUP($DW$26,'x Malzemeler ve Özellikleri'!$O$2:$AJ$136,xHesaplama!U41,0)</f>
        <v>#REF!</v>
      </c>
      <c r="DX41" s="4" t="e">
        <f>$DX$23*VLOOKUP($DX$26,'x Malzemeler ve Özellikleri'!$O$2:$AJ$136,xHesaplama!U41,0)</f>
        <v>#REF!</v>
      </c>
      <c r="DY41" s="4" t="e">
        <f>$DY$23*VLOOKUP($DY$26,'x Malzemeler ve Özellikleri'!$O$2:$AJ$136,xHesaplama!U41,0)</f>
        <v>#REF!</v>
      </c>
      <c r="DZ41" s="4" t="e">
        <f>$DZ$23*VLOOKUP($DZ$26,'x Malzemeler ve Özellikleri'!$O$2:$AJ$136,xHesaplama!U41,0)</f>
        <v>#REF!</v>
      </c>
      <c r="EA41" s="4" t="e">
        <f>(X41+$EA$23)*VLOOKUP($EA$26,'x Malzemeler ve Özellikleri'!$O$2:$AJ$136,xHesaplama!U41,0)/1000</f>
        <v>#REF!</v>
      </c>
      <c r="EB41" s="4" t="e">
        <f>(X41+$EB$23)*VLOOKUP($EB$26,'x Malzemeler ve Özellikleri'!$O$2:$AJ$136,xHesaplama!U41,0)/1000</f>
        <v>#REF!</v>
      </c>
      <c r="EC41" s="4" t="e">
        <f>$EC$23*VLOOKUP($EC$26,'x Malzemeler ve Özellikleri'!$O$2:$AJ$136,xHesaplama!U41,0)</f>
        <v>#REF!</v>
      </c>
      <c r="ED41" s="4" t="e">
        <f>(Y41+$ED$23)*VLOOKUP($ED$26,'x Malzemeler ve Özellikleri'!$O$2:$AJ$136,xHesaplama!U41,0)/1000*2</f>
        <v>#REF!</v>
      </c>
      <c r="EE41" s="4" t="e">
        <f>(Y41+$EE$23)*VLOOKUP($EE$26,'x Malzemeler ve Özellikleri'!$O$2:$AJ$136,xHesaplama!U41,0)/1000*2</f>
        <v>#REF!</v>
      </c>
      <c r="EF41" s="4" t="e">
        <f>(Y41+$EF$23)*VLOOKUP($EF$26,'x Malzemeler ve Özellikleri'!$O$2:$AJ$136,xHesaplama!U41,0)/1000*2</f>
        <v>#REF!</v>
      </c>
      <c r="EG41" s="4" t="e">
        <f>$EG$23*VLOOKUP($EG$26,'x Malzemeler ve Özellikleri'!$O$2:$AJ$136,xHesaplama!U41,0)</f>
        <v>#REF!</v>
      </c>
      <c r="EH41" s="4" t="e">
        <f>$EH$23*VLOOKUP($EH$26,'x Malzemeler ve Özellikleri'!$O$2:$AJ$136,xHesaplama!U41,0)</f>
        <v>#REF!</v>
      </c>
      <c r="EI41" s="4" t="e">
        <f>$EI$23*VLOOKUP($EI$26,'x Malzemeler ve Özellikleri'!$O$2:$AJ$136,xHesaplama!U41,0)</f>
        <v>#REF!</v>
      </c>
      <c r="EJ41" s="4" t="e">
        <f>$EJ$23*VLOOKUP($EJ$26,'x Malzemeler ve Özellikleri'!$O$2:$AJ$136,xHesaplama!U41,0)</f>
        <v>#REF!</v>
      </c>
      <c r="EK41" s="4" t="e">
        <f>$EK$23*VLOOKUP($EK$26,'x Malzemeler ve Özellikleri'!$O$2:$AJ$136,xHesaplama!U41,0)</f>
        <v>#REF!</v>
      </c>
      <c r="EL41" s="4" t="e">
        <f>$EL$23*VLOOKUP($EL$26,'x Malzemeler ve Özellikleri'!$O$2:$AJ$136,xHesaplama!U41,0)</f>
        <v>#REF!</v>
      </c>
      <c r="EM41" s="4" t="e">
        <f>(X41+$EM$23)*VLOOKUP($EM$26,'x Malzemeler ve Özellikleri'!$O$2:$AJ$136,xHesaplama!U41,0)/1000</f>
        <v>#REF!</v>
      </c>
      <c r="EN41" s="4" t="e">
        <f>(X41+$EN$23)*VLOOKUP($EN$26,'x Malzemeler ve Özellikleri'!$O$2:$AJ$136,xHesaplama!U41,0)/1000</f>
        <v>#REF!</v>
      </c>
      <c r="EO41" s="4" t="e">
        <f>(X41+$EO$23)*VLOOKUP($EO$26,'x Malzemeler ve Özellikleri'!$O$2:$AJ$136,xHesaplama!U41,0)/1000</f>
        <v>#REF!</v>
      </c>
      <c r="EP41" s="4" t="e">
        <f>(X41+$EP$23)*VLOOKUP($EP$26,'x Malzemeler ve Özellikleri'!$O$2:$AJ$136,xHesaplama!U41,0)/1000</f>
        <v>#REF!</v>
      </c>
      <c r="EQ41" s="4" t="e">
        <f>(X41+$EQ$23)*VLOOKUP($EQ$26,'x Malzemeler ve Özellikleri'!$O$2:$AJ$136,xHesaplama!U41,0)/1000</f>
        <v>#REF!</v>
      </c>
      <c r="ER41" s="4" t="e">
        <f>$ER$23*VLOOKUP($ER$26,'x Malzemeler ve Özellikleri'!$O$2:$AJ$136,xHesaplama!U41,0)</f>
        <v>#REF!</v>
      </c>
      <c r="ES41" s="4" t="e">
        <f>(X41+$ES$23)*VLOOKUP($ES$26,'x Malzemeler ve Özellikleri'!$O$2:$AJ$136,xHesaplama!U41,0)/1000</f>
        <v>#REF!</v>
      </c>
      <c r="ET41" s="4" t="e">
        <f>(2*X41-112-108)*VLOOKUP($ET$26,'x Malzemeler ve Özellikleri'!$O$2:$AJ$136,xHesaplama!U41,0)/1000</f>
        <v>#REF!</v>
      </c>
      <c r="EU41" s="4" t="e">
        <f>$EU$23*VLOOKUP($EU$26,'x Malzemeler ve Özellikleri'!$O$2:$AJ$136,xHesaplama!U41,0)</f>
        <v>#REF!</v>
      </c>
      <c r="EV41" s="4" t="e">
        <f>$EV$23*VLOOKUP($EV$26,'x Malzemeler ve Özellikleri'!$O$2:$AJ$136,xHesaplama!U41,0)</f>
        <v>#REF!</v>
      </c>
      <c r="EW41" s="4" t="e">
        <f>$EW$23*VLOOKUP($EW$26,'x Malzemeler ve Özellikleri'!$O$2:$AJ$136,xHesaplama!U41,0)</f>
        <v>#REF!</v>
      </c>
      <c r="EX41" s="4" t="e">
        <f>$EX$23*VLOOKUP($EX$26,'x Malzemeler ve Özellikleri'!$O$2:$AJ$136,xHesaplama!U41,0)</f>
        <v>#REF!</v>
      </c>
      <c r="EY41" s="4" t="e">
        <f>(X41+$EY$23)*VLOOKUP($EY$26,'x Malzemeler ve Özellikleri'!$O$2:$AJ$136,xHesaplama!U41,0)/1000</f>
        <v>#REF!</v>
      </c>
      <c r="EZ41" s="4" t="e">
        <f>(X41+$EZ$23)*VLOOKUP($EZ$26,'x Malzemeler ve Özellikleri'!$O$2:$AJ$136,xHesaplama!U41,0)/1000</f>
        <v>#REF!</v>
      </c>
      <c r="FA41" s="4" t="e">
        <f>$FA$23*VLOOKUP($FA$26,'x Malzemeler ve Özellikleri'!$O$2:$AJ$136,xHesaplama!U41,0)</f>
        <v>#REF!</v>
      </c>
      <c r="FB41" s="4" t="e">
        <f>$FB$23*VLOOKUP($FB$26,'x Malzemeler ve Özellikleri'!$O$2:$AJ$136,xHesaplama!U41,0)</f>
        <v>#REF!</v>
      </c>
      <c r="FC41" s="4" t="e">
        <f>$FC$23*VLOOKUP($FC$26,'x Malzemeler ve Özellikleri'!$O$2:$AJ$136,xHesaplama!U41,0)</f>
        <v>#REF!</v>
      </c>
      <c r="FD41" s="4" t="e">
        <f>$FD$23*VLOOKUP($FD$26,'x Malzemeler ve Özellikleri'!$O$2:$AJ$136,xHesaplama!U41,0)</f>
        <v>#REF!</v>
      </c>
      <c r="FE41" s="4" t="e">
        <f>$FE$23*VLOOKUP($FE$26,'x Malzemeler ve Özellikleri'!$O$2:$AJ$136,xHesaplama!U41,0)</f>
        <v>#REF!</v>
      </c>
      <c r="FF41" s="4" t="e">
        <f>$FF$23*VLOOKUP($FF$26,'x Malzemeler ve Özellikleri'!$O$2:$AJ$136,xHesaplama!U41,0)</f>
        <v>#REF!</v>
      </c>
      <c r="FG41" s="4" t="e">
        <f>$FG$23*VLOOKUP($FG$26,'x Malzemeler ve Özellikleri'!$O$2:$AJ$136,xHesaplama!U41,0)</f>
        <v>#REF!</v>
      </c>
      <c r="FH41" s="4" t="e">
        <f>$FH$23*VLOOKUP($FH$26,'x Malzemeler ve Özellikleri'!$O$2:$AJ$136,xHesaplama!U41,0)</f>
        <v>#REF!</v>
      </c>
    </row>
    <row r="42" spans="1:168">
      <c r="A42" s="4">
        <f>'1PROJE'!B22</f>
        <v>16</v>
      </c>
      <c r="B42" s="4">
        <f>'1PROJE'!C22</f>
        <v>0</v>
      </c>
      <c r="C42" s="4">
        <f>'1PROJE'!D22</f>
        <v>0</v>
      </c>
      <c r="D42" s="4">
        <f>'1PROJE'!E22</f>
        <v>0</v>
      </c>
      <c r="E42" s="4">
        <f>'1PROJE'!F22</f>
        <v>0</v>
      </c>
      <c r="F42" s="4">
        <f>'1PROJE'!G22</f>
        <v>0</v>
      </c>
      <c r="G42" s="4">
        <f>'1PROJE'!H22</f>
        <v>0</v>
      </c>
      <c r="H42" s="4">
        <f>'1PROJE'!I22</f>
        <v>0</v>
      </c>
      <c r="I42" s="4">
        <f>'1PROJE'!K22</f>
        <v>0</v>
      </c>
      <c r="J42" s="4">
        <f>'1PROJE'!L22</f>
        <v>0</v>
      </c>
      <c r="K42" s="4">
        <f>'1PROJE'!M22</f>
        <v>0</v>
      </c>
      <c r="L42" s="4">
        <f>'1PROJE'!N22</f>
        <v>0</v>
      </c>
      <c r="M42" s="4">
        <f>'1PROJE'!O22</f>
        <v>0</v>
      </c>
      <c r="N42" s="4">
        <f t="shared" si="3"/>
        <v>4</v>
      </c>
      <c r="O42" s="4">
        <f>'1PROJE'!P22</f>
        <v>0</v>
      </c>
      <c r="P42" s="4">
        <f>'1PROJE'!R22</f>
        <v>0</v>
      </c>
      <c r="Q42" s="4">
        <f>'1PROJE'!S22</f>
        <v>0</v>
      </c>
      <c r="R42" s="4">
        <f>'1PROJE'!T22</f>
        <v>0</v>
      </c>
      <c r="S42" s="4"/>
      <c r="U42" s="4" t="e">
        <f t="shared" si="1"/>
        <v>#N/A</v>
      </c>
      <c r="V42" s="4" t="e">
        <f>VLOOKUP(B42,'x Açılır Listeler'!$A$2:$B$15,2,0)</f>
        <v>#N/A</v>
      </c>
      <c r="W42" s="4" t="e">
        <f>VLOOKUP(B42,'x Açılır Listeler'!$A$2:$C$15,3,0)*2</f>
        <v>#N/A</v>
      </c>
      <c r="X42" s="4">
        <f t="shared" si="4"/>
        <v>0</v>
      </c>
      <c r="Y42" s="4">
        <f t="shared" si="5"/>
        <v>0</v>
      </c>
      <c r="Z42" s="4" t="s">
        <v>655</v>
      </c>
      <c r="AA42" s="4">
        <f t="shared" si="2"/>
        <v>25</v>
      </c>
      <c r="AB42" s="38" t="e">
        <f>VLOOKUP(J42,'x Malzemeler ve Özellikleri'!$N$147:$R$167,5,0)</f>
        <v>#N/A</v>
      </c>
      <c r="AC42" s="46" t="e">
        <f>IF('1PROJE'!J22="",VLOOKUP(H42,'x Malzemeler ve Özellikleri'!$N$137:$R$146,5,0),'1PROJE'!J22)</f>
        <v>#N/A</v>
      </c>
      <c r="AD42" s="52">
        <f t="shared" si="6"/>
        <v>-2.8511999999999999E-2</v>
      </c>
      <c r="AE42" s="46" t="e">
        <f t="shared" si="7"/>
        <v>#N/A</v>
      </c>
      <c r="AF42" s="46">
        <f>IF(O42="VAR",IF('1PROJE'!Q22="",$AI$10,'1PROJE'!Q22),0)</f>
        <v>0</v>
      </c>
      <c r="AG42" s="4" t="e">
        <f>IF('1PROJE'!S22="",VLOOKUP(xHesaplama!P42,'x Malzemeler ve Özellikleri'!$AS$2:$AT$11,2,0),'1PROJE'!S22/'1PROJE'!$P$3)</f>
        <v>#N/A</v>
      </c>
      <c r="AH42" s="4" t="e">
        <f>(X42+$AH$23)*VLOOKUP($AH$26,'x Malzemeler ve Özellikleri'!$O$2:$AJ$136,xHesaplama!U42,0)/1000</f>
        <v>#REF!</v>
      </c>
      <c r="AI42" s="4" t="e">
        <f>(X42+$AI$23)*VLOOKUP($AI$26,'x Malzemeler ve Özellikleri'!$O$2:$AJ$136,xHesaplama!U42,0)/1000</f>
        <v>#REF!</v>
      </c>
      <c r="AJ42" s="4" t="e">
        <f>(X42+$AJ$23)*VLOOKUP($AJ$26,'x Malzemeler ve Özellikleri'!$O$2:$AJ$136,xHesaplama!U42,0)/1000</f>
        <v>#REF!</v>
      </c>
      <c r="AK42" s="4" t="e">
        <f>(X42+$AK$23)*VLOOKUP($AK$26,'x Malzemeler ve Özellikleri'!$O$2:$AJ$136,xHesaplama!U42,0)/1000</f>
        <v>#REF!</v>
      </c>
      <c r="AL42" s="4" t="e">
        <f>(Y42+$AL$23)*VLOOKUP($AL$26,'x Malzemeler ve Özellikleri'!$O$2:$AJ$136,xHesaplama!U42,0)/1000*2</f>
        <v>#REF!</v>
      </c>
      <c r="AM42" s="4" t="e">
        <f>IF(AND(X42&lt;4500,Y42&lt;4500,X42*Y42/1000000&lt;12),(X42+$AM$23)*VLOOKUP($AM$26,'x Malzemeler ve Özellikleri'!$O$2:$AJ$136,xHesaplama!U42,0)/1000,0)</f>
        <v>#REF!</v>
      </c>
      <c r="AN42" s="4">
        <f>IF(OR(X42&gt;=4500,Y42&gt;=4500,X42*Y42/1000000&gt;=12),(X42+$AN$23)*VLOOKUP($AN$26,'x Malzemeler ve Özellikleri'!$O$2:$AJ$136,xHesaplama!U42,0)/1000,0)</f>
        <v>0</v>
      </c>
      <c r="AO42" s="4" t="e">
        <f>(Y42+$AO$23)*VLOOKUP($AO$26,'x Malzemeler ve Özellikleri'!$O$2:$AJ$136,xHesaplama!U42,0)/1000*2</f>
        <v>#REF!</v>
      </c>
      <c r="AP42" s="4" t="e">
        <f>$AP$23*VLOOKUP($AP$26,'x Malzemeler ve Özellikleri'!$O$2:$AJ$136,xHesaplama!U42,0)</f>
        <v>#REF!</v>
      </c>
      <c r="AQ42" s="4" t="e">
        <f>$AQ$23*VLOOKUP($AQ$26,'x Malzemeler ve Özellikleri'!$O$2:$AJ$136,xHesaplama!U42,0)</f>
        <v>#REF!</v>
      </c>
      <c r="AR42" s="4" t="e">
        <f>$AR$23*VLOOKUP($AR$26,'x Malzemeler ve Özellikleri'!$O$2:$AJ$136,xHesaplama!U42,0)</f>
        <v>#REF!</v>
      </c>
      <c r="AS42" s="4" t="e">
        <f>$AS$23*VLOOKUP($AS$26,'x Malzemeler ve Özellikleri'!$O$2:$AJ$136,xHesaplama!U42,0)</f>
        <v>#REF!</v>
      </c>
      <c r="AT42" s="4" t="e">
        <f>$AT$23*VLOOKUP($AT$26,'x Malzemeler ve Özellikleri'!$O$2:$AJ$136,xHesaplama!U42,0)</f>
        <v>#REF!</v>
      </c>
      <c r="AU42" s="4" t="e">
        <f>$AU$23*VLOOKUP($AU$26,'x Malzemeler ve Özellikleri'!$O$2:$AJ$136,xHesaplama!U42,0)</f>
        <v>#REF!</v>
      </c>
      <c r="AV42" s="4" t="e">
        <f>$AV$23*VLOOKUP($AV$26,'x Malzemeler ve Özellikleri'!$O$2:$AJ$136,xHesaplama!U42,0)</f>
        <v>#REF!</v>
      </c>
      <c r="AW42" s="4" t="e">
        <f>(Y42+$AW$23)*VLOOKUP($AW$26,'x Malzemeler ve Özellikleri'!$O$2:$AJ$136,xHesaplama!U42,0)/1000*2</f>
        <v>#REF!</v>
      </c>
      <c r="AX42" s="4" t="e">
        <f>$AX$23*VLOOKUP($AX$26,'x Malzemeler ve Özellikleri'!$O$2:$AJ$136,xHesaplama!U42,0)</f>
        <v>#REF!</v>
      </c>
      <c r="AY42" s="4" t="e">
        <f>$AY$23*VLOOKUP($AY$26,'x Malzemeler ve Özellikleri'!$O$2:$AJ$136,xHesaplama!U42,0)</f>
        <v>#REF!</v>
      </c>
      <c r="AZ42" s="23" t="e">
        <f>ROUNDUP(Y42/300,0)*4*VLOOKUP($AZ$26,'x Malzemeler ve Özellikleri'!$O$2:$AJ$136,xHesaplama!U42,0)</f>
        <v>#REF!</v>
      </c>
      <c r="BA42" s="4" t="e">
        <f>(2*X42-155-183)*VLOOKUP($BA$26,'x Malzemeler ve Özellikleri'!$O$2:$AJ$136,xHesaplama!U42,0)/1000</f>
        <v>#REF!</v>
      </c>
      <c r="BB42" s="4" t="e">
        <f>$BB$23*VLOOKUP($BB$26,'x Malzemeler ve Özellikleri'!$O$2:$AJ$136,xHesaplama!U42,0)</f>
        <v>#REF!</v>
      </c>
      <c r="BC42" s="4" t="e">
        <f>$BC$23*VLOOKUP($BC$26,'x Malzemeler ve Özellikleri'!$O$2:$AJ$136,xHesaplama!U42,0)</f>
        <v>#REF!</v>
      </c>
      <c r="BD42" s="4" t="e">
        <f>$BD$23*VLOOKUP($BD$26,'x Malzemeler ve Özellikleri'!$O$2:$AJ$136,xHesaplama!U42,0)</f>
        <v>#REF!</v>
      </c>
      <c r="BE42" s="4" t="e">
        <f>$BE$23*VLOOKUP($BE$26,'x Malzemeler ve Özellikleri'!$O$2:$AJ$136,xHesaplama!U42,0)</f>
        <v>#REF!</v>
      </c>
      <c r="BF42" s="4" t="e">
        <f>$BF$23*VLOOKUP($BF$26,'x Malzemeler ve Özellikleri'!$O$2:$AJ$136,xHesaplama!U42,0)</f>
        <v>#REF!</v>
      </c>
      <c r="BG42" s="4" t="e">
        <f>$BG$23*VLOOKUP($BG$26,'x Malzemeler ve Özellikleri'!$O$2:$AJ$136,xHesaplama!U42,0)</f>
        <v>#REF!</v>
      </c>
      <c r="BH42" s="4" t="e">
        <f>$BH$23*VLOOKUP($BH$26,'x Malzemeler ve Özellikleri'!$O$2:$AJ$136,xHesaplama!U42,0)*N42</f>
        <v>#REF!</v>
      </c>
      <c r="BI42" s="4" t="e">
        <f>$BI$23*VLOOKUP($BI$26,'x Malzemeler ve Özellikleri'!$O$2:$AJ$136,xHesaplama!U42,0)</f>
        <v>#REF!</v>
      </c>
      <c r="BJ42" s="4" t="e">
        <f>$BJ$23*VLOOKUP($BJ$26,'x Malzemeler ve Özellikleri'!$O$2:$AJ$136,xHesaplama!U42,0)</f>
        <v>#REF!</v>
      </c>
      <c r="BK42" s="4" t="e">
        <f>$BK$23*VLOOKUP($BK$26,'x Malzemeler ve Özellikleri'!$O$2:$AJ$136,xHesaplama!U42,0)</f>
        <v>#REF!</v>
      </c>
      <c r="BL42" s="4" t="e">
        <f>$BL$23*VLOOKUP($BL$26,'x Malzemeler ve Özellikleri'!$O$2:$AJ$136,xHesaplama!U42,0)</f>
        <v>#REF!</v>
      </c>
      <c r="BM42" s="4" t="e">
        <f>$BM$23*VLOOKUP($BM$26,'x Malzemeler ve Özellikleri'!$O$2:$AJ$136,xHesaplama!U42,0)</f>
        <v>#REF!</v>
      </c>
      <c r="BN42" s="4" t="e">
        <f>$BN$23*VLOOKUP($BN$26,'x Malzemeler ve Özellikleri'!$O$2:$AJ$136,xHesaplama!U42,0)</f>
        <v>#REF!</v>
      </c>
      <c r="BO42" s="4" t="e">
        <f>(2*(2*X42+Y42*2)*VLOOKUP($BO$26,'x Malzemeler ve Özellikleri'!$O$2:$AJ$136,xHesaplama!U42,0)/1000)</f>
        <v>#REF!</v>
      </c>
      <c r="BP42" s="4" t="e">
        <f>(X42+$BP$23)*VLOOKUP($BP$26,'x Malzemeler ve Özellikleri'!$O$2:$AJ$136,xHesaplama!U42,0)/1000</f>
        <v>#REF!</v>
      </c>
      <c r="BQ42" s="4" t="e">
        <f>(X42+$BQ$23)*VLOOKUP($BQ$26,'x Malzemeler ve Özellikleri'!$O$2:$AJ$136,xHesaplama!U42,0)/1000</f>
        <v>#REF!</v>
      </c>
      <c r="BR42" s="4" t="e">
        <f>(X42+$BR$23)*VLOOKUP($BR$26,'x Malzemeler ve Özellikleri'!$O$2:$AJ$136,xHesaplama!U42,0)/1000</f>
        <v>#REF!</v>
      </c>
      <c r="BS42" s="4" t="e">
        <f>(X42+$BS$23)*VLOOKUP($BS$26,'x Malzemeler ve Özellikleri'!$O$2:$AJ$136,xHesaplama!U42,0)/1000</f>
        <v>#REF!</v>
      </c>
      <c r="BT42" s="4" t="e">
        <f>$BT$23*VLOOKUP($BT$26,'x Malzemeler ve Özellikleri'!$O$2:$AJ$136,xHesaplama!U42,0)</f>
        <v>#REF!</v>
      </c>
      <c r="BU42" s="4" t="e">
        <f>(Y42+$BU$23)*VLOOKUP($BU$26,'x Malzemeler ve Özellikleri'!$O$2:$AJ$136,xHesaplama!U42,0)/1000*2</f>
        <v>#REF!</v>
      </c>
      <c r="BV42" s="4" t="e">
        <f>(X42+$BV$23)*VLOOKUP($BV$26,'x Malzemeler ve Özellikleri'!$O$2:$AJ$136,xHesaplama!U42,0)/1000</f>
        <v>#REF!</v>
      </c>
      <c r="BW42" s="4" t="e">
        <f>$BW$23*VLOOKUP($BW$26,'x Malzemeler ve Özellikleri'!$O$2:$AJ$136,xHesaplama!U42,0)</f>
        <v>#REF!</v>
      </c>
      <c r="BX42" s="23" t="e">
        <f>ROUNDUP(Y42/300,0)*4*VLOOKUP($BX$26,'x Malzemeler ve Özellikleri'!$O$2:$AJ$136,xHesaplama!U42,0)</f>
        <v>#REF!</v>
      </c>
      <c r="BY42" s="4" t="e">
        <f>$BY$23*VLOOKUP($BY$26,'x Malzemeler ve Özellikleri'!$O$2:$AJ$136,xHesaplama!U42,0)</f>
        <v>#REF!</v>
      </c>
      <c r="BZ42" s="4" t="e">
        <f>$BZ$23*VLOOKUP($BZ$26,'x Malzemeler ve Özellikleri'!$O$2:$AJ$136,xHesaplama!U42,0)</f>
        <v>#REF!</v>
      </c>
      <c r="CA42" s="4" t="e">
        <f>(X42+$CA$23)*VLOOKUP($CA$26,'x Malzemeler ve Özellikleri'!$O$2:$AJ$136,xHesaplama!U42,0)/1000</f>
        <v>#REF!</v>
      </c>
      <c r="CB42" s="4" t="e">
        <f>(X42+$CB$23)*VLOOKUP($CB$26,'x Malzemeler ve Özellikleri'!$O$2:$AJ$136,xHesaplama!U42,0)/1000</f>
        <v>#REF!</v>
      </c>
      <c r="CC42" s="4" t="e">
        <f>$CC$23*VLOOKUP($CC$26,'x Malzemeler ve Özellikleri'!$O$2:$AJ$136,xHesaplama!U42,0)</f>
        <v>#REF!</v>
      </c>
      <c r="CD42" s="4" t="e">
        <f>(X42+$CD$23)*VLOOKUP($CD$26,'x Malzemeler ve Özellikleri'!$O$2:$AJ$136,xHesaplama!U42,0)/1000</f>
        <v>#REF!</v>
      </c>
      <c r="CE42" s="4" t="e">
        <f>(2*X42-120-122)*VLOOKUP($CE$26,'x Malzemeler ve Özellikleri'!$O$2:$AJ$136,xHesaplama!U42,0)/1000</f>
        <v>#REF!</v>
      </c>
      <c r="CF42" s="4" t="e">
        <f>(Y42+$CF$23)*VLOOKUP($CF$26,'x Malzemeler ve Özellikleri'!$O$2:$AJ$136,xHesaplama!U42,0)/1000*2</f>
        <v>#REF!</v>
      </c>
      <c r="CG42" s="4" t="e">
        <f>$CG$23*VLOOKUP($CG$26,'x Malzemeler ve Özellikleri'!$O$2:$AJ$136,xHesaplama!U42,0)</f>
        <v>#REF!</v>
      </c>
      <c r="CH42" s="4" t="e">
        <f>(Y42+$CH$23)*VLOOKUP($CH$26,'x Malzemeler ve Özellikleri'!$O$2:$AJ$136,xHesaplama!U42,0)/1000*2</f>
        <v>#REF!</v>
      </c>
      <c r="CI42" s="4" t="e">
        <f>(Y42+$CI$23)*VLOOKUP($CI$26,'x Malzemeler ve Özellikleri'!$O$2:$AJ$136,xHesaplama!U42,0)/1000*2</f>
        <v>#REF!</v>
      </c>
      <c r="CJ42" s="4" t="e">
        <f>$CJ$23*VLOOKUP($CJ$26,'x Malzemeler ve Özellikleri'!$O$2:$AJ$136,xHesaplama!U42,0)</f>
        <v>#REF!</v>
      </c>
      <c r="CK42" s="4" t="e">
        <f>$CK$23*VLOOKUP($CK$26,'x Malzemeler ve Özellikleri'!$O$2:$AJ$136,xHesaplama!U42,0)</f>
        <v>#REF!</v>
      </c>
      <c r="CL42" s="4" t="e">
        <f>$CL$23*VLOOKUP($CL$26,'x Malzemeler ve Özellikleri'!$O$2:$AJ$136,xHesaplama!U42,0)</f>
        <v>#REF!</v>
      </c>
      <c r="CM42" s="4" t="e">
        <f>(X42+$CM$23)*VLOOKUP($CM$26,'x Malzemeler ve Özellikleri'!$O$2:$AJ$136,xHesaplama!U42,0)/1000</f>
        <v>#REF!</v>
      </c>
      <c r="CN42" s="4" t="e">
        <f>(X42+$CN$23)*VLOOKUP($CN$26,'x Malzemeler ve Özellikleri'!$O$2:$AJ$136,xHesaplama!U42,0)/1000</f>
        <v>#REF!</v>
      </c>
      <c r="CO42" s="4" t="e">
        <f>(X42+$CO$23)*VLOOKUP($CO$26,'x Malzemeler ve Özellikleri'!$O$2:$AJ$136,xHesaplama!U42,0)/1000</f>
        <v>#REF!</v>
      </c>
      <c r="CP42" s="4" t="e">
        <f>(X42+$CP$23)*VLOOKUP($CP$26,'x Malzemeler ve Özellikleri'!$O$2:$AJ$136,xHesaplama!U42,0)/1000</f>
        <v>#REF!</v>
      </c>
      <c r="CQ42" s="23" t="e">
        <f>ROUNDUP(Y42/300,0)*4*VLOOKUP($CQ$26,'x Malzemeler ve Özellikleri'!$O$2:$AJ$136,xHesaplama!U42,0)</f>
        <v>#REF!</v>
      </c>
      <c r="CR42" s="4" t="e">
        <f>(X42+$CR$23)*VLOOKUP($CR$26,'x Malzemeler ve Özellikleri'!$O$2:$AJ$136,xHesaplama!U42,0)/1000</f>
        <v>#REF!</v>
      </c>
      <c r="CS42" s="4" t="e">
        <f>$CS$23*VLOOKUP($CS$26,'x Malzemeler ve Özellikleri'!$O$2:$AJ$136,xHesaplama!U42,0)</f>
        <v>#REF!</v>
      </c>
      <c r="CT42" s="4" t="e">
        <f>$CT$23*VLOOKUP($CT$26,'x Malzemeler ve Özellikleri'!$O$2:$AJ$136,xHesaplama!U42,0)</f>
        <v>#REF!</v>
      </c>
      <c r="CU42" s="4" t="e">
        <f>(Y42+$CU$23)*VLOOKUP($CU$26,'x Malzemeler ve Özellikleri'!$O$2:$AJ$136,xHesaplama!U42,0)/1000*2</f>
        <v>#REF!</v>
      </c>
      <c r="CV42" s="4" t="e">
        <f>(Y42+$CV$23)*VLOOKUP($CV$26,'x Malzemeler ve Özellikleri'!$O$2:$AJ$136,xHesaplama!U42,0)/1000*2</f>
        <v>#REF!</v>
      </c>
      <c r="CW42" s="4" t="e">
        <f>$CW$23*VLOOKUP($CW$26,'x Malzemeler ve Özellikleri'!$O$2:$AJ$136,xHesaplama!U42,0)</f>
        <v>#REF!</v>
      </c>
      <c r="CX42" s="4" t="e">
        <f>(X42+$CX$23)*VLOOKUP($CX$26,'x Malzemeler ve Özellikleri'!$O$2:$AJ$136,xHesaplama!U42,0)/1000</f>
        <v>#REF!</v>
      </c>
      <c r="CY42" s="4" t="e">
        <f>(2*X42-112-108)*VLOOKUP($CY$26,'x Malzemeler ve Özellikleri'!$O$2:$AJ$136,xHesaplama!U42,0)/1000</f>
        <v>#REF!</v>
      </c>
      <c r="CZ42" s="4" t="e">
        <f>$CZ$23*VLOOKUP($CZ$26,'x Malzemeler ve Özellikleri'!$O$2:$AJ$136,xHesaplama!U42,0)</f>
        <v>#REF!</v>
      </c>
      <c r="DA42" s="4" t="e">
        <f>$DA$23*VLOOKUP($DA$26,'x Malzemeler ve Özellikleri'!$O$2:$AJ$136,xHesaplama!U42,0)</f>
        <v>#REF!</v>
      </c>
      <c r="DB42" s="4" t="e">
        <f>$DB$23*VLOOKUP($DB$26,'x Malzemeler ve Özellikleri'!$O$2:$AJ$136,xHesaplama!U42,0)</f>
        <v>#REF!</v>
      </c>
      <c r="DC42" s="4" t="e">
        <f>$DC$23*VLOOKUP($DC$26,'x Malzemeler ve Özellikleri'!$O$2:$AJ$136,xHesaplama!U42,0)</f>
        <v>#REF!</v>
      </c>
      <c r="DD42" s="4" t="e">
        <f>(X42+$DD$23)*VLOOKUP($DD$26,'x Malzemeler ve Özellikleri'!$O$2:$AJ$136,xHesaplama!U42,0)/1000</f>
        <v>#REF!</v>
      </c>
      <c r="DE42" s="4" t="e">
        <f>(X42+$DE$23)*VLOOKUP($DE$26,'x Malzemeler ve Özellikleri'!$O$2:$AJ$136,xHesaplama!U42,0)/1000</f>
        <v>#REF!</v>
      </c>
      <c r="DF42" s="4" t="e">
        <f>$DF$23*VLOOKUP($DF$26,'x Malzemeler ve Özellikleri'!$O$2:$AJ$136,xHesaplama!U42,0)</f>
        <v>#REF!</v>
      </c>
      <c r="DG42" s="4" t="e">
        <f>(Y42+$DG$23)*VLOOKUP($DG$26,'x Malzemeler ve Özellikleri'!$O$2:$AJ$136,xHesaplama!U42,0)/1000*2</f>
        <v>#REF!</v>
      </c>
      <c r="DH42" s="4" t="e">
        <f>(Y42+$DH$23)*VLOOKUP($DH$26,'x Malzemeler ve Özellikleri'!$O$2:$AJ$136,xHesaplama!U42,0)/1000*2</f>
        <v>#REF!</v>
      </c>
      <c r="DI42" s="4" t="e">
        <f>(Y42+$DI$23)*VLOOKUP($DI$26,'x Malzemeler ve Özellikleri'!$O$2:$AJ$136,xHesaplama!U42,0)/1000*2</f>
        <v>#REF!</v>
      </c>
      <c r="DJ42" s="4" t="e">
        <f>$DJ$23*VLOOKUP($DJ$26,'x Malzemeler ve Özellikleri'!$O$2:$AJ$136,xHesaplama!U42,0)</f>
        <v>#REF!</v>
      </c>
      <c r="DK42" s="4" t="e">
        <f>$DK$23*VLOOKUP($DK$26,'x Malzemeler ve Özellikleri'!$O$2:$AJ$136,xHesaplama!U42,0)</f>
        <v>#REF!</v>
      </c>
      <c r="DL42" s="4" t="e">
        <f>(X42+$DL$23)*VLOOKUP($DL$26,'x Malzemeler ve Özellikleri'!$O$2:$AJ$136,xHesaplama!U42,0)/1000</f>
        <v>#REF!</v>
      </c>
      <c r="DM42" s="4" t="e">
        <f>(X42+$DM$23)*VLOOKUP($DM$26,'x Malzemeler ve Özellikleri'!$O$2:$AJ$136,xHesaplama!U42,0)/1000</f>
        <v>#REF!</v>
      </c>
      <c r="DN42" s="4" t="e">
        <f>(X42+$DN$23)*VLOOKUP($DN$26,'x Malzemeler ve Özellikleri'!$O$2:$AJ$136,xHesaplama!U42,0)/1000</f>
        <v>#REF!</v>
      </c>
      <c r="DO42" s="4" t="e">
        <f>(X42+$DO$23)*VLOOKUP($DO$26,'x Malzemeler ve Özellikleri'!$O$2:$AJ$136,xHesaplama!U42,0)/1000</f>
        <v>#REF!</v>
      </c>
      <c r="DP42" s="23" t="e">
        <f>ROUNDUP(Y42/300,0)*4*VLOOKUP($DP$26,'x Malzemeler ve Özellikleri'!$O$2:$AJ$136,xHesaplama!U42,0)</f>
        <v>#REF!</v>
      </c>
      <c r="DQ42" s="4" t="e">
        <f>(X42+$DQ$23)*VLOOKUP($DQ$26,'x Malzemeler ve Özellikleri'!$O$2:$AJ$136,xHesaplama!U42,0)/1000</f>
        <v>#REF!</v>
      </c>
      <c r="DR42" s="4" t="e">
        <f>(Y42+$DR$23)*VLOOKUP($DR$26,'x Malzemeler ve Özellikleri'!$O$2:$AJ$136,xHesaplama!U42,0)/1000*2</f>
        <v>#REF!</v>
      </c>
      <c r="DS42" s="4" t="e">
        <f>(Y42+$DS$23)*VLOOKUP($DS$26,'x Malzemeler ve Özellikleri'!$O$2:$AJ$136,xHesaplama!U42,0)/1000*2</f>
        <v>#REF!</v>
      </c>
      <c r="DT42" s="4" t="e">
        <f>$DT$23*VLOOKUP($DT$26,'x Malzemeler ve Özellikleri'!$O$2:$AJ$136,xHesaplama!U42,0)</f>
        <v>#REF!</v>
      </c>
      <c r="DU42" s="4" t="e">
        <f>(X42+$DU$23)*VLOOKUP($DU$26,'x Malzemeler ve Özellikleri'!$O$2:$AJ$136,xHesaplama!U42,0)/1000</f>
        <v>#REF!</v>
      </c>
      <c r="DV42" s="4" t="e">
        <f>(2*X42-112-108)*VLOOKUP($DV$26,'x Malzemeler ve Özellikleri'!$O$2:$AJ$136,xHesaplama!U42,0)/1000</f>
        <v>#REF!</v>
      </c>
      <c r="DW42" s="4" t="e">
        <f>$DW$23*VLOOKUP($DW$26,'x Malzemeler ve Özellikleri'!$O$2:$AJ$136,xHesaplama!U42,0)</f>
        <v>#REF!</v>
      </c>
      <c r="DX42" s="4" t="e">
        <f>$DX$23*VLOOKUP($DX$26,'x Malzemeler ve Özellikleri'!$O$2:$AJ$136,xHesaplama!U42,0)</f>
        <v>#REF!</v>
      </c>
      <c r="DY42" s="4" t="e">
        <f>$DY$23*VLOOKUP($DY$26,'x Malzemeler ve Özellikleri'!$O$2:$AJ$136,xHesaplama!U42,0)</f>
        <v>#REF!</v>
      </c>
      <c r="DZ42" s="4" t="e">
        <f>$DZ$23*VLOOKUP($DZ$26,'x Malzemeler ve Özellikleri'!$O$2:$AJ$136,xHesaplama!U42,0)</f>
        <v>#REF!</v>
      </c>
      <c r="EA42" s="4" t="e">
        <f>(X42+$EA$23)*VLOOKUP($EA$26,'x Malzemeler ve Özellikleri'!$O$2:$AJ$136,xHesaplama!U42,0)/1000</f>
        <v>#REF!</v>
      </c>
      <c r="EB42" s="4" t="e">
        <f>(X42+$EB$23)*VLOOKUP($EB$26,'x Malzemeler ve Özellikleri'!$O$2:$AJ$136,xHesaplama!U42,0)/1000</f>
        <v>#REF!</v>
      </c>
      <c r="EC42" s="4" t="e">
        <f>$EC$23*VLOOKUP($EC$26,'x Malzemeler ve Özellikleri'!$O$2:$AJ$136,xHesaplama!U42,0)</f>
        <v>#REF!</v>
      </c>
      <c r="ED42" s="4" t="e">
        <f>(Y42+$ED$23)*VLOOKUP($ED$26,'x Malzemeler ve Özellikleri'!$O$2:$AJ$136,xHesaplama!U42,0)/1000*2</f>
        <v>#REF!</v>
      </c>
      <c r="EE42" s="4" t="e">
        <f>(Y42+$EE$23)*VLOOKUP($EE$26,'x Malzemeler ve Özellikleri'!$O$2:$AJ$136,xHesaplama!U42,0)/1000*2</f>
        <v>#REF!</v>
      </c>
      <c r="EF42" s="4" t="e">
        <f>(Y42+$EF$23)*VLOOKUP($EF$26,'x Malzemeler ve Özellikleri'!$O$2:$AJ$136,xHesaplama!U42,0)/1000*2</f>
        <v>#REF!</v>
      </c>
      <c r="EG42" s="4" t="e">
        <f>$EG$23*VLOOKUP($EG$26,'x Malzemeler ve Özellikleri'!$O$2:$AJ$136,xHesaplama!U42,0)</f>
        <v>#REF!</v>
      </c>
      <c r="EH42" s="4" t="e">
        <f>$EH$23*VLOOKUP($EH$26,'x Malzemeler ve Özellikleri'!$O$2:$AJ$136,xHesaplama!U42,0)</f>
        <v>#REF!</v>
      </c>
      <c r="EI42" s="4" t="e">
        <f>$EI$23*VLOOKUP($EI$26,'x Malzemeler ve Özellikleri'!$O$2:$AJ$136,xHesaplama!U42,0)</f>
        <v>#REF!</v>
      </c>
      <c r="EJ42" s="4" t="e">
        <f>$EJ$23*VLOOKUP($EJ$26,'x Malzemeler ve Özellikleri'!$O$2:$AJ$136,xHesaplama!U42,0)</f>
        <v>#REF!</v>
      </c>
      <c r="EK42" s="4" t="e">
        <f>$EK$23*VLOOKUP($EK$26,'x Malzemeler ve Özellikleri'!$O$2:$AJ$136,xHesaplama!U42,0)</f>
        <v>#REF!</v>
      </c>
      <c r="EL42" s="4" t="e">
        <f>$EL$23*VLOOKUP($EL$26,'x Malzemeler ve Özellikleri'!$O$2:$AJ$136,xHesaplama!U42,0)</f>
        <v>#REF!</v>
      </c>
      <c r="EM42" s="4" t="e">
        <f>(X42+$EM$23)*VLOOKUP($EM$26,'x Malzemeler ve Özellikleri'!$O$2:$AJ$136,xHesaplama!U42,0)/1000</f>
        <v>#REF!</v>
      </c>
      <c r="EN42" s="4" t="e">
        <f>(X42+$EN$23)*VLOOKUP($EN$26,'x Malzemeler ve Özellikleri'!$O$2:$AJ$136,xHesaplama!U42,0)/1000</f>
        <v>#REF!</v>
      </c>
      <c r="EO42" s="4" t="e">
        <f>(X42+$EO$23)*VLOOKUP($EO$26,'x Malzemeler ve Özellikleri'!$O$2:$AJ$136,xHesaplama!U42,0)/1000</f>
        <v>#REF!</v>
      </c>
      <c r="EP42" s="4" t="e">
        <f>(X42+$EP$23)*VLOOKUP($EP$26,'x Malzemeler ve Özellikleri'!$O$2:$AJ$136,xHesaplama!U42,0)/1000</f>
        <v>#REF!</v>
      </c>
      <c r="EQ42" s="4" t="e">
        <f>(X42+$EQ$23)*VLOOKUP($EQ$26,'x Malzemeler ve Özellikleri'!$O$2:$AJ$136,xHesaplama!U42,0)/1000</f>
        <v>#REF!</v>
      </c>
      <c r="ER42" s="4" t="e">
        <f>$ER$23*VLOOKUP($ER$26,'x Malzemeler ve Özellikleri'!$O$2:$AJ$136,xHesaplama!U42,0)</f>
        <v>#REF!</v>
      </c>
      <c r="ES42" s="4" t="e">
        <f>(X42+$ES$23)*VLOOKUP($ES$26,'x Malzemeler ve Özellikleri'!$O$2:$AJ$136,xHesaplama!U42,0)/1000</f>
        <v>#REF!</v>
      </c>
      <c r="ET42" s="4" t="e">
        <f>(2*X42-112-108)*VLOOKUP($ET$26,'x Malzemeler ve Özellikleri'!$O$2:$AJ$136,xHesaplama!U42,0)/1000</f>
        <v>#REF!</v>
      </c>
      <c r="EU42" s="4" t="e">
        <f>$EU$23*VLOOKUP($EU$26,'x Malzemeler ve Özellikleri'!$O$2:$AJ$136,xHesaplama!U42,0)</f>
        <v>#REF!</v>
      </c>
      <c r="EV42" s="4" t="e">
        <f>$EV$23*VLOOKUP($EV$26,'x Malzemeler ve Özellikleri'!$O$2:$AJ$136,xHesaplama!U42,0)</f>
        <v>#REF!</v>
      </c>
      <c r="EW42" s="4" t="e">
        <f>$EW$23*VLOOKUP($EW$26,'x Malzemeler ve Özellikleri'!$O$2:$AJ$136,xHesaplama!U42,0)</f>
        <v>#REF!</v>
      </c>
      <c r="EX42" s="4" t="e">
        <f>$EX$23*VLOOKUP($EX$26,'x Malzemeler ve Özellikleri'!$O$2:$AJ$136,xHesaplama!U42,0)</f>
        <v>#REF!</v>
      </c>
      <c r="EY42" s="4" t="e">
        <f>(X42+$EY$23)*VLOOKUP($EY$26,'x Malzemeler ve Özellikleri'!$O$2:$AJ$136,xHesaplama!U42,0)/1000</f>
        <v>#REF!</v>
      </c>
      <c r="EZ42" s="4" t="e">
        <f>(X42+$EZ$23)*VLOOKUP($EZ$26,'x Malzemeler ve Özellikleri'!$O$2:$AJ$136,xHesaplama!U42,0)/1000</f>
        <v>#REF!</v>
      </c>
      <c r="FA42" s="4" t="e">
        <f>$FA$23*VLOOKUP($FA$26,'x Malzemeler ve Özellikleri'!$O$2:$AJ$136,xHesaplama!U42,0)</f>
        <v>#REF!</v>
      </c>
      <c r="FB42" s="4" t="e">
        <f>$FB$23*VLOOKUP($FB$26,'x Malzemeler ve Özellikleri'!$O$2:$AJ$136,xHesaplama!U42,0)</f>
        <v>#REF!</v>
      </c>
      <c r="FC42" s="4" t="e">
        <f>$FC$23*VLOOKUP($FC$26,'x Malzemeler ve Özellikleri'!$O$2:$AJ$136,xHesaplama!U42,0)</f>
        <v>#REF!</v>
      </c>
      <c r="FD42" s="4" t="e">
        <f>$FD$23*VLOOKUP($FD$26,'x Malzemeler ve Özellikleri'!$O$2:$AJ$136,xHesaplama!U42,0)</f>
        <v>#REF!</v>
      </c>
      <c r="FE42" s="4" t="e">
        <f>$FE$23*VLOOKUP($FE$26,'x Malzemeler ve Özellikleri'!$O$2:$AJ$136,xHesaplama!U42,0)</f>
        <v>#REF!</v>
      </c>
      <c r="FF42" s="4" t="e">
        <f>$FF$23*VLOOKUP($FF$26,'x Malzemeler ve Özellikleri'!$O$2:$AJ$136,xHesaplama!U42,0)</f>
        <v>#REF!</v>
      </c>
      <c r="FG42" s="4" t="e">
        <f>$FG$23*VLOOKUP($FG$26,'x Malzemeler ve Özellikleri'!$O$2:$AJ$136,xHesaplama!U42,0)</f>
        <v>#REF!</v>
      </c>
      <c r="FH42" s="4" t="e">
        <f>$FH$23*VLOOKUP($FH$26,'x Malzemeler ve Özellikleri'!$O$2:$AJ$136,xHesaplama!U42,0)</f>
        <v>#REF!</v>
      </c>
    </row>
    <row r="43" spans="1:168">
      <c r="A43" s="4">
        <f>'1PROJE'!B23</f>
        <v>17</v>
      </c>
      <c r="B43" s="4">
        <f>'1PROJE'!C23</f>
        <v>0</v>
      </c>
      <c r="C43" s="4">
        <f>'1PROJE'!D23</f>
        <v>0</v>
      </c>
      <c r="D43" s="4">
        <f>'1PROJE'!E23</f>
        <v>0</v>
      </c>
      <c r="E43" s="4">
        <f>'1PROJE'!F23</f>
        <v>0</v>
      </c>
      <c r="F43" s="4">
        <f>'1PROJE'!G23</f>
        <v>0</v>
      </c>
      <c r="G43" s="4">
        <f>'1PROJE'!H23</f>
        <v>0</v>
      </c>
      <c r="H43" s="4">
        <f>'1PROJE'!I23</f>
        <v>0</v>
      </c>
      <c r="I43" s="4">
        <f>'1PROJE'!K23</f>
        <v>0</v>
      </c>
      <c r="J43" s="4">
        <f>'1PROJE'!L23</f>
        <v>0</v>
      </c>
      <c r="K43" s="4">
        <f>'1PROJE'!M23</f>
        <v>0</v>
      </c>
      <c r="L43" s="4">
        <f>'1PROJE'!N23</f>
        <v>0</v>
      </c>
      <c r="M43" s="4">
        <f>'1PROJE'!O23</f>
        <v>0</v>
      </c>
      <c r="N43" s="4">
        <f t="shared" si="3"/>
        <v>4</v>
      </c>
      <c r="O43" s="4">
        <f>'1PROJE'!P23</f>
        <v>0</v>
      </c>
      <c r="P43" s="4">
        <f>'1PROJE'!R23</f>
        <v>0</v>
      </c>
      <c r="Q43" s="4">
        <f>'1PROJE'!S23</f>
        <v>0</v>
      </c>
      <c r="R43" s="4">
        <f>'1PROJE'!T23</f>
        <v>0</v>
      </c>
      <c r="S43" s="4"/>
      <c r="U43" s="4" t="e">
        <f t="shared" si="1"/>
        <v>#N/A</v>
      </c>
      <c r="V43" s="4" t="e">
        <f>VLOOKUP(B43,'x Açılır Listeler'!$A$2:$B$15,2,0)</f>
        <v>#N/A</v>
      </c>
      <c r="W43" s="4" t="e">
        <f>VLOOKUP(B43,'x Açılır Listeler'!$A$2:$C$15,3,0)*2</f>
        <v>#N/A</v>
      </c>
      <c r="X43" s="4">
        <f t="shared" si="4"/>
        <v>0</v>
      </c>
      <c r="Y43" s="4">
        <f t="shared" si="5"/>
        <v>0</v>
      </c>
      <c r="Z43" s="4" t="s">
        <v>656</v>
      </c>
      <c r="AA43" s="4">
        <f t="shared" si="2"/>
        <v>25</v>
      </c>
      <c r="AB43" s="38" t="e">
        <f>VLOOKUP(J43,'x Malzemeler ve Özellikleri'!$N$147:$R$167,5,0)</f>
        <v>#N/A</v>
      </c>
      <c r="AC43" s="46" t="e">
        <f>IF('1PROJE'!J23="",VLOOKUP(H43,'x Malzemeler ve Özellikleri'!$N$137:$R$146,5,0),'1PROJE'!J23)</f>
        <v>#N/A</v>
      </c>
      <c r="AD43" s="52">
        <f t="shared" si="6"/>
        <v>-2.8511999999999999E-2</v>
      </c>
      <c r="AE43" s="46" t="e">
        <f t="shared" si="7"/>
        <v>#N/A</v>
      </c>
      <c r="AF43" s="46">
        <f>IF(O43="VAR",IF('1PROJE'!Q23="",$AI$10,'1PROJE'!Q23),0)</f>
        <v>0</v>
      </c>
      <c r="AG43" s="4" t="e">
        <f>IF('1PROJE'!S23="",VLOOKUP(xHesaplama!P43,'x Malzemeler ve Özellikleri'!$AS$2:$AT$11,2,0),'1PROJE'!S23/'1PROJE'!$P$3)</f>
        <v>#N/A</v>
      </c>
      <c r="AH43" s="4" t="e">
        <f>(X43+$AH$23)*VLOOKUP($AH$26,'x Malzemeler ve Özellikleri'!$O$2:$AJ$136,xHesaplama!U43,0)/1000</f>
        <v>#REF!</v>
      </c>
      <c r="AI43" s="4" t="e">
        <f>(X43+$AI$23)*VLOOKUP($AI$26,'x Malzemeler ve Özellikleri'!$O$2:$AJ$136,xHesaplama!U43,0)/1000</f>
        <v>#REF!</v>
      </c>
      <c r="AJ43" s="4" t="e">
        <f>(X43+$AJ$23)*VLOOKUP($AJ$26,'x Malzemeler ve Özellikleri'!$O$2:$AJ$136,xHesaplama!U43,0)/1000</f>
        <v>#REF!</v>
      </c>
      <c r="AK43" s="4" t="e">
        <f>(X43+$AK$23)*VLOOKUP($AK$26,'x Malzemeler ve Özellikleri'!$O$2:$AJ$136,xHesaplama!U43,0)/1000</f>
        <v>#REF!</v>
      </c>
      <c r="AL43" s="4" t="e">
        <f>(Y43+$AL$23)*VLOOKUP($AL$26,'x Malzemeler ve Özellikleri'!$O$2:$AJ$136,xHesaplama!U43,0)/1000*2</f>
        <v>#REF!</v>
      </c>
      <c r="AM43" s="4" t="e">
        <f>IF(AND(X43&lt;4500,Y43&lt;4500,X43*Y43/1000000&lt;12),(X43+$AM$23)*VLOOKUP($AM$26,'x Malzemeler ve Özellikleri'!$O$2:$AJ$136,xHesaplama!U43,0)/1000,0)</f>
        <v>#REF!</v>
      </c>
      <c r="AN43" s="4">
        <f>IF(OR(X43&gt;=4500,Y43&gt;=4500,X43*Y43/1000000&gt;=12),(X43+$AN$23)*VLOOKUP($AN$26,'x Malzemeler ve Özellikleri'!$O$2:$AJ$136,xHesaplama!U43,0)/1000,0)</f>
        <v>0</v>
      </c>
      <c r="AO43" s="4" t="e">
        <f>(Y43+$AO$23)*VLOOKUP($AO$26,'x Malzemeler ve Özellikleri'!$O$2:$AJ$136,xHesaplama!U43,0)/1000*2</f>
        <v>#REF!</v>
      </c>
      <c r="AP43" s="4" t="e">
        <f>$AP$23*VLOOKUP($AP$26,'x Malzemeler ve Özellikleri'!$O$2:$AJ$136,xHesaplama!U43,0)</f>
        <v>#REF!</v>
      </c>
      <c r="AQ43" s="4" t="e">
        <f>$AQ$23*VLOOKUP($AQ$26,'x Malzemeler ve Özellikleri'!$O$2:$AJ$136,xHesaplama!U43,0)</f>
        <v>#REF!</v>
      </c>
      <c r="AR43" s="4" t="e">
        <f>$AR$23*VLOOKUP($AR$26,'x Malzemeler ve Özellikleri'!$O$2:$AJ$136,xHesaplama!U43,0)</f>
        <v>#REF!</v>
      </c>
      <c r="AS43" s="4" t="e">
        <f>$AS$23*VLOOKUP($AS$26,'x Malzemeler ve Özellikleri'!$O$2:$AJ$136,xHesaplama!U43,0)</f>
        <v>#REF!</v>
      </c>
      <c r="AT43" s="4" t="e">
        <f>$AT$23*VLOOKUP($AT$26,'x Malzemeler ve Özellikleri'!$O$2:$AJ$136,xHesaplama!U43,0)</f>
        <v>#REF!</v>
      </c>
      <c r="AU43" s="4" t="e">
        <f>$AU$23*VLOOKUP($AU$26,'x Malzemeler ve Özellikleri'!$O$2:$AJ$136,xHesaplama!U43,0)</f>
        <v>#REF!</v>
      </c>
      <c r="AV43" s="4" t="e">
        <f>$AV$23*VLOOKUP($AV$26,'x Malzemeler ve Özellikleri'!$O$2:$AJ$136,xHesaplama!U43,0)</f>
        <v>#REF!</v>
      </c>
      <c r="AW43" s="4" t="e">
        <f>(Y43+$AW$23)*VLOOKUP($AW$26,'x Malzemeler ve Özellikleri'!$O$2:$AJ$136,xHesaplama!U43,0)/1000*2</f>
        <v>#REF!</v>
      </c>
      <c r="AX43" s="4" t="e">
        <f>$AX$23*VLOOKUP($AX$26,'x Malzemeler ve Özellikleri'!$O$2:$AJ$136,xHesaplama!U43,0)</f>
        <v>#REF!</v>
      </c>
      <c r="AY43" s="4" t="e">
        <f>$AY$23*VLOOKUP($AY$26,'x Malzemeler ve Özellikleri'!$O$2:$AJ$136,xHesaplama!U43,0)</f>
        <v>#REF!</v>
      </c>
      <c r="AZ43" s="23" t="e">
        <f>ROUNDUP(Y43/300,0)*4*VLOOKUP($AZ$26,'x Malzemeler ve Özellikleri'!$O$2:$AJ$136,xHesaplama!U43,0)</f>
        <v>#REF!</v>
      </c>
      <c r="BA43" s="4" t="e">
        <f>(2*X43-155-183)*VLOOKUP($BA$26,'x Malzemeler ve Özellikleri'!$O$2:$AJ$136,xHesaplama!U43,0)/1000</f>
        <v>#REF!</v>
      </c>
      <c r="BB43" s="4" t="e">
        <f>$BB$23*VLOOKUP($BB$26,'x Malzemeler ve Özellikleri'!$O$2:$AJ$136,xHesaplama!U43,0)</f>
        <v>#REF!</v>
      </c>
      <c r="BC43" s="4" t="e">
        <f>$BC$23*VLOOKUP($BC$26,'x Malzemeler ve Özellikleri'!$O$2:$AJ$136,xHesaplama!U43,0)</f>
        <v>#REF!</v>
      </c>
      <c r="BD43" s="4" t="e">
        <f>$BD$23*VLOOKUP($BD$26,'x Malzemeler ve Özellikleri'!$O$2:$AJ$136,xHesaplama!U43,0)</f>
        <v>#REF!</v>
      </c>
      <c r="BE43" s="4" t="e">
        <f>$BE$23*VLOOKUP($BE$26,'x Malzemeler ve Özellikleri'!$O$2:$AJ$136,xHesaplama!U43,0)</f>
        <v>#REF!</v>
      </c>
      <c r="BF43" s="4" t="e">
        <f>$BF$23*VLOOKUP($BF$26,'x Malzemeler ve Özellikleri'!$O$2:$AJ$136,xHesaplama!U43,0)</f>
        <v>#REF!</v>
      </c>
      <c r="BG43" s="4" t="e">
        <f>$BG$23*VLOOKUP($BG$26,'x Malzemeler ve Özellikleri'!$O$2:$AJ$136,xHesaplama!U43,0)</f>
        <v>#REF!</v>
      </c>
      <c r="BH43" s="4" t="e">
        <f>$BH$23*VLOOKUP($BH$26,'x Malzemeler ve Özellikleri'!$O$2:$AJ$136,xHesaplama!U43,0)*N43</f>
        <v>#REF!</v>
      </c>
      <c r="BI43" s="4" t="e">
        <f>$BI$23*VLOOKUP($BI$26,'x Malzemeler ve Özellikleri'!$O$2:$AJ$136,xHesaplama!U43,0)</f>
        <v>#REF!</v>
      </c>
      <c r="BJ43" s="4" t="e">
        <f>$BJ$23*VLOOKUP($BJ$26,'x Malzemeler ve Özellikleri'!$O$2:$AJ$136,xHesaplama!U43,0)</f>
        <v>#REF!</v>
      </c>
      <c r="BK43" s="4" t="e">
        <f>$BK$23*VLOOKUP($BK$26,'x Malzemeler ve Özellikleri'!$O$2:$AJ$136,xHesaplama!U43,0)</f>
        <v>#REF!</v>
      </c>
      <c r="BL43" s="4" t="e">
        <f>$BL$23*VLOOKUP($BL$26,'x Malzemeler ve Özellikleri'!$O$2:$AJ$136,xHesaplama!U43,0)</f>
        <v>#REF!</v>
      </c>
      <c r="BM43" s="4" t="e">
        <f>$BM$23*VLOOKUP($BM$26,'x Malzemeler ve Özellikleri'!$O$2:$AJ$136,xHesaplama!U43,0)</f>
        <v>#REF!</v>
      </c>
      <c r="BN43" s="4" t="e">
        <f>$BN$23*VLOOKUP($BN$26,'x Malzemeler ve Özellikleri'!$O$2:$AJ$136,xHesaplama!U43,0)</f>
        <v>#REF!</v>
      </c>
      <c r="BO43" s="4" t="e">
        <f>(2*(2*X43+Y43*2)*VLOOKUP($BO$26,'x Malzemeler ve Özellikleri'!$O$2:$AJ$136,xHesaplama!U43,0)/1000)</f>
        <v>#REF!</v>
      </c>
      <c r="BP43" s="4" t="e">
        <f>(X43+$BP$23)*VLOOKUP($BP$26,'x Malzemeler ve Özellikleri'!$O$2:$AJ$136,xHesaplama!U43,0)/1000</f>
        <v>#REF!</v>
      </c>
      <c r="BQ43" s="4" t="e">
        <f>(X43+$BQ$23)*VLOOKUP($BQ$26,'x Malzemeler ve Özellikleri'!$O$2:$AJ$136,xHesaplama!U43,0)/1000</f>
        <v>#REF!</v>
      </c>
      <c r="BR43" s="4" t="e">
        <f>(X43+$BR$23)*VLOOKUP($BR$26,'x Malzemeler ve Özellikleri'!$O$2:$AJ$136,xHesaplama!U43,0)/1000</f>
        <v>#REF!</v>
      </c>
      <c r="BS43" s="4" t="e">
        <f>(X43+$BS$23)*VLOOKUP($BS$26,'x Malzemeler ve Özellikleri'!$O$2:$AJ$136,xHesaplama!U43,0)/1000</f>
        <v>#REF!</v>
      </c>
      <c r="BT43" s="4" t="e">
        <f>$BT$23*VLOOKUP($BT$26,'x Malzemeler ve Özellikleri'!$O$2:$AJ$136,xHesaplama!U43,0)</f>
        <v>#REF!</v>
      </c>
      <c r="BU43" s="4" t="e">
        <f>(Y43+$BU$23)*VLOOKUP($BU$26,'x Malzemeler ve Özellikleri'!$O$2:$AJ$136,xHesaplama!U43,0)/1000*2</f>
        <v>#REF!</v>
      </c>
      <c r="BV43" s="4" t="e">
        <f>(X43+$BV$23)*VLOOKUP($BV$26,'x Malzemeler ve Özellikleri'!$O$2:$AJ$136,xHesaplama!U43,0)/1000</f>
        <v>#REF!</v>
      </c>
      <c r="BW43" s="4" t="e">
        <f>$BW$23*VLOOKUP($BW$26,'x Malzemeler ve Özellikleri'!$O$2:$AJ$136,xHesaplama!U43,0)</f>
        <v>#REF!</v>
      </c>
      <c r="BX43" s="23" t="e">
        <f>ROUNDUP(Y43/300,0)*4*VLOOKUP($BX$26,'x Malzemeler ve Özellikleri'!$O$2:$AJ$136,xHesaplama!U43,0)</f>
        <v>#REF!</v>
      </c>
      <c r="BY43" s="4" t="e">
        <f>$BY$23*VLOOKUP($BY$26,'x Malzemeler ve Özellikleri'!$O$2:$AJ$136,xHesaplama!U43,0)</f>
        <v>#REF!</v>
      </c>
      <c r="BZ43" s="4" t="e">
        <f>$BZ$23*VLOOKUP($BZ$26,'x Malzemeler ve Özellikleri'!$O$2:$AJ$136,xHesaplama!U43,0)</f>
        <v>#REF!</v>
      </c>
      <c r="CA43" s="4" t="e">
        <f>(X43+$CA$23)*VLOOKUP($CA$26,'x Malzemeler ve Özellikleri'!$O$2:$AJ$136,xHesaplama!U43,0)/1000</f>
        <v>#REF!</v>
      </c>
      <c r="CB43" s="4" t="e">
        <f>(X43+$CB$23)*VLOOKUP($CB$26,'x Malzemeler ve Özellikleri'!$O$2:$AJ$136,xHesaplama!U43,0)/1000</f>
        <v>#REF!</v>
      </c>
      <c r="CC43" s="4" t="e">
        <f>$CC$23*VLOOKUP($CC$26,'x Malzemeler ve Özellikleri'!$O$2:$AJ$136,xHesaplama!U43,0)</f>
        <v>#REF!</v>
      </c>
      <c r="CD43" s="4" t="e">
        <f>(X43+$CD$23)*VLOOKUP($CD$26,'x Malzemeler ve Özellikleri'!$O$2:$AJ$136,xHesaplama!U43,0)/1000</f>
        <v>#REF!</v>
      </c>
      <c r="CE43" s="4" t="e">
        <f>(2*X43-120-122)*VLOOKUP($CE$26,'x Malzemeler ve Özellikleri'!$O$2:$AJ$136,xHesaplama!U43,0)/1000</f>
        <v>#REF!</v>
      </c>
      <c r="CF43" s="4" t="e">
        <f>(Y43+$CF$23)*VLOOKUP($CF$26,'x Malzemeler ve Özellikleri'!$O$2:$AJ$136,xHesaplama!U43,0)/1000*2</f>
        <v>#REF!</v>
      </c>
      <c r="CG43" s="4" t="e">
        <f>$CG$23*VLOOKUP($CG$26,'x Malzemeler ve Özellikleri'!$O$2:$AJ$136,xHesaplama!U43,0)</f>
        <v>#REF!</v>
      </c>
      <c r="CH43" s="4" t="e">
        <f>(Y43+$CH$23)*VLOOKUP($CH$26,'x Malzemeler ve Özellikleri'!$O$2:$AJ$136,xHesaplama!U43,0)/1000*2</f>
        <v>#REF!</v>
      </c>
      <c r="CI43" s="4" t="e">
        <f>(Y43+$CI$23)*VLOOKUP($CI$26,'x Malzemeler ve Özellikleri'!$O$2:$AJ$136,xHesaplama!U43,0)/1000*2</f>
        <v>#REF!</v>
      </c>
      <c r="CJ43" s="4" t="e">
        <f>$CJ$23*VLOOKUP($CJ$26,'x Malzemeler ve Özellikleri'!$O$2:$AJ$136,xHesaplama!U43,0)</f>
        <v>#REF!</v>
      </c>
      <c r="CK43" s="4" t="e">
        <f>$CK$23*VLOOKUP($CK$26,'x Malzemeler ve Özellikleri'!$O$2:$AJ$136,xHesaplama!U43,0)</f>
        <v>#REF!</v>
      </c>
      <c r="CL43" s="4" t="e">
        <f>$CL$23*VLOOKUP($CL$26,'x Malzemeler ve Özellikleri'!$O$2:$AJ$136,xHesaplama!U43,0)</f>
        <v>#REF!</v>
      </c>
      <c r="CM43" s="4" t="e">
        <f>(X43+$CM$23)*VLOOKUP($CM$26,'x Malzemeler ve Özellikleri'!$O$2:$AJ$136,xHesaplama!U43,0)/1000</f>
        <v>#REF!</v>
      </c>
      <c r="CN43" s="4" t="e">
        <f>(X43+$CN$23)*VLOOKUP($CN$26,'x Malzemeler ve Özellikleri'!$O$2:$AJ$136,xHesaplama!U43,0)/1000</f>
        <v>#REF!</v>
      </c>
      <c r="CO43" s="4" t="e">
        <f>(X43+$CO$23)*VLOOKUP($CO$26,'x Malzemeler ve Özellikleri'!$O$2:$AJ$136,xHesaplama!U43,0)/1000</f>
        <v>#REF!</v>
      </c>
      <c r="CP43" s="4" t="e">
        <f>(X43+$CP$23)*VLOOKUP($CP$26,'x Malzemeler ve Özellikleri'!$O$2:$AJ$136,xHesaplama!U43,0)/1000</f>
        <v>#REF!</v>
      </c>
      <c r="CQ43" s="23" t="e">
        <f>ROUNDUP(Y43/300,0)*4*VLOOKUP($CQ$26,'x Malzemeler ve Özellikleri'!$O$2:$AJ$136,xHesaplama!U43,0)</f>
        <v>#REF!</v>
      </c>
      <c r="CR43" s="4" t="e">
        <f>(X43+$CR$23)*VLOOKUP($CR$26,'x Malzemeler ve Özellikleri'!$O$2:$AJ$136,xHesaplama!U43,0)/1000</f>
        <v>#REF!</v>
      </c>
      <c r="CS43" s="4" t="e">
        <f>$CS$23*VLOOKUP($CS$26,'x Malzemeler ve Özellikleri'!$O$2:$AJ$136,xHesaplama!U43,0)</f>
        <v>#REF!</v>
      </c>
      <c r="CT43" s="4" t="e">
        <f>$CT$23*VLOOKUP($CT$26,'x Malzemeler ve Özellikleri'!$O$2:$AJ$136,xHesaplama!U43,0)</f>
        <v>#REF!</v>
      </c>
      <c r="CU43" s="4" t="e">
        <f>(Y43+$CU$23)*VLOOKUP($CU$26,'x Malzemeler ve Özellikleri'!$O$2:$AJ$136,xHesaplama!U43,0)/1000*2</f>
        <v>#REF!</v>
      </c>
      <c r="CV43" s="4" t="e">
        <f>(Y43+$CV$23)*VLOOKUP($CV$26,'x Malzemeler ve Özellikleri'!$O$2:$AJ$136,xHesaplama!U43,0)/1000*2</f>
        <v>#REF!</v>
      </c>
      <c r="CW43" s="4" t="e">
        <f>$CW$23*VLOOKUP($CW$26,'x Malzemeler ve Özellikleri'!$O$2:$AJ$136,xHesaplama!U43,0)</f>
        <v>#REF!</v>
      </c>
      <c r="CX43" s="4" t="e">
        <f>(X43+$CX$23)*VLOOKUP($CX$26,'x Malzemeler ve Özellikleri'!$O$2:$AJ$136,xHesaplama!U43,0)/1000</f>
        <v>#REF!</v>
      </c>
      <c r="CY43" s="4" t="e">
        <f>(2*X43-112-108)*VLOOKUP($CY$26,'x Malzemeler ve Özellikleri'!$O$2:$AJ$136,xHesaplama!U43,0)/1000</f>
        <v>#REF!</v>
      </c>
      <c r="CZ43" s="4" t="e">
        <f>$CZ$23*VLOOKUP($CZ$26,'x Malzemeler ve Özellikleri'!$O$2:$AJ$136,xHesaplama!U43,0)</f>
        <v>#REF!</v>
      </c>
      <c r="DA43" s="4" t="e">
        <f>$DA$23*VLOOKUP($DA$26,'x Malzemeler ve Özellikleri'!$O$2:$AJ$136,xHesaplama!U43,0)</f>
        <v>#REF!</v>
      </c>
      <c r="DB43" s="4" t="e">
        <f>$DB$23*VLOOKUP($DB$26,'x Malzemeler ve Özellikleri'!$O$2:$AJ$136,xHesaplama!U43,0)</f>
        <v>#REF!</v>
      </c>
      <c r="DC43" s="4" t="e">
        <f>$DC$23*VLOOKUP($DC$26,'x Malzemeler ve Özellikleri'!$O$2:$AJ$136,xHesaplama!U43,0)</f>
        <v>#REF!</v>
      </c>
      <c r="DD43" s="4" t="e">
        <f>(X43+$DD$23)*VLOOKUP($DD$26,'x Malzemeler ve Özellikleri'!$O$2:$AJ$136,xHesaplama!U43,0)/1000</f>
        <v>#REF!</v>
      </c>
      <c r="DE43" s="4" t="e">
        <f>(X43+$DE$23)*VLOOKUP($DE$26,'x Malzemeler ve Özellikleri'!$O$2:$AJ$136,xHesaplama!U43,0)/1000</f>
        <v>#REF!</v>
      </c>
      <c r="DF43" s="4" t="e">
        <f>$DF$23*VLOOKUP($DF$26,'x Malzemeler ve Özellikleri'!$O$2:$AJ$136,xHesaplama!U43,0)</f>
        <v>#REF!</v>
      </c>
      <c r="DG43" s="4" t="e">
        <f>(Y43+$DG$23)*VLOOKUP($DG$26,'x Malzemeler ve Özellikleri'!$O$2:$AJ$136,xHesaplama!U43,0)/1000*2</f>
        <v>#REF!</v>
      </c>
      <c r="DH43" s="4" t="e">
        <f>(Y43+$DH$23)*VLOOKUP($DH$26,'x Malzemeler ve Özellikleri'!$O$2:$AJ$136,xHesaplama!U43,0)/1000*2</f>
        <v>#REF!</v>
      </c>
      <c r="DI43" s="4" t="e">
        <f>(Y43+$DI$23)*VLOOKUP($DI$26,'x Malzemeler ve Özellikleri'!$O$2:$AJ$136,xHesaplama!U43,0)/1000*2</f>
        <v>#REF!</v>
      </c>
      <c r="DJ43" s="4" t="e">
        <f>$DJ$23*VLOOKUP($DJ$26,'x Malzemeler ve Özellikleri'!$O$2:$AJ$136,xHesaplama!U43,0)</f>
        <v>#REF!</v>
      </c>
      <c r="DK43" s="4" t="e">
        <f>$DK$23*VLOOKUP($DK$26,'x Malzemeler ve Özellikleri'!$O$2:$AJ$136,xHesaplama!U43,0)</f>
        <v>#REF!</v>
      </c>
      <c r="DL43" s="4" t="e">
        <f>(X43+$DL$23)*VLOOKUP($DL$26,'x Malzemeler ve Özellikleri'!$O$2:$AJ$136,xHesaplama!U43,0)/1000</f>
        <v>#REF!</v>
      </c>
      <c r="DM43" s="4" t="e">
        <f>(X43+$DM$23)*VLOOKUP($DM$26,'x Malzemeler ve Özellikleri'!$O$2:$AJ$136,xHesaplama!U43,0)/1000</f>
        <v>#REF!</v>
      </c>
      <c r="DN43" s="4" t="e">
        <f>(X43+$DN$23)*VLOOKUP($DN$26,'x Malzemeler ve Özellikleri'!$O$2:$AJ$136,xHesaplama!U43,0)/1000</f>
        <v>#REF!</v>
      </c>
      <c r="DO43" s="4" t="e">
        <f>(X43+$DO$23)*VLOOKUP($DO$26,'x Malzemeler ve Özellikleri'!$O$2:$AJ$136,xHesaplama!U43,0)/1000</f>
        <v>#REF!</v>
      </c>
      <c r="DP43" s="23" t="e">
        <f>ROUNDUP(Y43/300,0)*4*VLOOKUP($DP$26,'x Malzemeler ve Özellikleri'!$O$2:$AJ$136,xHesaplama!U43,0)</f>
        <v>#REF!</v>
      </c>
      <c r="DQ43" s="4" t="e">
        <f>(X43+$DQ$23)*VLOOKUP($DQ$26,'x Malzemeler ve Özellikleri'!$O$2:$AJ$136,xHesaplama!U43,0)/1000</f>
        <v>#REF!</v>
      </c>
      <c r="DR43" s="4" t="e">
        <f>(Y43+$DR$23)*VLOOKUP($DR$26,'x Malzemeler ve Özellikleri'!$O$2:$AJ$136,xHesaplama!U43,0)/1000*2</f>
        <v>#REF!</v>
      </c>
      <c r="DS43" s="4" t="e">
        <f>(Y43+$DS$23)*VLOOKUP($DS$26,'x Malzemeler ve Özellikleri'!$O$2:$AJ$136,xHesaplama!U43,0)/1000*2</f>
        <v>#REF!</v>
      </c>
      <c r="DT43" s="4" t="e">
        <f>$DT$23*VLOOKUP($DT$26,'x Malzemeler ve Özellikleri'!$O$2:$AJ$136,xHesaplama!U43,0)</f>
        <v>#REF!</v>
      </c>
      <c r="DU43" s="4" t="e">
        <f>(X43+$DU$23)*VLOOKUP($DU$26,'x Malzemeler ve Özellikleri'!$O$2:$AJ$136,xHesaplama!U43,0)/1000</f>
        <v>#REF!</v>
      </c>
      <c r="DV43" s="4" t="e">
        <f>(2*X43-112-108)*VLOOKUP($DV$26,'x Malzemeler ve Özellikleri'!$O$2:$AJ$136,xHesaplama!U43,0)/1000</f>
        <v>#REF!</v>
      </c>
      <c r="DW43" s="4" t="e">
        <f>$DW$23*VLOOKUP($DW$26,'x Malzemeler ve Özellikleri'!$O$2:$AJ$136,xHesaplama!U43,0)</f>
        <v>#REF!</v>
      </c>
      <c r="DX43" s="4" t="e">
        <f>$DX$23*VLOOKUP($DX$26,'x Malzemeler ve Özellikleri'!$O$2:$AJ$136,xHesaplama!U43,0)</f>
        <v>#REF!</v>
      </c>
      <c r="DY43" s="4" t="e">
        <f>$DY$23*VLOOKUP($DY$26,'x Malzemeler ve Özellikleri'!$O$2:$AJ$136,xHesaplama!U43,0)</f>
        <v>#REF!</v>
      </c>
      <c r="DZ43" s="4" t="e">
        <f>$DZ$23*VLOOKUP($DZ$26,'x Malzemeler ve Özellikleri'!$O$2:$AJ$136,xHesaplama!U43,0)</f>
        <v>#REF!</v>
      </c>
      <c r="EA43" s="4" t="e">
        <f>(X43+$EA$23)*VLOOKUP($EA$26,'x Malzemeler ve Özellikleri'!$O$2:$AJ$136,xHesaplama!U43,0)/1000</f>
        <v>#REF!</v>
      </c>
      <c r="EB43" s="4" t="e">
        <f>(X43+$EB$23)*VLOOKUP($EB$26,'x Malzemeler ve Özellikleri'!$O$2:$AJ$136,xHesaplama!U43,0)/1000</f>
        <v>#REF!</v>
      </c>
      <c r="EC43" s="4" t="e">
        <f>$EC$23*VLOOKUP($EC$26,'x Malzemeler ve Özellikleri'!$O$2:$AJ$136,xHesaplama!U43,0)</f>
        <v>#REF!</v>
      </c>
      <c r="ED43" s="4" t="e">
        <f>(Y43+$ED$23)*VLOOKUP($ED$26,'x Malzemeler ve Özellikleri'!$O$2:$AJ$136,xHesaplama!U43,0)/1000*2</f>
        <v>#REF!</v>
      </c>
      <c r="EE43" s="4" t="e">
        <f>(Y43+$EE$23)*VLOOKUP($EE$26,'x Malzemeler ve Özellikleri'!$O$2:$AJ$136,xHesaplama!U43,0)/1000*2</f>
        <v>#REF!</v>
      </c>
      <c r="EF43" s="4" t="e">
        <f>(Y43+$EF$23)*VLOOKUP($EF$26,'x Malzemeler ve Özellikleri'!$O$2:$AJ$136,xHesaplama!U43,0)/1000*2</f>
        <v>#REF!</v>
      </c>
      <c r="EG43" s="4" t="e">
        <f>$EG$23*VLOOKUP($EG$26,'x Malzemeler ve Özellikleri'!$O$2:$AJ$136,xHesaplama!U43,0)</f>
        <v>#REF!</v>
      </c>
      <c r="EH43" s="4" t="e">
        <f>$EH$23*VLOOKUP($EH$26,'x Malzemeler ve Özellikleri'!$O$2:$AJ$136,xHesaplama!U43,0)</f>
        <v>#REF!</v>
      </c>
      <c r="EI43" s="4" t="e">
        <f>$EI$23*VLOOKUP($EI$26,'x Malzemeler ve Özellikleri'!$O$2:$AJ$136,xHesaplama!U43,0)</f>
        <v>#REF!</v>
      </c>
      <c r="EJ43" s="4" t="e">
        <f>$EJ$23*VLOOKUP($EJ$26,'x Malzemeler ve Özellikleri'!$O$2:$AJ$136,xHesaplama!U43,0)</f>
        <v>#REF!</v>
      </c>
      <c r="EK43" s="4" t="e">
        <f>$EK$23*VLOOKUP($EK$26,'x Malzemeler ve Özellikleri'!$O$2:$AJ$136,xHesaplama!U43,0)</f>
        <v>#REF!</v>
      </c>
      <c r="EL43" s="4" t="e">
        <f>$EL$23*VLOOKUP($EL$26,'x Malzemeler ve Özellikleri'!$O$2:$AJ$136,xHesaplama!U43,0)</f>
        <v>#REF!</v>
      </c>
      <c r="EM43" s="4" t="e">
        <f>(X43+$EM$23)*VLOOKUP($EM$26,'x Malzemeler ve Özellikleri'!$O$2:$AJ$136,xHesaplama!U43,0)/1000</f>
        <v>#REF!</v>
      </c>
      <c r="EN43" s="4" t="e">
        <f>(X43+$EN$23)*VLOOKUP($EN$26,'x Malzemeler ve Özellikleri'!$O$2:$AJ$136,xHesaplama!U43,0)/1000</f>
        <v>#REF!</v>
      </c>
      <c r="EO43" s="4" t="e">
        <f>(X43+$EO$23)*VLOOKUP($EO$26,'x Malzemeler ve Özellikleri'!$O$2:$AJ$136,xHesaplama!U43,0)/1000</f>
        <v>#REF!</v>
      </c>
      <c r="EP43" s="4" t="e">
        <f>(X43+$EP$23)*VLOOKUP($EP$26,'x Malzemeler ve Özellikleri'!$O$2:$AJ$136,xHesaplama!U43,0)/1000</f>
        <v>#REF!</v>
      </c>
      <c r="EQ43" s="4" t="e">
        <f>(X43+$EQ$23)*VLOOKUP($EQ$26,'x Malzemeler ve Özellikleri'!$O$2:$AJ$136,xHesaplama!U43,0)/1000</f>
        <v>#REF!</v>
      </c>
      <c r="ER43" s="4" t="e">
        <f>$ER$23*VLOOKUP($ER$26,'x Malzemeler ve Özellikleri'!$O$2:$AJ$136,xHesaplama!U43,0)</f>
        <v>#REF!</v>
      </c>
      <c r="ES43" s="4" t="e">
        <f>(X43+$ES$23)*VLOOKUP($ES$26,'x Malzemeler ve Özellikleri'!$O$2:$AJ$136,xHesaplama!U43,0)/1000</f>
        <v>#REF!</v>
      </c>
      <c r="ET43" s="4" t="e">
        <f>(2*X43-112-108)*VLOOKUP($ET$26,'x Malzemeler ve Özellikleri'!$O$2:$AJ$136,xHesaplama!U43,0)/1000</f>
        <v>#REF!</v>
      </c>
      <c r="EU43" s="4" t="e">
        <f>$EU$23*VLOOKUP($EU$26,'x Malzemeler ve Özellikleri'!$O$2:$AJ$136,xHesaplama!U43,0)</f>
        <v>#REF!</v>
      </c>
      <c r="EV43" s="4" t="e">
        <f>$EV$23*VLOOKUP($EV$26,'x Malzemeler ve Özellikleri'!$O$2:$AJ$136,xHesaplama!U43,0)</f>
        <v>#REF!</v>
      </c>
      <c r="EW43" s="4" t="e">
        <f>$EW$23*VLOOKUP($EW$26,'x Malzemeler ve Özellikleri'!$O$2:$AJ$136,xHesaplama!U43,0)</f>
        <v>#REF!</v>
      </c>
      <c r="EX43" s="4" t="e">
        <f>$EX$23*VLOOKUP($EX$26,'x Malzemeler ve Özellikleri'!$O$2:$AJ$136,xHesaplama!U43,0)</f>
        <v>#REF!</v>
      </c>
      <c r="EY43" s="4" t="e">
        <f>(X43+$EY$23)*VLOOKUP($EY$26,'x Malzemeler ve Özellikleri'!$O$2:$AJ$136,xHesaplama!U43,0)/1000</f>
        <v>#REF!</v>
      </c>
      <c r="EZ43" s="4" t="e">
        <f>(X43+$EZ$23)*VLOOKUP($EZ$26,'x Malzemeler ve Özellikleri'!$O$2:$AJ$136,xHesaplama!U43,0)/1000</f>
        <v>#REF!</v>
      </c>
      <c r="FA43" s="4" t="e">
        <f>$FA$23*VLOOKUP($FA$26,'x Malzemeler ve Özellikleri'!$O$2:$AJ$136,xHesaplama!U43,0)</f>
        <v>#REF!</v>
      </c>
      <c r="FB43" s="4" t="e">
        <f>$FB$23*VLOOKUP($FB$26,'x Malzemeler ve Özellikleri'!$O$2:$AJ$136,xHesaplama!U43,0)</f>
        <v>#REF!</v>
      </c>
      <c r="FC43" s="4" t="e">
        <f>$FC$23*VLOOKUP($FC$26,'x Malzemeler ve Özellikleri'!$O$2:$AJ$136,xHesaplama!U43,0)</f>
        <v>#REF!</v>
      </c>
      <c r="FD43" s="4" t="e">
        <f>$FD$23*VLOOKUP($FD$26,'x Malzemeler ve Özellikleri'!$O$2:$AJ$136,xHesaplama!U43,0)</f>
        <v>#REF!</v>
      </c>
      <c r="FE43" s="4" t="e">
        <f>$FE$23*VLOOKUP($FE$26,'x Malzemeler ve Özellikleri'!$O$2:$AJ$136,xHesaplama!U43,0)</f>
        <v>#REF!</v>
      </c>
      <c r="FF43" s="4" t="e">
        <f>$FF$23*VLOOKUP($FF$26,'x Malzemeler ve Özellikleri'!$O$2:$AJ$136,xHesaplama!U43,0)</f>
        <v>#REF!</v>
      </c>
      <c r="FG43" s="4" t="e">
        <f>$FG$23*VLOOKUP($FG$26,'x Malzemeler ve Özellikleri'!$O$2:$AJ$136,xHesaplama!U43,0)</f>
        <v>#REF!</v>
      </c>
      <c r="FH43" s="4" t="e">
        <f>$FH$23*VLOOKUP($FH$26,'x Malzemeler ve Özellikleri'!$O$2:$AJ$136,xHesaplama!U43,0)</f>
        <v>#REF!</v>
      </c>
    </row>
    <row r="44" spans="1:168">
      <c r="A44" s="4">
        <f>'1PROJE'!B24</f>
        <v>18</v>
      </c>
      <c r="B44" s="4">
        <f>'1PROJE'!C24</f>
        <v>0</v>
      </c>
      <c r="C44" s="4">
        <f>'1PROJE'!D24</f>
        <v>0</v>
      </c>
      <c r="D44" s="4">
        <f>'1PROJE'!E24</f>
        <v>0</v>
      </c>
      <c r="E44" s="4">
        <f>'1PROJE'!F24</f>
        <v>0</v>
      </c>
      <c r="F44" s="4">
        <f>'1PROJE'!G24</f>
        <v>0</v>
      </c>
      <c r="G44" s="4">
        <f>'1PROJE'!H24</f>
        <v>0</v>
      </c>
      <c r="H44" s="4">
        <f>'1PROJE'!I24</f>
        <v>0</v>
      </c>
      <c r="I44" s="4">
        <f>'1PROJE'!K24</f>
        <v>0</v>
      </c>
      <c r="J44" s="4">
        <f>'1PROJE'!L24</f>
        <v>0</v>
      </c>
      <c r="K44" s="4">
        <f>'1PROJE'!M24</f>
        <v>0</v>
      </c>
      <c r="L44" s="4">
        <f>'1PROJE'!N24</f>
        <v>0</v>
      </c>
      <c r="M44" s="4">
        <f>'1PROJE'!O24</f>
        <v>0</v>
      </c>
      <c r="N44" s="4">
        <f t="shared" si="3"/>
        <v>4</v>
      </c>
      <c r="O44" s="4">
        <f>'1PROJE'!P24</f>
        <v>0</v>
      </c>
      <c r="P44" s="4">
        <f>'1PROJE'!R24</f>
        <v>0</v>
      </c>
      <c r="Q44" s="4">
        <f>'1PROJE'!S24</f>
        <v>0</v>
      </c>
      <c r="R44" s="4">
        <f>'1PROJE'!T24</f>
        <v>0</v>
      </c>
      <c r="S44" s="4"/>
      <c r="U44" s="4" t="e">
        <f t="shared" si="1"/>
        <v>#N/A</v>
      </c>
      <c r="V44" s="4" t="e">
        <f>VLOOKUP(B44,'x Açılır Listeler'!$A$2:$B$15,2,0)</f>
        <v>#N/A</v>
      </c>
      <c r="W44" s="4" t="e">
        <f>VLOOKUP(B44,'x Açılır Listeler'!$A$2:$C$15,3,0)*2</f>
        <v>#N/A</v>
      </c>
      <c r="X44" s="4">
        <f t="shared" si="4"/>
        <v>0</v>
      </c>
      <c r="Y44" s="4">
        <f t="shared" si="5"/>
        <v>0</v>
      </c>
      <c r="Z44" s="4" t="s">
        <v>657</v>
      </c>
      <c r="AA44" s="4">
        <f t="shared" si="2"/>
        <v>25</v>
      </c>
      <c r="AB44" s="38" t="e">
        <f>VLOOKUP(J44,'x Malzemeler ve Özellikleri'!$N$147:$R$167,5,0)</f>
        <v>#N/A</v>
      </c>
      <c r="AC44" s="46" t="e">
        <f>IF('1PROJE'!J24="",VLOOKUP(H44,'x Malzemeler ve Özellikleri'!$N$137:$R$146,5,0),'1PROJE'!J24)</f>
        <v>#N/A</v>
      </c>
      <c r="AD44" s="52">
        <f t="shared" si="6"/>
        <v>-2.8511999999999999E-2</v>
      </c>
      <c r="AE44" s="46" t="e">
        <f t="shared" si="7"/>
        <v>#N/A</v>
      </c>
      <c r="AF44" s="46">
        <f>IF(O44="VAR",IF('1PROJE'!Q24="",$AI$10,'1PROJE'!Q24),0)</f>
        <v>0</v>
      </c>
      <c r="AG44" s="4" t="e">
        <f>IF('1PROJE'!S24="",VLOOKUP(xHesaplama!P44,'x Malzemeler ve Özellikleri'!$AS$2:$AT$11,2,0),'1PROJE'!S24/'1PROJE'!$P$3)</f>
        <v>#N/A</v>
      </c>
      <c r="AH44" s="4" t="e">
        <f>(X44+$AH$23)*VLOOKUP($AH$26,'x Malzemeler ve Özellikleri'!$O$2:$AJ$136,xHesaplama!U44,0)/1000</f>
        <v>#REF!</v>
      </c>
      <c r="AI44" s="4" t="e">
        <f>(X44+$AI$23)*VLOOKUP($AI$26,'x Malzemeler ve Özellikleri'!$O$2:$AJ$136,xHesaplama!U44,0)/1000</f>
        <v>#REF!</v>
      </c>
      <c r="AJ44" s="4" t="e">
        <f>(X44+$AJ$23)*VLOOKUP($AJ$26,'x Malzemeler ve Özellikleri'!$O$2:$AJ$136,xHesaplama!U44,0)/1000</f>
        <v>#REF!</v>
      </c>
      <c r="AK44" s="4" t="e">
        <f>(X44+$AK$23)*VLOOKUP($AK$26,'x Malzemeler ve Özellikleri'!$O$2:$AJ$136,xHesaplama!U44,0)/1000</f>
        <v>#REF!</v>
      </c>
      <c r="AL44" s="4" t="e">
        <f>(Y44+$AL$23)*VLOOKUP($AL$26,'x Malzemeler ve Özellikleri'!$O$2:$AJ$136,xHesaplama!U44,0)/1000*2</f>
        <v>#REF!</v>
      </c>
      <c r="AM44" s="4" t="e">
        <f>IF(AND(X44&lt;4500,Y44&lt;4500,X44*Y44/1000000&lt;12),(X44+$AM$23)*VLOOKUP($AM$26,'x Malzemeler ve Özellikleri'!$O$2:$AJ$136,xHesaplama!U44,0)/1000,0)</f>
        <v>#REF!</v>
      </c>
      <c r="AN44" s="4">
        <f>IF(OR(X44&gt;=4500,Y44&gt;=4500,X44*Y44/1000000&gt;=12),(X44+$AN$23)*VLOOKUP($AN$26,'x Malzemeler ve Özellikleri'!$O$2:$AJ$136,xHesaplama!U44,0)/1000,0)</f>
        <v>0</v>
      </c>
      <c r="AO44" s="4" t="e">
        <f>(Y44+$AO$23)*VLOOKUP($AO$26,'x Malzemeler ve Özellikleri'!$O$2:$AJ$136,xHesaplama!U44,0)/1000*2</f>
        <v>#REF!</v>
      </c>
      <c r="AP44" s="4" t="e">
        <f>$AP$23*VLOOKUP($AP$26,'x Malzemeler ve Özellikleri'!$O$2:$AJ$136,xHesaplama!U44,0)</f>
        <v>#REF!</v>
      </c>
      <c r="AQ44" s="4" t="e">
        <f>$AQ$23*VLOOKUP($AQ$26,'x Malzemeler ve Özellikleri'!$O$2:$AJ$136,xHesaplama!U44,0)</f>
        <v>#REF!</v>
      </c>
      <c r="AR44" s="4" t="e">
        <f>$AR$23*VLOOKUP($AR$26,'x Malzemeler ve Özellikleri'!$O$2:$AJ$136,xHesaplama!U44,0)</f>
        <v>#REF!</v>
      </c>
      <c r="AS44" s="4" t="e">
        <f>$AS$23*VLOOKUP($AS$26,'x Malzemeler ve Özellikleri'!$O$2:$AJ$136,xHesaplama!U44,0)</f>
        <v>#REF!</v>
      </c>
      <c r="AT44" s="4" t="e">
        <f>$AT$23*VLOOKUP($AT$26,'x Malzemeler ve Özellikleri'!$O$2:$AJ$136,xHesaplama!U44,0)</f>
        <v>#REF!</v>
      </c>
      <c r="AU44" s="4" t="e">
        <f>$AU$23*VLOOKUP($AU$26,'x Malzemeler ve Özellikleri'!$O$2:$AJ$136,xHesaplama!U44,0)</f>
        <v>#REF!</v>
      </c>
      <c r="AV44" s="4" t="e">
        <f>$AV$23*VLOOKUP($AV$26,'x Malzemeler ve Özellikleri'!$O$2:$AJ$136,xHesaplama!U44,0)</f>
        <v>#REF!</v>
      </c>
      <c r="AW44" s="4" t="e">
        <f>(Y44+$AW$23)*VLOOKUP($AW$26,'x Malzemeler ve Özellikleri'!$O$2:$AJ$136,xHesaplama!U44,0)/1000*2</f>
        <v>#REF!</v>
      </c>
      <c r="AX44" s="4" t="e">
        <f>$AX$23*VLOOKUP($AX$26,'x Malzemeler ve Özellikleri'!$O$2:$AJ$136,xHesaplama!U44,0)</f>
        <v>#REF!</v>
      </c>
      <c r="AY44" s="4" t="e">
        <f>$AY$23*VLOOKUP($AY$26,'x Malzemeler ve Özellikleri'!$O$2:$AJ$136,xHesaplama!U44,0)</f>
        <v>#REF!</v>
      </c>
      <c r="AZ44" s="23" t="e">
        <f>ROUNDUP(Y44/300,0)*4*VLOOKUP($AZ$26,'x Malzemeler ve Özellikleri'!$O$2:$AJ$136,xHesaplama!U44,0)</f>
        <v>#REF!</v>
      </c>
      <c r="BA44" s="4" t="e">
        <f>(2*X44-155-183)*VLOOKUP($BA$26,'x Malzemeler ve Özellikleri'!$O$2:$AJ$136,xHesaplama!U44,0)/1000</f>
        <v>#REF!</v>
      </c>
      <c r="BB44" s="4" t="e">
        <f>$BB$23*VLOOKUP($BB$26,'x Malzemeler ve Özellikleri'!$O$2:$AJ$136,xHesaplama!U44,0)</f>
        <v>#REF!</v>
      </c>
      <c r="BC44" s="4" t="e">
        <f>$BC$23*VLOOKUP($BC$26,'x Malzemeler ve Özellikleri'!$O$2:$AJ$136,xHesaplama!U44,0)</f>
        <v>#REF!</v>
      </c>
      <c r="BD44" s="4" t="e">
        <f>$BD$23*VLOOKUP($BD$26,'x Malzemeler ve Özellikleri'!$O$2:$AJ$136,xHesaplama!U44,0)</f>
        <v>#REF!</v>
      </c>
      <c r="BE44" s="4" t="e">
        <f>$BE$23*VLOOKUP($BE$26,'x Malzemeler ve Özellikleri'!$O$2:$AJ$136,xHesaplama!U44,0)</f>
        <v>#REF!</v>
      </c>
      <c r="BF44" s="4" t="e">
        <f>$BF$23*VLOOKUP($BF$26,'x Malzemeler ve Özellikleri'!$O$2:$AJ$136,xHesaplama!U44,0)</f>
        <v>#REF!</v>
      </c>
      <c r="BG44" s="4" t="e">
        <f>$BG$23*VLOOKUP($BG$26,'x Malzemeler ve Özellikleri'!$O$2:$AJ$136,xHesaplama!U44,0)</f>
        <v>#REF!</v>
      </c>
      <c r="BH44" s="4" t="e">
        <f>$BH$23*VLOOKUP($BH$26,'x Malzemeler ve Özellikleri'!$O$2:$AJ$136,xHesaplama!U44,0)*N44</f>
        <v>#REF!</v>
      </c>
      <c r="BI44" s="4" t="e">
        <f>$BI$23*VLOOKUP($BI$26,'x Malzemeler ve Özellikleri'!$O$2:$AJ$136,xHesaplama!U44,0)</f>
        <v>#REF!</v>
      </c>
      <c r="BJ44" s="4" t="e">
        <f>$BJ$23*VLOOKUP($BJ$26,'x Malzemeler ve Özellikleri'!$O$2:$AJ$136,xHesaplama!U44,0)</f>
        <v>#REF!</v>
      </c>
      <c r="BK44" s="4" t="e">
        <f>$BK$23*VLOOKUP($BK$26,'x Malzemeler ve Özellikleri'!$O$2:$AJ$136,xHesaplama!U44,0)</f>
        <v>#REF!</v>
      </c>
      <c r="BL44" s="4" t="e">
        <f>$BL$23*VLOOKUP($BL$26,'x Malzemeler ve Özellikleri'!$O$2:$AJ$136,xHesaplama!U44,0)</f>
        <v>#REF!</v>
      </c>
      <c r="BM44" s="4" t="e">
        <f>$BM$23*VLOOKUP($BM$26,'x Malzemeler ve Özellikleri'!$O$2:$AJ$136,xHesaplama!U44,0)</f>
        <v>#REF!</v>
      </c>
      <c r="BN44" s="4" t="e">
        <f>$BN$23*VLOOKUP($BN$26,'x Malzemeler ve Özellikleri'!$O$2:$AJ$136,xHesaplama!U44,0)</f>
        <v>#REF!</v>
      </c>
      <c r="BO44" s="4" t="e">
        <f>(2*(2*X44+Y44*2)*VLOOKUP($BO$26,'x Malzemeler ve Özellikleri'!$O$2:$AJ$136,xHesaplama!U44,0)/1000)</f>
        <v>#REF!</v>
      </c>
      <c r="BP44" s="4" t="e">
        <f>(X44+$BP$23)*VLOOKUP($BP$26,'x Malzemeler ve Özellikleri'!$O$2:$AJ$136,xHesaplama!U44,0)/1000</f>
        <v>#REF!</v>
      </c>
      <c r="BQ44" s="4" t="e">
        <f>(X44+$BQ$23)*VLOOKUP($BQ$26,'x Malzemeler ve Özellikleri'!$O$2:$AJ$136,xHesaplama!U44,0)/1000</f>
        <v>#REF!</v>
      </c>
      <c r="BR44" s="4" t="e">
        <f>(X44+$BR$23)*VLOOKUP($BR$26,'x Malzemeler ve Özellikleri'!$O$2:$AJ$136,xHesaplama!U44,0)/1000</f>
        <v>#REF!</v>
      </c>
      <c r="BS44" s="4" t="e">
        <f>(X44+$BS$23)*VLOOKUP($BS$26,'x Malzemeler ve Özellikleri'!$O$2:$AJ$136,xHesaplama!U44,0)/1000</f>
        <v>#REF!</v>
      </c>
      <c r="BT44" s="4" t="e">
        <f>$BT$23*VLOOKUP($BT$26,'x Malzemeler ve Özellikleri'!$O$2:$AJ$136,xHesaplama!U44,0)</f>
        <v>#REF!</v>
      </c>
      <c r="BU44" s="4" t="e">
        <f>(Y44+$BU$23)*VLOOKUP($BU$26,'x Malzemeler ve Özellikleri'!$O$2:$AJ$136,xHesaplama!U44,0)/1000*2</f>
        <v>#REF!</v>
      </c>
      <c r="BV44" s="4" t="e">
        <f>(X44+$BV$23)*VLOOKUP($BV$26,'x Malzemeler ve Özellikleri'!$O$2:$AJ$136,xHesaplama!U44,0)/1000</f>
        <v>#REF!</v>
      </c>
      <c r="BW44" s="4" t="e">
        <f>$BW$23*VLOOKUP($BW$26,'x Malzemeler ve Özellikleri'!$O$2:$AJ$136,xHesaplama!U44,0)</f>
        <v>#REF!</v>
      </c>
      <c r="BX44" s="23" t="e">
        <f>ROUNDUP(Y44/300,0)*4*VLOOKUP($BX$26,'x Malzemeler ve Özellikleri'!$O$2:$AJ$136,xHesaplama!U44,0)</f>
        <v>#REF!</v>
      </c>
      <c r="BY44" s="4" t="e">
        <f>$BY$23*VLOOKUP($BY$26,'x Malzemeler ve Özellikleri'!$O$2:$AJ$136,xHesaplama!U44,0)</f>
        <v>#REF!</v>
      </c>
      <c r="BZ44" s="4" t="e">
        <f>$BZ$23*VLOOKUP($BZ$26,'x Malzemeler ve Özellikleri'!$O$2:$AJ$136,xHesaplama!U44,0)</f>
        <v>#REF!</v>
      </c>
      <c r="CA44" s="4" t="e">
        <f>(X44+$CA$23)*VLOOKUP($CA$26,'x Malzemeler ve Özellikleri'!$O$2:$AJ$136,xHesaplama!U44,0)/1000</f>
        <v>#REF!</v>
      </c>
      <c r="CB44" s="4" t="e">
        <f>(X44+$CB$23)*VLOOKUP($CB$26,'x Malzemeler ve Özellikleri'!$O$2:$AJ$136,xHesaplama!U44,0)/1000</f>
        <v>#REF!</v>
      </c>
      <c r="CC44" s="4" t="e">
        <f>$CC$23*VLOOKUP($CC$26,'x Malzemeler ve Özellikleri'!$O$2:$AJ$136,xHesaplama!U44,0)</f>
        <v>#REF!</v>
      </c>
      <c r="CD44" s="4" t="e">
        <f>(X44+$CD$23)*VLOOKUP($CD$26,'x Malzemeler ve Özellikleri'!$O$2:$AJ$136,xHesaplama!U44,0)/1000</f>
        <v>#REF!</v>
      </c>
      <c r="CE44" s="4" t="e">
        <f>(2*X44-120-122)*VLOOKUP($CE$26,'x Malzemeler ve Özellikleri'!$O$2:$AJ$136,xHesaplama!U44,0)/1000</f>
        <v>#REF!</v>
      </c>
      <c r="CF44" s="4" t="e">
        <f>(Y44+$CF$23)*VLOOKUP($CF$26,'x Malzemeler ve Özellikleri'!$O$2:$AJ$136,xHesaplama!U44,0)/1000*2</f>
        <v>#REF!</v>
      </c>
      <c r="CG44" s="4" t="e">
        <f>$CG$23*VLOOKUP($CG$26,'x Malzemeler ve Özellikleri'!$O$2:$AJ$136,xHesaplama!U44,0)</f>
        <v>#REF!</v>
      </c>
      <c r="CH44" s="4" t="e">
        <f>(Y44+$CH$23)*VLOOKUP($CH$26,'x Malzemeler ve Özellikleri'!$O$2:$AJ$136,xHesaplama!U44,0)/1000*2</f>
        <v>#REF!</v>
      </c>
      <c r="CI44" s="4" t="e">
        <f>(Y44+$CI$23)*VLOOKUP($CI$26,'x Malzemeler ve Özellikleri'!$O$2:$AJ$136,xHesaplama!U44,0)/1000*2</f>
        <v>#REF!</v>
      </c>
      <c r="CJ44" s="4" t="e">
        <f>$CJ$23*VLOOKUP($CJ$26,'x Malzemeler ve Özellikleri'!$O$2:$AJ$136,xHesaplama!U44,0)</f>
        <v>#REF!</v>
      </c>
      <c r="CK44" s="4" t="e">
        <f>$CK$23*VLOOKUP($CK$26,'x Malzemeler ve Özellikleri'!$O$2:$AJ$136,xHesaplama!U44,0)</f>
        <v>#REF!</v>
      </c>
      <c r="CL44" s="4" t="e">
        <f>$CL$23*VLOOKUP($CL$26,'x Malzemeler ve Özellikleri'!$O$2:$AJ$136,xHesaplama!U44,0)</f>
        <v>#REF!</v>
      </c>
      <c r="CM44" s="4" t="e">
        <f>(X44+$CM$23)*VLOOKUP($CM$26,'x Malzemeler ve Özellikleri'!$O$2:$AJ$136,xHesaplama!U44,0)/1000</f>
        <v>#REF!</v>
      </c>
      <c r="CN44" s="4" t="e">
        <f>(X44+$CN$23)*VLOOKUP($CN$26,'x Malzemeler ve Özellikleri'!$O$2:$AJ$136,xHesaplama!U44,0)/1000</f>
        <v>#REF!</v>
      </c>
      <c r="CO44" s="4" t="e">
        <f>(X44+$CO$23)*VLOOKUP($CO$26,'x Malzemeler ve Özellikleri'!$O$2:$AJ$136,xHesaplama!U44,0)/1000</f>
        <v>#REF!</v>
      </c>
      <c r="CP44" s="4" t="e">
        <f>(X44+$CP$23)*VLOOKUP($CP$26,'x Malzemeler ve Özellikleri'!$O$2:$AJ$136,xHesaplama!U44,0)/1000</f>
        <v>#REF!</v>
      </c>
      <c r="CQ44" s="23" t="e">
        <f>ROUNDUP(Y44/300,0)*4*VLOOKUP($CQ$26,'x Malzemeler ve Özellikleri'!$O$2:$AJ$136,xHesaplama!U44,0)</f>
        <v>#REF!</v>
      </c>
      <c r="CR44" s="4" t="e">
        <f>(X44+$CR$23)*VLOOKUP($CR$26,'x Malzemeler ve Özellikleri'!$O$2:$AJ$136,xHesaplama!U44,0)/1000</f>
        <v>#REF!</v>
      </c>
      <c r="CS44" s="4" t="e">
        <f>$CS$23*VLOOKUP($CS$26,'x Malzemeler ve Özellikleri'!$O$2:$AJ$136,xHesaplama!U44,0)</f>
        <v>#REF!</v>
      </c>
      <c r="CT44" s="4" t="e">
        <f>$CT$23*VLOOKUP($CT$26,'x Malzemeler ve Özellikleri'!$O$2:$AJ$136,xHesaplama!U44,0)</f>
        <v>#REF!</v>
      </c>
      <c r="CU44" s="4" t="e">
        <f>(Y44+$CU$23)*VLOOKUP($CU$26,'x Malzemeler ve Özellikleri'!$O$2:$AJ$136,xHesaplama!U44,0)/1000*2</f>
        <v>#REF!</v>
      </c>
      <c r="CV44" s="4" t="e">
        <f>(Y44+$CV$23)*VLOOKUP($CV$26,'x Malzemeler ve Özellikleri'!$O$2:$AJ$136,xHesaplama!U44,0)/1000*2</f>
        <v>#REF!</v>
      </c>
      <c r="CW44" s="4" t="e">
        <f>$CW$23*VLOOKUP($CW$26,'x Malzemeler ve Özellikleri'!$O$2:$AJ$136,xHesaplama!U44,0)</f>
        <v>#REF!</v>
      </c>
      <c r="CX44" s="4" t="e">
        <f>(X44+$CX$23)*VLOOKUP($CX$26,'x Malzemeler ve Özellikleri'!$O$2:$AJ$136,xHesaplama!U44,0)/1000</f>
        <v>#REF!</v>
      </c>
      <c r="CY44" s="4" t="e">
        <f>(2*X44-112-108)*VLOOKUP($CY$26,'x Malzemeler ve Özellikleri'!$O$2:$AJ$136,xHesaplama!U44,0)/1000</f>
        <v>#REF!</v>
      </c>
      <c r="CZ44" s="4" t="e">
        <f>$CZ$23*VLOOKUP($CZ$26,'x Malzemeler ve Özellikleri'!$O$2:$AJ$136,xHesaplama!U44,0)</f>
        <v>#REF!</v>
      </c>
      <c r="DA44" s="4" t="e">
        <f>$DA$23*VLOOKUP($DA$26,'x Malzemeler ve Özellikleri'!$O$2:$AJ$136,xHesaplama!U44,0)</f>
        <v>#REF!</v>
      </c>
      <c r="DB44" s="4" t="e">
        <f>$DB$23*VLOOKUP($DB$26,'x Malzemeler ve Özellikleri'!$O$2:$AJ$136,xHesaplama!U44,0)</f>
        <v>#REF!</v>
      </c>
      <c r="DC44" s="4" t="e">
        <f>$DC$23*VLOOKUP($DC$26,'x Malzemeler ve Özellikleri'!$O$2:$AJ$136,xHesaplama!U44,0)</f>
        <v>#REF!</v>
      </c>
      <c r="DD44" s="4" t="e">
        <f>(X44+$DD$23)*VLOOKUP($DD$26,'x Malzemeler ve Özellikleri'!$O$2:$AJ$136,xHesaplama!U44,0)/1000</f>
        <v>#REF!</v>
      </c>
      <c r="DE44" s="4" t="e">
        <f>(X44+$DE$23)*VLOOKUP($DE$26,'x Malzemeler ve Özellikleri'!$O$2:$AJ$136,xHesaplama!U44,0)/1000</f>
        <v>#REF!</v>
      </c>
      <c r="DF44" s="4" t="e">
        <f>$DF$23*VLOOKUP($DF$26,'x Malzemeler ve Özellikleri'!$O$2:$AJ$136,xHesaplama!U44,0)</f>
        <v>#REF!</v>
      </c>
      <c r="DG44" s="4" t="e">
        <f>(Y44+$DG$23)*VLOOKUP($DG$26,'x Malzemeler ve Özellikleri'!$O$2:$AJ$136,xHesaplama!U44,0)/1000*2</f>
        <v>#REF!</v>
      </c>
      <c r="DH44" s="4" t="e">
        <f>(Y44+$DH$23)*VLOOKUP($DH$26,'x Malzemeler ve Özellikleri'!$O$2:$AJ$136,xHesaplama!U44,0)/1000*2</f>
        <v>#REF!</v>
      </c>
      <c r="DI44" s="4" t="e">
        <f>(Y44+$DI$23)*VLOOKUP($DI$26,'x Malzemeler ve Özellikleri'!$O$2:$AJ$136,xHesaplama!U44,0)/1000*2</f>
        <v>#REF!</v>
      </c>
      <c r="DJ44" s="4" t="e">
        <f>$DJ$23*VLOOKUP($DJ$26,'x Malzemeler ve Özellikleri'!$O$2:$AJ$136,xHesaplama!U44,0)</f>
        <v>#REF!</v>
      </c>
      <c r="DK44" s="4" t="e">
        <f>$DK$23*VLOOKUP($DK$26,'x Malzemeler ve Özellikleri'!$O$2:$AJ$136,xHesaplama!U44,0)</f>
        <v>#REF!</v>
      </c>
      <c r="DL44" s="4" t="e">
        <f>(X44+$DL$23)*VLOOKUP($DL$26,'x Malzemeler ve Özellikleri'!$O$2:$AJ$136,xHesaplama!U44,0)/1000</f>
        <v>#REF!</v>
      </c>
      <c r="DM44" s="4" t="e">
        <f>(X44+$DM$23)*VLOOKUP($DM$26,'x Malzemeler ve Özellikleri'!$O$2:$AJ$136,xHesaplama!U44,0)/1000</f>
        <v>#REF!</v>
      </c>
      <c r="DN44" s="4" t="e">
        <f>(X44+$DN$23)*VLOOKUP($DN$26,'x Malzemeler ve Özellikleri'!$O$2:$AJ$136,xHesaplama!U44,0)/1000</f>
        <v>#REF!</v>
      </c>
      <c r="DO44" s="4" t="e">
        <f>(X44+$DO$23)*VLOOKUP($DO$26,'x Malzemeler ve Özellikleri'!$O$2:$AJ$136,xHesaplama!U44,0)/1000</f>
        <v>#REF!</v>
      </c>
      <c r="DP44" s="23" t="e">
        <f>ROUNDUP(Y44/300,0)*4*VLOOKUP($DP$26,'x Malzemeler ve Özellikleri'!$O$2:$AJ$136,xHesaplama!U44,0)</f>
        <v>#REF!</v>
      </c>
      <c r="DQ44" s="4" t="e">
        <f>(X44+$DQ$23)*VLOOKUP($DQ$26,'x Malzemeler ve Özellikleri'!$O$2:$AJ$136,xHesaplama!U44,0)/1000</f>
        <v>#REF!</v>
      </c>
      <c r="DR44" s="4" t="e">
        <f>(Y44+$DR$23)*VLOOKUP($DR$26,'x Malzemeler ve Özellikleri'!$O$2:$AJ$136,xHesaplama!U44,0)/1000*2</f>
        <v>#REF!</v>
      </c>
      <c r="DS44" s="4" t="e">
        <f>(Y44+$DS$23)*VLOOKUP($DS$26,'x Malzemeler ve Özellikleri'!$O$2:$AJ$136,xHesaplama!U44,0)/1000*2</f>
        <v>#REF!</v>
      </c>
      <c r="DT44" s="4" t="e">
        <f>$DT$23*VLOOKUP($DT$26,'x Malzemeler ve Özellikleri'!$O$2:$AJ$136,xHesaplama!U44,0)</f>
        <v>#REF!</v>
      </c>
      <c r="DU44" s="4" t="e">
        <f>(X44+$DU$23)*VLOOKUP($DU$26,'x Malzemeler ve Özellikleri'!$O$2:$AJ$136,xHesaplama!U44,0)/1000</f>
        <v>#REF!</v>
      </c>
      <c r="DV44" s="4" t="e">
        <f>(2*X44-112-108)*VLOOKUP($DV$26,'x Malzemeler ve Özellikleri'!$O$2:$AJ$136,xHesaplama!U44,0)/1000</f>
        <v>#REF!</v>
      </c>
      <c r="DW44" s="4" t="e">
        <f>$DW$23*VLOOKUP($DW$26,'x Malzemeler ve Özellikleri'!$O$2:$AJ$136,xHesaplama!U44,0)</f>
        <v>#REF!</v>
      </c>
      <c r="DX44" s="4" t="e">
        <f>$DX$23*VLOOKUP($DX$26,'x Malzemeler ve Özellikleri'!$O$2:$AJ$136,xHesaplama!U44,0)</f>
        <v>#REF!</v>
      </c>
      <c r="DY44" s="4" t="e">
        <f>$DY$23*VLOOKUP($DY$26,'x Malzemeler ve Özellikleri'!$O$2:$AJ$136,xHesaplama!U44,0)</f>
        <v>#REF!</v>
      </c>
      <c r="DZ44" s="4" t="e">
        <f>$DZ$23*VLOOKUP($DZ$26,'x Malzemeler ve Özellikleri'!$O$2:$AJ$136,xHesaplama!U44,0)</f>
        <v>#REF!</v>
      </c>
      <c r="EA44" s="4" t="e">
        <f>(X44+$EA$23)*VLOOKUP($EA$26,'x Malzemeler ve Özellikleri'!$O$2:$AJ$136,xHesaplama!U44,0)/1000</f>
        <v>#REF!</v>
      </c>
      <c r="EB44" s="4" t="e">
        <f>(X44+$EB$23)*VLOOKUP($EB$26,'x Malzemeler ve Özellikleri'!$O$2:$AJ$136,xHesaplama!U44,0)/1000</f>
        <v>#REF!</v>
      </c>
      <c r="EC44" s="4" t="e">
        <f>$EC$23*VLOOKUP($EC$26,'x Malzemeler ve Özellikleri'!$O$2:$AJ$136,xHesaplama!U44,0)</f>
        <v>#REF!</v>
      </c>
      <c r="ED44" s="4" t="e">
        <f>(Y44+$ED$23)*VLOOKUP($ED$26,'x Malzemeler ve Özellikleri'!$O$2:$AJ$136,xHesaplama!U44,0)/1000*2</f>
        <v>#REF!</v>
      </c>
      <c r="EE44" s="4" t="e">
        <f>(Y44+$EE$23)*VLOOKUP($EE$26,'x Malzemeler ve Özellikleri'!$O$2:$AJ$136,xHesaplama!U44,0)/1000*2</f>
        <v>#REF!</v>
      </c>
      <c r="EF44" s="4" t="e">
        <f>(Y44+$EF$23)*VLOOKUP($EF$26,'x Malzemeler ve Özellikleri'!$O$2:$AJ$136,xHesaplama!U44,0)/1000*2</f>
        <v>#REF!</v>
      </c>
      <c r="EG44" s="4" t="e">
        <f>$EG$23*VLOOKUP($EG$26,'x Malzemeler ve Özellikleri'!$O$2:$AJ$136,xHesaplama!U44,0)</f>
        <v>#REF!</v>
      </c>
      <c r="EH44" s="4" t="e">
        <f>$EH$23*VLOOKUP($EH$26,'x Malzemeler ve Özellikleri'!$O$2:$AJ$136,xHesaplama!U44,0)</f>
        <v>#REF!</v>
      </c>
      <c r="EI44" s="4" t="e">
        <f>$EI$23*VLOOKUP($EI$26,'x Malzemeler ve Özellikleri'!$O$2:$AJ$136,xHesaplama!U44,0)</f>
        <v>#REF!</v>
      </c>
      <c r="EJ44" s="4" t="e">
        <f>$EJ$23*VLOOKUP($EJ$26,'x Malzemeler ve Özellikleri'!$O$2:$AJ$136,xHesaplama!U44,0)</f>
        <v>#REF!</v>
      </c>
      <c r="EK44" s="4" t="e">
        <f>$EK$23*VLOOKUP($EK$26,'x Malzemeler ve Özellikleri'!$O$2:$AJ$136,xHesaplama!U44,0)</f>
        <v>#REF!</v>
      </c>
      <c r="EL44" s="4" t="e">
        <f>$EL$23*VLOOKUP($EL$26,'x Malzemeler ve Özellikleri'!$O$2:$AJ$136,xHesaplama!U44,0)</f>
        <v>#REF!</v>
      </c>
      <c r="EM44" s="4" t="e">
        <f>(X44+$EM$23)*VLOOKUP($EM$26,'x Malzemeler ve Özellikleri'!$O$2:$AJ$136,xHesaplama!U44,0)/1000</f>
        <v>#REF!</v>
      </c>
      <c r="EN44" s="4" t="e">
        <f>(X44+$EN$23)*VLOOKUP($EN$26,'x Malzemeler ve Özellikleri'!$O$2:$AJ$136,xHesaplama!U44,0)/1000</f>
        <v>#REF!</v>
      </c>
      <c r="EO44" s="4" t="e">
        <f>(X44+$EO$23)*VLOOKUP($EO$26,'x Malzemeler ve Özellikleri'!$O$2:$AJ$136,xHesaplama!U44,0)/1000</f>
        <v>#REF!</v>
      </c>
      <c r="EP44" s="4" t="e">
        <f>(X44+$EP$23)*VLOOKUP($EP$26,'x Malzemeler ve Özellikleri'!$O$2:$AJ$136,xHesaplama!U44,0)/1000</f>
        <v>#REF!</v>
      </c>
      <c r="EQ44" s="4" t="e">
        <f>(X44+$EQ$23)*VLOOKUP($EQ$26,'x Malzemeler ve Özellikleri'!$O$2:$AJ$136,xHesaplama!U44,0)/1000</f>
        <v>#REF!</v>
      </c>
      <c r="ER44" s="4" t="e">
        <f>$ER$23*VLOOKUP($ER$26,'x Malzemeler ve Özellikleri'!$O$2:$AJ$136,xHesaplama!U44,0)</f>
        <v>#REF!</v>
      </c>
      <c r="ES44" s="4" t="e">
        <f>(X44+$ES$23)*VLOOKUP($ES$26,'x Malzemeler ve Özellikleri'!$O$2:$AJ$136,xHesaplama!U44,0)/1000</f>
        <v>#REF!</v>
      </c>
      <c r="ET44" s="4" t="e">
        <f>(2*X44-112-108)*VLOOKUP($ET$26,'x Malzemeler ve Özellikleri'!$O$2:$AJ$136,xHesaplama!U44,0)/1000</f>
        <v>#REF!</v>
      </c>
      <c r="EU44" s="4" t="e">
        <f>$EU$23*VLOOKUP($EU$26,'x Malzemeler ve Özellikleri'!$O$2:$AJ$136,xHesaplama!U44,0)</f>
        <v>#REF!</v>
      </c>
      <c r="EV44" s="4" t="e">
        <f>$EV$23*VLOOKUP($EV$26,'x Malzemeler ve Özellikleri'!$O$2:$AJ$136,xHesaplama!U44,0)</f>
        <v>#REF!</v>
      </c>
      <c r="EW44" s="4" t="e">
        <f>$EW$23*VLOOKUP($EW$26,'x Malzemeler ve Özellikleri'!$O$2:$AJ$136,xHesaplama!U44,0)</f>
        <v>#REF!</v>
      </c>
      <c r="EX44" s="4" t="e">
        <f>$EX$23*VLOOKUP($EX$26,'x Malzemeler ve Özellikleri'!$O$2:$AJ$136,xHesaplama!U44,0)</f>
        <v>#REF!</v>
      </c>
      <c r="EY44" s="4" t="e">
        <f>(X44+$EY$23)*VLOOKUP($EY$26,'x Malzemeler ve Özellikleri'!$O$2:$AJ$136,xHesaplama!U44,0)/1000</f>
        <v>#REF!</v>
      </c>
      <c r="EZ44" s="4" t="e">
        <f>(X44+$EZ$23)*VLOOKUP($EZ$26,'x Malzemeler ve Özellikleri'!$O$2:$AJ$136,xHesaplama!U44,0)/1000</f>
        <v>#REF!</v>
      </c>
      <c r="FA44" s="4" t="e">
        <f>$FA$23*VLOOKUP($FA$26,'x Malzemeler ve Özellikleri'!$O$2:$AJ$136,xHesaplama!U44,0)</f>
        <v>#REF!</v>
      </c>
      <c r="FB44" s="4" t="e">
        <f>$FB$23*VLOOKUP($FB$26,'x Malzemeler ve Özellikleri'!$O$2:$AJ$136,xHesaplama!U44,0)</f>
        <v>#REF!</v>
      </c>
      <c r="FC44" s="4" t="e">
        <f>$FC$23*VLOOKUP($FC$26,'x Malzemeler ve Özellikleri'!$O$2:$AJ$136,xHesaplama!U44,0)</f>
        <v>#REF!</v>
      </c>
      <c r="FD44" s="4" t="e">
        <f>$FD$23*VLOOKUP($FD$26,'x Malzemeler ve Özellikleri'!$O$2:$AJ$136,xHesaplama!U44,0)</f>
        <v>#REF!</v>
      </c>
      <c r="FE44" s="4" t="e">
        <f>$FE$23*VLOOKUP($FE$26,'x Malzemeler ve Özellikleri'!$O$2:$AJ$136,xHesaplama!U44,0)</f>
        <v>#REF!</v>
      </c>
      <c r="FF44" s="4" t="e">
        <f>$FF$23*VLOOKUP($FF$26,'x Malzemeler ve Özellikleri'!$O$2:$AJ$136,xHesaplama!U44,0)</f>
        <v>#REF!</v>
      </c>
      <c r="FG44" s="4" t="e">
        <f>$FG$23*VLOOKUP($FG$26,'x Malzemeler ve Özellikleri'!$O$2:$AJ$136,xHesaplama!U44,0)</f>
        <v>#REF!</v>
      </c>
      <c r="FH44" s="4" t="e">
        <f>$FH$23*VLOOKUP($FH$26,'x Malzemeler ve Özellikleri'!$O$2:$AJ$136,xHesaplama!U44,0)</f>
        <v>#REF!</v>
      </c>
    </row>
    <row r="45" spans="1:168">
      <c r="A45" s="4">
        <f>'1PROJE'!B25</f>
        <v>19</v>
      </c>
      <c r="B45" s="4">
        <f>'1PROJE'!C25</f>
        <v>0</v>
      </c>
      <c r="C45" s="4">
        <f>'1PROJE'!D25</f>
        <v>0</v>
      </c>
      <c r="D45" s="4">
        <f>'1PROJE'!E25</f>
        <v>0</v>
      </c>
      <c r="E45" s="4">
        <f>'1PROJE'!F25</f>
        <v>0</v>
      </c>
      <c r="F45" s="4">
        <f>'1PROJE'!G25</f>
        <v>0</v>
      </c>
      <c r="G45" s="4">
        <f>'1PROJE'!H25</f>
        <v>0</v>
      </c>
      <c r="H45" s="4">
        <f>'1PROJE'!I25</f>
        <v>0</v>
      </c>
      <c r="I45" s="4">
        <f>'1PROJE'!K25</f>
        <v>0</v>
      </c>
      <c r="J45" s="4">
        <f>'1PROJE'!L25</f>
        <v>0</v>
      </c>
      <c r="K45" s="4">
        <f>'1PROJE'!M25</f>
        <v>0</v>
      </c>
      <c r="L45" s="4">
        <f>'1PROJE'!N25</f>
        <v>0</v>
      </c>
      <c r="M45" s="4">
        <f>'1PROJE'!O25</f>
        <v>0</v>
      </c>
      <c r="N45" s="4">
        <f t="shared" si="3"/>
        <v>4</v>
      </c>
      <c r="O45" s="4">
        <f>'1PROJE'!P25</f>
        <v>0</v>
      </c>
      <c r="P45" s="4">
        <f>'1PROJE'!R25</f>
        <v>0</v>
      </c>
      <c r="Q45" s="4">
        <f>'1PROJE'!S25</f>
        <v>0</v>
      </c>
      <c r="R45" s="4">
        <f>'1PROJE'!T25</f>
        <v>0</v>
      </c>
      <c r="S45" s="4"/>
      <c r="U45" s="4" t="e">
        <f t="shared" si="1"/>
        <v>#N/A</v>
      </c>
      <c r="V45" s="4" t="e">
        <f>VLOOKUP(B45,'x Açılır Listeler'!$A$2:$B$15,2,0)</f>
        <v>#N/A</v>
      </c>
      <c r="W45" s="4" t="e">
        <f>VLOOKUP(B45,'x Açılır Listeler'!$A$2:$C$15,3,0)*2</f>
        <v>#N/A</v>
      </c>
      <c r="X45" s="4">
        <f t="shared" si="4"/>
        <v>0</v>
      </c>
      <c r="Y45" s="4">
        <f t="shared" si="5"/>
        <v>0</v>
      </c>
      <c r="Z45" s="4" t="s">
        <v>658</v>
      </c>
      <c r="AA45" s="4">
        <f t="shared" si="2"/>
        <v>25</v>
      </c>
      <c r="AB45" s="38" t="e">
        <f>VLOOKUP(J45,'x Malzemeler ve Özellikleri'!$N$147:$R$167,5,0)</f>
        <v>#N/A</v>
      </c>
      <c r="AC45" s="46" t="e">
        <f>IF('1PROJE'!J25="",VLOOKUP(H45,'x Malzemeler ve Özellikleri'!$N$137:$R$146,5,0),'1PROJE'!J25)</f>
        <v>#N/A</v>
      </c>
      <c r="AD45" s="52">
        <f t="shared" si="6"/>
        <v>-2.8511999999999999E-2</v>
      </c>
      <c r="AE45" s="46" t="e">
        <f t="shared" si="7"/>
        <v>#N/A</v>
      </c>
      <c r="AF45" s="46">
        <f>IF(O45="VAR",IF('1PROJE'!Q25="",$AI$10,'1PROJE'!Q25),0)</f>
        <v>0</v>
      </c>
      <c r="AG45" s="4" t="e">
        <f>IF('1PROJE'!S25="",VLOOKUP(xHesaplama!P45,'x Malzemeler ve Özellikleri'!$AS$2:$AT$11,2,0),'1PROJE'!S25/'1PROJE'!$P$3)</f>
        <v>#N/A</v>
      </c>
      <c r="AH45" s="4" t="e">
        <f>(X45+$AH$23)*VLOOKUP($AH$26,'x Malzemeler ve Özellikleri'!$O$2:$AJ$136,xHesaplama!U45,0)/1000</f>
        <v>#REF!</v>
      </c>
      <c r="AI45" s="4" t="e">
        <f>(X45+$AI$23)*VLOOKUP($AI$26,'x Malzemeler ve Özellikleri'!$O$2:$AJ$136,xHesaplama!U45,0)/1000</f>
        <v>#REF!</v>
      </c>
      <c r="AJ45" s="4" t="e">
        <f>(X45+$AJ$23)*VLOOKUP($AJ$26,'x Malzemeler ve Özellikleri'!$O$2:$AJ$136,xHesaplama!U45,0)/1000</f>
        <v>#REF!</v>
      </c>
      <c r="AK45" s="4" t="e">
        <f>(X45+$AK$23)*VLOOKUP($AK$26,'x Malzemeler ve Özellikleri'!$O$2:$AJ$136,xHesaplama!U45,0)/1000</f>
        <v>#REF!</v>
      </c>
      <c r="AL45" s="4" t="e">
        <f>(Y45+$AL$23)*VLOOKUP($AL$26,'x Malzemeler ve Özellikleri'!$O$2:$AJ$136,xHesaplama!U45,0)/1000*2</f>
        <v>#REF!</v>
      </c>
      <c r="AM45" s="4" t="e">
        <f>IF(AND(X45&lt;4500,Y45&lt;4500,X45*Y45/1000000&lt;12),(X45+$AM$23)*VLOOKUP($AM$26,'x Malzemeler ve Özellikleri'!$O$2:$AJ$136,xHesaplama!U45,0)/1000,0)</f>
        <v>#REF!</v>
      </c>
      <c r="AN45" s="4">
        <f>IF(OR(X45&gt;=4500,Y45&gt;=4500,X45*Y45/1000000&gt;=12),(X45+$AN$23)*VLOOKUP($AN$26,'x Malzemeler ve Özellikleri'!$O$2:$AJ$136,xHesaplama!U45,0)/1000,0)</f>
        <v>0</v>
      </c>
      <c r="AO45" s="4" t="e">
        <f>(Y45+$AO$23)*VLOOKUP($AO$26,'x Malzemeler ve Özellikleri'!$O$2:$AJ$136,xHesaplama!U45,0)/1000*2</f>
        <v>#REF!</v>
      </c>
      <c r="AP45" s="4" t="e">
        <f>$AP$23*VLOOKUP($AP$26,'x Malzemeler ve Özellikleri'!$O$2:$AJ$136,xHesaplama!U45,0)</f>
        <v>#REF!</v>
      </c>
      <c r="AQ45" s="4" t="e">
        <f>$AQ$23*VLOOKUP($AQ$26,'x Malzemeler ve Özellikleri'!$O$2:$AJ$136,xHesaplama!U45,0)</f>
        <v>#REF!</v>
      </c>
      <c r="AR45" s="4" t="e">
        <f>$AR$23*VLOOKUP($AR$26,'x Malzemeler ve Özellikleri'!$O$2:$AJ$136,xHesaplama!U45,0)</f>
        <v>#REF!</v>
      </c>
      <c r="AS45" s="4" t="e">
        <f>$AS$23*VLOOKUP($AS$26,'x Malzemeler ve Özellikleri'!$O$2:$AJ$136,xHesaplama!U45,0)</f>
        <v>#REF!</v>
      </c>
      <c r="AT45" s="4" t="e">
        <f>$AT$23*VLOOKUP($AT$26,'x Malzemeler ve Özellikleri'!$O$2:$AJ$136,xHesaplama!U45,0)</f>
        <v>#REF!</v>
      </c>
      <c r="AU45" s="4" t="e">
        <f>$AU$23*VLOOKUP($AU$26,'x Malzemeler ve Özellikleri'!$O$2:$AJ$136,xHesaplama!U45,0)</f>
        <v>#REF!</v>
      </c>
      <c r="AV45" s="4" t="e">
        <f>$AV$23*VLOOKUP($AV$26,'x Malzemeler ve Özellikleri'!$O$2:$AJ$136,xHesaplama!U45,0)</f>
        <v>#REF!</v>
      </c>
      <c r="AW45" s="4" t="e">
        <f>(Y45+$AW$23)*VLOOKUP($AW$26,'x Malzemeler ve Özellikleri'!$O$2:$AJ$136,xHesaplama!U45,0)/1000*2</f>
        <v>#REF!</v>
      </c>
      <c r="AX45" s="4" t="e">
        <f>$AX$23*VLOOKUP($AX$26,'x Malzemeler ve Özellikleri'!$O$2:$AJ$136,xHesaplama!U45,0)</f>
        <v>#REF!</v>
      </c>
      <c r="AY45" s="4" t="e">
        <f>$AY$23*VLOOKUP($AY$26,'x Malzemeler ve Özellikleri'!$O$2:$AJ$136,xHesaplama!U45,0)</f>
        <v>#REF!</v>
      </c>
      <c r="AZ45" s="23" t="e">
        <f>ROUNDUP(Y45/300,0)*4*VLOOKUP($AZ$26,'x Malzemeler ve Özellikleri'!$O$2:$AJ$136,xHesaplama!U45,0)</f>
        <v>#REF!</v>
      </c>
      <c r="BA45" s="4" t="e">
        <f>(2*X45-155-183)*VLOOKUP($BA$26,'x Malzemeler ve Özellikleri'!$O$2:$AJ$136,xHesaplama!U45,0)/1000</f>
        <v>#REF!</v>
      </c>
      <c r="BB45" s="4" t="e">
        <f>$BB$23*VLOOKUP($BB$26,'x Malzemeler ve Özellikleri'!$O$2:$AJ$136,xHesaplama!U45,0)</f>
        <v>#REF!</v>
      </c>
      <c r="BC45" s="4" t="e">
        <f>$BC$23*VLOOKUP($BC$26,'x Malzemeler ve Özellikleri'!$O$2:$AJ$136,xHesaplama!U45,0)</f>
        <v>#REF!</v>
      </c>
      <c r="BD45" s="4" t="e">
        <f>$BD$23*VLOOKUP($BD$26,'x Malzemeler ve Özellikleri'!$O$2:$AJ$136,xHesaplama!U45,0)</f>
        <v>#REF!</v>
      </c>
      <c r="BE45" s="4" t="e">
        <f>$BE$23*VLOOKUP($BE$26,'x Malzemeler ve Özellikleri'!$O$2:$AJ$136,xHesaplama!U45,0)</f>
        <v>#REF!</v>
      </c>
      <c r="BF45" s="4" t="e">
        <f>$BF$23*VLOOKUP($BF$26,'x Malzemeler ve Özellikleri'!$O$2:$AJ$136,xHesaplama!U45,0)</f>
        <v>#REF!</v>
      </c>
      <c r="BG45" s="4" t="e">
        <f>$BG$23*VLOOKUP($BG$26,'x Malzemeler ve Özellikleri'!$O$2:$AJ$136,xHesaplama!U45,0)</f>
        <v>#REF!</v>
      </c>
      <c r="BH45" s="4" t="e">
        <f>$BH$23*VLOOKUP($BH$26,'x Malzemeler ve Özellikleri'!$O$2:$AJ$136,xHesaplama!U45,0)*N45</f>
        <v>#REF!</v>
      </c>
      <c r="BI45" s="4" t="e">
        <f>$BI$23*VLOOKUP($BI$26,'x Malzemeler ve Özellikleri'!$O$2:$AJ$136,xHesaplama!U45,0)</f>
        <v>#REF!</v>
      </c>
      <c r="BJ45" s="4" t="e">
        <f>$BJ$23*VLOOKUP($BJ$26,'x Malzemeler ve Özellikleri'!$O$2:$AJ$136,xHesaplama!U45,0)</f>
        <v>#REF!</v>
      </c>
      <c r="BK45" s="4" t="e">
        <f>$BK$23*VLOOKUP($BK$26,'x Malzemeler ve Özellikleri'!$O$2:$AJ$136,xHesaplama!U45,0)</f>
        <v>#REF!</v>
      </c>
      <c r="BL45" s="4" t="e">
        <f>$BL$23*VLOOKUP($BL$26,'x Malzemeler ve Özellikleri'!$O$2:$AJ$136,xHesaplama!U45,0)</f>
        <v>#REF!</v>
      </c>
      <c r="BM45" s="4" t="e">
        <f>$BM$23*VLOOKUP($BM$26,'x Malzemeler ve Özellikleri'!$O$2:$AJ$136,xHesaplama!U45,0)</f>
        <v>#REF!</v>
      </c>
      <c r="BN45" s="4" t="e">
        <f>$BN$23*VLOOKUP($BN$26,'x Malzemeler ve Özellikleri'!$O$2:$AJ$136,xHesaplama!U45,0)</f>
        <v>#REF!</v>
      </c>
      <c r="BO45" s="4" t="e">
        <f>(2*(2*X45+Y45*2)*VLOOKUP($BO$26,'x Malzemeler ve Özellikleri'!$O$2:$AJ$136,xHesaplama!U45,0)/1000)</f>
        <v>#REF!</v>
      </c>
      <c r="BP45" s="4" t="e">
        <f>(X45+$BP$23)*VLOOKUP($BP$26,'x Malzemeler ve Özellikleri'!$O$2:$AJ$136,xHesaplama!U45,0)/1000</f>
        <v>#REF!</v>
      </c>
      <c r="BQ45" s="4" t="e">
        <f>(X45+$BQ$23)*VLOOKUP($BQ$26,'x Malzemeler ve Özellikleri'!$O$2:$AJ$136,xHesaplama!U45,0)/1000</f>
        <v>#REF!</v>
      </c>
      <c r="BR45" s="4" t="e">
        <f>(X45+$BR$23)*VLOOKUP($BR$26,'x Malzemeler ve Özellikleri'!$O$2:$AJ$136,xHesaplama!U45,0)/1000</f>
        <v>#REF!</v>
      </c>
      <c r="BS45" s="4" t="e">
        <f>(X45+$BS$23)*VLOOKUP($BS$26,'x Malzemeler ve Özellikleri'!$O$2:$AJ$136,xHesaplama!U45,0)/1000</f>
        <v>#REF!</v>
      </c>
      <c r="BT45" s="4" t="e">
        <f>$BT$23*VLOOKUP($BT$26,'x Malzemeler ve Özellikleri'!$O$2:$AJ$136,xHesaplama!U45,0)</f>
        <v>#REF!</v>
      </c>
      <c r="BU45" s="4" t="e">
        <f>(Y45+$BU$23)*VLOOKUP($BU$26,'x Malzemeler ve Özellikleri'!$O$2:$AJ$136,xHesaplama!U45,0)/1000*2</f>
        <v>#REF!</v>
      </c>
      <c r="BV45" s="4" t="e">
        <f>(X45+$BV$23)*VLOOKUP($BV$26,'x Malzemeler ve Özellikleri'!$O$2:$AJ$136,xHesaplama!U45,0)/1000</f>
        <v>#REF!</v>
      </c>
      <c r="BW45" s="4" t="e">
        <f>$BW$23*VLOOKUP($BW$26,'x Malzemeler ve Özellikleri'!$O$2:$AJ$136,xHesaplama!U45,0)</f>
        <v>#REF!</v>
      </c>
      <c r="BX45" s="23" t="e">
        <f>ROUNDUP(Y45/300,0)*4*VLOOKUP($BX$26,'x Malzemeler ve Özellikleri'!$O$2:$AJ$136,xHesaplama!U45,0)</f>
        <v>#REF!</v>
      </c>
      <c r="BY45" s="4" t="e">
        <f>$BY$23*VLOOKUP($BY$26,'x Malzemeler ve Özellikleri'!$O$2:$AJ$136,xHesaplama!U45,0)</f>
        <v>#REF!</v>
      </c>
      <c r="BZ45" s="4" t="e">
        <f>$BZ$23*VLOOKUP($BZ$26,'x Malzemeler ve Özellikleri'!$O$2:$AJ$136,xHesaplama!U45,0)</f>
        <v>#REF!</v>
      </c>
      <c r="CA45" s="4" t="e">
        <f>(X45+$CA$23)*VLOOKUP($CA$26,'x Malzemeler ve Özellikleri'!$O$2:$AJ$136,xHesaplama!U45,0)/1000</f>
        <v>#REF!</v>
      </c>
      <c r="CB45" s="4" t="e">
        <f>(X45+$CB$23)*VLOOKUP($CB$26,'x Malzemeler ve Özellikleri'!$O$2:$AJ$136,xHesaplama!U45,0)/1000</f>
        <v>#REF!</v>
      </c>
      <c r="CC45" s="4" t="e">
        <f>$CC$23*VLOOKUP($CC$26,'x Malzemeler ve Özellikleri'!$O$2:$AJ$136,xHesaplama!U45,0)</f>
        <v>#REF!</v>
      </c>
      <c r="CD45" s="4" t="e">
        <f>(X45+$CD$23)*VLOOKUP($CD$26,'x Malzemeler ve Özellikleri'!$O$2:$AJ$136,xHesaplama!U45,0)/1000</f>
        <v>#REF!</v>
      </c>
      <c r="CE45" s="4" t="e">
        <f>(2*X45-120-122)*VLOOKUP($CE$26,'x Malzemeler ve Özellikleri'!$O$2:$AJ$136,xHesaplama!U45,0)/1000</f>
        <v>#REF!</v>
      </c>
      <c r="CF45" s="4" t="e">
        <f>(Y45+$CF$23)*VLOOKUP($CF$26,'x Malzemeler ve Özellikleri'!$O$2:$AJ$136,xHesaplama!U45,0)/1000*2</f>
        <v>#REF!</v>
      </c>
      <c r="CG45" s="4" t="e">
        <f>$CG$23*VLOOKUP($CG$26,'x Malzemeler ve Özellikleri'!$O$2:$AJ$136,xHesaplama!U45,0)</f>
        <v>#REF!</v>
      </c>
      <c r="CH45" s="4" t="e">
        <f>(Y45+$CH$23)*VLOOKUP($CH$26,'x Malzemeler ve Özellikleri'!$O$2:$AJ$136,xHesaplama!U45,0)/1000*2</f>
        <v>#REF!</v>
      </c>
      <c r="CI45" s="4" t="e">
        <f>(Y45+$CI$23)*VLOOKUP($CI$26,'x Malzemeler ve Özellikleri'!$O$2:$AJ$136,xHesaplama!U45,0)/1000*2</f>
        <v>#REF!</v>
      </c>
      <c r="CJ45" s="4" t="e">
        <f>$CJ$23*VLOOKUP($CJ$26,'x Malzemeler ve Özellikleri'!$O$2:$AJ$136,xHesaplama!U45,0)</f>
        <v>#REF!</v>
      </c>
      <c r="CK45" s="4" t="e">
        <f>$CK$23*VLOOKUP($CK$26,'x Malzemeler ve Özellikleri'!$O$2:$AJ$136,xHesaplama!U45,0)</f>
        <v>#REF!</v>
      </c>
      <c r="CL45" s="4" t="e">
        <f>$CL$23*VLOOKUP($CL$26,'x Malzemeler ve Özellikleri'!$O$2:$AJ$136,xHesaplama!U45,0)</f>
        <v>#REF!</v>
      </c>
      <c r="CM45" s="4" t="e">
        <f>(X45+$CM$23)*VLOOKUP($CM$26,'x Malzemeler ve Özellikleri'!$O$2:$AJ$136,xHesaplama!U45,0)/1000</f>
        <v>#REF!</v>
      </c>
      <c r="CN45" s="4" t="e">
        <f>(X45+$CN$23)*VLOOKUP($CN$26,'x Malzemeler ve Özellikleri'!$O$2:$AJ$136,xHesaplama!U45,0)/1000</f>
        <v>#REF!</v>
      </c>
      <c r="CO45" s="4" t="e">
        <f>(X45+$CO$23)*VLOOKUP($CO$26,'x Malzemeler ve Özellikleri'!$O$2:$AJ$136,xHesaplama!U45,0)/1000</f>
        <v>#REF!</v>
      </c>
      <c r="CP45" s="4" t="e">
        <f>(X45+$CP$23)*VLOOKUP($CP$26,'x Malzemeler ve Özellikleri'!$O$2:$AJ$136,xHesaplama!U45,0)/1000</f>
        <v>#REF!</v>
      </c>
      <c r="CQ45" s="23" t="e">
        <f>ROUNDUP(Y45/300,0)*4*VLOOKUP($CQ$26,'x Malzemeler ve Özellikleri'!$O$2:$AJ$136,xHesaplama!U45,0)</f>
        <v>#REF!</v>
      </c>
      <c r="CR45" s="4" t="e">
        <f>(X45+$CR$23)*VLOOKUP($CR$26,'x Malzemeler ve Özellikleri'!$O$2:$AJ$136,xHesaplama!U45,0)/1000</f>
        <v>#REF!</v>
      </c>
      <c r="CS45" s="4" t="e">
        <f>$CS$23*VLOOKUP($CS$26,'x Malzemeler ve Özellikleri'!$O$2:$AJ$136,xHesaplama!U45,0)</f>
        <v>#REF!</v>
      </c>
      <c r="CT45" s="4" t="e">
        <f>$CT$23*VLOOKUP($CT$26,'x Malzemeler ve Özellikleri'!$O$2:$AJ$136,xHesaplama!U45,0)</f>
        <v>#REF!</v>
      </c>
      <c r="CU45" s="4" t="e">
        <f>(Y45+$CU$23)*VLOOKUP($CU$26,'x Malzemeler ve Özellikleri'!$O$2:$AJ$136,xHesaplama!U45,0)/1000*2</f>
        <v>#REF!</v>
      </c>
      <c r="CV45" s="4" t="e">
        <f>(Y45+$CV$23)*VLOOKUP($CV$26,'x Malzemeler ve Özellikleri'!$O$2:$AJ$136,xHesaplama!U45,0)/1000*2</f>
        <v>#REF!</v>
      </c>
      <c r="CW45" s="4" t="e">
        <f>$CW$23*VLOOKUP($CW$26,'x Malzemeler ve Özellikleri'!$O$2:$AJ$136,xHesaplama!U45,0)</f>
        <v>#REF!</v>
      </c>
      <c r="CX45" s="4" t="e">
        <f>(X45+$CX$23)*VLOOKUP($CX$26,'x Malzemeler ve Özellikleri'!$O$2:$AJ$136,xHesaplama!U45,0)/1000</f>
        <v>#REF!</v>
      </c>
      <c r="CY45" s="4" t="e">
        <f>(2*X45-112-108)*VLOOKUP($CY$26,'x Malzemeler ve Özellikleri'!$O$2:$AJ$136,xHesaplama!U45,0)/1000</f>
        <v>#REF!</v>
      </c>
      <c r="CZ45" s="4" t="e">
        <f>$CZ$23*VLOOKUP($CZ$26,'x Malzemeler ve Özellikleri'!$O$2:$AJ$136,xHesaplama!U45,0)</f>
        <v>#REF!</v>
      </c>
      <c r="DA45" s="4" t="e">
        <f>$DA$23*VLOOKUP($DA$26,'x Malzemeler ve Özellikleri'!$O$2:$AJ$136,xHesaplama!U45,0)</f>
        <v>#REF!</v>
      </c>
      <c r="DB45" s="4" t="e">
        <f>$DB$23*VLOOKUP($DB$26,'x Malzemeler ve Özellikleri'!$O$2:$AJ$136,xHesaplama!U45,0)</f>
        <v>#REF!</v>
      </c>
      <c r="DC45" s="4" t="e">
        <f>$DC$23*VLOOKUP($DC$26,'x Malzemeler ve Özellikleri'!$O$2:$AJ$136,xHesaplama!U45,0)</f>
        <v>#REF!</v>
      </c>
      <c r="DD45" s="4" t="e">
        <f>(X45+$DD$23)*VLOOKUP($DD$26,'x Malzemeler ve Özellikleri'!$O$2:$AJ$136,xHesaplama!U45,0)/1000</f>
        <v>#REF!</v>
      </c>
      <c r="DE45" s="4" t="e">
        <f>(X45+$DE$23)*VLOOKUP($DE$26,'x Malzemeler ve Özellikleri'!$O$2:$AJ$136,xHesaplama!U45,0)/1000</f>
        <v>#REF!</v>
      </c>
      <c r="DF45" s="4" t="e">
        <f>$DF$23*VLOOKUP($DF$26,'x Malzemeler ve Özellikleri'!$O$2:$AJ$136,xHesaplama!U45,0)</f>
        <v>#REF!</v>
      </c>
      <c r="DG45" s="4" t="e">
        <f>(Y45+$DG$23)*VLOOKUP($DG$26,'x Malzemeler ve Özellikleri'!$O$2:$AJ$136,xHesaplama!U45,0)/1000*2</f>
        <v>#REF!</v>
      </c>
      <c r="DH45" s="4" t="e">
        <f>(Y45+$DH$23)*VLOOKUP($DH$26,'x Malzemeler ve Özellikleri'!$O$2:$AJ$136,xHesaplama!U45,0)/1000*2</f>
        <v>#REF!</v>
      </c>
      <c r="DI45" s="4" t="e">
        <f>(Y45+$DI$23)*VLOOKUP($DI$26,'x Malzemeler ve Özellikleri'!$O$2:$AJ$136,xHesaplama!U45,0)/1000*2</f>
        <v>#REF!</v>
      </c>
      <c r="DJ45" s="4" t="e">
        <f>$DJ$23*VLOOKUP($DJ$26,'x Malzemeler ve Özellikleri'!$O$2:$AJ$136,xHesaplama!U45,0)</f>
        <v>#REF!</v>
      </c>
      <c r="DK45" s="4" t="e">
        <f>$DK$23*VLOOKUP($DK$26,'x Malzemeler ve Özellikleri'!$O$2:$AJ$136,xHesaplama!U45,0)</f>
        <v>#REF!</v>
      </c>
      <c r="DL45" s="4" t="e">
        <f>(X45+$DL$23)*VLOOKUP($DL$26,'x Malzemeler ve Özellikleri'!$O$2:$AJ$136,xHesaplama!U45,0)/1000</f>
        <v>#REF!</v>
      </c>
      <c r="DM45" s="4" t="e">
        <f>(X45+$DM$23)*VLOOKUP($DM$26,'x Malzemeler ve Özellikleri'!$O$2:$AJ$136,xHesaplama!U45,0)/1000</f>
        <v>#REF!</v>
      </c>
      <c r="DN45" s="4" t="e">
        <f>(X45+$DN$23)*VLOOKUP($DN$26,'x Malzemeler ve Özellikleri'!$O$2:$AJ$136,xHesaplama!U45,0)/1000</f>
        <v>#REF!</v>
      </c>
      <c r="DO45" s="4" t="e">
        <f>(X45+$DO$23)*VLOOKUP($DO$26,'x Malzemeler ve Özellikleri'!$O$2:$AJ$136,xHesaplama!U45,0)/1000</f>
        <v>#REF!</v>
      </c>
      <c r="DP45" s="23" t="e">
        <f>ROUNDUP(Y45/300,0)*4*VLOOKUP($DP$26,'x Malzemeler ve Özellikleri'!$O$2:$AJ$136,xHesaplama!U45,0)</f>
        <v>#REF!</v>
      </c>
      <c r="DQ45" s="4" t="e">
        <f>(X45+$DQ$23)*VLOOKUP($DQ$26,'x Malzemeler ve Özellikleri'!$O$2:$AJ$136,xHesaplama!U45,0)/1000</f>
        <v>#REF!</v>
      </c>
      <c r="DR45" s="4" t="e">
        <f>(Y45+$DR$23)*VLOOKUP($DR$26,'x Malzemeler ve Özellikleri'!$O$2:$AJ$136,xHesaplama!U45,0)/1000*2</f>
        <v>#REF!</v>
      </c>
      <c r="DS45" s="4" t="e">
        <f>(Y45+$DS$23)*VLOOKUP($DS$26,'x Malzemeler ve Özellikleri'!$O$2:$AJ$136,xHesaplama!U45,0)/1000*2</f>
        <v>#REF!</v>
      </c>
      <c r="DT45" s="4" t="e">
        <f>$DT$23*VLOOKUP($DT$26,'x Malzemeler ve Özellikleri'!$O$2:$AJ$136,xHesaplama!U45,0)</f>
        <v>#REF!</v>
      </c>
      <c r="DU45" s="4" t="e">
        <f>(X45+$DU$23)*VLOOKUP($DU$26,'x Malzemeler ve Özellikleri'!$O$2:$AJ$136,xHesaplama!U45,0)/1000</f>
        <v>#REF!</v>
      </c>
      <c r="DV45" s="4" t="e">
        <f>(2*X45-112-108)*VLOOKUP($DV$26,'x Malzemeler ve Özellikleri'!$O$2:$AJ$136,xHesaplama!U45,0)/1000</f>
        <v>#REF!</v>
      </c>
      <c r="DW45" s="4" t="e">
        <f>$DW$23*VLOOKUP($DW$26,'x Malzemeler ve Özellikleri'!$O$2:$AJ$136,xHesaplama!U45,0)</f>
        <v>#REF!</v>
      </c>
      <c r="DX45" s="4" t="e">
        <f>$DX$23*VLOOKUP($DX$26,'x Malzemeler ve Özellikleri'!$O$2:$AJ$136,xHesaplama!U45,0)</f>
        <v>#REF!</v>
      </c>
      <c r="DY45" s="4" t="e">
        <f>$DY$23*VLOOKUP($DY$26,'x Malzemeler ve Özellikleri'!$O$2:$AJ$136,xHesaplama!U45,0)</f>
        <v>#REF!</v>
      </c>
      <c r="DZ45" s="4" t="e">
        <f>$DZ$23*VLOOKUP($DZ$26,'x Malzemeler ve Özellikleri'!$O$2:$AJ$136,xHesaplama!U45,0)</f>
        <v>#REF!</v>
      </c>
      <c r="EA45" s="4" t="e">
        <f>(X45+$EA$23)*VLOOKUP($EA$26,'x Malzemeler ve Özellikleri'!$O$2:$AJ$136,xHesaplama!U45,0)/1000</f>
        <v>#REF!</v>
      </c>
      <c r="EB45" s="4" t="e">
        <f>(X45+$EB$23)*VLOOKUP($EB$26,'x Malzemeler ve Özellikleri'!$O$2:$AJ$136,xHesaplama!U45,0)/1000</f>
        <v>#REF!</v>
      </c>
      <c r="EC45" s="4" t="e">
        <f>$EC$23*VLOOKUP($EC$26,'x Malzemeler ve Özellikleri'!$O$2:$AJ$136,xHesaplama!U45,0)</f>
        <v>#REF!</v>
      </c>
      <c r="ED45" s="4" t="e">
        <f>(Y45+$ED$23)*VLOOKUP($ED$26,'x Malzemeler ve Özellikleri'!$O$2:$AJ$136,xHesaplama!U45,0)/1000*2</f>
        <v>#REF!</v>
      </c>
      <c r="EE45" s="4" t="e">
        <f>(Y45+$EE$23)*VLOOKUP($EE$26,'x Malzemeler ve Özellikleri'!$O$2:$AJ$136,xHesaplama!U45,0)/1000*2</f>
        <v>#REF!</v>
      </c>
      <c r="EF45" s="4" t="e">
        <f>(Y45+$EF$23)*VLOOKUP($EF$26,'x Malzemeler ve Özellikleri'!$O$2:$AJ$136,xHesaplama!U45,0)/1000*2</f>
        <v>#REF!</v>
      </c>
      <c r="EG45" s="4" t="e">
        <f>$EG$23*VLOOKUP($EG$26,'x Malzemeler ve Özellikleri'!$O$2:$AJ$136,xHesaplama!U45,0)</f>
        <v>#REF!</v>
      </c>
      <c r="EH45" s="4" t="e">
        <f>$EH$23*VLOOKUP($EH$26,'x Malzemeler ve Özellikleri'!$O$2:$AJ$136,xHesaplama!U45,0)</f>
        <v>#REF!</v>
      </c>
      <c r="EI45" s="4" t="e">
        <f>$EI$23*VLOOKUP($EI$26,'x Malzemeler ve Özellikleri'!$O$2:$AJ$136,xHesaplama!U45,0)</f>
        <v>#REF!</v>
      </c>
      <c r="EJ45" s="4" t="e">
        <f>$EJ$23*VLOOKUP($EJ$26,'x Malzemeler ve Özellikleri'!$O$2:$AJ$136,xHesaplama!U45,0)</f>
        <v>#REF!</v>
      </c>
      <c r="EK45" s="4" t="e">
        <f>$EK$23*VLOOKUP($EK$26,'x Malzemeler ve Özellikleri'!$O$2:$AJ$136,xHesaplama!U45,0)</f>
        <v>#REF!</v>
      </c>
      <c r="EL45" s="4" t="e">
        <f>$EL$23*VLOOKUP($EL$26,'x Malzemeler ve Özellikleri'!$O$2:$AJ$136,xHesaplama!U45,0)</f>
        <v>#REF!</v>
      </c>
      <c r="EM45" s="4" t="e">
        <f>(X45+$EM$23)*VLOOKUP($EM$26,'x Malzemeler ve Özellikleri'!$O$2:$AJ$136,xHesaplama!U45,0)/1000</f>
        <v>#REF!</v>
      </c>
      <c r="EN45" s="4" t="e">
        <f>(X45+$EN$23)*VLOOKUP($EN$26,'x Malzemeler ve Özellikleri'!$O$2:$AJ$136,xHesaplama!U45,0)/1000</f>
        <v>#REF!</v>
      </c>
      <c r="EO45" s="4" t="e">
        <f>(X45+$EO$23)*VLOOKUP($EO$26,'x Malzemeler ve Özellikleri'!$O$2:$AJ$136,xHesaplama!U45,0)/1000</f>
        <v>#REF!</v>
      </c>
      <c r="EP45" s="4" t="e">
        <f>(X45+$EP$23)*VLOOKUP($EP$26,'x Malzemeler ve Özellikleri'!$O$2:$AJ$136,xHesaplama!U45,0)/1000</f>
        <v>#REF!</v>
      </c>
      <c r="EQ45" s="4" t="e">
        <f>(X45+$EQ$23)*VLOOKUP($EQ$26,'x Malzemeler ve Özellikleri'!$O$2:$AJ$136,xHesaplama!U45,0)/1000</f>
        <v>#REF!</v>
      </c>
      <c r="ER45" s="4" t="e">
        <f>$ER$23*VLOOKUP($ER$26,'x Malzemeler ve Özellikleri'!$O$2:$AJ$136,xHesaplama!U45,0)</f>
        <v>#REF!</v>
      </c>
      <c r="ES45" s="4" t="e">
        <f>(X45+$ES$23)*VLOOKUP($ES$26,'x Malzemeler ve Özellikleri'!$O$2:$AJ$136,xHesaplama!U45,0)/1000</f>
        <v>#REF!</v>
      </c>
      <c r="ET45" s="4" t="e">
        <f>(2*X45-112-108)*VLOOKUP($ET$26,'x Malzemeler ve Özellikleri'!$O$2:$AJ$136,xHesaplama!U45,0)/1000</f>
        <v>#REF!</v>
      </c>
      <c r="EU45" s="4" t="e">
        <f>$EU$23*VLOOKUP($EU$26,'x Malzemeler ve Özellikleri'!$O$2:$AJ$136,xHesaplama!U45,0)</f>
        <v>#REF!</v>
      </c>
      <c r="EV45" s="4" t="e">
        <f>$EV$23*VLOOKUP($EV$26,'x Malzemeler ve Özellikleri'!$O$2:$AJ$136,xHesaplama!U45,0)</f>
        <v>#REF!</v>
      </c>
      <c r="EW45" s="4" t="e">
        <f>$EW$23*VLOOKUP($EW$26,'x Malzemeler ve Özellikleri'!$O$2:$AJ$136,xHesaplama!U45,0)</f>
        <v>#REF!</v>
      </c>
      <c r="EX45" s="4" t="e">
        <f>$EX$23*VLOOKUP($EX$26,'x Malzemeler ve Özellikleri'!$O$2:$AJ$136,xHesaplama!U45,0)</f>
        <v>#REF!</v>
      </c>
      <c r="EY45" s="4" t="e">
        <f>(X45+$EY$23)*VLOOKUP($EY$26,'x Malzemeler ve Özellikleri'!$O$2:$AJ$136,xHesaplama!U45,0)/1000</f>
        <v>#REF!</v>
      </c>
      <c r="EZ45" s="4" t="e">
        <f>(X45+$EZ$23)*VLOOKUP($EZ$26,'x Malzemeler ve Özellikleri'!$O$2:$AJ$136,xHesaplama!U45,0)/1000</f>
        <v>#REF!</v>
      </c>
      <c r="FA45" s="4" t="e">
        <f>$FA$23*VLOOKUP($FA$26,'x Malzemeler ve Özellikleri'!$O$2:$AJ$136,xHesaplama!U45,0)</f>
        <v>#REF!</v>
      </c>
      <c r="FB45" s="4" t="e">
        <f>$FB$23*VLOOKUP($FB$26,'x Malzemeler ve Özellikleri'!$O$2:$AJ$136,xHesaplama!U45,0)</f>
        <v>#REF!</v>
      </c>
      <c r="FC45" s="4" t="e">
        <f>$FC$23*VLOOKUP($FC$26,'x Malzemeler ve Özellikleri'!$O$2:$AJ$136,xHesaplama!U45,0)</f>
        <v>#REF!</v>
      </c>
      <c r="FD45" s="4" t="e">
        <f>$FD$23*VLOOKUP($FD$26,'x Malzemeler ve Özellikleri'!$O$2:$AJ$136,xHesaplama!U45,0)</f>
        <v>#REF!</v>
      </c>
      <c r="FE45" s="4" t="e">
        <f>$FE$23*VLOOKUP($FE$26,'x Malzemeler ve Özellikleri'!$O$2:$AJ$136,xHesaplama!U45,0)</f>
        <v>#REF!</v>
      </c>
      <c r="FF45" s="4" t="e">
        <f>$FF$23*VLOOKUP($FF$26,'x Malzemeler ve Özellikleri'!$O$2:$AJ$136,xHesaplama!U45,0)</f>
        <v>#REF!</v>
      </c>
      <c r="FG45" s="4" t="e">
        <f>$FG$23*VLOOKUP($FG$26,'x Malzemeler ve Özellikleri'!$O$2:$AJ$136,xHesaplama!U45,0)</f>
        <v>#REF!</v>
      </c>
      <c r="FH45" s="4" t="e">
        <f>$FH$23*VLOOKUP($FH$26,'x Malzemeler ve Özellikleri'!$O$2:$AJ$136,xHesaplama!U45,0)</f>
        <v>#REF!</v>
      </c>
    </row>
    <row r="46" spans="1:168">
      <c r="A46" s="4">
        <f>'1PROJE'!B26</f>
        <v>20</v>
      </c>
      <c r="B46" s="4">
        <f>'1PROJE'!C26</f>
        <v>0</v>
      </c>
      <c r="C46" s="4">
        <f>'1PROJE'!D26</f>
        <v>0</v>
      </c>
      <c r="D46" s="4">
        <f>'1PROJE'!E26</f>
        <v>0</v>
      </c>
      <c r="E46" s="4">
        <f>'1PROJE'!F26</f>
        <v>0</v>
      </c>
      <c r="F46" s="4">
        <f>'1PROJE'!G26</f>
        <v>0</v>
      </c>
      <c r="G46" s="4">
        <f>'1PROJE'!H26</f>
        <v>0</v>
      </c>
      <c r="H46" s="4">
        <f>'1PROJE'!I26</f>
        <v>0</v>
      </c>
      <c r="I46" s="4">
        <f>'1PROJE'!K26</f>
        <v>0</v>
      </c>
      <c r="J46" s="4">
        <f>'1PROJE'!L26</f>
        <v>0</v>
      </c>
      <c r="K46" s="4">
        <f>'1PROJE'!M26</f>
        <v>0</v>
      </c>
      <c r="L46" s="4">
        <f>'1PROJE'!N26</f>
        <v>0</v>
      </c>
      <c r="M46" s="4">
        <f>'1PROJE'!O26</f>
        <v>0</v>
      </c>
      <c r="N46" s="4">
        <f t="shared" si="3"/>
        <v>4</v>
      </c>
      <c r="O46" s="4">
        <f>'1PROJE'!P26</f>
        <v>0</v>
      </c>
      <c r="P46" s="4">
        <f>'1PROJE'!R26</f>
        <v>0</v>
      </c>
      <c r="Q46" s="4">
        <f>'1PROJE'!S26</f>
        <v>0</v>
      </c>
      <c r="R46" s="4">
        <f>'1PROJE'!T26</f>
        <v>0</v>
      </c>
      <c r="S46" s="4"/>
      <c r="U46" s="4" t="e">
        <f t="shared" si="1"/>
        <v>#N/A</v>
      </c>
      <c r="V46" s="4" t="e">
        <f>VLOOKUP(B46,'x Açılır Listeler'!$A$2:$B$15,2,0)</f>
        <v>#N/A</v>
      </c>
      <c r="W46" s="4" t="e">
        <f>VLOOKUP(B46,'x Açılır Listeler'!$A$2:$C$15,3,0)*2</f>
        <v>#N/A</v>
      </c>
      <c r="X46" s="4">
        <f t="shared" si="4"/>
        <v>0</v>
      </c>
      <c r="Y46" s="4">
        <f t="shared" si="5"/>
        <v>0</v>
      </c>
      <c r="Z46" s="4" t="s">
        <v>659</v>
      </c>
      <c r="AA46" s="4">
        <f t="shared" si="2"/>
        <v>25</v>
      </c>
      <c r="AB46" s="38" t="e">
        <f>VLOOKUP(J46,'x Malzemeler ve Özellikleri'!$N$147:$R$167,5,0)</f>
        <v>#N/A</v>
      </c>
      <c r="AC46" s="46" t="e">
        <f>IF('1PROJE'!J26="",VLOOKUP(H46,'x Malzemeler ve Özellikleri'!$N$137:$R$146,5,0),'1PROJE'!J26)</f>
        <v>#N/A</v>
      </c>
      <c r="AD46" s="52">
        <f t="shared" si="6"/>
        <v>-2.8511999999999999E-2</v>
      </c>
      <c r="AE46" s="46" t="e">
        <f t="shared" si="7"/>
        <v>#N/A</v>
      </c>
      <c r="AF46" s="46">
        <f>IF(O46="VAR",IF('1PROJE'!Q26="",$AI$10,'1PROJE'!Q26),0)</f>
        <v>0</v>
      </c>
      <c r="AG46" s="4" t="e">
        <f>IF('1PROJE'!S26="",VLOOKUP(xHesaplama!P46,'x Malzemeler ve Özellikleri'!$AS$2:$AT$11,2,0),'1PROJE'!S26/'1PROJE'!$P$3)</f>
        <v>#N/A</v>
      </c>
      <c r="AH46" s="4" t="e">
        <f>(X46+$AH$23)*VLOOKUP($AH$26,'x Malzemeler ve Özellikleri'!$O$2:$AJ$136,xHesaplama!U46,0)/1000</f>
        <v>#REF!</v>
      </c>
      <c r="AI46" s="4" t="e">
        <f>(X46+$AI$23)*VLOOKUP($AI$26,'x Malzemeler ve Özellikleri'!$O$2:$AJ$136,xHesaplama!U46,0)/1000</f>
        <v>#REF!</v>
      </c>
      <c r="AJ46" s="4" t="e">
        <f>(X46+$AJ$23)*VLOOKUP($AJ$26,'x Malzemeler ve Özellikleri'!$O$2:$AJ$136,xHesaplama!U46,0)/1000</f>
        <v>#REF!</v>
      </c>
      <c r="AK46" s="4" t="e">
        <f>(X46+$AK$23)*VLOOKUP($AK$26,'x Malzemeler ve Özellikleri'!$O$2:$AJ$136,xHesaplama!U46,0)/1000</f>
        <v>#REF!</v>
      </c>
      <c r="AL46" s="4" t="e">
        <f>(Y46+$AL$23)*VLOOKUP($AL$26,'x Malzemeler ve Özellikleri'!$O$2:$AJ$136,xHesaplama!U46,0)/1000*2</f>
        <v>#REF!</v>
      </c>
      <c r="AM46" s="4" t="e">
        <f>IF(AND(X46&lt;4500,Y46&lt;4500,X46*Y46/1000000&lt;12),(X46+$AM$23)*VLOOKUP($AM$26,'x Malzemeler ve Özellikleri'!$O$2:$AJ$136,xHesaplama!U46,0)/1000,0)</f>
        <v>#REF!</v>
      </c>
      <c r="AN46" s="4">
        <f>IF(OR(X46&gt;=4500,Y46&gt;=4500,X46*Y46/1000000&gt;=12),(X46+$AN$23)*VLOOKUP($AN$26,'x Malzemeler ve Özellikleri'!$O$2:$AJ$136,xHesaplama!U46,0)/1000,0)</f>
        <v>0</v>
      </c>
      <c r="AO46" s="4" t="e">
        <f>(Y46+$AO$23)*VLOOKUP($AO$26,'x Malzemeler ve Özellikleri'!$O$2:$AJ$136,xHesaplama!U46,0)/1000*2</f>
        <v>#REF!</v>
      </c>
      <c r="AP46" s="4" t="e">
        <f>$AP$23*VLOOKUP($AP$26,'x Malzemeler ve Özellikleri'!$O$2:$AJ$136,xHesaplama!U46,0)</f>
        <v>#REF!</v>
      </c>
      <c r="AQ46" s="4" t="e">
        <f>$AQ$23*VLOOKUP($AQ$26,'x Malzemeler ve Özellikleri'!$O$2:$AJ$136,xHesaplama!U46,0)</f>
        <v>#REF!</v>
      </c>
      <c r="AR46" s="4" t="e">
        <f>$AR$23*VLOOKUP($AR$26,'x Malzemeler ve Özellikleri'!$O$2:$AJ$136,xHesaplama!U46,0)</f>
        <v>#REF!</v>
      </c>
      <c r="AS46" s="4" t="e">
        <f>$AS$23*VLOOKUP($AS$26,'x Malzemeler ve Özellikleri'!$O$2:$AJ$136,xHesaplama!U46,0)</f>
        <v>#REF!</v>
      </c>
      <c r="AT46" s="4" t="e">
        <f>$AT$23*VLOOKUP($AT$26,'x Malzemeler ve Özellikleri'!$O$2:$AJ$136,xHesaplama!U46,0)</f>
        <v>#REF!</v>
      </c>
      <c r="AU46" s="4" t="e">
        <f>$AU$23*VLOOKUP($AU$26,'x Malzemeler ve Özellikleri'!$O$2:$AJ$136,xHesaplama!U46,0)</f>
        <v>#REF!</v>
      </c>
      <c r="AV46" s="4" t="e">
        <f>$AV$23*VLOOKUP($AV$26,'x Malzemeler ve Özellikleri'!$O$2:$AJ$136,xHesaplama!U46,0)</f>
        <v>#REF!</v>
      </c>
      <c r="AW46" s="4" t="e">
        <f>(Y46+$AW$23)*VLOOKUP($AW$26,'x Malzemeler ve Özellikleri'!$O$2:$AJ$136,xHesaplama!U46,0)/1000*2</f>
        <v>#REF!</v>
      </c>
      <c r="AX46" s="4" t="e">
        <f>$AX$23*VLOOKUP($AX$26,'x Malzemeler ve Özellikleri'!$O$2:$AJ$136,xHesaplama!U46,0)</f>
        <v>#REF!</v>
      </c>
      <c r="AY46" s="4" t="e">
        <f>$AY$23*VLOOKUP($AY$26,'x Malzemeler ve Özellikleri'!$O$2:$AJ$136,xHesaplama!U46,0)</f>
        <v>#REF!</v>
      </c>
      <c r="AZ46" s="23" t="e">
        <f>ROUNDUP(Y46/300,0)*4*VLOOKUP($AZ$26,'x Malzemeler ve Özellikleri'!$O$2:$AJ$136,xHesaplama!U46,0)</f>
        <v>#REF!</v>
      </c>
      <c r="BA46" s="4" t="e">
        <f>(2*X46-155-183)*VLOOKUP($BA$26,'x Malzemeler ve Özellikleri'!$O$2:$AJ$136,xHesaplama!U46,0)/1000</f>
        <v>#REF!</v>
      </c>
      <c r="BB46" s="4" t="e">
        <f>$BB$23*VLOOKUP($BB$26,'x Malzemeler ve Özellikleri'!$O$2:$AJ$136,xHesaplama!U46,0)</f>
        <v>#REF!</v>
      </c>
      <c r="BC46" s="4" t="e">
        <f>$BC$23*VLOOKUP($BC$26,'x Malzemeler ve Özellikleri'!$O$2:$AJ$136,xHesaplama!U46,0)</f>
        <v>#REF!</v>
      </c>
      <c r="BD46" s="4" t="e">
        <f>$BD$23*VLOOKUP($BD$26,'x Malzemeler ve Özellikleri'!$O$2:$AJ$136,xHesaplama!U46,0)</f>
        <v>#REF!</v>
      </c>
      <c r="BE46" s="4" t="e">
        <f>$BE$23*VLOOKUP($BE$26,'x Malzemeler ve Özellikleri'!$O$2:$AJ$136,xHesaplama!U46,0)</f>
        <v>#REF!</v>
      </c>
      <c r="BF46" s="4" t="e">
        <f>$BF$23*VLOOKUP($BF$26,'x Malzemeler ve Özellikleri'!$O$2:$AJ$136,xHesaplama!U46,0)</f>
        <v>#REF!</v>
      </c>
      <c r="BG46" s="4" t="e">
        <f>$BG$23*VLOOKUP($BG$26,'x Malzemeler ve Özellikleri'!$O$2:$AJ$136,xHesaplama!U46,0)</f>
        <v>#REF!</v>
      </c>
      <c r="BH46" s="4" t="e">
        <f>$BH$23*VLOOKUP($BH$26,'x Malzemeler ve Özellikleri'!$O$2:$AJ$136,xHesaplama!U46,0)*N46</f>
        <v>#REF!</v>
      </c>
      <c r="BI46" s="4" t="e">
        <f>$BI$23*VLOOKUP($BI$26,'x Malzemeler ve Özellikleri'!$O$2:$AJ$136,xHesaplama!U46,0)</f>
        <v>#REF!</v>
      </c>
      <c r="BJ46" s="4" t="e">
        <f>$BJ$23*VLOOKUP($BJ$26,'x Malzemeler ve Özellikleri'!$O$2:$AJ$136,xHesaplama!U46,0)</f>
        <v>#REF!</v>
      </c>
      <c r="BK46" s="4" t="e">
        <f>$BK$23*VLOOKUP($BK$26,'x Malzemeler ve Özellikleri'!$O$2:$AJ$136,xHesaplama!U46,0)</f>
        <v>#REF!</v>
      </c>
      <c r="BL46" s="4" t="e">
        <f>$BL$23*VLOOKUP($BL$26,'x Malzemeler ve Özellikleri'!$O$2:$AJ$136,xHesaplama!U46,0)</f>
        <v>#REF!</v>
      </c>
      <c r="BM46" s="4" t="e">
        <f>$BM$23*VLOOKUP($BM$26,'x Malzemeler ve Özellikleri'!$O$2:$AJ$136,xHesaplama!U46,0)</f>
        <v>#REF!</v>
      </c>
      <c r="BN46" s="4" t="e">
        <f>$BN$23*VLOOKUP($BN$26,'x Malzemeler ve Özellikleri'!$O$2:$AJ$136,xHesaplama!U46,0)</f>
        <v>#REF!</v>
      </c>
      <c r="BO46" s="4" t="e">
        <f>(2*(2*X46+Y46*2)*VLOOKUP($BO$26,'x Malzemeler ve Özellikleri'!$O$2:$AJ$136,xHesaplama!U46,0)/1000)</f>
        <v>#REF!</v>
      </c>
      <c r="BP46" s="4" t="e">
        <f>(X46+$BP$23)*VLOOKUP($BP$26,'x Malzemeler ve Özellikleri'!$O$2:$AJ$136,xHesaplama!U46,0)/1000</f>
        <v>#REF!</v>
      </c>
      <c r="BQ46" s="4" t="e">
        <f>(X46+$BQ$23)*VLOOKUP($BQ$26,'x Malzemeler ve Özellikleri'!$O$2:$AJ$136,xHesaplama!U46,0)/1000</f>
        <v>#REF!</v>
      </c>
      <c r="BR46" s="4" t="e">
        <f>(X46+$BR$23)*VLOOKUP($BR$26,'x Malzemeler ve Özellikleri'!$O$2:$AJ$136,xHesaplama!U46,0)/1000</f>
        <v>#REF!</v>
      </c>
      <c r="BS46" s="4" t="e">
        <f>(X46+$BS$23)*VLOOKUP($BS$26,'x Malzemeler ve Özellikleri'!$O$2:$AJ$136,xHesaplama!U46,0)/1000</f>
        <v>#REF!</v>
      </c>
      <c r="BT46" s="4" t="e">
        <f>$BT$23*VLOOKUP($BT$26,'x Malzemeler ve Özellikleri'!$O$2:$AJ$136,xHesaplama!U46,0)</f>
        <v>#REF!</v>
      </c>
      <c r="BU46" s="4" t="e">
        <f>(Y46+$BU$23)*VLOOKUP($BU$26,'x Malzemeler ve Özellikleri'!$O$2:$AJ$136,xHesaplama!U46,0)/1000*2</f>
        <v>#REF!</v>
      </c>
      <c r="BV46" s="4" t="e">
        <f>(X46+$BV$23)*VLOOKUP($BV$26,'x Malzemeler ve Özellikleri'!$O$2:$AJ$136,xHesaplama!U46,0)/1000</f>
        <v>#REF!</v>
      </c>
      <c r="BW46" s="4" t="e">
        <f>$BW$23*VLOOKUP($BW$26,'x Malzemeler ve Özellikleri'!$O$2:$AJ$136,xHesaplama!U46,0)</f>
        <v>#REF!</v>
      </c>
      <c r="BX46" s="23" t="e">
        <f>ROUNDUP(Y46/300,0)*4*VLOOKUP($BX$26,'x Malzemeler ve Özellikleri'!$O$2:$AJ$136,xHesaplama!U46,0)</f>
        <v>#REF!</v>
      </c>
      <c r="BY46" s="4" t="e">
        <f>$BY$23*VLOOKUP($BY$26,'x Malzemeler ve Özellikleri'!$O$2:$AJ$136,xHesaplama!U46,0)</f>
        <v>#REF!</v>
      </c>
      <c r="BZ46" s="4" t="e">
        <f>$BZ$23*VLOOKUP($BZ$26,'x Malzemeler ve Özellikleri'!$O$2:$AJ$136,xHesaplama!U46,0)</f>
        <v>#REF!</v>
      </c>
      <c r="CA46" s="4" t="e">
        <f>(X46+$CA$23)*VLOOKUP($CA$26,'x Malzemeler ve Özellikleri'!$O$2:$AJ$136,xHesaplama!U46,0)/1000</f>
        <v>#REF!</v>
      </c>
      <c r="CB46" s="4" t="e">
        <f>(X46+$CB$23)*VLOOKUP($CB$26,'x Malzemeler ve Özellikleri'!$O$2:$AJ$136,xHesaplama!U46,0)/1000</f>
        <v>#REF!</v>
      </c>
      <c r="CC46" s="4" t="e">
        <f>$CC$23*VLOOKUP($CC$26,'x Malzemeler ve Özellikleri'!$O$2:$AJ$136,xHesaplama!U46,0)</f>
        <v>#REF!</v>
      </c>
      <c r="CD46" s="4" t="e">
        <f>(X46+$CD$23)*VLOOKUP($CD$26,'x Malzemeler ve Özellikleri'!$O$2:$AJ$136,xHesaplama!U46,0)/1000</f>
        <v>#REF!</v>
      </c>
      <c r="CE46" s="4" t="e">
        <f>(2*X46-120-122)*VLOOKUP($CE$26,'x Malzemeler ve Özellikleri'!$O$2:$AJ$136,xHesaplama!U46,0)/1000</f>
        <v>#REF!</v>
      </c>
      <c r="CF46" s="4" t="e">
        <f>(Y46+$CF$23)*VLOOKUP($CF$26,'x Malzemeler ve Özellikleri'!$O$2:$AJ$136,xHesaplama!U46,0)/1000*2</f>
        <v>#REF!</v>
      </c>
      <c r="CG46" s="4" t="e">
        <f>$CG$23*VLOOKUP($CG$26,'x Malzemeler ve Özellikleri'!$O$2:$AJ$136,xHesaplama!U46,0)</f>
        <v>#REF!</v>
      </c>
      <c r="CH46" s="4" t="e">
        <f>(Y46+$CH$23)*VLOOKUP($CH$26,'x Malzemeler ve Özellikleri'!$O$2:$AJ$136,xHesaplama!U46,0)/1000*2</f>
        <v>#REF!</v>
      </c>
      <c r="CI46" s="4" t="e">
        <f>(Y46+$CI$23)*VLOOKUP($CI$26,'x Malzemeler ve Özellikleri'!$O$2:$AJ$136,xHesaplama!U46,0)/1000*2</f>
        <v>#REF!</v>
      </c>
      <c r="CJ46" s="4" t="e">
        <f>$CJ$23*VLOOKUP($CJ$26,'x Malzemeler ve Özellikleri'!$O$2:$AJ$136,xHesaplama!U46,0)</f>
        <v>#REF!</v>
      </c>
      <c r="CK46" s="4" t="e">
        <f>$CK$23*VLOOKUP($CK$26,'x Malzemeler ve Özellikleri'!$O$2:$AJ$136,xHesaplama!U46,0)</f>
        <v>#REF!</v>
      </c>
      <c r="CL46" s="4" t="e">
        <f>$CL$23*VLOOKUP($CL$26,'x Malzemeler ve Özellikleri'!$O$2:$AJ$136,xHesaplama!U46,0)</f>
        <v>#REF!</v>
      </c>
      <c r="CM46" s="4" t="e">
        <f>(X46+$CM$23)*VLOOKUP($CM$26,'x Malzemeler ve Özellikleri'!$O$2:$AJ$136,xHesaplama!U46,0)/1000</f>
        <v>#REF!</v>
      </c>
      <c r="CN46" s="4" t="e">
        <f>(X46+$CN$23)*VLOOKUP($CN$26,'x Malzemeler ve Özellikleri'!$O$2:$AJ$136,xHesaplama!U46,0)/1000</f>
        <v>#REF!</v>
      </c>
      <c r="CO46" s="4" t="e">
        <f>(X46+$CO$23)*VLOOKUP($CO$26,'x Malzemeler ve Özellikleri'!$O$2:$AJ$136,xHesaplama!U46,0)/1000</f>
        <v>#REF!</v>
      </c>
      <c r="CP46" s="4" t="e">
        <f>(X46+$CP$23)*VLOOKUP($CP$26,'x Malzemeler ve Özellikleri'!$O$2:$AJ$136,xHesaplama!U46,0)/1000</f>
        <v>#REF!</v>
      </c>
      <c r="CQ46" s="23" t="e">
        <f>ROUNDUP(Y46/300,0)*4*VLOOKUP($CQ$26,'x Malzemeler ve Özellikleri'!$O$2:$AJ$136,xHesaplama!U46,0)</f>
        <v>#REF!</v>
      </c>
      <c r="CR46" s="4" t="e">
        <f>(X46+$CR$23)*VLOOKUP($CR$26,'x Malzemeler ve Özellikleri'!$O$2:$AJ$136,xHesaplama!U46,0)/1000</f>
        <v>#REF!</v>
      </c>
      <c r="CS46" s="4" t="e">
        <f>$CS$23*VLOOKUP($CS$26,'x Malzemeler ve Özellikleri'!$O$2:$AJ$136,xHesaplama!U46,0)</f>
        <v>#REF!</v>
      </c>
      <c r="CT46" s="4" t="e">
        <f>$CT$23*VLOOKUP($CT$26,'x Malzemeler ve Özellikleri'!$O$2:$AJ$136,xHesaplama!U46,0)</f>
        <v>#REF!</v>
      </c>
      <c r="CU46" s="4" t="e">
        <f>(Y46+$CU$23)*VLOOKUP($CU$26,'x Malzemeler ve Özellikleri'!$O$2:$AJ$136,xHesaplama!U46,0)/1000*2</f>
        <v>#REF!</v>
      </c>
      <c r="CV46" s="4" t="e">
        <f>(Y46+$CV$23)*VLOOKUP($CV$26,'x Malzemeler ve Özellikleri'!$O$2:$AJ$136,xHesaplama!U46,0)/1000*2</f>
        <v>#REF!</v>
      </c>
      <c r="CW46" s="4" t="e">
        <f>$CW$23*VLOOKUP($CW$26,'x Malzemeler ve Özellikleri'!$O$2:$AJ$136,xHesaplama!U46,0)</f>
        <v>#REF!</v>
      </c>
      <c r="CX46" s="4" t="e">
        <f>(X46+$CX$23)*VLOOKUP($CX$26,'x Malzemeler ve Özellikleri'!$O$2:$AJ$136,xHesaplama!U46,0)/1000</f>
        <v>#REF!</v>
      </c>
      <c r="CY46" s="4" t="e">
        <f>(2*X46-112-108)*VLOOKUP($CY$26,'x Malzemeler ve Özellikleri'!$O$2:$AJ$136,xHesaplama!U46,0)/1000</f>
        <v>#REF!</v>
      </c>
      <c r="CZ46" s="4" t="e">
        <f>$CZ$23*VLOOKUP($CZ$26,'x Malzemeler ve Özellikleri'!$O$2:$AJ$136,xHesaplama!U46,0)</f>
        <v>#REF!</v>
      </c>
      <c r="DA46" s="4" t="e">
        <f>$DA$23*VLOOKUP($DA$26,'x Malzemeler ve Özellikleri'!$O$2:$AJ$136,xHesaplama!U46,0)</f>
        <v>#REF!</v>
      </c>
      <c r="DB46" s="4" t="e">
        <f>$DB$23*VLOOKUP($DB$26,'x Malzemeler ve Özellikleri'!$O$2:$AJ$136,xHesaplama!U46,0)</f>
        <v>#REF!</v>
      </c>
      <c r="DC46" s="4" t="e">
        <f>$DC$23*VLOOKUP($DC$26,'x Malzemeler ve Özellikleri'!$O$2:$AJ$136,xHesaplama!U46,0)</f>
        <v>#REF!</v>
      </c>
      <c r="DD46" s="4" t="e">
        <f>(X46+$DD$23)*VLOOKUP($DD$26,'x Malzemeler ve Özellikleri'!$O$2:$AJ$136,xHesaplama!U46,0)/1000</f>
        <v>#REF!</v>
      </c>
      <c r="DE46" s="4" t="e">
        <f>(X46+$DE$23)*VLOOKUP($DE$26,'x Malzemeler ve Özellikleri'!$O$2:$AJ$136,xHesaplama!U46,0)/1000</f>
        <v>#REF!</v>
      </c>
      <c r="DF46" s="4" t="e">
        <f>$DF$23*VLOOKUP($DF$26,'x Malzemeler ve Özellikleri'!$O$2:$AJ$136,xHesaplama!U46,0)</f>
        <v>#REF!</v>
      </c>
      <c r="DG46" s="4" t="e">
        <f>(Y46+$DG$23)*VLOOKUP($DG$26,'x Malzemeler ve Özellikleri'!$O$2:$AJ$136,xHesaplama!U46,0)/1000*2</f>
        <v>#REF!</v>
      </c>
      <c r="DH46" s="4" t="e">
        <f>(Y46+$DH$23)*VLOOKUP($DH$26,'x Malzemeler ve Özellikleri'!$O$2:$AJ$136,xHesaplama!U46,0)/1000*2</f>
        <v>#REF!</v>
      </c>
      <c r="DI46" s="4" t="e">
        <f>(Y46+$DI$23)*VLOOKUP($DI$26,'x Malzemeler ve Özellikleri'!$O$2:$AJ$136,xHesaplama!U46,0)/1000*2</f>
        <v>#REF!</v>
      </c>
      <c r="DJ46" s="4" t="e">
        <f>$DJ$23*VLOOKUP($DJ$26,'x Malzemeler ve Özellikleri'!$O$2:$AJ$136,xHesaplama!U46,0)</f>
        <v>#REF!</v>
      </c>
      <c r="DK46" s="4" t="e">
        <f>$DK$23*VLOOKUP($DK$26,'x Malzemeler ve Özellikleri'!$O$2:$AJ$136,xHesaplama!U46,0)</f>
        <v>#REF!</v>
      </c>
      <c r="DL46" s="4" t="e">
        <f>(X46+$DL$23)*VLOOKUP($DL$26,'x Malzemeler ve Özellikleri'!$O$2:$AJ$136,xHesaplama!U46,0)/1000</f>
        <v>#REF!</v>
      </c>
      <c r="DM46" s="4" t="e">
        <f>(X46+$DM$23)*VLOOKUP($DM$26,'x Malzemeler ve Özellikleri'!$O$2:$AJ$136,xHesaplama!U46,0)/1000</f>
        <v>#REF!</v>
      </c>
      <c r="DN46" s="4" t="e">
        <f>(X46+$DN$23)*VLOOKUP($DN$26,'x Malzemeler ve Özellikleri'!$O$2:$AJ$136,xHesaplama!U46,0)/1000</f>
        <v>#REF!</v>
      </c>
      <c r="DO46" s="4" t="e">
        <f>(X46+$DO$23)*VLOOKUP($DO$26,'x Malzemeler ve Özellikleri'!$O$2:$AJ$136,xHesaplama!U46,0)/1000</f>
        <v>#REF!</v>
      </c>
      <c r="DP46" s="23" t="e">
        <f>ROUNDUP(Y46/300,0)*4*VLOOKUP($DP$26,'x Malzemeler ve Özellikleri'!$O$2:$AJ$136,xHesaplama!U46,0)</f>
        <v>#REF!</v>
      </c>
      <c r="DQ46" s="4" t="e">
        <f>(X46+$DQ$23)*VLOOKUP($DQ$26,'x Malzemeler ve Özellikleri'!$O$2:$AJ$136,xHesaplama!U46,0)/1000</f>
        <v>#REF!</v>
      </c>
      <c r="DR46" s="4" t="e">
        <f>(Y46+$DR$23)*VLOOKUP($DR$26,'x Malzemeler ve Özellikleri'!$O$2:$AJ$136,xHesaplama!U46,0)/1000*2</f>
        <v>#REF!</v>
      </c>
      <c r="DS46" s="4" t="e">
        <f>(Y46+$DS$23)*VLOOKUP($DS$26,'x Malzemeler ve Özellikleri'!$O$2:$AJ$136,xHesaplama!U46,0)/1000*2</f>
        <v>#REF!</v>
      </c>
      <c r="DT46" s="4" t="e">
        <f>$DT$23*VLOOKUP($DT$26,'x Malzemeler ve Özellikleri'!$O$2:$AJ$136,xHesaplama!U46,0)</f>
        <v>#REF!</v>
      </c>
      <c r="DU46" s="4" t="e">
        <f>(X46+$DU$23)*VLOOKUP($DU$26,'x Malzemeler ve Özellikleri'!$O$2:$AJ$136,xHesaplama!U46,0)/1000</f>
        <v>#REF!</v>
      </c>
      <c r="DV46" s="4" t="e">
        <f>(2*X46-112-108)*VLOOKUP($DV$26,'x Malzemeler ve Özellikleri'!$O$2:$AJ$136,xHesaplama!U46,0)/1000</f>
        <v>#REF!</v>
      </c>
      <c r="DW46" s="4" t="e">
        <f>$DW$23*VLOOKUP($DW$26,'x Malzemeler ve Özellikleri'!$O$2:$AJ$136,xHesaplama!U46,0)</f>
        <v>#REF!</v>
      </c>
      <c r="DX46" s="4" t="e">
        <f>$DX$23*VLOOKUP($DX$26,'x Malzemeler ve Özellikleri'!$O$2:$AJ$136,xHesaplama!U46,0)</f>
        <v>#REF!</v>
      </c>
      <c r="DY46" s="4" t="e">
        <f>$DY$23*VLOOKUP($DY$26,'x Malzemeler ve Özellikleri'!$O$2:$AJ$136,xHesaplama!U46,0)</f>
        <v>#REF!</v>
      </c>
      <c r="DZ46" s="4" t="e">
        <f>$DZ$23*VLOOKUP($DZ$26,'x Malzemeler ve Özellikleri'!$O$2:$AJ$136,xHesaplama!U46,0)</f>
        <v>#REF!</v>
      </c>
      <c r="EA46" s="4" t="e">
        <f>(X46+$EA$23)*VLOOKUP($EA$26,'x Malzemeler ve Özellikleri'!$O$2:$AJ$136,xHesaplama!U46,0)/1000</f>
        <v>#REF!</v>
      </c>
      <c r="EB46" s="4" t="e">
        <f>(X46+$EB$23)*VLOOKUP($EB$26,'x Malzemeler ve Özellikleri'!$O$2:$AJ$136,xHesaplama!U46,0)/1000</f>
        <v>#REF!</v>
      </c>
      <c r="EC46" s="4" t="e">
        <f>$EC$23*VLOOKUP($EC$26,'x Malzemeler ve Özellikleri'!$O$2:$AJ$136,xHesaplama!U46,0)</f>
        <v>#REF!</v>
      </c>
      <c r="ED46" s="4" t="e">
        <f>(Y46+$ED$23)*VLOOKUP($ED$26,'x Malzemeler ve Özellikleri'!$O$2:$AJ$136,xHesaplama!U46,0)/1000*2</f>
        <v>#REF!</v>
      </c>
      <c r="EE46" s="4" t="e">
        <f>(Y46+$EE$23)*VLOOKUP($EE$26,'x Malzemeler ve Özellikleri'!$O$2:$AJ$136,xHesaplama!U46,0)/1000*2</f>
        <v>#REF!</v>
      </c>
      <c r="EF46" s="4" t="e">
        <f>(Y46+$EF$23)*VLOOKUP($EF$26,'x Malzemeler ve Özellikleri'!$O$2:$AJ$136,xHesaplama!U46,0)/1000*2</f>
        <v>#REF!</v>
      </c>
      <c r="EG46" s="4" t="e">
        <f>$EG$23*VLOOKUP($EG$26,'x Malzemeler ve Özellikleri'!$O$2:$AJ$136,xHesaplama!U46,0)</f>
        <v>#REF!</v>
      </c>
      <c r="EH46" s="4" t="e">
        <f>$EH$23*VLOOKUP($EH$26,'x Malzemeler ve Özellikleri'!$O$2:$AJ$136,xHesaplama!U46,0)</f>
        <v>#REF!</v>
      </c>
      <c r="EI46" s="4" t="e">
        <f>$EI$23*VLOOKUP($EI$26,'x Malzemeler ve Özellikleri'!$O$2:$AJ$136,xHesaplama!U46,0)</f>
        <v>#REF!</v>
      </c>
      <c r="EJ46" s="4" t="e">
        <f>$EJ$23*VLOOKUP($EJ$26,'x Malzemeler ve Özellikleri'!$O$2:$AJ$136,xHesaplama!U46,0)</f>
        <v>#REF!</v>
      </c>
      <c r="EK46" s="4" t="e">
        <f>$EK$23*VLOOKUP($EK$26,'x Malzemeler ve Özellikleri'!$O$2:$AJ$136,xHesaplama!U46,0)</f>
        <v>#REF!</v>
      </c>
      <c r="EL46" s="4" t="e">
        <f>$EL$23*VLOOKUP($EL$26,'x Malzemeler ve Özellikleri'!$O$2:$AJ$136,xHesaplama!U46,0)</f>
        <v>#REF!</v>
      </c>
      <c r="EM46" s="4" t="e">
        <f>(X46+$EM$23)*VLOOKUP($EM$26,'x Malzemeler ve Özellikleri'!$O$2:$AJ$136,xHesaplama!U46,0)/1000</f>
        <v>#REF!</v>
      </c>
      <c r="EN46" s="4" t="e">
        <f>(X46+$EN$23)*VLOOKUP($EN$26,'x Malzemeler ve Özellikleri'!$O$2:$AJ$136,xHesaplama!U46,0)/1000</f>
        <v>#REF!</v>
      </c>
      <c r="EO46" s="4" t="e">
        <f>(X46+$EO$23)*VLOOKUP($EO$26,'x Malzemeler ve Özellikleri'!$O$2:$AJ$136,xHesaplama!U46,0)/1000</f>
        <v>#REF!</v>
      </c>
      <c r="EP46" s="4" t="e">
        <f>(X46+$EP$23)*VLOOKUP($EP$26,'x Malzemeler ve Özellikleri'!$O$2:$AJ$136,xHesaplama!U46,0)/1000</f>
        <v>#REF!</v>
      </c>
      <c r="EQ46" s="4" t="e">
        <f>(X46+$EQ$23)*VLOOKUP($EQ$26,'x Malzemeler ve Özellikleri'!$O$2:$AJ$136,xHesaplama!U46,0)/1000</f>
        <v>#REF!</v>
      </c>
      <c r="ER46" s="4" t="e">
        <f>$ER$23*VLOOKUP($ER$26,'x Malzemeler ve Özellikleri'!$O$2:$AJ$136,xHesaplama!U46,0)</f>
        <v>#REF!</v>
      </c>
      <c r="ES46" s="4" t="e">
        <f>(X46+$ES$23)*VLOOKUP($ES$26,'x Malzemeler ve Özellikleri'!$O$2:$AJ$136,xHesaplama!U46,0)/1000</f>
        <v>#REF!</v>
      </c>
      <c r="ET46" s="4" t="e">
        <f>(2*X46-112-108)*VLOOKUP($ET$26,'x Malzemeler ve Özellikleri'!$O$2:$AJ$136,xHesaplama!U46,0)/1000</f>
        <v>#REF!</v>
      </c>
      <c r="EU46" s="4" t="e">
        <f>$EU$23*VLOOKUP($EU$26,'x Malzemeler ve Özellikleri'!$O$2:$AJ$136,xHesaplama!U46,0)</f>
        <v>#REF!</v>
      </c>
      <c r="EV46" s="4" t="e">
        <f>$EV$23*VLOOKUP($EV$26,'x Malzemeler ve Özellikleri'!$O$2:$AJ$136,xHesaplama!U46,0)</f>
        <v>#REF!</v>
      </c>
      <c r="EW46" s="4" t="e">
        <f>$EW$23*VLOOKUP($EW$26,'x Malzemeler ve Özellikleri'!$O$2:$AJ$136,xHesaplama!U46,0)</f>
        <v>#REF!</v>
      </c>
      <c r="EX46" s="4" t="e">
        <f>$EX$23*VLOOKUP($EX$26,'x Malzemeler ve Özellikleri'!$O$2:$AJ$136,xHesaplama!U46,0)</f>
        <v>#REF!</v>
      </c>
      <c r="EY46" s="4" t="e">
        <f>(X46+$EY$23)*VLOOKUP($EY$26,'x Malzemeler ve Özellikleri'!$O$2:$AJ$136,xHesaplama!U46,0)/1000</f>
        <v>#REF!</v>
      </c>
      <c r="EZ46" s="4" t="e">
        <f>(X46+$EZ$23)*VLOOKUP($EZ$26,'x Malzemeler ve Özellikleri'!$O$2:$AJ$136,xHesaplama!U46,0)/1000</f>
        <v>#REF!</v>
      </c>
      <c r="FA46" s="4" t="e">
        <f>$FA$23*VLOOKUP($FA$26,'x Malzemeler ve Özellikleri'!$O$2:$AJ$136,xHesaplama!U46,0)</f>
        <v>#REF!</v>
      </c>
      <c r="FB46" s="4" t="e">
        <f>$FB$23*VLOOKUP($FB$26,'x Malzemeler ve Özellikleri'!$O$2:$AJ$136,xHesaplama!U46,0)</f>
        <v>#REF!</v>
      </c>
      <c r="FC46" s="4" t="e">
        <f>$FC$23*VLOOKUP($FC$26,'x Malzemeler ve Özellikleri'!$O$2:$AJ$136,xHesaplama!U46,0)</f>
        <v>#REF!</v>
      </c>
      <c r="FD46" s="4" t="e">
        <f>$FD$23*VLOOKUP($FD$26,'x Malzemeler ve Özellikleri'!$O$2:$AJ$136,xHesaplama!U46,0)</f>
        <v>#REF!</v>
      </c>
      <c r="FE46" s="4" t="e">
        <f>$FE$23*VLOOKUP($FE$26,'x Malzemeler ve Özellikleri'!$O$2:$AJ$136,xHesaplama!U46,0)</f>
        <v>#REF!</v>
      </c>
      <c r="FF46" s="4" t="e">
        <f>$FF$23*VLOOKUP($FF$26,'x Malzemeler ve Özellikleri'!$O$2:$AJ$136,xHesaplama!U46,0)</f>
        <v>#REF!</v>
      </c>
      <c r="FG46" s="4" t="e">
        <f>$FG$23*VLOOKUP($FG$26,'x Malzemeler ve Özellikleri'!$O$2:$AJ$136,xHesaplama!U46,0)</f>
        <v>#REF!</v>
      </c>
      <c r="FH46" s="4" t="e">
        <f>$FH$23*VLOOKUP($FH$26,'x Malzemeler ve Özellikleri'!$O$2:$AJ$136,xHesaplama!U46,0)</f>
        <v>#REF!</v>
      </c>
    </row>
    <row r="47" spans="1:168" ht="15.75">
      <c r="U47" s="54"/>
      <c r="V47" s="54"/>
      <c r="W47" s="54"/>
      <c r="X47" s="54"/>
      <c r="Y47" s="54"/>
      <c r="Z47" s="54"/>
      <c r="AA47" s="55">
        <f>AA27</f>
        <v>25</v>
      </c>
      <c r="AB47" s="54">
        <f>AB27</f>
        <v>25</v>
      </c>
      <c r="AC47" s="54"/>
      <c r="AD47" s="54"/>
      <c r="AE47" s="54">
        <f>AE27</f>
        <v>32.726160000000007</v>
      </c>
      <c r="AF47" s="54">
        <f>AF27</f>
        <v>0</v>
      </c>
      <c r="AG47" s="54"/>
      <c r="AH47" s="54">
        <f>(($AH$22*AH27)+(AH27*$AH$21*AG27))*$AI$12</f>
        <v>0</v>
      </c>
      <c r="AI47" s="54">
        <f>(($AI$22*AI27)+(AI27*$AI$21*AG27))*$AI$12</f>
        <v>0</v>
      </c>
      <c r="AJ47" s="54">
        <f>(($AJ$22*AJ27)+(AJ27*$AJ$21*AG27))*$AI$12</f>
        <v>0</v>
      </c>
      <c r="AK47" s="54">
        <f>(($AK$22*AK27)+(AK27*$AK$21*AG27))*$AI$12</f>
        <v>0</v>
      </c>
      <c r="AL47" s="54">
        <f>(($AL$22*AL27)+(AL27*$AL$21*AG27))*$AI$12</f>
        <v>0</v>
      </c>
      <c r="AM47" s="54">
        <f>$AM$22*AM27</f>
        <v>0</v>
      </c>
      <c r="AN47" s="54">
        <f>$AN$22*AN27</f>
        <v>0</v>
      </c>
      <c r="AO47" s="54">
        <f>$AO$22*AO27*$AI$12</f>
        <v>0</v>
      </c>
      <c r="AP47" s="54">
        <f>(($AP$22*AP27)+(AP27*$AP$21*AG27))*$AI$12</f>
        <v>0</v>
      </c>
      <c r="AQ47" s="54">
        <f>(($AQ$22*AQ27)+(AQ27*$AQ$21*AG27))*$AI$12</f>
        <v>0</v>
      </c>
      <c r="AR47" s="54">
        <f>$AR$22*AR27</f>
        <v>0</v>
      </c>
      <c r="AS47" s="54">
        <f>$AS$22*AS27</f>
        <v>0</v>
      </c>
      <c r="AT47" s="54">
        <f>(($AT$22*AT27)+(AT27*$AT$21*AG27))*$AI$12</f>
        <v>0</v>
      </c>
      <c r="AU47" s="54">
        <f>$AU$22*AU27</f>
        <v>0</v>
      </c>
      <c r="AV47" s="54">
        <f>$AV$22*AV27</f>
        <v>0</v>
      </c>
      <c r="AW47" s="54">
        <f>$AW$22*AW27</f>
        <v>0</v>
      </c>
      <c r="AX47" s="54">
        <f>$AX$22*AX27</f>
        <v>0</v>
      </c>
      <c r="AY47" s="54">
        <f>$AY$22*AY27</f>
        <v>0</v>
      </c>
      <c r="AZ47" s="54">
        <f>$AZ$22*AZ27</f>
        <v>0</v>
      </c>
      <c r="BA47" s="54">
        <f>$BA$22*BA27</f>
        <v>0</v>
      </c>
      <c r="BB47" s="54">
        <f>$BB$22*BB27</f>
        <v>0</v>
      </c>
      <c r="BC47" s="54">
        <f>$BC$22*BC27</f>
        <v>0</v>
      </c>
      <c r="BD47" s="54">
        <f>$BD$22*BD27</f>
        <v>0</v>
      </c>
      <c r="BE47" s="54">
        <f>$BE$22*BE27</f>
        <v>0</v>
      </c>
      <c r="BF47" s="54">
        <f>$BF$22*BF27</f>
        <v>0</v>
      </c>
      <c r="BG47" s="54">
        <f>$BG$22*BG27</f>
        <v>0</v>
      </c>
      <c r="BH47" s="54">
        <f>$BH$22*BH27</f>
        <v>0</v>
      </c>
      <c r="BI47" s="54">
        <f>$BI$22*BI27</f>
        <v>0</v>
      </c>
      <c r="BJ47" s="54">
        <f>$BJ$22*BJ27</f>
        <v>0</v>
      </c>
      <c r="BK47" s="54">
        <f>$BK$22*BK27</f>
        <v>0</v>
      </c>
      <c r="BL47" s="54">
        <f>$BL$22*BL27</f>
        <v>0</v>
      </c>
      <c r="BM47" s="54">
        <f>$BM$22*BM27</f>
        <v>0</v>
      </c>
      <c r="BN47" s="54">
        <f>$BN$22*BN27</f>
        <v>0</v>
      </c>
      <c r="BO47" s="54">
        <f>$BO$22*BO27</f>
        <v>0</v>
      </c>
      <c r="BP47" s="54">
        <f t="shared" ref="BP47:BP66" si="8">(($BP$22*BP27)+(BP27*$BP$21*AG27))*$AI$12</f>
        <v>0</v>
      </c>
      <c r="BQ47" s="54">
        <f t="shared" ref="BQ47:BQ66" si="9">(($BQ$22*BQ27)+(BQ27*$BQ$21*AG27))*$AI$12</f>
        <v>0</v>
      </c>
      <c r="BR47" s="54">
        <f t="shared" ref="BR47:BR66" si="10">(($BR$22*BR27)+(BR27*$BR$21*AG27))*$AI$12</f>
        <v>0</v>
      </c>
      <c r="BS47" s="54">
        <f t="shared" ref="BS47:BS66" si="11">(($BS$22*BS27)+(BS27*$BS$21*AG27))*$AI$12</f>
        <v>0</v>
      </c>
      <c r="BT47" s="54">
        <f t="shared" ref="BT47:BT66" si="12">(($BT$22*BT27)+(BT27*$BT$21*AG27))</f>
        <v>0</v>
      </c>
      <c r="BU47" s="54">
        <f>$BU$22*BU27</f>
        <v>0</v>
      </c>
      <c r="BV47" s="54">
        <f t="shared" ref="BV47:BV66" si="13">$BV$22*BV27*$AI$12</f>
        <v>0</v>
      </c>
      <c r="BW47" s="54">
        <f>$BW$22*BW27</f>
        <v>0</v>
      </c>
      <c r="BX47" s="54">
        <f>$BX$22*BX27</f>
        <v>0</v>
      </c>
      <c r="BY47" s="54">
        <f>$BY$22*BY27</f>
        <v>0</v>
      </c>
      <c r="BZ47" s="54">
        <f>$BZ$22*BZ27</f>
        <v>0</v>
      </c>
      <c r="CA47" s="54">
        <f t="shared" ref="CA47:CA66" si="14">(($CA$22*CA27)+(CA27*$CA$21*AG27))*$AI$12</f>
        <v>0</v>
      </c>
      <c r="CB47" s="54">
        <f t="shared" ref="CB47:CB66" si="15">$CB$22*CB27*$AI$12</f>
        <v>0</v>
      </c>
      <c r="CC47" s="54">
        <f>$CC$22*CC27</f>
        <v>0</v>
      </c>
      <c r="CD47" s="54">
        <f>$CD$22*CD27</f>
        <v>0</v>
      </c>
      <c r="CE47" s="54">
        <f t="shared" ref="CE47:CE66" si="16">$CE$22*CE27</f>
        <v>0</v>
      </c>
      <c r="CF47" s="54">
        <f t="shared" ref="CF47:CF66" si="17">$CF$22*CF27*$AI$12</f>
        <v>0</v>
      </c>
      <c r="CG47" s="54">
        <f>$CG$22*CG27</f>
        <v>0</v>
      </c>
      <c r="CH47" s="54">
        <f t="shared" ref="CH47:CH66" si="18">(($CH$22*CH27)+(CH27*$CH$21*AG27))*$AI$12</f>
        <v>0</v>
      </c>
      <c r="CI47" s="54">
        <f t="shared" ref="CI47:CI66" si="19">(($CI$22*CI27)+(CI27*$CI$21*AG27))*$AI$12</f>
        <v>0</v>
      </c>
      <c r="CJ47" s="54">
        <f>$CJ$22*CJ27</f>
        <v>0</v>
      </c>
      <c r="CK47" s="54">
        <f>$CK$22*CK27</f>
        <v>0</v>
      </c>
      <c r="CL47" s="54">
        <f>$CL$22*CL27</f>
        <v>0</v>
      </c>
      <c r="CM47" s="54">
        <f t="shared" ref="CM47:CM66" si="20">(($CM$22*CM27)+(CM27*$CM$21*AG27))*$AI$12</f>
        <v>7.9102321385826775</v>
      </c>
      <c r="CN47" s="54">
        <f t="shared" ref="CN47:CN66" si="21">(($CN$22*CN27)+(CN27*$CN$21*AG27))*$AI$12</f>
        <v>6.2064898318110249</v>
      </c>
      <c r="CO47" s="54">
        <f t="shared" ref="CO47:CO66" si="22">(($CO$22*CO27)+(CO27*$CO$21*AG27))*$AI$12</f>
        <v>0</v>
      </c>
      <c r="CP47" s="54">
        <f t="shared" ref="CP47:CP66" si="23">(($CP$22*CP27)+(CP27*$CP$21*AG27))*$AI$12</f>
        <v>0</v>
      </c>
      <c r="CQ47" s="54">
        <f>$CQ$22*CQ27</f>
        <v>2.5200000000000005</v>
      </c>
      <c r="CR47" s="54">
        <f t="shared" ref="CR47:CR66" si="24">$CR$22*CR27*$AI$12</f>
        <v>2.8480004881889767</v>
      </c>
      <c r="CS47" s="54">
        <f>$CS$22*CS27</f>
        <v>0.86</v>
      </c>
      <c r="CT47" s="54">
        <f>$CT$22*CT27</f>
        <v>0.5</v>
      </c>
      <c r="CU47" s="54">
        <f>$CU$22*CU27</f>
        <v>6.0145</v>
      </c>
      <c r="CV47" s="54">
        <f t="shared" ref="CV47:CV66" si="25">$CV$22*CV27*$AI$12</f>
        <v>2.9319600000000001</v>
      </c>
      <c r="CW47" s="54">
        <f>$CW$22*CW27</f>
        <v>1</v>
      </c>
      <c r="CX47" s="54">
        <f>$CX$22*CX27</f>
        <v>8.7040000000000006E-2</v>
      </c>
      <c r="CY47" s="54">
        <f>$CY$22*CY27</f>
        <v>0.17165354330708663</v>
      </c>
      <c r="CZ47" s="54">
        <f t="shared" ref="CZ47:CZ66" si="26">(($CZ$22*CZ27)+(CZ27*$CZ$21*AG27))</f>
        <v>4.7078740157480317</v>
      </c>
      <c r="DA47" s="54">
        <f>$DA$22*DA27</f>
        <v>1.43</v>
      </c>
      <c r="DB47" s="54">
        <f>$DB$22*DB27</f>
        <v>0.99265748031496071</v>
      </c>
      <c r="DC47" s="54">
        <f>$DC$22*DC27</f>
        <v>2</v>
      </c>
      <c r="DD47" s="54">
        <f t="shared" ref="DD47:DD66" si="27">(($DD$22*DD27)+(DD27*$DD$21*AG27))*$AI$12</f>
        <v>5.5539058897637812</v>
      </c>
      <c r="DE47" s="54">
        <f t="shared" ref="DE47:DE66" si="28">$DE$22*DE27*$AI$12</f>
        <v>4.2543738503937014</v>
      </c>
      <c r="DF47" s="54">
        <f>$DF$22*DF27</f>
        <v>0.36</v>
      </c>
      <c r="DG47" s="54">
        <f t="shared" ref="DG47:DG66" si="29">(($DG$22*DG27)+(DG27*$DG$21*AG27))*$AI$12</f>
        <v>18.866945007874023</v>
      </c>
      <c r="DH47" s="54">
        <f t="shared" ref="DH47:DH66" si="30">(($DH$22*DH27)+(DH27*$DH$21*AG27))*$AI$12</f>
        <v>11.791840629921262</v>
      </c>
      <c r="DI47" s="54">
        <f t="shared" ref="DI47:DI66" si="31">(($DI$22*DI27)+(DI27*$DI$21*AG27))*$AI$12</f>
        <v>2.3553053102362211</v>
      </c>
      <c r="DJ47" s="54">
        <f>$DJ$22*DJ27</f>
        <v>0.16</v>
      </c>
      <c r="DK47" s="54">
        <f>$DK$22*DK27</f>
        <v>0</v>
      </c>
      <c r="DL47" s="54">
        <f t="shared" ref="DL47:DL66" si="32">(($DL$22*DL27)+(DL27*$DL$21*AG27))*$AI$12</f>
        <v>0</v>
      </c>
      <c r="DM47" s="54">
        <f t="shared" ref="DM47:DM66" si="33">(($DM$22*DM27)+(DM27*$DM$21*AG27))*$AI$12</f>
        <v>0</v>
      </c>
      <c r="DN47" s="54">
        <f t="shared" ref="DN47:DN66" si="34">(($DN$22*DN27)+(DN27*$DN$21*AG27))*$AI$12</f>
        <v>0</v>
      </c>
      <c r="DO47" s="54">
        <f t="shared" ref="DO47:DO66" si="35">(($DO$22*DO27)+(DO27*$DO$21*AG27))*$AI$12</f>
        <v>0</v>
      </c>
      <c r="DP47" s="54">
        <f>$DP$22*DP27</f>
        <v>0</v>
      </c>
      <c r="DQ47" s="54">
        <f t="shared" ref="DQ47:DQ66" si="36">$DQ$22*DQ27*$AI$12</f>
        <v>0</v>
      </c>
      <c r="DR47" s="54">
        <f>$DR$22*DR27</f>
        <v>0</v>
      </c>
      <c r="DS47" s="54">
        <f t="shared" ref="DS47:DS66" si="37">$DS$22*DS27*$AI$12</f>
        <v>0</v>
      </c>
      <c r="DT47" s="54">
        <f>$DT$22*DT27</f>
        <v>0</v>
      </c>
      <c r="DU47" s="54">
        <f>$DU$22*DU27</f>
        <v>0</v>
      </c>
      <c r="DV47" s="54">
        <f>$DV$22*DV27</f>
        <v>0</v>
      </c>
      <c r="DW47" s="54">
        <f t="shared" ref="DW47:DW66" si="38">(($DW$22*DW27)+(DW27*$DW$21*AG27))</f>
        <v>0</v>
      </c>
      <c r="DX47" s="54">
        <f>$DX$22*DX27</f>
        <v>0</v>
      </c>
      <c r="DY47" s="54">
        <f>$DY$22*DY27</f>
        <v>0</v>
      </c>
      <c r="DZ47" s="54">
        <f>$DZ$22*DZ27</f>
        <v>0</v>
      </c>
      <c r="EA47" s="54">
        <f t="shared" ref="EA47:EA66" si="39">(($EA$22*EA27)+(EA27*$EA$21*AG27))*$AI$12</f>
        <v>0</v>
      </c>
      <c r="EB47" s="54">
        <f t="shared" ref="EB47:EB66" si="40">$EB$22*EB27*$AI$12</f>
        <v>0</v>
      </c>
      <c r="EC47" s="54">
        <f>$EC$22*EC27</f>
        <v>0</v>
      </c>
      <c r="ED47" s="54">
        <f t="shared" ref="ED47:ED66" si="41">(($ED$22*ED27)+(ED27*$ED$21*AG27))*$AI$12</f>
        <v>0</v>
      </c>
      <c r="EE47" s="54">
        <f t="shared" ref="EE47:EE66" si="42">(($EE$22*EE27)+(EE27*$EE$21*AG27))*$AI$12</f>
        <v>0</v>
      </c>
      <c r="EF47" s="54">
        <f t="shared" ref="EF47:EF66" si="43">(($EF$22*EF27)+(EF27*$EF$21*AG27))*$AI$12</f>
        <v>0</v>
      </c>
      <c r="EG47" s="54">
        <f>$EG$22*EG27</f>
        <v>0</v>
      </c>
      <c r="EH47" s="54">
        <f>$EH$22*EH27</f>
        <v>0</v>
      </c>
      <c r="EI47" s="54">
        <f>$EI$22*EI27</f>
        <v>0</v>
      </c>
      <c r="EJ47" s="54">
        <f>$EJ$22*EJ27</f>
        <v>0</v>
      </c>
      <c r="EK47" s="54">
        <f>$EK$22*EK27</f>
        <v>0</v>
      </c>
      <c r="EL47" s="54">
        <f>$EL$22*EL27</f>
        <v>0</v>
      </c>
      <c r="EM47" s="54">
        <f t="shared" ref="EM47:EM66" si="44">(($EM$22*EM27)+(EM27*$EM$21*AG27))*$AI$12</f>
        <v>0</v>
      </c>
      <c r="EN47" s="54">
        <f t="shared" ref="EN47:EN66" si="45">(($EN$22*EN27)+(EN27*$EN$21*AG27))*$AI$12</f>
        <v>0</v>
      </c>
      <c r="EO47" s="54">
        <f t="shared" ref="EO47:EO66" si="46">(($EO$22*EO27)+(EO27*$EO$21*AG27))*$AI$12</f>
        <v>0</v>
      </c>
      <c r="EP47" s="54">
        <f t="shared" ref="EP47:EP66" si="47">(($EP$22*EP27)+(EP27*$EP$21*AG27))*$AI$12</f>
        <v>0</v>
      </c>
      <c r="EQ47" s="54">
        <f t="shared" ref="EQ47:EQ66" si="48">$EQ$22*EQ27*$AI$12</f>
        <v>0</v>
      </c>
      <c r="ER47" s="54">
        <f>$ER$22*ER27</f>
        <v>0</v>
      </c>
      <c r="ES47" s="54">
        <f>$ES$22*ES27</f>
        <v>0</v>
      </c>
      <c r="ET47" s="54">
        <f>$ET$22*ET27</f>
        <v>0</v>
      </c>
      <c r="EU47" s="54">
        <f t="shared" ref="EU47:EU66" si="49">(($EU$22*EU27)+(EU27*$EU$21*AG27))</f>
        <v>0</v>
      </c>
      <c r="EV47" s="54">
        <f>$EV$22*EV27</f>
        <v>0</v>
      </c>
      <c r="EW47" s="54">
        <f>$EW$22*EW27</f>
        <v>0</v>
      </c>
      <c r="EX47" s="54">
        <f>$EX$22*EX27</f>
        <v>0</v>
      </c>
      <c r="EY47" s="54">
        <f t="shared" ref="EY47:EY66" si="50">(($EY$22*EY27)+(EY27*$EY$21*AG27))*$AI$12</f>
        <v>0</v>
      </c>
      <c r="EZ47" s="54">
        <f t="shared" ref="EZ47:EZ66" si="51">$EZ$22*EZ27*$AI$12</f>
        <v>0</v>
      </c>
      <c r="FA47" s="54">
        <f>$FA$22*FA27</f>
        <v>0</v>
      </c>
      <c r="FB47" s="54">
        <f>$FB$22*FB27</f>
        <v>0</v>
      </c>
      <c r="FC47" s="54">
        <f>$FC$22*FC27</f>
        <v>0</v>
      </c>
      <c r="FD47" s="54">
        <f>$FD$22*FD27</f>
        <v>0</v>
      </c>
      <c r="FE47" s="54">
        <f>$FE$22*FE27</f>
        <v>0</v>
      </c>
      <c r="FF47" s="54">
        <f>$FF$22*FF27</f>
        <v>0</v>
      </c>
      <c r="FG47" s="54">
        <f>$FG$22*FG27</f>
        <v>0</v>
      </c>
      <c r="FH47" s="54">
        <f t="shared" ref="FH47:FH66" si="52">(($FH$22*FH27)+(FH27*$FH$21))*$AI$12</f>
        <v>0</v>
      </c>
      <c r="FI47" s="56">
        <f>SUM(AB47:FH47)-AF47</f>
        <v>141.24893818614174</v>
      </c>
      <c r="FJ47">
        <f t="shared" ref="FJ47:FJ66" si="53">(100-AA47)/100</f>
        <v>0.75</v>
      </c>
      <c r="FK47" s="57">
        <f>'1PROJE'!$M$3</f>
        <v>1.18</v>
      </c>
      <c r="FL47" s="37">
        <f>(FI47/FJ47*FK47)+AF47</f>
        <v>222.23166274619635</v>
      </c>
    </row>
    <row r="48" spans="1:168" ht="15.75">
      <c r="AA48" s="55">
        <f t="shared" ref="AA48:AB48" si="54">AA28</f>
        <v>25</v>
      </c>
      <c r="AB48" s="54" t="e">
        <f t="shared" si="54"/>
        <v>#N/A</v>
      </c>
      <c r="AC48" s="54"/>
      <c r="AD48" s="54"/>
      <c r="AE48" s="54" t="e">
        <f t="shared" ref="AE48:AF48" si="55">AE28</f>
        <v>#N/A</v>
      </c>
      <c r="AF48" s="54">
        <f t="shared" si="55"/>
        <v>0</v>
      </c>
      <c r="AH48" s="54" t="e">
        <f t="shared" ref="AH48:AH66" si="56">(($AH$22*AH28)+(AH28*$AH$21*AG28))*$AI$12</f>
        <v>#REF!</v>
      </c>
      <c r="AI48" s="54" t="e">
        <f t="shared" ref="AI48:AI66" si="57">(($AI$22*AI28)+(AI28*$AI$21*AG28))*$AI$12</f>
        <v>#REF!</v>
      </c>
      <c r="AJ48" s="54" t="e">
        <f t="shared" ref="AJ48:AJ66" si="58">(($AJ$22*AJ28)+(AJ28*$AJ$21*AG28))*$AI$12</f>
        <v>#REF!</v>
      </c>
      <c r="AK48" s="54" t="e">
        <f t="shared" ref="AK48:AK66" si="59">(($AK$22*AK28)+(AK28*$AK$21*AG28))*$AI$12</f>
        <v>#REF!</v>
      </c>
      <c r="AL48" s="54" t="e">
        <f t="shared" ref="AL48:AL66" si="60">(($AL$22*AL28)+(AL28*$AL$21*AG28))*$AI$12</f>
        <v>#REF!</v>
      </c>
      <c r="AM48" s="54" t="e">
        <f t="shared" ref="AM48:AM66" si="61">$AM$22*AM28</f>
        <v>#REF!</v>
      </c>
      <c r="AN48" s="54">
        <f t="shared" ref="AN48:AN66" si="62">$AN$22*AN28</f>
        <v>0</v>
      </c>
      <c r="AO48" s="54" t="e">
        <f t="shared" ref="AO48:AO66" si="63">$AO$22*AO28*$AI$12</f>
        <v>#REF!</v>
      </c>
      <c r="AP48" s="54" t="e">
        <f t="shared" ref="AP48:AP66" si="64">(($AP$22*AP28)+(AP28*$AP$21*AG28))*$AI$12</f>
        <v>#REF!</v>
      </c>
      <c r="AQ48" s="54" t="e">
        <f t="shared" ref="AQ48:AQ66" si="65">(($AQ$22*AQ28)+(AQ28*$AQ$21*AG28))*$AI$12</f>
        <v>#REF!</v>
      </c>
      <c r="AR48" s="54" t="e">
        <f t="shared" ref="AR48:AR66" si="66">$AR$22*AR28</f>
        <v>#REF!</v>
      </c>
      <c r="AS48" s="54" t="e">
        <f t="shared" ref="AS48:AS66" si="67">$AS$22*AS28</f>
        <v>#REF!</v>
      </c>
      <c r="AT48" s="54" t="e">
        <f t="shared" ref="AT48:AT66" si="68">(($AT$22*AT28)+(AT28*$AT$21*AG28))*$AI$12</f>
        <v>#REF!</v>
      </c>
      <c r="AU48" s="54" t="e">
        <f t="shared" ref="AU48:AU66" si="69">$AU$22*AU28</f>
        <v>#REF!</v>
      </c>
      <c r="AV48" s="54" t="e">
        <f t="shared" ref="AV48:AV66" si="70">$AV$22*AV28</f>
        <v>#REF!</v>
      </c>
      <c r="AW48" s="54" t="e">
        <f t="shared" ref="AW48:AW66" si="71">$AW$22*AW28</f>
        <v>#REF!</v>
      </c>
      <c r="AX48" s="54" t="e">
        <f t="shared" ref="AX48:AX66" si="72">$AX$22*AX28</f>
        <v>#REF!</v>
      </c>
      <c r="AY48" s="54" t="e">
        <f t="shared" ref="AY48:AY66" si="73">$AY$22*AY28</f>
        <v>#REF!</v>
      </c>
      <c r="AZ48" s="54" t="e">
        <f t="shared" ref="AZ48:AZ66" si="74">$AZ$22*AZ28</f>
        <v>#REF!</v>
      </c>
      <c r="BA48" s="54" t="e">
        <f t="shared" ref="BA48:BA66" si="75">$BA$22*BA28</f>
        <v>#REF!</v>
      </c>
      <c r="BB48" s="54" t="e">
        <f t="shared" ref="BB48:BB66" si="76">$BB$22*BB28</f>
        <v>#REF!</v>
      </c>
      <c r="BC48" s="54" t="e">
        <f t="shared" ref="BC48:BC66" si="77">$BC$22*BC28</f>
        <v>#REF!</v>
      </c>
      <c r="BD48" s="54" t="e">
        <f t="shared" ref="BD48:BD66" si="78">$BD$22*BD28</f>
        <v>#REF!</v>
      </c>
      <c r="BE48" s="54" t="e">
        <f t="shared" ref="BE48:BE66" si="79">$BE$22*BE28</f>
        <v>#REF!</v>
      </c>
      <c r="BF48" s="54" t="e">
        <f t="shared" ref="BF48:BF66" si="80">$BF$22*BF28</f>
        <v>#REF!</v>
      </c>
      <c r="BG48" s="54" t="e">
        <f t="shared" ref="BG48:BG66" si="81">$BG$22*BG28</f>
        <v>#REF!</v>
      </c>
      <c r="BH48" s="54" t="e">
        <f t="shared" ref="BH48:BH66" si="82">$BH$22*BH28</f>
        <v>#REF!</v>
      </c>
      <c r="BI48" s="54" t="e">
        <f t="shared" ref="BI48:BI66" si="83">$BI$22*BI28</f>
        <v>#REF!</v>
      </c>
      <c r="BJ48" s="54" t="e">
        <f t="shared" ref="BJ48:BJ66" si="84">$BJ$22*BJ28</f>
        <v>#REF!</v>
      </c>
      <c r="BK48" s="54" t="e">
        <f t="shared" ref="BK48:BK66" si="85">$BK$22*BK28</f>
        <v>#REF!</v>
      </c>
      <c r="BL48" s="54" t="e">
        <f t="shared" ref="BL48:BL66" si="86">$BL$22*BL28</f>
        <v>#REF!</v>
      </c>
      <c r="BM48" s="54" t="e">
        <f t="shared" ref="BM48:BM66" si="87">$BM$22*BM28</f>
        <v>#REF!</v>
      </c>
      <c r="BN48" s="54" t="e">
        <f t="shared" ref="BN48:BN66" si="88">$BN$22*BN28</f>
        <v>#REF!</v>
      </c>
      <c r="BO48" s="54" t="e">
        <f t="shared" ref="BO48:BO66" si="89">$BO$22*BO28</f>
        <v>#REF!</v>
      </c>
      <c r="BP48" s="54" t="e">
        <f t="shared" si="8"/>
        <v>#REF!</v>
      </c>
      <c r="BQ48" s="54" t="e">
        <f t="shared" si="9"/>
        <v>#REF!</v>
      </c>
      <c r="BR48" s="54" t="e">
        <f t="shared" si="10"/>
        <v>#REF!</v>
      </c>
      <c r="BS48" s="54" t="e">
        <f t="shared" si="11"/>
        <v>#REF!</v>
      </c>
      <c r="BT48" s="54" t="e">
        <f t="shared" si="12"/>
        <v>#REF!</v>
      </c>
      <c r="BU48" s="54" t="e">
        <f t="shared" ref="BU48:BU66" si="90">$BU$22*BU28</f>
        <v>#REF!</v>
      </c>
      <c r="BV48" s="54" t="e">
        <f t="shared" si="13"/>
        <v>#REF!</v>
      </c>
      <c r="BW48" s="54" t="e">
        <f t="shared" ref="BW48:BW66" si="91">$BW$22*BW28</f>
        <v>#REF!</v>
      </c>
      <c r="BX48" s="54" t="e">
        <f t="shared" ref="BX48:BX66" si="92">$BX$22*BX28</f>
        <v>#REF!</v>
      </c>
      <c r="BY48" s="54" t="e">
        <f t="shared" ref="BY48:BY66" si="93">$BY$22*BY28</f>
        <v>#REF!</v>
      </c>
      <c r="BZ48" s="54" t="e">
        <f t="shared" ref="BZ48:BZ66" si="94">$BZ$22*BZ28</f>
        <v>#REF!</v>
      </c>
      <c r="CA48" s="54" t="e">
        <f t="shared" si="14"/>
        <v>#REF!</v>
      </c>
      <c r="CB48" s="54" t="e">
        <f t="shared" si="15"/>
        <v>#REF!</v>
      </c>
      <c r="CC48" s="54" t="e">
        <f t="shared" ref="CC48:CC66" si="95">$CC$22*CC28</f>
        <v>#REF!</v>
      </c>
      <c r="CD48" s="54" t="e">
        <f t="shared" ref="CD48:CD66" si="96">$CD$22*CD28</f>
        <v>#REF!</v>
      </c>
      <c r="CE48" s="54" t="e">
        <f t="shared" si="16"/>
        <v>#REF!</v>
      </c>
      <c r="CF48" s="54" t="e">
        <f t="shared" si="17"/>
        <v>#REF!</v>
      </c>
      <c r="CG48" s="54" t="e">
        <f t="shared" ref="CG48:CG66" si="97">$CG$22*CG28</f>
        <v>#REF!</v>
      </c>
      <c r="CH48" s="54" t="e">
        <f t="shared" si="18"/>
        <v>#REF!</v>
      </c>
      <c r="CI48" s="54" t="e">
        <f t="shared" si="19"/>
        <v>#REF!</v>
      </c>
      <c r="CJ48" s="54" t="e">
        <f t="shared" ref="CJ48:CJ66" si="98">$CJ$22*CJ28</f>
        <v>#REF!</v>
      </c>
      <c r="CK48" s="54" t="e">
        <f t="shared" ref="CK48:CK66" si="99">$CK$22*CK28</f>
        <v>#REF!</v>
      </c>
      <c r="CL48" s="54" t="e">
        <f t="shared" ref="CL48:CL66" si="100">$CL$22*CL28</f>
        <v>#REF!</v>
      </c>
      <c r="CM48" s="54" t="e">
        <f t="shared" si="20"/>
        <v>#REF!</v>
      </c>
      <c r="CN48" s="54" t="e">
        <f t="shared" si="21"/>
        <v>#REF!</v>
      </c>
      <c r="CO48" s="54" t="e">
        <f t="shared" si="22"/>
        <v>#REF!</v>
      </c>
      <c r="CP48" s="54" t="e">
        <f t="shared" si="23"/>
        <v>#REF!</v>
      </c>
      <c r="CQ48" s="54" t="e">
        <f t="shared" ref="CQ48:CQ66" si="101">$CQ$22*CQ28</f>
        <v>#REF!</v>
      </c>
      <c r="CR48" s="54" t="e">
        <f t="shared" si="24"/>
        <v>#REF!</v>
      </c>
      <c r="CS48" s="54" t="e">
        <f t="shared" ref="CS48:CS66" si="102">$CS$22*CS28</f>
        <v>#REF!</v>
      </c>
      <c r="CT48" s="54" t="e">
        <f t="shared" ref="CT48:CT66" si="103">$CT$22*CT28</f>
        <v>#REF!</v>
      </c>
      <c r="CU48" s="54" t="e">
        <f t="shared" ref="CU48:CU66" si="104">$CU$22*CU28</f>
        <v>#REF!</v>
      </c>
      <c r="CV48" s="54" t="e">
        <f t="shared" si="25"/>
        <v>#REF!</v>
      </c>
      <c r="CW48" s="54" t="e">
        <f t="shared" ref="CW48:CW66" si="105">$CW$22*CW28</f>
        <v>#REF!</v>
      </c>
      <c r="CX48" s="54" t="e">
        <f t="shared" ref="CX48:CX66" si="106">$CX$22*CX28</f>
        <v>#REF!</v>
      </c>
      <c r="CY48" s="54" t="e">
        <f t="shared" ref="CY48:CY66" si="107">$CY$22*CY28</f>
        <v>#REF!</v>
      </c>
      <c r="CZ48" s="54" t="e">
        <f t="shared" si="26"/>
        <v>#REF!</v>
      </c>
      <c r="DA48" s="54" t="e">
        <f t="shared" ref="DA48:DA66" si="108">$DA$22*DA28</f>
        <v>#REF!</v>
      </c>
      <c r="DB48" s="54" t="e">
        <f t="shared" ref="DB48:DB66" si="109">$DB$22*DB28</f>
        <v>#REF!</v>
      </c>
      <c r="DC48" s="54" t="e">
        <f t="shared" ref="DC48:DC66" si="110">$DC$22*DC28</f>
        <v>#REF!</v>
      </c>
      <c r="DD48" s="54" t="e">
        <f t="shared" si="27"/>
        <v>#REF!</v>
      </c>
      <c r="DE48" s="54" t="e">
        <f t="shared" si="28"/>
        <v>#REF!</v>
      </c>
      <c r="DF48" s="54" t="e">
        <f t="shared" ref="DF48:DF66" si="111">$DF$22*DF28</f>
        <v>#REF!</v>
      </c>
      <c r="DG48" s="54" t="e">
        <f t="shared" si="29"/>
        <v>#REF!</v>
      </c>
      <c r="DH48" s="54" t="e">
        <f t="shared" si="30"/>
        <v>#REF!</v>
      </c>
      <c r="DI48" s="54" t="e">
        <f t="shared" si="31"/>
        <v>#REF!</v>
      </c>
      <c r="DJ48" s="54" t="e">
        <f t="shared" ref="DJ48:DJ66" si="112">$DJ$22*DJ28</f>
        <v>#REF!</v>
      </c>
      <c r="DK48" s="54" t="e">
        <f t="shared" ref="DK48:DK66" si="113">$DK$22*DK28</f>
        <v>#REF!</v>
      </c>
      <c r="DL48" s="54" t="e">
        <f t="shared" si="32"/>
        <v>#REF!</v>
      </c>
      <c r="DM48" s="54" t="e">
        <f t="shared" si="33"/>
        <v>#REF!</v>
      </c>
      <c r="DN48" s="54" t="e">
        <f t="shared" si="34"/>
        <v>#REF!</v>
      </c>
      <c r="DO48" s="54" t="e">
        <f t="shared" si="35"/>
        <v>#REF!</v>
      </c>
      <c r="DP48" s="54" t="e">
        <f t="shared" ref="DP48:DP66" si="114">$DP$22*DP28</f>
        <v>#REF!</v>
      </c>
      <c r="DQ48" s="54" t="e">
        <f t="shared" si="36"/>
        <v>#REF!</v>
      </c>
      <c r="DR48" s="54" t="e">
        <f t="shared" ref="DR48:DR66" si="115">$DR$22*DR28</f>
        <v>#REF!</v>
      </c>
      <c r="DS48" s="54" t="e">
        <f t="shared" si="37"/>
        <v>#REF!</v>
      </c>
      <c r="DT48" s="54" t="e">
        <f t="shared" ref="DT48:DT66" si="116">$DT$22*DT28</f>
        <v>#REF!</v>
      </c>
      <c r="DU48" s="54" t="e">
        <f t="shared" ref="DU48:DU66" si="117">$DU$22*DU28</f>
        <v>#REF!</v>
      </c>
      <c r="DV48" s="54" t="e">
        <f t="shared" ref="DV48:DV66" si="118">$DV$22*DV28</f>
        <v>#REF!</v>
      </c>
      <c r="DW48" s="54" t="e">
        <f t="shared" si="38"/>
        <v>#REF!</v>
      </c>
      <c r="DX48" s="54" t="e">
        <f t="shared" ref="DX48:DX66" si="119">$DX$22*DX28</f>
        <v>#REF!</v>
      </c>
      <c r="DY48" s="54" t="e">
        <f t="shared" ref="DY48:DY66" si="120">$DY$22*DY28</f>
        <v>#REF!</v>
      </c>
      <c r="DZ48" s="54" t="e">
        <f t="shared" ref="DZ48:DZ66" si="121">$DZ$22*DZ28</f>
        <v>#REF!</v>
      </c>
      <c r="EA48" s="54" t="e">
        <f t="shared" si="39"/>
        <v>#REF!</v>
      </c>
      <c r="EB48" s="54" t="e">
        <f t="shared" si="40"/>
        <v>#REF!</v>
      </c>
      <c r="EC48" s="54" t="e">
        <f t="shared" ref="EC48:EC66" si="122">$EC$22*EC28</f>
        <v>#REF!</v>
      </c>
      <c r="ED48" s="54" t="e">
        <f t="shared" si="41"/>
        <v>#REF!</v>
      </c>
      <c r="EE48" s="54" t="e">
        <f t="shared" si="42"/>
        <v>#REF!</v>
      </c>
      <c r="EF48" s="54" t="e">
        <f t="shared" si="43"/>
        <v>#REF!</v>
      </c>
      <c r="EG48" s="54" t="e">
        <f t="shared" ref="EG48:EG66" si="123">$EG$22*EG28</f>
        <v>#REF!</v>
      </c>
      <c r="EH48" s="54" t="e">
        <f t="shared" ref="EH48:EH66" si="124">$EH$22*EH28</f>
        <v>#REF!</v>
      </c>
      <c r="EI48" s="54" t="e">
        <f t="shared" ref="EI48:EI66" si="125">$EI$22*EI28</f>
        <v>#REF!</v>
      </c>
      <c r="EJ48" s="54" t="e">
        <f t="shared" ref="EJ48:EJ66" si="126">$EJ$22*EJ28</f>
        <v>#REF!</v>
      </c>
      <c r="EK48" s="54" t="e">
        <f t="shared" ref="EK48:EK66" si="127">$EK$22*EK28</f>
        <v>#REF!</v>
      </c>
      <c r="EL48" s="54" t="e">
        <f t="shared" ref="EL48:EL66" si="128">$EL$22*EL28</f>
        <v>#REF!</v>
      </c>
      <c r="EM48" s="54" t="e">
        <f t="shared" si="44"/>
        <v>#REF!</v>
      </c>
      <c r="EN48" s="54" t="e">
        <f t="shared" si="45"/>
        <v>#REF!</v>
      </c>
      <c r="EO48" s="54" t="e">
        <f t="shared" si="46"/>
        <v>#REF!</v>
      </c>
      <c r="EP48" s="54" t="e">
        <f t="shared" si="47"/>
        <v>#REF!</v>
      </c>
      <c r="EQ48" s="54" t="e">
        <f t="shared" si="48"/>
        <v>#REF!</v>
      </c>
      <c r="ER48" s="54" t="e">
        <f t="shared" ref="ER48:ER66" si="129">$ER$22*ER28</f>
        <v>#REF!</v>
      </c>
      <c r="ES48" s="54" t="e">
        <f t="shared" ref="ES48:ES66" si="130">$ES$22*ES28</f>
        <v>#REF!</v>
      </c>
      <c r="ET48" s="54" t="e">
        <f t="shared" ref="ET48:ET66" si="131">$ET$22*ET28</f>
        <v>#REF!</v>
      </c>
      <c r="EU48" s="54" t="e">
        <f t="shared" si="49"/>
        <v>#REF!</v>
      </c>
      <c r="EV48" s="54" t="e">
        <f t="shared" ref="EV48:EV66" si="132">$EV$22*EV28</f>
        <v>#REF!</v>
      </c>
      <c r="EW48" s="54" t="e">
        <f t="shared" ref="EW48:EW66" si="133">$EW$22*EW28</f>
        <v>#REF!</v>
      </c>
      <c r="EX48" s="54" t="e">
        <f t="shared" ref="EX48:EX66" si="134">$EX$22*EX28</f>
        <v>#REF!</v>
      </c>
      <c r="EY48" s="54" t="e">
        <f t="shared" si="50"/>
        <v>#REF!</v>
      </c>
      <c r="EZ48" s="54" t="e">
        <f t="shared" si="51"/>
        <v>#REF!</v>
      </c>
      <c r="FA48" s="54" t="e">
        <f t="shared" ref="FA48:FA66" si="135">$FA$22*FA28</f>
        <v>#REF!</v>
      </c>
      <c r="FB48" s="54" t="e">
        <f t="shared" ref="FB48:FB66" si="136">$FB$22*FB28</f>
        <v>#REF!</v>
      </c>
      <c r="FC48" s="54" t="e">
        <f t="shared" ref="FC48:FC66" si="137">$FC$22*FC28</f>
        <v>#REF!</v>
      </c>
      <c r="FD48" s="54" t="e">
        <f t="shared" ref="FD48:FD66" si="138">$FD$22*FD28</f>
        <v>#REF!</v>
      </c>
      <c r="FE48" s="54" t="e">
        <f t="shared" ref="FE48:FE66" si="139">$FE$22*FE28</f>
        <v>#REF!</v>
      </c>
      <c r="FF48" s="54" t="e">
        <f t="shared" ref="FF48:FF66" si="140">$FF$22*FF28</f>
        <v>#REF!</v>
      </c>
      <c r="FG48" s="54" t="e">
        <f t="shared" ref="FG48:FG66" si="141">$FG$22*FG28</f>
        <v>#REF!</v>
      </c>
      <c r="FH48" s="54" t="e">
        <f t="shared" si="52"/>
        <v>#REF!</v>
      </c>
      <c r="FI48" s="56" t="e">
        <f t="shared" ref="FI48:FI66" si="142">SUM(AB48:FH48)-AF48</f>
        <v>#N/A</v>
      </c>
      <c r="FJ48">
        <f t="shared" si="53"/>
        <v>0.75</v>
      </c>
      <c r="FK48" s="57">
        <f>'1PROJE'!$M$3</f>
        <v>1.18</v>
      </c>
      <c r="FL48" s="37" t="e">
        <f t="shared" ref="FL48:FL66" si="143">(FI48/FJ48*FK48)+AF48</f>
        <v>#N/A</v>
      </c>
    </row>
    <row r="49" spans="1:168" ht="15.75">
      <c r="AA49" s="55">
        <f t="shared" ref="AA49:AB49" si="144">AA29</f>
        <v>25</v>
      </c>
      <c r="AB49" s="54" t="e">
        <f t="shared" si="144"/>
        <v>#N/A</v>
      </c>
      <c r="AC49" s="54"/>
      <c r="AD49" s="54"/>
      <c r="AE49" s="54" t="e">
        <f t="shared" ref="AE49:AF49" si="145">AE29</f>
        <v>#N/A</v>
      </c>
      <c r="AF49" s="54">
        <f t="shared" si="145"/>
        <v>0</v>
      </c>
      <c r="AH49" s="54" t="e">
        <f t="shared" si="56"/>
        <v>#REF!</v>
      </c>
      <c r="AI49" s="54" t="e">
        <f t="shared" si="57"/>
        <v>#REF!</v>
      </c>
      <c r="AJ49" s="54" t="e">
        <f t="shared" si="58"/>
        <v>#REF!</v>
      </c>
      <c r="AK49" s="54" t="e">
        <f t="shared" si="59"/>
        <v>#REF!</v>
      </c>
      <c r="AL49" s="54" t="e">
        <f t="shared" si="60"/>
        <v>#REF!</v>
      </c>
      <c r="AM49" s="54" t="e">
        <f t="shared" si="61"/>
        <v>#REF!</v>
      </c>
      <c r="AN49" s="54">
        <f t="shared" si="62"/>
        <v>0</v>
      </c>
      <c r="AO49" s="54" t="e">
        <f t="shared" si="63"/>
        <v>#REF!</v>
      </c>
      <c r="AP49" s="54" t="e">
        <f t="shared" si="64"/>
        <v>#REF!</v>
      </c>
      <c r="AQ49" s="54" t="e">
        <f t="shared" si="65"/>
        <v>#REF!</v>
      </c>
      <c r="AR49" s="54" t="e">
        <f t="shared" si="66"/>
        <v>#REF!</v>
      </c>
      <c r="AS49" s="54" t="e">
        <f t="shared" si="67"/>
        <v>#REF!</v>
      </c>
      <c r="AT49" s="54" t="e">
        <f t="shared" si="68"/>
        <v>#REF!</v>
      </c>
      <c r="AU49" s="54" t="e">
        <f t="shared" si="69"/>
        <v>#REF!</v>
      </c>
      <c r="AV49" s="54" t="e">
        <f t="shared" si="70"/>
        <v>#REF!</v>
      </c>
      <c r="AW49" s="54" t="e">
        <f t="shared" si="71"/>
        <v>#REF!</v>
      </c>
      <c r="AX49" s="54" t="e">
        <f t="shared" si="72"/>
        <v>#REF!</v>
      </c>
      <c r="AY49" s="54" t="e">
        <f t="shared" si="73"/>
        <v>#REF!</v>
      </c>
      <c r="AZ49" s="54" t="e">
        <f t="shared" si="74"/>
        <v>#REF!</v>
      </c>
      <c r="BA49" s="54" t="e">
        <f t="shared" si="75"/>
        <v>#REF!</v>
      </c>
      <c r="BB49" s="54" t="e">
        <f t="shared" si="76"/>
        <v>#REF!</v>
      </c>
      <c r="BC49" s="54" t="e">
        <f t="shared" si="77"/>
        <v>#REF!</v>
      </c>
      <c r="BD49" s="54" t="e">
        <f t="shared" si="78"/>
        <v>#REF!</v>
      </c>
      <c r="BE49" s="54" t="e">
        <f t="shared" si="79"/>
        <v>#REF!</v>
      </c>
      <c r="BF49" s="54" t="e">
        <f t="shared" si="80"/>
        <v>#REF!</v>
      </c>
      <c r="BG49" s="54" t="e">
        <f t="shared" si="81"/>
        <v>#REF!</v>
      </c>
      <c r="BH49" s="54" t="e">
        <f t="shared" si="82"/>
        <v>#REF!</v>
      </c>
      <c r="BI49" s="54" t="e">
        <f t="shared" si="83"/>
        <v>#REF!</v>
      </c>
      <c r="BJ49" s="54" t="e">
        <f t="shared" si="84"/>
        <v>#REF!</v>
      </c>
      <c r="BK49" s="54" t="e">
        <f t="shared" si="85"/>
        <v>#REF!</v>
      </c>
      <c r="BL49" s="54" t="e">
        <f t="shared" si="86"/>
        <v>#REF!</v>
      </c>
      <c r="BM49" s="54" t="e">
        <f t="shared" si="87"/>
        <v>#REF!</v>
      </c>
      <c r="BN49" s="54" t="e">
        <f t="shared" si="88"/>
        <v>#REF!</v>
      </c>
      <c r="BO49" s="54" t="e">
        <f t="shared" si="89"/>
        <v>#REF!</v>
      </c>
      <c r="BP49" s="54" t="e">
        <f t="shared" si="8"/>
        <v>#REF!</v>
      </c>
      <c r="BQ49" s="54" t="e">
        <f t="shared" si="9"/>
        <v>#REF!</v>
      </c>
      <c r="BR49" s="54" t="e">
        <f t="shared" si="10"/>
        <v>#REF!</v>
      </c>
      <c r="BS49" s="54" t="e">
        <f t="shared" si="11"/>
        <v>#REF!</v>
      </c>
      <c r="BT49" s="54" t="e">
        <f t="shared" si="12"/>
        <v>#REF!</v>
      </c>
      <c r="BU49" s="54" t="e">
        <f t="shared" si="90"/>
        <v>#REF!</v>
      </c>
      <c r="BV49" s="54" t="e">
        <f t="shared" si="13"/>
        <v>#REF!</v>
      </c>
      <c r="BW49" s="54" t="e">
        <f t="shared" si="91"/>
        <v>#REF!</v>
      </c>
      <c r="BX49" s="54" t="e">
        <f t="shared" si="92"/>
        <v>#REF!</v>
      </c>
      <c r="BY49" s="54" t="e">
        <f t="shared" si="93"/>
        <v>#REF!</v>
      </c>
      <c r="BZ49" s="54" t="e">
        <f t="shared" si="94"/>
        <v>#REF!</v>
      </c>
      <c r="CA49" s="54" t="e">
        <f t="shared" si="14"/>
        <v>#REF!</v>
      </c>
      <c r="CB49" s="54" t="e">
        <f t="shared" si="15"/>
        <v>#REF!</v>
      </c>
      <c r="CC49" s="54" t="e">
        <f t="shared" si="95"/>
        <v>#REF!</v>
      </c>
      <c r="CD49" s="54" t="e">
        <f t="shared" si="96"/>
        <v>#REF!</v>
      </c>
      <c r="CE49" s="54" t="e">
        <f t="shared" si="16"/>
        <v>#REF!</v>
      </c>
      <c r="CF49" s="54" t="e">
        <f t="shared" si="17"/>
        <v>#REF!</v>
      </c>
      <c r="CG49" s="54" t="e">
        <f t="shared" si="97"/>
        <v>#REF!</v>
      </c>
      <c r="CH49" s="54" t="e">
        <f t="shared" si="18"/>
        <v>#REF!</v>
      </c>
      <c r="CI49" s="54" t="e">
        <f t="shared" si="19"/>
        <v>#REF!</v>
      </c>
      <c r="CJ49" s="54" t="e">
        <f t="shared" si="98"/>
        <v>#REF!</v>
      </c>
      <c r="CK49" s="54" t="e">
        <f t="shared" si="99"/>
        <v>#REF!</v>
      </c>
      <c r="CL49" s="54" t="e">
        <f t="shared" si="100"/>
        <v>#REF!</v>
      </c>
      <c r="CM49" s="54" t="e">
        <f t="shared" si="20"/>
        <v>#REF!</v>
      </c>
      <c r="CN49" s="54" t="e">
        <f t="shared" si="21"/>
        <v>#REF!</v>
      </c>
      <c r="CO49" s="54" t="e">
        <f t="shared" si="22"/>
        <v>#REF!</v>
      </c>
      <c r="CP49" s="54" t="e">
        <f t="shared" si="23"/>
        <v>#REF!</v>
      </c>
      <c r="CQ49" s="54" t="e">
        <f t="shared" si="101"/>
        <v>#REF!</v>
      </c>
      <c r="CR49" s="54" t="e">
        <f t="shared" si="24"/>
        <v>#REF!</v>
      </c>
      <c r="CS49" s="54" t="e">
        <f t="shared" si="102"/>
        <v>#REF!</v>
      </c>
      <c r="CT49" s="54" t="e">
        <f t="shared" si="103"/>
        <v>#REF!</v>
      </c>
      <c r="CU49" s="54" t="e">
        <f t="shared" si="104"/>
        <v>#REF!</v>
      </c>
      <c r="CV49" s="54" t="e">
        <f t="shared" si="25"/>
        <v>#REF!</v>
      </c>
      <c r="CW49" s="54" t="e">
        <f t="shared" si="105"/>
        <v>#REF!</v>
      </c>
      <c r="CX49" s="54" t="e">
        <f t="shared" si="106"/>
        <v>#REF!</v>
      </c>
      <c r="CY49" s="54" t="e">
        <f t="shared" si="107"/>
        <v>#REF!</v>
      </c>
      <c r="CZ49" s="54" t="e">
        <f t="shared" si="26"/>
        <v>#REF!</v>
      </c>
      <c r="DA49" s="54" t="e">
        <f t="shared" si="108"/>
        <v>#REF!</v>
      </c>
      <c r="DB49" s="54" t="e">
        <f t="shared" si="109"/>
        <v>#REF!</v>
      </c>
      <c r="DC49" s="54" t="e">
        <f t="shared" si="110"/>
        <v>#REF!</v>
      </c>
      <c r="DD49" s="54" t="e">
        <f t="shared" si="27"/>
        <v>#REF!</v>
      </c>
      <c r="DE49" s="54" t="e">
        <f t="shared" si="28"/>
        <v>#REF!</v>
      </c>
      <c r="DF49" s="54" t="e">
        <f t="shared" si="111"/>
        <v>#REF!</v>
      </c>
      <c r="DG49" s="54" t="e">
        <f t="shared" si="29"/>
        <v>#REF!</v>
      </c>
      <c r="DH49" s="54" t="e">
        <f t="shared" si="30"/>
        <v>#REF!</v>
      </c>
      <c r="DI49" s="54" t="e">
        <f t="shared" si="31"/>
        <v>#REF!</v>
      </c>
      <c r="DJ49" s="54" t="e">
        <f t="shared" si="112"/>
        <v>#REF!</v>
      </c>
      <c r="DK49" s="54" t="e">
        <f t="shared" si="113"/>
        <v>#REF!</v>
      </c>
      <c r="DL49" s="54" t="e">
        <f t="shared" si="32"/>
        <v>#REF!</v>
      </c>
      <c r="DM49" s="54" t="e">
        <f t="shared" si="33"/>
        <v>#REF!</v>
      </c>
      <c r="DN49" s="54" t="e">
        <f t="shared" si="34"/>
        <v>#REF!</v>
      </c>
      <c r="DO49" s="54" t="e">
        <f t="shared" si="35"/>
        <v>#REF!</v>
      </c>
      <c r="DP49" s="54" t="e">
        <f t="shared" si="114"/>
        <v>#REF!</v>
      </c>
      <c r="DQ49" s="54" t="e">
        <f t="shared" si="36"/>
        <v>#REF!</v>
      </c>
      <c r="DR49" s="54" t="e">
        <f t="shared" si="115"/>
        <v>#REF!</v>
      </c>
      <c r="DS49" s="54" t="e">
        <f t="shared" si="37"/>
        <v>#REF!</v>
      </c>
      <c r="DT49" s="54" t="e">
        <f t="shared" si="116"/>
        <v>#REF!</v>
      </c>
      <c r="DU49" s="54" t="e">
        <f t="shared" si="117"/>
        <v>#REF!</v>
      </c>
      <c r="DV49" s="54" t="e">
        <f t="shared" si="118"/>
        <v>#REF!</v>
      </c>
      <c r="DW49" s="54" t="e">
        <f t="shared" si="38"/>
        <v>#REF!</v>
      </c>
      <c r="DX49" s="54" t="e">
        <f t="shared" si="119"/>
        <v>#REF!</v>
      </c>
      <c r="DY49" s="54" t="e">
        <f t="shared" si="120"/>
        <v>#REF!</v>
      </c>
      <c r="DZ49" s="54" t="e">
        <f t="shared" si="121"/>
        <v>#REF!</v>
      </c>
      <c r="EA49" s="54" t="e">
        <f t="shared" si="39"/>
        <v>#REF!</v>
      </c>
      <c r="EB49" s="54" t="e">
        <f t="shared" si="40"/>
        <v>#REF!</v>
      </c>
      <c r="EC49" s="54" t="e">
        <f t="shared" si="122"/>
        <v>#REF!</v>
      </c>
      <c r="ED49" s="54" t="e">
        <f t="shared" si="41"/>
        <v>#REF!</v>
      </c>
      <c r="EE49" s="54" t="e">
        <f t="shared" si="42"/>
        <v>#REF!</v>
      </c>
      <c r="EF49" s="54" t="e">
        <f t="shared" si="43"/>
        <v>#REF!</v>
      </c>
      <c r="EG49" s="54" t="e">
        <f t="shared" si="123"/>
        <v>#REF!</v>
      </c>
      <c r="EH49" s="54" t="e">
        <f t="shared" si="124"/>
        <v>#REF!</v>
      </c>
      <c r="EI49" s="54" t="e">
        <f t="shared" si="125"/>
        <v>#REF!</v>
      </c>
      <c r="EJ49" s="54" t="e">
        <f t="shared" si="126"/>
        <v>#REF!</v>
      </c>
      <c r="EK49" s="54" t="e">
        <f t="shared" si="127"/>
        <v>#REF!</v>
      </c>
      <c r="EL49" s="54" t="e">
        <f t="shared" si="128"/>
        <v>#REF!</v>
      </c>
      <c r="EM49" s="54" t="e">
        <f t="shared" si="44"/>
        <v>#REF!</v>
      </c>
      <c r="EN49" s="54" t="e">
        <f t="shared" si="45"/>
        <v>#REF!</v>
      </c>
      <c r="EO49" s="54" t="e">
        <f t="shared" si="46"/>
        <v>#REF!</v>
      </c>
      <c r="EP49" s="54" t="e">
        <f t="shared" si="47"/>
        <v>#REF!</v>
      </c>
      <c r="EQ49" s="54" t="e">
        <f t="shared" si="48"/>
        <v>#REF!</v>
      </c>
      <c r="ER49" s="54" t="e">
        <f t="shared" si="129"/>
        <v>#REF!</v>
      </c>
      <c r="ES49" s="54" t="e">
        <f t="shared" si="130"/>
        <v>#REF!</v>
      </c>
      <c r="ET49" s="54" t="e">
        <f t="shared" si="131"/>
        <v>#REF!</v>
      </c>
      <c r="EU49" s="54" t="e">
        <f t="shared" si="49"/>
        <v>#REF!</v>
      </c>
      <c r="EV49" s="54" t="e">
        <f t="shared" si="132"/>
        <v>#REF!</v>
      </c>
      <c r="EW49" s="54" t="e">
        <f t="shared" si="133"/>
        <v>#REF!</v>
      </c>
      <c r="EX49" s="54" t="e">
        <f t="shared" si="134"/>
        <v>#REF!</v>
      </c>
      <c r="EY49" s="54" t="e">
        <f t="shared" si="50"/>
        <v>#REF!</v>
      </c>
      <c r="EZ49" s="54" t="e">
        <f t="shared" si="51"/>
        <v>#REF!</v>
      </c>
      <c r="FA49" s="54" t="e">
        <f t="shared" si="135"/>
        <v>#REF!</v>
      </c>
      <c r="FB49" s="54" t="e">
        <f t="shared" si="136"/>
        <v>#REF!</v>
      </c>
      <c r="FC49" s="54" t="e">
        <f t="shared" si="137"/>
        <v>#REF!</v>
      </c>
      <c r="FD49" s="54" t="e">
        <f t="shared" si="138"/>
        <v>#REF!</v>
      </c>
      <c r="FE49" s="54" t="e">
        <f t="shared" si="139"/>
        <v>#REF!</v>
      </c>
      <c r="FF49" s="54" t="e">
        <f t="shared" si="140"/>
        <v>#REF!</v>
      </c>
      <c r="FG49" s="54" t="e">
        <f t="shared" si="141"/>
        <v>#REF!</v>
      </c>
      <c r="FH49" s="54" t="e">
        <f t="shared" si="52"/>
        <v>#REF!</v>
      </c>
      <c r="FI49" s="56" t="e">
        <f t="shared" si="142"/>
        <v>#N/A</v>
      </c>
      <c r="FJ49">
        <f t="shared" si="53"/>
        <v>0.75</v>
      </c>
      <c r="FK49" s="57">
        <f>'1PROJE'!$M$3</f>
        <v>1.18</v>
      </c>
      <c r="FL49" s="37" t="e">
        <f t="shared" si="143"/>
        <v>#N/A</v>
      </c>
    </row>
    <row r="50" spans="1:168" ht="15.75">
      <c r="AA50" s="55">
        <f t="shared" ref="AA50:AB50" si="146">AA30</f>
        <v>25</v>
      </c>
      <c r="AB50" s="54" t="e">
        <f t="shared" si="146"/>
        <v>#N/A</v>
      </c>
      <c r="AC50" s="54"/>
      <c r="AD50" s="54"/>
      <c r="AE50" s="54" t="e">
        <f t="shared" ref="AE50:AF50" si="147">AE30</f>
        <v>#N/A</v>
      </c>
      <c r="AF50" s="54">
        <f t="shared" si="147"/>
        <v>0</v>
      </c>
      <c r="AH50" s="54" t="e">
        <f t="shared" si="56"/>
        <v>#REF!</v>
      </c>
      <c r="AI50" s="54" t="e">
        <f t="shared" si="57"/>
        <v>#REF!</v>
      </c>
      <c r="AJ50" s="54" t="e">
        <f t="shared" si="58"/>
        <v>#REF!</v>
      </c>
      <c r="AK50" s="54" t="e">
        <f t="shared" si="59"/>
        <v>#REF!</v>
      </c>
      <c r="AL50" s="54" t="e">
        <f t="shared" si="60"/>
        <v>#REF!</v>
      </c>
      <c r="AM50" s="54" t="e">
        <f t="shared" si="61"/>
        <v>#REF!</v>
      </c>
      <c r="AN50" s="54">
        <f t="shared" si="62"/>
        <v>0</v>
      </c>
      <c r="AO50" s="54" t="e">
        <f t="shared" si="63"/>
        <v>#REF!</v>
      </c>
      <c r="AP50" s="54" t="e">
        <f t="shared" si="64"/>
        <v>#REF!</v>
      </c>
      <c r="AQ50" s="54" t="e">
        <f t="shared" si="65"/>
        <v>#REF!</v>
      </c>
      <c r="AR50" s="54" t="e">
        <f t="shared" si="66"/>
        <v>#REF!</v>
      </c>
      <c r="AS50" s="54" t="e">
        <f t="shared" si="67"/>
        <v>#REF!</v>
      </c>
      <c r="AT50" s="54" t="e">
        <f t="shared" si="68"/>
        <v>#REF!</v>
      </c>
      <c r="AU50" s="54" t="e">
        <f t="shared" si="69"/>
        <v>#REF!</v>
      </c>
      <c r="AV50" s="54" t="e">
        <f t="shared" si="70"/>
        <v>#REF!</v>
      </c>
      <c r="AW50" s="54" t="e">
        <f t="shared" si="71"/>
        <v>#REF!</v>
      </c>
      <c r="AX50" s="54" t="e">
        <f t="shared" si="72"/>
        <v>#REF!</v>
      </c>
      <c r="AY50" s="54" t="e">
        <f t="shared" si="73"/>
        <v>#REF!</v>
      </c>
      <c r="AZ50" s="54" t="e">
        <f t="shared" si="74"/>
        <v>#REF!</v>
      </c>
      <c r="BA50" s="54" t="e">
        <f t="shared" si="75"/>
        <v>#REF!</v>
      </c>
      <c r="BB50" s="54" t="e">
        <f t="shared" si="76"/>
        <v>#REF!</v>
      </c>
      <c r="BC50" s="54" t="e">
        <f t="shared" si="77"/>
        <v>#REF!</v>
      </c>
      <c r="BD50" s="54" t="e">
        <f t="shared" si="78"/>
        <v>#REF!</v>
      </c>
      <c r="BE50" s="54" t="e">
        <f t="shared" si="79"/>
        <v>#REF!</v>
      </c>
      <c r="BF50" s="54" t="e">
        <f t="shared" si="80"/>
        <v>#REF!</v>
      </c>
      <c r="BG50" s="54" t="e">
        <f t="shared" si="81"/>
        <v>#REF!</v>
      </c>
      <c r="BH50" s="54" t="e">
        <f t="shared" si="82"/>
        <v>#REF!</v>
      </c>
      <c r="BI50" s="54" t="e">
        <f t="shared" si="83"/>
        <v>#REF!</v>
      </c>
      <c r="BJ50" s="54" t="e">
        <f t="shared" si="84"/>
        <v>#REF!</v>
      </c>
      <c r="BK50" s="54" t="e">
        <f t="shared" si="85"/>
        <v>#REF!</v>
      </c>
      <c r="BL50" s="54" t="e">
        <f t="shared" si="86"/>
        <v>#REF!</v>
      </c>
      <c r="BM50" s="54" t="e">
        <f t="shared" si="87"/>
        <v>#REF!</v>
      </c>
      <c r="BN50" s="54" t="e">
        <f t="shared" si="88"/>
        <v>#REF!</v>
      </c>
      <c r="BO50" s="54" t="e">
        <f t="shared" si="89"/>
        <v>#REF!</v>
      </c>
      <c r="BP50" s="54" t="e">
        <f t="shared" si="8"/>
        <v>#REF!</v>
      </c>
      <c r="BQ50" s="54" t="e">
        <f t="shared" si="9"/>
        <v>#REF!</v>
      </c>
      <c r="BR50" s="54" t="e">
        <f t="shared" si="10"/>
        <v>#REF!</v>
      </c>
      <c r="BS50" s="54" t="e">
        <f t="shared" si="11"/>
        <v>#REF!</v>
      </c>
      <c r="BT50" s="54" t="e">
        <f t="shared" si="12"/>
        <v>#REF!</v>
      </c>
      <c r="BU50" s="54" t="e">
        <f t="shared" si="90"/>
        <v>#REF!</v>
      </c>
      <c r="BV50" s="54" t="e">
        <f t="shared" si="13"/>
        <v>#REF!</v>
      </c>
      <c r="BW50" s="54" t="e">
        <f t="shared" si="91"/>
        <v>#REF!</v>
      </c>
      <c r="BX50" s="54" t="e">
        <f t="shared" si="92"/>
        <v>#REF!</v>
      </c>
      <c r="BY50" s="54" t="e">
        <f t="shared" si="93"/>
        <v>#REF!</v>
      </c>
      <c r="BZ50" s="54" t="e">
        <f t="shared" si="94"/>
        <v>#REF!</v>
      </c>
      <c r="CA50" s="54" t="e">
        <f t="shared" si="14"/>
        <v>#REF!</v>
      </c>
      <c r="CB50" s="54" t="e">
        <f t="shared" si="15"/>
        <v>#REF!</v>
      </c>
      <c r="CC50" s="54" t="e">
        <f t="shared" si="95"/>
        <v>#REF!</v>
      </c>
      <c r="CD50" s="54" t="e">
        <f t="shared" si="96"/>
        <v>#REF!</v>
      </c>
      <c r="CE50" s="54" t="e">
        <f t="shared" si="16"/>
        <v>#REF!</v>
      </c>
      <c r="CF50" s="54" t="e">
        <f t="shared" si="17"/>
        <v>#REF!</v>
      </c>
      <c r="CG50" s="54" t="e">
        <f t="shared" si="97"/>
        <v>#REF!</v>
      </c>
      <c r="CH50" s="54" t="e">
        <f t="shared" si="18"/>
        <v>#REF!</v>
      </c>
      <c r="CI50" s="54" t="e">
        <f t="shared" si="19"/>
        <v>#REF!</v>
      </c>
      <c r="CJ50" s="54" t="e">
        <f t="shared" si="98"/>
        <v>#REF!</v>
      </c>
      <c r="CK50" s="54" t="e">
        <f t="shared" si="99"/>
        <v>#REF!</v>
      </c>
      <c r="CL50" s="54" t="e">
        <f t="shared" si="100"/>
        <v>#REF!</v>
      </c>
      <c r="CM50" s="54" t="e">
        <f t="shared" si="20"/>
        <v>#REF!</v>
      </c>
      <c r="CN50" s="54" t="e">
        <f t="shared" si="21"/>
        <v>#REF!</v>
      </c>
      <c r="CO50" s="54" t="e">
        <f t="shared" si="22"/>
        <v>#REF!</v>
      </c>
      <c r="CP50" s="54" t="e">
        <f t="shared" si="23"/>
        <v>#REF!</v>
      </c>
      <c r="CQ50" s="54" t="e">
        <f t="shared" si="101"/>
        <v>#REF!</v>
      </c>
      <c r="CR50" s="54" t="e">
        <f t="shared" si="24"/>
        <v>#REF!</v>
      </c>
      <c r="CS50" s="54" t="e">
        <f t="shared" si="102"/>
        <v>#REF!</v>
      </c>
      <c r="CT50" s="54" t="e">
        <f t="shared" si="103"/>
        <v>#REF!</v>
      </c>
      <c r="CU50" s="54" t="e">
        <f t="shared" si="104"/>
        <v>#REF!</v>
      </c>
      <c r="CV50" s="54" t="e">
        <f t="shared" si="25"/>
        <v>#REF!</v>
      </c>
      <c r="CW50" s="54" t="e">
        <f t="shared" si="105"/>
        <v>#REF!</v>
      </c>
      <c r="CX50" s="54" t="e">
        <f t="shared" si="106"/>
        <v>#REF!</v>
      </c>
      <c r="CY50" s="54" t="e">
        <f t="shared" si="107"/>
        <v>#REF!</v>
      </c>
      <c r="CZ50" s="54" t="e">
        <f t="shared" si="26"/>
        <v>#REF!</v>
      </c>
      <c r="DA50" s="54" t="e">
        <f t="shared" si="108"/>
        <v>#REF!</v>
      </c>
      <c r="DB50" s="54" t="e">
        <f t="shared" si="109"/>
        <v>#REF!</v>
      </c>
      <c r="DC50" s="54" t="e">
        <f t="shared" si="110"/>
        <v>#REF!</v>
      </c>
      <c r="DD50" s="54" t="e">
        <f t="shared" si="27"/>
        <v>#REF!</v>
      </c>
      <c r="DE50" s="54" t="e">
        <f t="shared" si="28"/>
        <v>#REF!</v>
      </c>
      <c r="DF50" s="54" t="e">
        <f t="shared" si="111"/>
        <v>#REF!</v>
      </c>
      <c r="DG50" s="54" t="e">
        <f t="shared" si="29"/>
        <v>#REF!</v>
      </c>
      <c r="DH50" s="54" t="e">
        <f t="shared" si="30"/>
        <v>#REF!</v>
      </c>
      <c r="DI50" s="54" t="e">
        <f t="shared" si="31"/>
        <v>#REF!</v>
      </c>
      <c r="DJ50" s="54" t="e">
        <f t="shared" si="112"/>
        <v>#REF!</v>
      </c>
      <c r="DK50" s="54" t="e">
        <f t="shared" si="113"/>
        <v>#REF!</v>
      </c>
      <c r="DL50" s="54" t="e">
        <f t="shared" si="32"/>
        <v>#REF!</v>
      </c>
      <c r="DM50" s="54" t="e">
        <f t="shared" si="33"/>
        <v>#REF!</v>
      </c>
      <c r="DN50" s="54" t="e">
        <f t="shared" si="34"/>
        <v>#REF!</v>
      </c>
      <c r="DO50" s="54" t="e">
        <f t="shared" si="35"/>
        <v>#REF!</v>
      </c>
      <c r="DP50" s="54" t="e">
        <f t="shared" si="114"/>
        <v>#REF!</v>
      </c>
      <c r="DQ50" s="54" t="e">
        <f t="shared" si="36"/>
        <v>#REF!</v>
      </c>
      <c r="DR50" s="54" t="e">
        <f t="shared" si="115"/>
        <v>#REF!</v>
      </c>
      <c r="DS50" s="54" t="e">
        <f t="shared" si="37"/>
        <v>#REF!</v>
      </c>
      <c r="DT50" s="54" t="e">
        <f t="shared" si="116"/>
        <v>#REF!</v>
      </c>
      <c r="DU50" s="54" t="e">
        <f t="shared" si="117"/>
        <v>#REF!</v>
      </c>
      <c r="DV50" s="54" t="e">
        <f t="shared" si="118"/>
        <v>#REF!</v>
      </c>
      <c r="DW50" s="54" t="e">
        <f t="shared" si="38"/>
        <v>#REF!</v>
      </c>
      <c r="DX50" s="54" t="e">
        <f t="shared" si="119"/>
        <v>#REF!</v>
      </c>
      <c r="DY50" s="54" t="e">
        <f t="shared" si="120"/>
        <v>#REF!</v>
      </c>
      <c r="DZ50" s="54" t="e">
        <f t="shared" si="121"/>
        <v>#REF!</v>
      </c>
      <c r="EA50" s="54" t="e">
        <f t="shared" si="39"/>
        <v>#REF!</v>
      </c>
      <c r="EB50" s="54" t="e">
        <f t="shared" si="40"/>
        <v>#REF!</v>
      </c>
      <c r="EC50" s="54" t="e">
        <f t="shared" si="122"/>
        <v>#REF!</v>
      </c>
      <c r="ED50" s="54" t="e">
        <f t="shared" si="41"/>
        <v>#REF!</v>
      </c>
      <c r="EE50" s="54" t="e">
        <f t="shared" si="42"/>
        <v>#REF!</v>
      </c>
      <c r="EF50" s="54" t="e">
        <f t="shared" si="43"/>
        <v>#REF!</v>
      </c>
      <c r="EG50" s="54" t="e">
        <f t="shared" si="123"/>
        <v>#REF!</v>
      </c>
      <c r="EH50" s="54" t="e">
        <f t="shared" si="124"/>
        <v>#REF!</v>
      </c>
      <c r="EI50" s="54" t="e">
        <f t="shared" si="125"/>
        <v>#REF!</v>
      </c>
      <c r="EJ50" s="54" t="e">
        <f t="shared" si="126"/>
        <v>#REF!</v>
      </c>
      <c r="EK50" s="54" t="e">
        <f t="shared" si="127"/>
        <v>#REF!</v>
      </c>
      <c r="EL50" s="54" t="e">
        <f t="shared" si="128"/>
        <v>#REF!</v>
      </c>
      <c r="EM50" s="54" t="e">
        <f t="shared" si="44"/>
        <v>#REF!</v>
      </c>
      <c r="EN50" s="54" t="e">
        <f t="shared" si="45"/>
        <v>#REF!</v>
      </c>
      <c r="EO50" s="54" t="e">
        <f t="shared" si="46"/>
        <v>#REF!</v>
      </c>
      <c r="EP50" s="54" t="e">
        <f t="shared" si="47"/>
        <v>#REF!</v>
      </c>
      <c r="EQ50" s="54" t="e">
        <f t="shared" si="48"/>
        <v>#REF!</v>
      </c>
      <c r="ER50" s="54" t="e">
        <f t="shared" si="129"/>
        <v>#REF!</v>
      </c>
      <c r="ES50" s="54" t="e">
        <f t="shared" si="130"/>
        <v>#REF!</v>
      </c>
      <c r="ET50" s="54" t="e">
        <f t="shared" si="131"/>
        <v>#REF!</v>
      </c>
      <c r="EU50" s="54" t="e">
        <f t="shared" si="49"/>
        <v>#REF!</v>
      </c>
      <c r="EV50" s="54" t="e">
        <f t="shared" si="132"/>
        <v>#REF!</v>
      </c>
      <c r="EW50" s="54" t="e">
        <f t="shared" si="133"/>
        <v>#REF!</v>
      </c>
      <c r="EX50" s="54" t="e">
        <f t="shared" si="134"/>
        <v>#REF!</v>
      </c>
      <c r="EY50" s="54" t="e">
        <f t="shared" si="50"/>
        <v>#REF!</v>
      </c>
      <c r="EZ50" s="54" t="e">
        <f t="shared" si="51"/>
        <v>#REF!</v>
      </c>
      <c r="FA50" s="54" t="e">
        <f t="shared" si="135"/>
        <v>#REF!</v>
      </c>
      <c r="FB50" s="54" t="e">
        <f t="shared" si="136"/>
        <v>#REF!</v>
      </c>
      <c r="FC50" s="54" t="e">
        <f t="shared" si="137"/>
        <v>#REF!</v>
      </c>
      <c r="FD50" s="54" t="e">
        <f t="shared" si="138"/>
        <v>#REF!</v>
      </c>
      <c r="FE50" s="54" t="e">
        <f t="shared" si="139"/>
        <v>#REF!</v>
      </c>
      <c r="FF50" s="54" t="e">
        <f t="shared" si="140"/>
        <v>#REF!</v>
      </c>
      <c r="FG50" s="54" t="e">
        <f t="shared" si="141"/>
        <v>#REF!</v>
      </c>
      <c r="FH50" s="54" t="e">
        <f t="shared" si="52"/>
        <v>#REF!</v>
      </c>
      <c r="FI50" s="56" t="e">
        <f t="shared" si="142"/>
        <v>#N/A</v>
      </c>
      <c r="FJ50">
        <f t="shared" si="53"/>
        <v>0.75</v>
      </c>
      <c r="FK50" s="57">
        <f>'1PROJE'!$M$3</f>
        <v>1.18</v>
      </c>
      <c r="FL50" s="37" t="e">
        <f t="shared" si="143"/>
        <v>#N/A</v>
      </c>
    </row>
    <row r="51" spans="1:168" ht="15.75">
      <c r="AA51" s="55">
        <f t="shared" ref="AA51:AB51" si="148">AA31</f>
        <v>25</v>
      </c>
      <c r="AB51" s="54" t="e">
        <f t="shared" si="148"/>
        <v>#N/A</v>
      </c>
      <c r="AC51" s="54"/>
      <c r="AD51" s="54"/>
      <c r="AE51" s="54" t="e">
        <f t="shared" ref="AE51:AF51" si="149">AE31</f>
        <v>#N/A</v>
      </c>
      <c r="AF51" s="54">
        <f t="shared" si="149"/>
        <v>0</v>
      </c>
      <c r="AH51" s="54" t="e">
        <f t="shared" si="56"/>
        <v>#REF!</v>
      </c>
      <c r="AI51" s="54" t="e">
        <f t="shared" si="57"/>
        <v>#REF!</v>
      </c>
      <c r="AJ51" s="54" t="e">
        <f t="shared" si="58"/>
        <v>#REF!</v>
      </c>
      <c r="AK51" s="54" t="e">
        <f t="shared" si="59"/>
        <v>#REF!</v>
      </c>
      <c r="AL51" s="54" t="e">
        <f t="shared" si="60"/>
        <v>#REF!</v>
      </c>
      <c r="AM51" s="54" t="e">
        <f t="shared" si="61"/>
        <v>#REF!</v>
      </c>
      <c r="AN51" s="54">
        <f t="shared" si="62"/>
        <v>0</v>
      </c>
      <c r="AO51" s="54" t="e">
        <f t="shared" si="63"/>
        <v>#REF!</v>
      </c>
      <c r="AP51" s="54" t="e">
        <f t="shared" si="64"/>
        <v>#REF!</v>
      </c>
      <c r="AQ51" s="54" t="e">
        <f t="shared" si="65"/>
        <v>#REF!</v>
      </c>
      <c r="AR51" s="54" t="e">
        <f t="shared" si="66"/>
        <v>#REF!</v>
      </c>
      <c r="AS51" s="54" t="e">
        <f t="shared" si="67"/>
        <v>#REF!</v>
      </c>
      <c r="AT51" s="54" t="e">
        <f t="shared" si="68"/>
        <v>#REF!</v>
      </c>
      <c r="AU51" s="54" t="e">
        <f t="shared" si="69"/>
        <v>#REF!</v>
      </c>
      <c r="AV51" s="54" t="e">
        <f t="shared" si="70"/>
        <v>#REF!</v>
      </c>
      <c r="AW51" s="54" t="e">
        <f t="shared" si="71"/>
        <v>#REF!</v>
      </c>
      <c r="AX51" s="54" t="e">
        <f t="shared" si="72"/>
        <v>#REF!</v>
      </c>
      <c r="AY51" s="54" t="e">
        <f t="shared" si="73"/>
        <v>#REF!</v>
      </c>
      <c r="AZ51" s="54" t="e">
        <f t="shared" si="74"/>
        <v>#REF!</v>
      </c>
      <c r="BA51" s="54" t="e">
        <f t="shared" si="75"/>
        <v>#REF!</v>
      </c>
      <c r="BB51" s="54" t="e">
        <f t="shared" si="76"/>
        <v>#REF!</v>
      </c>
      <c r="BC51" s="54" t="e">
        <f t="shared" si="77"/>
        <v>#REF!</v>
      </c>
      <c r="BD51" s="54" t="e">
        <f t="shared" si="78"/>
        <v>#REF!</v>
      </c>
      <c r="BE51" s="54" t="e">
        <f t="shared" si="79"/>
        <v>#REF!</v>
      </c>
      <c r="BF51" s="54" t="e">
        <f t="shared" si="80"/>
        <v>#REF!</v>
      </c>
      <c r="BG51" s="54" t="e">
        <f t="shared" si="81"/>
        <v>#REF!</v>
      </c>
      <c r="BH51" s="54" t="e">
        <f t="shared" si="82"/>
        <v>#REF!</v>
      </c>
      <c r="BI51" s="54" t="e">
        <f t="shared" si="83"/>
        <v>#REF!</v>
      </c>
      <c r="BJ51" s="54" t="e">
        <f t="shared" si="84"/>
        <v>#REF!</v>
      </c>
      <c r="BK51" s="54" t="e">
        <f t="shared" si="85"/>
        <v>#REF!</v>
      </c>
      <c r="BL51" s="54" t="e">
        <f t="shared" si="86"/>
        <v>#REF!</v>
      </c>
      <c r="BM51" s="54" t="e">
        <f t="shared" si="87"/>
        <v>#REF!</v>
      </c>
      <c r="BN51" s="54" t="e">
        <f t="shared" si="88"/>
        <v>#REF!</v>
      </c>
      <c r="BO51" s="54" t="e">
        <f t="shared" si="89"/>
        <v>#REF!</v>
      </c>
      <c r="BP51" s="54" t="e">
        <f t="shared" si="8"/>
        <v>#REF!</v>
      </c>
      <c r="BQ51" s="54" t="e">
        <f t="shared" si="9"/>
        <v>#REF!</v>
      </c>
      <c r="BR51" s="54" t="e">
        <f t="shared" si="10"/>
        <v>#REF!</v>
      </c>
      <c r="BS51" s="54" t="e">
        <f t="shared" si="11"/>
        <v>#REF!</v>
      </c>
      <c r="BT51" s="54" t="e">
        <f t="shared" si="12"/>
        <v>#REF!</v>
      </c>
      <c r="BU51" s="54" t="e">
        <f t="shared" si="90"/>
        <v>#REF!</v>
      </c>
      <c r="BV51" s="54" t="e">
        <f t="shared" si="13"/>
        <v>#REF!</v>
      </c>
      <c r="BW51" s="54" t="e">
        <f t="shared" si="91"/>
        <v>#REF!</v>
      </c>
      <c r="BX51" s="54" t="e">
        <f t="shared" si="92"/>
        <v>#REF!</v>
      </c>
      <c r="BY51" s="54" t="e">
        <f t="shared" si="93"/>
        <v>#REF!</v>
      </c>
      <c r="BZ51" s="54" t="e">
        <f t="shared" si="94"/>
        <v>#REF!</v>
      </c>
      <c r="CA51" s="54" t="e">
        <f t="shared" si="14"/>
        <v>#REF!</v>
      </c>
      <c r="CB51" s="54" t="e">
        <f t="shared" si="15"/>
        <v>#REF!</v>
      </c>
      <c r="CC51" s="54" t="e">
        <f t="shared" si="95"/>
        <v>#REF!</v>
      </c>
      <c r="CD51" s="54" t="e">
        <f t="shared" si="96"/>
        <v>#REF!</v>
      </c>
      <c r="CE51" s="54" t="e">
        <f t="shared" si="16"/>
        <v>#REF!</v>
      </c>
      <c r="CF51" s="54" t="e">
        <f t="shared" si="17"/>
        <v>#REF!</v>
      </c>
      <c r="CG51" s="54" t="e">
        <f t="shared" si="97"/>
        <v>#REF!</v>
      </c>
      <c r="CH51" s="54" t="e">
        <f t="shared" si="18"/>
        <v>#REF!</v>
      </c>
      <c r="CI51" s="54" t="e">
        <f t="shared" si="19"/>
        <v>#REF!</v>
      </c>
      <c r="CJ51" s="54" t="e">
        <f t="shared" si="98"/>
        <v>#REF!</v>
      </c>
      <c r="CK51" s="54" t="e">
        <f t="shared" si="99"/>
        <v>#REF!</v>
      </c>
      <c r="CL51" s="54" t="e">
        <f t="shared" si="100"/>
        <v>#REF!</v>
      </c>
      <c r="CM51" s="54" t="e">
        <f t="shared" si="20"/>
        <v>#REF!</v>
      </c>
      <c r="CN51" s="54" t="e">
        <f t="shared" si="21"/>
        <v>#REF!</v>
      </c>
      <c r="CO51" s="54" t="e">
        <f t="shared" si="22"/>
        <v>#REF!</v>
      </c>
      <c r="CP51" s="54" t="e">
        <f t="shared" si="23"/>
        <v>#REF!</v>
      </c>
      <c r="CQ51" s="54" t="e">
        <f t="shared" si="101"/>
        <v>#REF!</v>
      </c>
      <c r="CR51" s="54" t="e">
        <f t="shared" si="24"/>
        <v>#REF!</v>
      </c>
      <c r="CS51" s="54" t="e">
        <f t="shared" si="102"/>
        <v>#REF!</v>
      </c>
      <c r="CT51" s="54" t="e">
        <f t="shared" si="103"/>
        <v>#REF!</v>
      </c>
      <c r="CU51" s="54" t="e">
        <f t="shared" si="104"/>
        <v>#REF!</v>
      </c>
      <c r="CV51" s="54" t="e">
        <f t="shared" si="25"/>
        <v>#REF!</v>
      </c>
      <c r="CW51" s="54" t="e">
        <f t="shared" si="105"/>
        <v>#REF!</v>
      </c>
      <c r="CX51" s="54" t="e">
        <f t="shared" si="106"/>
        <v>#REF!</v>
      </c>
      <c r="CY51" s="54" t="e">
        <f t="shared" si="107"/>
        <v>#REF!</v>
      </c>
      <c r="CZ51" s="54" t="e">
        <f t="shared" si="26"/>
        <v>#REF!</v>
      </c>
      <c r="DA51" s="54" t="e">
        <f t="shared" si="108"/>
        <v>#REF!</v>
      </c>
      <c r="DB51" s="54" t="e">
        <f t="shared" si="109"/>
        <v>#REF!</v>
      </c>
      <c r="DC51" s="54" t="e">
        <f t="shared" si="110"/>
        <v>#REF!</v>
      </c>
      <c r="DD51" s="54" t="e">
        <f t="shared" si="27"/>
        <v>#REF!</v>
      </c>
      <c r="DE51" s="54" t="e">
        <f t="shared" si="28"/>
        <v>#REF!</v>
      </c>
      <c r="DF51" s="54" t="e">
        <f t="shared" si="111"/>
        <v>#REF!</v>
      </c>
      <c r="DG51" s="54" t="e">
        <f t="shared" si="29"/>
        <v>#REF!</v>
      </c>
      <c r="DH51" s="54" t="e">
        <f t="shared" si="30"/>
        <v>#REF!</v>
      </c>
      <c r="DI51" s="54" t="e">
        <f t="shared" si="31"/>
        <v>#REF!</v>
      </c>
      <c r="DJ51" s="54" t="e">
        <f t="shared" si="112"/>
        <v>#REF!</v>
      </c>
      <c r="DK51" s="54" t="e">
        <f t="shared" si="113"/>
        <v>#REF!</v>
      </c>
      <c r="DL51" s="54" t="e">
        <f t="shared" si="32"/>
        <v>#REF!</v>
      </c>
      <c r="DM51" s="54" t="e">
        <f t="shared" si="33"/>
        <v>#REF!</v>
      </c>
      <c r="DN51" s="54" t="e">
        <f t="shared" si="34"/>
        <v>#REF!</v>
      </c>
      <c r="DO51" s="54" t="e">
        <f t="shared" si="35"/>
        <v>#REF!</v>
      </c>
      <c r="DP51" s="54" t="e">
        <f t="shared" si="114"/>
        <v>#REF!</v>
      </c>
      <c r="DQ51" s="54" t="e">
        <f t="shared" si="36"/>
        <v>#REF!</v>
      </c>
      <c r="DR51" s="54" t="e">
        <f t="shared" si="115"/>
        <v>#REF!</v>
      </c>
      <c r="DS51" s="54" t="e">
        <f t="shared" si="37"/>
        <v>#REF!</v>
      </c>
      <c r="DT51" s="54" t="e">
        <f t="shared" si="116"/>
        <v>#REF!</v>
      </c>
      <c r="DU51" s="54" t="e">
        <f t="shared" si="117"/>
        <v>#REF!</v>
      </c>
      <c r="DV51" s="54" t="e">
        <f t="shared" si="118"/>
        <v>#REF!</v>
      </c>
      <c r="DW51" s="54" t="e">
        <f t="shared" si="38"/>
        <v>#REF!</v>
      </c>
      <c r="DX51" s="54" t="e">
        <f t="shared" si="119"/>
        <v>#REF!</v>
      </c>
      <c r="DY51" s="54" t="e">
        <f t="shared" si="120"/>
        <v>#REF!</v>
      </c>
      <c r="DZ51" s="54" t="e">
        <f t="shared" si="121"/>
        <v>#REF!</v>
      </c>
      <c r="EA51" s="54" t="e">
        <f t="shared" si="39"/>
        <v>#REF!</v>
      </c>
      <c r="EB51" s="54" t="e">
        <f t="shared" si="40"/>
        <v>#REF!</v>
      </c>
      <c r="EC51" s="54" t="e">
        <f t="shared" si="122"/>
        <v>#REF!</v>
      </c>
      <c r="ED51" s="54" t="e">
        <f t="shared" si="41"/>
        <v>#REF!</v>
      </c>
      <c r="EE51" s="54" t="e">
        <f t="shared" si="42"/>
        <v>#REF!</v>
      </c>
      <c r="EF51" s="54" t="e">
        <f t="shared" si="43"/>
        <v>#REF!</v>
      </c>
      <c r="EG51" s="54" t="e">
        <f t="shared" si="123"/>
        <v>#REF!</v>
      </c>
      <c r="EH51" s="54" t="e">
        <f t="shared" si="124"/>
        <v>#REF!</v>
      </c>
      <c r="EI51" s="54" t="e">
        <f t="shared" si="125"/>
        <v>#REF!</v>
      </c>
      <c r="EJ51" s="54" t="e">
        <f t="shared" si="126"/>
        <v>#REF!</v>
      </c>
      <c r="EK51" s="54" t="e">
        <f t="shared" si="127"/>
        <v>#REF!</v>
      </c>
      <c r="EL51" s="54" t="e">
        <f t="shared" si="128"/>
        <v>#REF!</v>
      </c>
      <c r="EM51" s="54" t="e">
        <f t="shared" si="44"/>
        <v>#REF!</v>
      </c>
      <c r="EN51" s="54" t="e">
        <f t="shared" si="45"/>
        <v>#REF!</v>
      </c>
      <c r="EO51" s="54" t="e">
        <f t="shared" si="46"/>
        <v>#REF!</v>
      </c>
      <c r="EP51" s="54" t="e">
        <f t="shared" si="47"/>
        <v>#REF!</v>
      </c>
      <c r="EQ51" s="54" t="e">
        <f t="shared" si="48"/>
        <v>#REF!</v>
      </c>
      <c r="ER51" s="54" t="e">
        <f t="shared" si="129"/>
        <v>#REF!</v>
      </c>
      <c r="ES51" s="54" t="e">
        <f t="shared" si="130"/>
        <v>#REF!</v>
      </c>
      <c r="ET51" s="54" t="e">
        <f t="shared" si="131"/>
        <v>#REF!</v>
      </c>
      <c r="EU51" s="54" t="e">
        <f t="shared" si="49"/>
        <v>#REF!</v>
      </c>
      <c r="EV51" s="54" t="e">
        <f t="shared" si="132"/>
        <v>#REF!</v>
      </c>
      <c r="EW51" s="54" t="e">
        <f t="shared" si="133"/>
        <v>#REF!</v>
      </c>
      <c r="EX51" s="54" t="e">
        <f t="shared" si="134"/>
        <v>#REF!</v>
      </c>
      <c r="EY51" s="54" t="e">
        <f t="shared" si="50"/>
        <v>#REF!</v>
      </c>
      <c r="EZ51" s="54" t="e">
        <f t="shared" si="51"/>
        <v>#REF!</v>
      </c>
      <c r="FA51" s="54" t="e">
        <f t="shared" si="135"/>
        <v>#REF!</v>
      </c>
      <c r="FB51" s="54" t="e">
        <f t="shared" si="136"/>
        <v>#REF!</v>
      </c>
      <c r="FC51" s="54" t="e">
        <f t="shared" si="137"/>
        <v>#REF!</v>
      </c>
      <c r="FD51" s="54" t="e">
        <f t="shared" si="138"/>
        <v>#REF!</v>
      </c>
      <c r="FE51" s="54" t="e">
        <f t="shared" si="139"/>
        <v>#REF!</v>
      </c>
      <c r="FF51" s="54" t="e">
        <f t="shared" si="140"/>
        <v>#REF!</v>
      </c>
      <c r="FG51" s="54" t="e">
        <f t="shared" si="141"/>
        <v>#REF!</v>
      </c>
      <c r="FH51" s="54" t="e">
        <f t="shared" si="52"/>
        <v>#REF!</v>
      </c>
      <c r="FI51" s="56" t="e">
        <f t="shared" si="142"/>
        <v>#N/A</v>
      </c>
      <c r="FJ51">
        <f t="shared" si="53"/>
        <v>0.75</v>
      </c>
      <c r="FK51" s="57">
        <f>'1PROJE'!$M$3</f>
        <v>1.18</v>
      </c>
      <c r="FL51" s="37" t="e">
        <f t="shared" si="143"/>
        <v>#N/A</v>
      </c>
    </row>
    <row r="52" spans="1:168" ht="15.75">
      <c r="AA52" s="55">
        <f t="shared" ref="AA52:AB52" si="150">AA32</f>
        <v>25</v>
      </c>
      <c r="AB52" s="54" t="e">
        <f t="shared" si="150"/>
        <v>#N/A</v>
      </c>
      <c r="AC52" s="54"/>
      <c r="AD52" s="54"/>
      <c r="AE52" s="54" t="e">
        <f t="shared" ref="AE52:AF52" si="151">AE32</f>
        <v>#N/A</v>
      </c>
      <c r="AF52" s="54">
        <f t="shared" si="151"/>
        <v>0</v>
      </c>
      <c r="AH52" s="54" t="e">
        <f t="shared" si="56"/>
        <v>#REF!</v>
      </c>
      <c r="AI52" s="54" t="e">
        <f t="shared" si="57"/>
        <v>#REF!</v>
      </c>
      <c r="AJ52" s="54" t="e">
        <f t="shared" si="58"/>
        <v>#REF!</v>
      </c>
      <c r="AK52" s="54" t="e">
        <f t="shared" si="59"/>
        <v>#REF!</v>
      </c>
      <c r="AL52" s="54" t="e">
        <f t="shared" si="60"/>
        <v>#REF!</v>
      </c>
      <c r="AM52" s="54" t="e">
        <f t="shared" si="61"/>
        <v>#REF!</v>
      </c>
      <c r="AN52" s="54">
        <f t="shared" si="62"/>
        <v>0</v>
      </c>
      <c r="AO52" s="54" t="e">
        <f t="shared" si="63"/>
        <v>#REF!</v>
      </c>
      <c r="AP52" s="54" t="e">
        <f t="shared" si="64"/>
        <v>#REF!</v>
      </c>
      <c r="AQ52" s="54" t="e">
        <f t="shared" si="65"/>
        <v>#REF!</v>
      </c>
      <c r="AR52" s="54" t="e">
        <f t="shared" si="66"/>
        <v>#REF!</v>
      </c>
      <c r="AS52" s="54" t="e">
        <f t="shared" si="67"/>
        <v>#REF!</v>
      </c>
      <c r="AT52" s="54" t="e">
        <f t="shared" si="68"/>
        <v>#REF!</v>
      </c>
      <c r="AU52" s="54" t="e">
        <f t="shared" si="69"/>
        <v>#REF!</v>
      </c>
      <c r="AV52" s="54" t="e">
        <f t="shared" si="70"/>
        <v>#REF!</v>
      </c>
      <c r="AW52" s="54" t="e">
        <f t="shared" si="71"/>
        <v>#REF!</v>
      </c>
      <c r="AX52" s="54" t="e">
        <f t="shared" si="72"/>
        <v>#REF!</v>
      </c>
      <c r="AY52" s="54" t="e">
        <f t="shared" si="73"/>
        <v>#REF!</v>
      </c>
      <c r="AZ52" s="54" t="e">
        <f t="shared" si="74"/>
        <v>#REF!</v>
      </c>
      <c r="BA52" s="54" t="e">
        <f t="shared" si="75"/>
        <v>#REF!</v>
      </c>
      <c r="BB52" s="54" t="e">
        <f t="shared" si="76"/>
        <v>#REF!</v>
      </c>
      <c r="BC52" s="54" t="e">
        <f t="shared" si="77"/>
        <v>#REF!</v>
      </c>
      <c r="BD52" s="54" t="e">
        <f t="shared" si="78"/>
        <v>#REF!</v>
      </c>
      <c r="BE52" s="54" t="e">
        <f t="shared" si="79"/>
        <v>#REF!</v>
      </c>
      <c r="BF52" s="54" t="e">
        <f t="shared" si="80"/>
        <v>#REF!</v>
      </c>
      <c r="BG52" s="54" t="e">
        <f t="shared" si="81"/>
        <v>#REF!</v>
      </c>
      <c r="BH52" s="54" t="e">
        <f t="shared" si="82"/>
        <v>#REF!</v>
      </c>
      <c r="BI52" s="54" t="e">
        <f t="shared" si="83"/>
        <v>#REF!</v>
      </c>
      <c r="BJ52" s="54" t="e">
        <f t="shared" si="84"/>
        <v>#REF!</v>
      </c>
      <c r="BK52" s="54" t="e">
        <f t="shared" si="85"/>
        <v>#REF!</v>
      </c>
      <c r="BL52" s="54" t="e">
        <f t="shared" si="86"/>
        <v>#REF!</v>
      </c>
      <c r="BM52" s="54" t="e">
        <f t="shared" si="87"/>
        <v>#REF!</v>
      </c>
      <c r="BN52" s="54" t="e">
        <f t="shared" si="88"/>
        <v>#REF!</v>
      </c>
      <c r="BO52" s="54" t="e">
        <f t="shared" si="89"/>
        <v>#REF!</v>
      </c>
      <c r="BP52" s="54" t="e">
        <f t="shared" si="8"/>
        <v>#REF!</v>
      </c>
      <c r="BQ52" s="54" t="e">
        <f t="shared" si="9"/>
        <v>#REF!</v>
      </c>
      <c r="BR52" s="54" t="e">
        <f t="shared" si="10"/>
        <v>#REF!</v>
      </c>
      <c r="BS52" s="54" t="e">
        <f t="shared" si="11"/>
        <v>#REF!</v>
      </c>
      <c r="BT52" s="54" t="e">
        <f t="shared" si="12"/>
        <v>#REF!</v>
      </c>
      <c r="BU52" s="54" t="e">
        <f t="shared" si="90"/>
        <v>#REF!</v>
      </c>
      <c r="BV52" s="54" t="e">
        <f t="shared" si="13"/>
        <v>#REF!</v>
      </c>
      <c r="BW52" s="54" t="e">
        <f t="shared" si="91"/>
        <v>#REF!</v>
      </c>
      <c r="BX52" s="54" t="e">
        <f t="shared" si="92"/>
        <v>#REF!</v>
      </c>
      <c r="BY52" s="54" t="e">
        <f t="shared" si="93"/>
        <v>#REF!</v>
      </c>
      <c r="BZ52" s="54" t="e">
        <f t="shared" si="94"/>
        <v>#REF!</v>
      </c>
      <c r="CA52" s="54" t="e">
        <f t="shared" si="14"/>
        <v>#REF!</v>
      </c>
      <c r="CB52" s="54" t="e">
        <f t="shared" si="15"/>
        <v>#REF!</v>
      </c>
      <c r="CC52" s="54" t="e">
        <f t="shared" si="95"/>
        <v>#REF!</v>
      </c>
      <c r="CD52" s="54" t="e">
        <f t="shared" si="96"/>
        <v>#REF!</v>
      </c>
      <c r="CE52" s="54" t="e">
        <f t="shared" si="16"/>
        <v>#REF!</v>
      </c>
      <c r="CF52" s="54" t="e">
        <f t="shared" si="17"/>
        <v>#REF!</v>
      </c>
      <c r="CG52" s="54" t="e">
        <f t="shared" si="97"/>
        <v>#REF!</v>
      </c>
      <c r="CH52" s="54" t="e">
        <f t="shared" si="18"/>
        <v>#REF!</v>
      </c>
      <c r="CI52" s="54" t="e">
        <f t="shared" si="19"/>
        <v>#REF!</v>
      </c>
      <c r="CJ52" s="54" t="e">
        <f t="shared" si="98"/>
        <v>#REF!</v>
      </c>
      <c r="CK52" s="54" t="e">
        <f t="shared" si="99"/>
        <v>#REF!</v>
      </c>
      <c r="CL52" s="54" t="e">
        <f t="shared" si="100"/>
        <v>#REF!</v>
      </c>
      <c r="CM52" s="54" t="e">
        <f t="shared" si="20"/>
        <v>#REF!</v>
      </c>
      <c r="CN52" s="54" t="e">
        <f t="shared" si="21"/>
        <v>#REF!</v>
      </c>
      <c r="CO52" s="54" t="e">
        <f t="shared" si="22"/>
        <v>#REF!</v>
      </c>
      <c r="CP52" s="54" t="e">
        <f t="shared" si="23"/>
        <v>#REF!</v>
      </c>
      <c r="CQ52" s="54" t="e">
        <f t="shared" si="101"/>
        <v>#REF!</v>
      </c>
      <c r="CR52" s="54" t="e">
        <f t="shared" si="24"/>
        <v>#REF!</v>
      </c>
      <c r="CS52" s="54" t="e">
        <f t="shared" si="102"/>
        <v>#REF!</v>
      </c>
      <c r="CT52" s="54" t="e">
        <f t="shared" si="103"/>
        <v>#REF!</v>
      </c>
      <c r="CU52" s="54" t="e">
        <f t="shared" si="104"/>
        <v>#REF!</v>
      </c>
      <c r="CV52" s="54" t="e">
        <f t="shared" si="25"/>
        <v>#REF!</v>
      </c>
      <c r="CW52" s="54" t="e">
        <f t="shared" si="105"/>
        <v>#REF!</v>
      </c>
      <c r="CX52" s="54" t="e">
        <f t="shared" si="106"/>
        <v>#REF!</v>
      </c>
      <c r="CY52" s="54" t="e">
        <f t="shared" si="107"/>
        <v>#REF!</v>
      </c>
      <c r="CZ52" s="54" t="e">
        <f t="shared" si="26"/>
        <v>#REF!</v>
      </c>
      <c r="DA52" s="54" t="e">
        <f t="shared" si="108"/>
        <v>#REF!</v>
      </c>
      <c r="DB52" s="54" t="e">
        <f t="shared" si="109"/>
        <v>#REF!</v>
      </c>
      <c r="DC52" s="54" t="e">
        <f t="shared" si="110"/>
        <v>#REF!</v>
      </c>
      <c r="DD52" s="54" t="e">
        <f t="shared" si="27"/>
        <v>#REF!</v>
      </c>
      <c r="DE52" s="54" t="e">
        <f t="shared" si="28"/>
        <v>#REF!</v>
      </c>
      <c r="DF52" s="54" t="e">
        <f t="shared" si="111"/>
        <v>#REF!</v>
      </c>
      <c r="DG52" s="54" t="e">
        <f t="shared" si="29"/>
        <v>#REF!</v>
      </c>
      <c r="DH52" s="54" t="e">
        <f t="shared" si="30"/>
        <v>#REF!</v>
      </c>
      <c r="DI52" s="54" t="e">
        <f t="shared" si="31"/>
        <v>#REF!</v>
      </c>
      <c r="DJ52" s="54" t="e">
        <f t="shared" si="112"/>
        <v>#REF!</v>
      </c>
      <c r="DK52" s="54" t="e">
        <f t="shared" si="113"/>
        <v>#REF!</v>
      </c>
      <c r="DL52" s="54" t="e">
        <f t="shared" si="32"/>
        <v>#REF!</v>
      </c>
      <c r="DM52" s="54" t="e">
        <f t="shared" si="33"/>
        <v>#REF!</v>
      </c>
      <c r="DN52" s="54" t="e">
        <f t="shared" si="34"/>
        <v>#REF!</v>
      </c>
      <c r="DO52" s="54" t="e">
        <f t="shared" si="35"/>
        <v>#REF!</v>
      </c>
      <c r="DP52" s="54" t="e">
        <f t="shared" si="114"/>
        <v>#REF!</v>
      </c>
      <c r="DQ52" s="54" t="e">
        <f t="shared" si="36"/>
        <v>#REF!</v>
      </c>
      <c r="DR52" s="54" t="e">
        <f t="shared" si="115"/>
        <v>#REF!</v>
      </c>
      <c r="DS52" s="54" t="e">
        <f t="shared" si="37"/>
        <v>#REF!</v>
      </c>
      <c r="DT52" s="54" t="e">
        <f t="shared" si="116"/>
        <v>#REF!</v>
      </c>
      <c r="DU52" s="54" t="e">
        <f t="shared" si="117"/>
        <v>#REF!</v>
      </c>
      <c r="DV52" s="54" t="e">
        <f t="shared" si="118"/>
        <v>#REF!</v>
      </c>
      <c r="DW52" s="54" t="e">
        <f t="shared" si="38"/>
        <v>#REF!</v>
      </c>
      <c r="DX52" s="54" t="e">
        <f t="shared" si="119"/>
        <v>#REF!</v>
      </c>
      <c r="DY52" s="54" t="e">
        <f t="shared" si="120"/>
        <v>#REF!</v>
      </c>
      <c r="DZ52" s="54" t="e">
        <f t="shared" si="121"/>
        <v>#REF!</v>
      </c>
      <c r="EA52" s="54" t="e">
        <f t="shared" si="39"/>
        <v>#REF!</v>
      </c>
      <c r="EB52" s="54" t="e">
        <f t="shared" si="40"/>
        <v>#REF!</v>
      </c>
      <c r="EC52" s="54" t="e">
        <f t="shared" si="122"/>
        <v>#REF!</v>
      </c>
      <c r="ED52" s="54" t="e">
        <f t="shared" si="41"/>
        <v>#REF!</v>
      </c>
      <c r="EE52" s="54" t="e">
        <f t="shared" si="42"/>
        <v>#REF!</v>
      </c>
      <c r="EF52" s="54" t="e">
        <f t="shared" si="43"/>
        <v>#REF!</v>
      </c>
      <c r="EG52" s="54" t="e">
        <f t="shared" si="123"/>
        <v>#REF!</v>
      </c>
      <c r="EH52" s="54" t="e">
        <f t="shared" si="124"/>
        <v>#REF!</v>
      </c>
      <c r="EI52" s="54" t="e">
        <f t="shared" si="125"/>
        <v>#REF!</v>
      </c>
      <c r="EJ52" s="54" t="e">
        <f t="shared" si="126"/>
        <v>#REF!</v>
      </c>
      <c r="EK52" s="54" t="e">
        <f t="shared" si="127"/>
        <v>#REF!</v>
      </c>
      <c r="EL52" s="54" t="e">
        <f t="shared" si="128"/>
        <v>#REF!</v>
      </c>
      <c r="EM52" s="54" t="e">
        <f t="shared" si="44"/>
        <v>#REF!</v>
      </c>
      <c r="EN52" s="54" t="e">
        <f t="shared" si="45"/>
        <v>#REF!</v>
      </c>
      <c r="EO52" s="54" t="e">
        <f t="shared" si="46"/>
        <v>#REF!</v>
      </c>
      <c r="EP52" s="54" t="e">
        <f t="shared" si="47"/>
        <v>#REF!</v>
      </c>
      <c r="EQ52" s="54" t="e">
        <f t="shared" si="48"/>
        <v>#REF!</v>
      </c>
      <c r="ER52" s="54" t="e">
        <f t="shared" si="129"/>
        <v>#REF!</v>
      </c>
      <c r="ES52" s="54" t="e">
        <f t="shared" si="130"/>
        <v>#REF!</v>
      </c>
      <c r="ET52" s="54" t="e">
        <f t="shared" si="131"/>
        <v>#REF!</v>
      </c>
      <c r="EU52" s="54" t="e">
        <f t="shared" si="49"/>
        <v>#REF!</v>
      </c>
      <c r="EV52" s="54" t="e">
        <f t="shared" si="132"/>
        <v>#REF!</v>
      </c>
      <c r="EW52" s="54" t="e">
        <f t="shared" si="133"/>
        <v>#REF!</v>
      </c>
      <c r="EX52" s="54" t="e">
        <f t="shared" si="134"/>
        <v>#REF!</v>
      </c>
      <c r="EY52" s="54" t="e">
        <f t="shared" si="50"/>
        <v>#REF!</v>
      </c>
      <c r="EZ52" s="54" t="e">
        <f t="shared" si="51"/>
        <v>#REF!</v>
      </c>
      <c r="FA52" s="54" t="e">
        <f t="shared" si="135"/>
        <v>#REF!</v>
      </c>
      <c r="FB52" s="54" t="e">
        <f t="shared" si="136"/>
        <v>#REF!</v>
      </c>
      <c r="FC52" s="54" t="e">
        <f t="shared" si="137"/>
        <v>#REF!</v>
      </c>
      <c r="FD52" s="54" t="e">
        <f t="shared" si="138"/>
        <v>#REF!</v>
      </c>
      <c r="FE52" s="54" t="e">
        <f t="shared" si="139"/>
        <v>#REF!</v>
      </c>
      <c r="FF52" s="54" t="e">
        <f t="shared" si="140"/>
        <v>#REF!</v>
      </c>
      <c r="FG52" s="54" t="e">
        <f t="shared" si="141"/>
        <v>#REF!</v>
      </c>
      <c r="FH52" s="54" t="e">
        <f t="shared" si="52"/>
        <v>#REF!</v>
      </c>
      <c r="FI52" s="56" t="e">
        <f t="shared" si="142"/>
        <v>#N/A</v>
      </c>
      <c r="FJ52">
        <f t="shared" si="53"/>
        <v>0.75</v>
      </c>
      <c r="FK52" s="57">
        <f>'1PROJE'!$M$3</f>
        <v>1.18</v>
      </c>
      <c r="FL52" s="37" t="e">
        <f t="shared" si="143"/>
        <v>#N/A</v>
      </c>
    </row>
    <row r="53" spans="1:168" ht="15.75">
      <c r="AA53" s="55">
        <f t="shared" ref="AA53:AB53" si="152">AA33</f>
        <v>25</v>
      </c>
      <c r="AB53" s="54" t="e">
        <f t="shared" si="152"/>
        <v>#N/A</v>
      </c>
      <c r="AC53" s="54"/>
      <c r="AD53" s="54"/>
      <c r="AE53" s="54" t="e">
        <f t="shared" ref="AE53:AF53" si="153">AE33</f>
        <v>#N/A</v>
      </c>
      <c r="AF53" s="54">
        <f t="shared" si="153"/>
        <v>0</v>
      </c>
      <c r="AH53" s="54" t="e">
        <f t="shared" si="56"/>
        <v>#REF!</v>
      </c>
      <c r="AI53" s="54" t="e">
        <f t="shared" si="57"/>
        <v>#REF!</v>
      </c>
      <c r="AJ53" s="54" t="e">
        <f t="shared" si="58"/>
        <v>#REF!</v>
      </c>
      <c r="AK53" s="54" t="e">
        <f t="shared" si="59"/>
        <v>#REF!</v>
      </c>
      <c r="AL53" s="54" t="e">
        <f t="shared" si="60"/>
        <v>#REF!</v>
      </c>
      <c r="AM53" s="54" t="e">
        <f t="shared" si="61"/>
        <v>#REF!</v>
      </c>
      <c r="AN53" s="54">
        <f t="shared" si="62"/>
        <v>0</v>
      </c>
      <c r="AO53" s="54" t="e">
        <f t="shared" si="63"/>
        <v>#REF!</v>
      </c>
      <c r="AP53" s="54" t="e">
        <f t="shared" si="64"/>
        <v>#REF!</v>
      </c>
      <c r="AQ53" s="54" t="e">
        <f t="shared" si="65"/>
        <v>#REF!</v>
      </c>
      <c r="AR53" s="54" t="e">
        <f t="shared" si="66"/>
        <v>#REF!</v>
      </c>
      <c r="AS53" s="54" t="e">
        <f t="shared" si="67"/>
        <v>#REF!</v>
      </c>
      <c r="AT53" s="54" t="e">
        <f t="shared" si="68"/>
        <v>#REF!</v>
      </c>
      <c r="AU53" s="54" t="e">
        <f t="shared" si="69"/>
        <v>#REF!</v>
      </c>
      <c r="AV53" s="54" t="e">
        <f t="shared" si="70"/>
        <v>#REF!</v>
      </c>
      <c r="AW53" s="54" t="e">
        <f t="shared" si="71"/>
        <v>#REF!</v>
      </c>
      <c r="AX53" s="54" t="e">
        <f t="shared" si="72"/>
        <v>#REF!</v>
      </c>
      <c r="AY53" s="54" t="e">
        <f t="shared" si="73"/>
        <v>#REF!</v>
      </c>
      <c r="AZ53" s="54" t="e">
        <f t="shared" si="74"/>
        <v>#REF!</v>
      </c>
      <c r="BA53" s="54" t="e">
        <f t="shared" si="75"/>
        <v>#REF!</v>
      </c>
      <c r="BB53" s="54" t="e">
        <f t="shared" si="76"/>
        <v>#REF!</v>
      </c>
      <c r="BC53" s="54" t="e">
        <f t="shared" si="77"/>
        <v>#REF!</v>
      </c>
      <c r="BD53" s="54" t="e">
        <f t="shared" si="78"/>
        <v>#REF!</v>
      </c>
      <c r="BE53" s="54" t="e">
        <f t="shared" si="79"/>
        <v>#REF!</v>
      </c>
      <c r="BF53" s="54" t="e">
        <f t="shared" si="80"/>
        <v>#REF!</v>
      </c>
      <c r="BG53" s="54" t="e">
        <f t="shared" si="81"/>
        <v>#REF!</v>
      </c>
      <c r="BH53" s="54" t="e">
        <f t="shared" si="82"/>
        <v>#REF!</v>
      </c>
      <c r="BI53" s="54" t="e">
        <f t="shared" si="83"/>
        <v>#REF!</v>
      </c>
      <c r="BJ53" s="54" t="e">
        <f t="shared" si="84"/>
        <v>#REF!</v>
      </c>
      <c r="BK53" s="54" t="e">
        <f t="shared" si="85"/>
        <v>#REF!</v>
      </c>
      <c r="BL53" s="54" t="e">
        <f t="shared" si="86"/>
        <v>#REF!</v>
      </c>
      <c r="BM53" s="54" t="e">
        <f t="shared" si="87"/>
        <v>#REF!</v>
      </c>
      <c r="BN53" s="54" t="e">
        <f t="shared" si="88"/>
        <v>#REF!</v>
      </c>
      <c r="BO53" s="54" t="e">
        <f t="shared" si="89"/>
        <v>#REF!</v>
      </c>
      <c r="BP53" s="54" t="e">
        <f t="shared" si="8"/>
        <v>#REF!</v>
      </c>
      <c r="BQ53" s="54" t="e">
        <f t="shared" si="9"/>
        <v>#REF!</v>
      </c>
      <c r="BR53" s="54" t="e">
        <f t="shared" si="10"/>
        <v>#REF!</v>
      </c>
      <c r="BS53" s="54" t="e">
        <f t="shared" si="11"/>
        <v>#REF!</v>
      </c>
      <c r="BT53" s="54" t="e">
        <f t="shared" si="12"/>
        <v>#REF!</v>
      </c>
      <c r="BU53" s="54" t="e">
        <f t="shared" si="90"/>
        <v>#REF!</v>
      </c>
      <c r="BV53" s="54" t="e">
        <f t="shared" si="13"/>
        <v>#REF!</v>
      </c>
      <c r="BW53" s="54" t="e">
        <f t="shared" si="91"/>
        <v>#REF!</v>
      </c>
      <c r="BX53" s="54" t="e">
        <f t="shared" si="92"/>
        <v>#REF!</v>
      </c>
      <c r="BY53" s="54" t="e">
        <f t="shared" si="93"/>
        <v>#REF!</v>
      </c>
      <c r="BZ53" s="54" t="e">
        <f t="shared" si="94"/>
        <v>#REF!</v>
      </c>
      <c r="CA53" s="54" t="e">
        <f t="shared" si="14"/>
        <v>#REF!</v>
      </c>
      <c r="CB53" s="54" t="e">
        <f t="shared" si="15"/>
        <v>#REF!</v>
      </c>
      <c r="CC53" s="54" t="e">
        <f t="shared" si="95"/>
        <v>#REF!</v>
      </c>
      <c r="CD53" s="54" t="e">
        <f t="shared" si="96"/>
        <v>#REF!</v>
      </c>
      <c r="CE53" s="54" t="e">
        <f t="shared" si="16"/>
        <v>#REF!</v>
      </c>
      <c r="CF53" s="54" t="e">
        <f t="shared" si="17"/>
        <v>#REF!</v>
      </c>
      <c r="CG53" s="54" t="e">
        <f t="shared" si="97"/>
        <v>#REF!</v>
      </c>
      <c r="CH53" s="54" t="e">
        <f t="shared" si="18"/>
        <v>#REF!</v>
      </c>
      <c r="CI53" s="54" t="e">
        <f t="shared" si="19"/>
        <v>#REF!</v>
      </c>
      <c r="CJ53" s="54" t="e">
        <f t="shared" si="98"/>
        <v>#REF!</v>
      </c>
      <c r="CK53" s="54" t="e">
        <f t="shared" si="99"/>
        <v>#REF!</v>
      </c>
      <c r="CL53" s="54" t="e">
        <f t="shared" si="100"/>
        <v>#REF!</v>
      </c>
      <c r="CM53" s="54" t="e">
        <f t="shared" si="20"/>
        <v>#REF!</v>
      </c>
      <c r="CN53" s="54" t="e">
        <f t="shared" si="21"/>
        <v>#REF!</v>
      </c>
      <c r="CO53" s="54" t="e">
        <f t="shared" si="22"/>
        <v>#REF!</v>
      </c>
      <c r="CP53" s="54" t="e">
        <f t="shared" si="23"/>
        <v>#REF!</v>
      </c>
      <c r="CQ53" s="54" t="e">
        <f t="shared" si="101"/>
        <v>#REF!</v>
      </c>
      <c r="CR53" s="54" t="e">
        <f t="shared" si="24"/>
        <v>#REF!</v>
      </c>
      <c r="CS53" s="54" t="e">
        <f t="shared" si="102"/>
        <v>#REF!</v>
      </c>
      <c r="CT53" s="54" t="e">
        <f t="shared" si="103"/>
        <v>#REF!</v>
      </c>
      <c r="CU53" s="54" t="e">
        <f t="shared" si="104"/>
        <v>#REF!</v>
      </c>
      <c r="CV53" s="54" t="e">
        <f t="shared" si="25"/>
        <v>#REF!</v>
      </c>
      <c r="CW53" s="54" t="e">
        <f t="shared" si="105"/>
        <v>#REF!</v>
      </c>
      <c r="CX53" s="54" t="e">
        <f t="shared" si="106"/>
        <v>#REF!</v>
      </c>
      <c r="CY53" s="54" t="e">
        <f t="shared" si="107"/>
        <v>#REF!</v>
      </c>
      <c r="CZ53" s="54" t="e">
        <f t="shared" si="26"/>
        <v>#REF!</v>
      </c>
      <c r="DA53" s="54" t="e">
        <f t="shared" si="108"/>
        <v>#REF!</v>
      </c>
      <c r="DB53" s="54" t="e">
        <f t="shared" si="109"/>
        <v>#REF!</v>
      </c>
      <c r="DC53" s="54" t="e">
        <f t="shared" si="110"/>
        <v>#REF!</v>
      </c>
      <c r="DD53" s="54" t="e">
        <f t="shared" si="27"/>
        <v>#REF!</v>
      </c>
      <c r="DE53" s="54" t="e">
        <f t="shared" si="28"/>
        <v>#REF!</v>
      </c>
      <c r="DF53" s="54" t="e">
        <f t="shared" si="111"/>
        <v>#REF!</v>
      </c>
      <c r="DG53" s="54" t="e">
        <f t="shared" si="29"/>
        <v>#REF!</v>
      </c>
      <c r="DH53" s="54" t="e">
        <f t="shared" si="30"/>
        <v>#REF!</v>
      </c>
      <c r="DI53" s="54" t="e">
        <f t="shared" si="31"/>
        <v>#REF!</v>
      </c>
      <c r="DJ53" s="54" t="e">
        <f t="shared" si="112"/>
        <v>#REF!</v>
      </c>
      <c r="DK53" s="54" t="e">
        <f t="shared" si="113"/>
        <v>#REF!</v>
      </c>
      <c r="DL53" s="54" t="e">
        <f t="shared" si="32"/>
        <v>#REF!</v>
      </c>
      <c r="DM53" s="54" t="e">
        <f t="shared" si="33"/>
        <v>#REF!</v>
      </c>
      <c r="DN53" s="54" t="e">
        <f t="shared" si="34"/>
        <v>#REF!</v>
      </c>
      <c r="DO53" s="54" t="e">
        <f t="shared" si="35"/>
        <v>#REF!</v>
      </c>
      <c r="DP53" s="54" t="e">
        <f t="shared" si="114"/>
        <v>#REF!</v>
      </c>
      <c r="DQ53" s="54" t="e">
        <f t="shared" si="36"/>
        <v>#REF!</v>
      </c>
      <c r="DR53" s="54" t="e">
        <f t="shared" si="115"/>
        <v>#REF!</v>
      </c>
      <c r="DS53" s="54" t="e">
        <f t="shared" si="37"/>
        <v>#REF!</v>
      </c>
      <c r="DT53" s="54" t="e">
        <f t="shared" si="116"/>
        <v>#REF!</v>
      </c>
      <c r="DU53" s="54" t="e">
        <f t="shared" si="117"/>
        <v>#REF!</v>
      </c>
      <c r="DV53" s="54" t="e">
        <f t="shared" si="118"/>
        <v>#REF!</v>
      </c>
      <c r="DW53" s="54" t="e">
        <f t="shared" si="38"/>
        <v>#REF!</v>
      </c>
      <c r="DX53" s="54" t="e">
        <f t="shared" si="119"/>
        <v>#REF!</v>
      </c>
      <c r="DY53" s="54" t="e">
        <f t="shared" si="120"/>
        <v>#REF!</v>
      </c>
      <c r="DZ53" s="54" t="e">
        <f t="shared" si="121"/>
        <v>#REF!</v>
      </c>
      <c r="EA53" s="54" t="e">
        <f t="shared" si="39"/>
        <v>#REF!</v>
      </c>
      <c r="EB53" s="54" t="e">
        <f t="shared" si="40"/>
        <v>#REF!</v>
      </c>
      <c r="EC53" s="54" t="e">
        <f t="shared" si="122"/>
        <v>#REF!</v>
      </c>
      <c r="ED53" s="54" t="e">
        <f t="shared" si="41"/>
        <v>#REF!</v>
      </c>
      <c r="EE53" s="54" t="e">
        <f t="shared" si="42"/>
        <v>#REF!</v>
      </c>
      <c r="EF53" s="54" t="e">
        <f t="shared" si="43"/>
        <v>#REF!</v>
      </c>
      <c r="EG53" s="54" t="e">
        <f t="shared" si="123"/>
        <v>#REF!</v>
      </c>
      <c r="EH53" s="54" t="e">
        <f t="shared" si="124"/>
        <v>#REF!</v>
      </c>
      <c r="EI53" s="54" t="e">
        <f t="shared" si="125"/>
        <v>#REF!</v>
      </c>
      <c r="EJ53" s="54" t="e">
        <f t="shared" si="126"/>
        <v>#REF!</v>
      </c>
      <c r="EK53" s="54" t="e">
        <f t="shared" si="127"/>
        <v>#REF!</v>
      </c>
      <c r="EL53" s="54" t="e">
        <f t="shared" si="128"/>
        <v>#REF!</v>
      </c>
      <c r="EM53" s="54" t="e">
        <f t="shared" si="44"/>
        <v>#REF!</v>
      </c>
      <c r="EN53" s="54" t="e">
        <f t="shared" si="45"/>
        <v>#REF!</v>
      </c>
      <c r="EO53" s="54" t="e">
        <f t="shared" si="46"/>
        <v>#REF!</v>
      </c>
      <c r="EP53" s="54" t="e">
        <f t="shared" si="47"/>
        <v>#REF!</v>
      </c>
      <c r="EQ53" s="54" t="e">
        <f t="shared" si="48"/>
        <v>#REF!</v>
      </c>
      <c r="ER53" s="54" t="e">
        <f t="shared" si="129"/>
        <v>#REF!</v>
      </c>
      <c r="ES53" s="54" t="e">
        <f t="shared" si="130"/>
        <v>#REF!</v>
      </c>
      <c r="ET53" s="54" t="e">
        <f t="shared" si="131"/>
        <v>#REF!</v>
      </c>
      <c r="EU53" s="54" t="e">
        <f t="shared" si="49"/>
        <v>#REF!</v>
      </c>
      <c r="EV53" s="54" t="e">
        <f t="shared" si="132"/>
        <v>#REF!</v>
      </c>
      <c r="EW53" s="54" t="e">
        <f t="shared" si="133"/>
        <v>#REF!</v>
      </c>
      <c r="EX53" s="54" t="e">
        <f t="shared" si="134"/>
        <v>#REF!</v>
      </c>
      <c r="EY53" s="54" t="e">
        <f t="shared" si="50"/>
        <v>#REF!</v>
      </c>
      <c r="EZ53" s="54" t="e">
        <f t="shared" si="51"/>
        <v>#REF!</v>
      </c>
      <c r="FA53" s="54" t="e">
        <f t="shared" si="135"/>
        <v>#REF!</v>
      </c>
      <c r="FB53" s="54" t="e">
        <f t="shared" si="136"/>
        <v>#REF!</v>
      </c>
      <c r="FC53" s="54" t="e">
        <f t="shared" si="137"/>
        <v>#REF!</v>
      </c>
      <c r="FD53" s="54" t="e">
        <f t="shared" si="138"/>
        <v>#REF!</v>
      </c>
      <c r="FE53" s="54" t="e">
        <f t="shared" si="139"/>
        <v>#REF!</v>
      </c>
      <c r="FF53" s="54" t="e">
        <f t="shared" si="140"/>
        <v>#REF!</v>
      </c>
      <c r="FG53" s="54" t="e">
        <f t="shared" si="141"/>
        <v>#REF!</v>
      </c>
      <c r="FH53" s="54" t="e">
        <f t="shared" si="52"/>
        <v>#REF!</v>
      </c>
      <c r="FI53" s="56" t="e">
        <f t="shared" si="142"/>
        <v>#N/A</v>
      </c>
      <c r="FJ53">
        <f t="shared" si="53"/>
        <v>0.75</v>
      </c>
      <c r="FK53" s="57">
        <f>'1PROJE'!$M$3</f>
        <v>1.18</v>
      </c>
      <c r="FL53" s="37" t="e">
        <f t="shared" si="143"/>
        <v>#N/A</v>
      </c>
    </row>
    <row r="54" spans="1:168" ht="15.75">
      <c r="AA54" s="55">
        <f t="shared" ref="AA54:AB54" si="154">AA34</f>
        <v>25</v>
      </c>
      <c r="AB54" s="54" t="e">
        <f t="shared" si="154"/>
        <v>#N/A</v>
      </c>
      <c r="AC54" s="54"/>
      <c r="AD54" s="54"/>
      <c r="AE54" s="54" t="e">
        <f t="shared" ref="AE54:AF54" si="155">AE34</f>
        <v>#N/A</v>
      </c>
      <c r="AF54" s="54">
        <f t="shared" si="155"/>
        <v>0</v>
      </c>
      <c r="AH54" s="54" t="e">
        <f t="shared" si="56"/>
        <v>#REF!</v>
      </c>
      <c r="AI54" s="54" t="e">
        <f t="shared" si="57"/>
        <v>#REF!</v>
      </c>
      <c r="AJ54" s="54" t="e">
        <f t="shared" si="58"/>
        <v>#REF!</v>
      </c>
      <c r="AK54" s="54" t="e">
        <f t="shared" si="59"/>
        <v>#REF!</v>
      </c>
      <c r="AL54" s="54" t="e">
        <f t="shared" si="60"/>
        <v>#REF!</v>
      </c>
      <c r="AM54" s="54" t="e">
        <f t="shared" si="61"/>
        <v>#REF!</v>
      </c>
      <c r="AN54" s="54">
        <f t="shared" si="62"/>
        <v>0</v>
      </c>
      <c r="AO54" s="54" t="e">
        <f t="shared" si="63"/>
        <v>#REF!</v>
      </c>
      <c r="AP54" s="54" t="e">
        <f t="shared" si="64"/>
        <v>#REF!</v>
      </c>
      <c r="AQ54" s="54" t="e">
        <f t="shared" si="65"/>
        <v>#REF!</v>
      </c>
      <c r="AR54" s="54" t="e">
        <f t="shared" si="66"/>
        <v>#REF!</v>
      </c>
      <c r="AS54" s="54" t="e">
        <f t="shared" si="67"/>
        <v>#REF!</v>
      </c>
      <c r="AT54" s="54" t="e">
        <f t="shared" si="68"/>
        <v>#REF!</v>
      </c>
      <c r="AU54" s="54" t="e">
        <f t="shared" si="69"/>
        <v>#REF!</v>
      </c>
      <c r="AV54" s="54" t="e">
        <f t="shared" si="70"/>
        <v>#REF!</v>
      </c>
      <c r="AW54" s="54" t="e">
        <f t="shared" si="71"/>
        <v>#REF!</v>
      </c>
      <c r="AX54" s="54" t="e">
        <f t="shared" si="72"/>
        <v>#REF!</v>
      </c>
      <c r="AY54" s="54" t="e">
        <f t="shared" si="73"/>
        <v>#REF!</v>
      </c>
      <c r="AZ54" s="54" t="e">
        <f t="shared" si="74"/>
        <v>#REF!</v>
      </c>
      <c r="BA54" s="54" t="e">
        <f t="shared" si="75"/>
        <v>#REF!</v>
      </c>
      <c r="BB54" s="54" t="e">
        <f t="shared" si="76"/>
        <v>#REF!</v>
      </c>
      <c r="BC54" s="54" t="e">
        <f t="shared" si="77"/>
        <v>#REF!</v>
      </c>
      <c r="BD54" s="54" t="e">
        <f t="shared" si="78"/>
        <v>#REF!</v>
      </c>
      <c r="BE54" s="54" t="e">
        <f t="shared" si="79"/>
        <v>#REF!</v>
      </c>
      <c r="BF54" s="54" t="e">
        <f t="shared" si="80"/>
        <v>#REF!</v>
      </c>
      <c r="BG54" s="54" t="e">
        <f t="shared" si="81"/>
        <v>#REF!</v>
      </c>
      <c r="BH54" s="54" t="e">
        <f t="shared" si="82"/>
        <v>#REF!</v>
      </c>
      <c r="BI54" s="54" t="e">
        <f t="shared" si="83"/>
        <v>#REF!</v>
      </c>
      <c r="BJ54" s="54" t="e">
        <f t="shared" si="84"/>
        <v>#REF!</v>
      </c>
      <c r="BK54" s="54" t="e">
        <f t="shared" si="85"/>
        <v>#REF!</v>
      </c>
      <c r="BL54" s="54" t="e">
        <f t="shared" si="86"/>
        <v>#REF!</v>
      </c>
      <c r="BM54" s="54" t="e">
        <f t="shared" si="87"/>
        <v>#REF!</v>
      </c>
      <c r="BN54" s="54" t="e">
        <f t="shared" si="88"/>
        <v>#REF!</v>
      </c>
      <c r="BO54" s="54" t="e">
        <f t="shared" si="89"/>
        <v>#REF!</v>
      </c>
      <c r="BP54" s="54" t="e">
        <f t="shared" si="8"/>
        <v>#REF!</v>
      </c>
      <c r="BQ54" s="54" t="e">
        <f t="shared" si="9"/>
        <v>#REF!</v>
      </c>
      <c r="BR54" s="54" t="e">
        <f t="shared" si="10"/>
        <v>#REF!</v>
      </c>
      <c r="BS54" s="54" t="e">
        <f t="shared" si="11"/>
        <v>#REF!</v>
      </c>
      <c r="BT54" s="54" t="e">
        <f t="shared" si="12"/>
        <v>#REF!</v>
      </c>
      <c r="BU54" s="54" t="e">
        <f t="shared" si="90"/>
        <v>#REF!</v>
      </c>
      <c r="BV54" s="54" t="e">
        <f t="shared" si="13"/>
        <v>#REF!</v>
      </c>
      <c r="BW54" s="54" t="e">
        <f t="shared" si="91"/>
        <v>#REF!</v>
      </c>
      <c r="BX54" s="54" t="e">
        <f t="shared" si="92"/>
        <v>#REF!</v>
      </c>
      <c r="BY54" s="54" t="e">
        <f t="shared" si="93"/>
        <v>#REF!</v>
      </c>
      <c r="BZ54" s="54" t="e">
        <f t="shared" si="94"/>
        <v>#REF!</v>
      </c>
      <c r="CA54" s="54" t="e">
        <f t="shared" si="14"/>
        <v>#REF!</v>
      </c>
      <c r="CB54" s="54" t="e">
        <f t="shared" si="15"/>
        <v>#REF!</v>
      </c>
      <c r="CC54" s="54" t="e">
        <f t="shared" si="95"/>
        <v>#REF!</v>
      </c>
      <c r="CD54" s="54" t="e">
        <f t="shared" si="96"/>
        <v>#REF!</v>
      </c>
      <c r="CE54" s="54" t="e">
        <f t="shared" si="16"/>
        <v>#REF!</v>
      </c>
      <c r="CF54" s="54" t="e">
        <f t="shared" si="17"/>
        <v>#REF!</v>
      </c>
      <c r="CG54" s="54" t="e">
        <f t="shared" si="97"/>
        <v>#REF!</v>
      </c>
      <c r="CH54" s="54" t="e">
        <f t="shared" si="18"/>
        <v>#REF!</v>
      </c>
      <c r="CI54" s="54" t="e">
        <f t="shared" si="19"/>
        <v>#REF!</v>
      </c>
      <c r="CJ54" s="54" t="e">
        <f t="shared" si="98"/>
        <v>#REF!</v>
      </c>
      <c r="CK54" s="54" t="e">
        <f t="shared" si="99"/>
        <v>#REF!</v>
      </c>
      <c r="CL54" s="54" t="e">
        <f t="shared" si="100"/>
        <v>#REF!</v>
      </c>
      <c r="CM54" s="54" t="e">
        <f t="shared" si="20"/>
        <v>#REF!</v>
      </c>
      <c r="CN54" s="54" t="e">
        <f t="shared" si="21"/>
        <v>#REF!</v>
      </c>
      <c r="CO54" s="54" t="e">
        <f t="shared" si="22"/>
        <v>#REF!</v>
      </c>
      <c r="CP54" s="54" t="e">
        <f t="shared" si="23"/>
        <v>#REF!</v>
      </c>
      <c r="CQ54" s="54" t="e">
        <f t="shared" si="101"/>
        <v>#REF!</v>
      </c>
      <c r="CR54" s="54" t="e">
        <f t="shared" si="24"/>
        <v>#REF!</v>
      </c>
      <c r="CS54" s="54" t="e">
        <f t="shared" si="102"/>
        <v>#REF!</v>
      </c>
      <c r="CT54" s="54" t="e">
        <f t="shared" si="103"/>
        <v>#REF!</v>
      </c>
      <c r="CU54" s="54" t="e">
        <f t="shared" si="104"/>
        <v>#REF!</v>
      </c>
      <c r="CV54" s="54" t="e">
        <f t="shared" si="25"/>
        <v>#REF!</v>
      </c>
      <c r="CW54" s="54" t="e">
        <f t="shared" si="105"/>
        <v>#REF!</v>
      </c>
      <c r="CX54" s="54" t="e">
        <f t="shared" si="106"/>
        <v>#REF!</v>
      </c>
      <c r="CY54" s="54" t="e">
        <f t="shared" si="107"/>
        <v>#REF!</v>
      </c>
      <c r="CZ54" s="54" t="e">
        <f t="shared" si="26"/>
        <v>#REF!</v>
      </c>
      <c r="DA54" s="54" t="e">
        <f t="shared" si="108"/>
        <v>#REF!</v>
      </c>
      <c r="DB54" s="54" t="e">
        <f t="shared" si="109"/>
        <v>#REF!</v>
      </c>
      <c r="DC54" s="54" t="e">
        <f t="shared" si="110"/>
        <v>#REF!</v>
      </c>
      <c r="DD54" s="54" t="e">
        <f t="shared" si="27"/>
        <v>#REF!</v>
      </c>
      <c r="DE54" s="54" t="e">
        <f t="shared" si="28"/>
        <v>#REF!</v>
      </c>
      <c r="DF54" s="54" t="e">
        <f t="shared" si="111"/>
        <v>#REF!</v>
      </c>
      <c r="DG54" s="54" t="e">
        <f t="shared" si="29"/>
        <v>#REF!</v>
      </c>
      <c r="DH54" s="54" t="e">
        <f t="shared" si="30"/>
        <v>#REF!</v>
      </c>
      <c r="DI54" s="54" t="e">
        <f t="shared" si="31"/>
        <v>#REF!</v>
      </c>
      <c r="DJ54" s="54" t="e">
        <f t="shared" si="112"/>
        <v>#REF!</v>
      </c>
      <c r="DK54" s="54" t="e">
        <f t="shared" si="113"/>
        <v>#REF!</v>
      </c>
      <c r="DL54" s="54" t="e">
        <f t="shared" si="32"/>
        <v>#REF!</v>
      </c>
      <c r="DM54" s="54" t="e">
        <f t="shared" si="33"/>
        <v>#REF!</v>
      </c>
      <c r="DN54" s="54" t="e">
        <f t="shared" si="34"/>
        <v>#REF!</v>
      </c>
      <c r="DO54" s="54" t="e">
        <f t="shared" si="35"/>
        <v>#REF!</v>
      </c>
      <c r="DP54" s="54" t="e">
        <f t="shared" si="114"/>
        <v>#REF!</v>
      </c>
      <c r="DQ54" s="54" t="e">
        <f t="shared" si="36"/>
        <v>#REF!</v>
      </c>
      <c r="DR54" s="54" t="e">
        <f t="shared" si="115"/>
        <v>#REF!</v>
      </c>
      <c r="DS54" s="54" t="e">
        <f t="shared" si="37"/>
        <v>#REF!</v>
      </c>
      <c r="DT54" s="54" t="e">
        <f t="shared" si="116"/>
        <v>#REF!</v>
      </c>
      <c r="DU54" s="54" t="e">
        <f t="shared" si="117"/>
        <v>#REF!</v>
      </c>
      <c r="DV54" s="54" t="e">
        <f t="shared" si="118"/>
        <v>#REF!</v>
      </c>
      <c r="DW54" s="54" t="e">
        <f t="shared" si="38"/>
        <v>#REF!</v>
      </c>
      <c r="DX54" s="54" t="e">
        <f t="shared" si="119"/>
        <v>#REF!</v>
      </c>
      <c r="DY54" s="54" t="e">
        <f t="shared" si="120"/>
        <v>#REF!</v>
      </c>
      <c r="DZ54" s="54" t="e">
        <f t="shared" si="121"/>
        <v>#REF!</v>
      </c>
      <c r="EA54" s="54" t="e">
        <f t="shared" si="39"/>
        <v>#REF!</v>
      </c>
      <c r="EB54" s="54" t="e">
        <f t="shared" si="40"/>
        <v>#REF!</v>
      </c>
      <c r="EC54" s="54" t="e">
        <f t="shared" si="122"/>
        <v>#REF!</v>
      </c>
      <c r="ED54" s="54" t="e">
        <f t="shared" si="41"/>
        <v>#REF!</v>
      </c>
      <c r="EE54" s="54" t="e">
        <f t="shared" si="42"/>
        <v>#REF!</v>
      </c>
      <c r="EF54" s="54" t="e">
        <f t="shared" si="43"/>
        <v>#REF!</v>
      </c>
      <c r="EG54" s="54" t="e">
        <f t="shared" si="123"/>
        <v>#REF!</v>
      </c>
      <c r="EH54" s="54" t="e">
        <f t="shared" si="124"/>
        <v>#REF!</v>
      </c>
      <c r="EI54" s="54" t="e">
        <f t="shared" si="125"/>
        <v>#REF!</v>
      </c>
      <c r="EJ54" s="54" t="e">
        <f t="shared" si="126"/>
        <v>#REF!</v>
      </c>
      <c r="EK54" s="54" t="e">
        <f t="shared" si="127"/>
        <v>#REF!</v>
      </c>
      <c r="EL54" s="54" t="e">
        <f t="shared" si="128"/>
        <v>#REF!</v>
      </c>
      <c r="EM54" s="54" t="e">
        <f t="shared" si="44"/>
        <v>#REF!</v>
      </c>
      <c r="EN54" s="54" t="e">
        <f t="shared" si="45"/>
        <v>#REF!</v>
      </c>
      <c r="EO54" s="54" t="e">
        <f t="shared" si="46"/>
        <v>#REF!</v>
      </c>
      <c r="EP54" s="54" t="e">
        <f t="shared" si="47"/>
        <v>#REF!</v>
      </c>
      <c r="EQ54" s="54" t="e">
        <f t="shared" si="48"/>
        <v>#REF!</v>
      </c>
      <c r="ER54" s="54" t="e">
        <f t="shared" si="129"/>
        <v>#REF!</v>
      </c>
      <c r="ES54" s="54" t="e">
        <f t="shared" si="130"/>
        <v>#REF!</v>
      </c>
      <c r="ET54" s="54" t="e">
        <f t="shared" si="131"/>
        <v>#REF!</v>
      </c>
      <c r="EU54" s="54" t="e">
        <f t="shared" si="49"/>
        <v>#REF!</v>
      </c>
      <c r="EV54" s="54" t="e">
        <f t="shared" si="132"/>
        <v>#REF!</v>
      </c>
      <c r="EW54" s="54" t="e">
        <f t="shared" si="133"/>
        <v>#REF!</v>
      </c>
      <c r="EX54" s="54" t="e">
        <f t="shared" si="134"/>
        <v>#REF!</v>
      </c>
      <c r="EY54" s="54" t="e">
        <f t="shared" si="50"/>
        <v>#REF!</v>
      </c>
      <c r="EZ54" s="54" t="e">
        <f t="shared" si="51"/>
        <v>#REF!</v>
      </c>
      <c r="FA54" s="54" t="e">
        <f t="shared" si="135"/>
        <v>#REF!</v>
      </c>
      <c r="FB54" s="54" t="e">
        <f t="shared" si="136"/>
        <v>#REF!</v>
      </c>
      <c r="FC54" s="54" t="e">
        <f t="shared" si="137"/>
        <v>#REF!</v>
      </c>
      <c r="FD54" s="54" t="e">
        <f t="shared" si="138"/>
        <v>#REF!</v>
      </c>
      <c r="FE54" s="54" t="e">
        <f t="shared" si="139"/>
        <v>#REF!</v>
      </c>
      <c r="FF54" s="54" t="e">
        <f t="shared" si="140"/>
        <v>#REF!</v>
      </c>
      <c r="FG54" s="54" t="e">
        <f t="shared" si="141"/>
        <v>#REF!</v>
      </c>
      <c r="FH54" s="54" t="e">
        <f t="shared" si="52"/>
        <v>#REF!</v>
      </c>
      <c r="FI54" s="56" t="e">
        <f t="shared" si="142"/>
        <v>#N/A</v>
      </c>
      <c r="FJ54">
        <f t="shared" si="53"/>
        <v>0.75</v>
      </c>
      <c r="FK54" s="57">
        <f>'1PROJE'!$M$3</f>
        <v>1.18</v>
      </c>
      <c r="FL54" s="37" t="e">
        <f t="shared" si="143"/>
        <v>#N/A</v>
      </c>
    </row>
    <row r="55" spans="1:168" ht="15.75">
      <c r="AA55" s="55">
        <f t="shared" ref="AA55:AB55" si="156">AA35</f>
        <v>25</v>
      </c>
      <c r="AB55" s="54" t="e">
        <f t="shared" si="156"/>
        <v>#N/A</v>
      </c>
      <c r="AC55" s="54"/>
      <c r="AD55" s="54"/>
      <c r="AE55" s="54" t="e">
        <f t="shared" ref="AE55:AF55" si="157">AE35</f>
        <v>#N/A</v>
      </c>
      <c r="AF55" s="54">
        <f t="shared" si="157"/>
        <v>0</v>
      </c>
      <c r="AH55" s="54" t="e">
        <f t="shared" si="56"/>
        <v>#REF!</v>
      </c>
      <c r="AI55" s="54" t="e">
        <f t="shared" si="57"/>
        <v>#REF!</v>
      </c>
      <c r="AJ55" s="54" t="e">
        <f t="shared" si="58"/>
        <v>#REF!</v>
      </c>
      <c r="AK55" s="54" t="e">
        <f t="shared" si="59"/>
        <v>#REF!</v>
      </c>
      <c r="AL55" s="54" t="e">
        <f t="shared" si="60"/>
        <v>#REF!</v>
      </c>
      <c r="AM55" s="54" t="e">
        <f t="shared" si="61"/>
        <v>#REF!</v>
      </c>
      <c r="AN55" s="54">
        <f t="shared" si="62"/>
        <v>0</v>
      </c>
      <c r="AO55" s="54" t="e">
        <f t="shared" si="63"/>
        <v>#REF!</v>
      </c>
      <c r="AP55" s="54" t="e">
        <f t="shared" si="64"/>
        <v>#REF!</v>
      </c>
      <c r="AQ55" s="54" t="e">
        <f t="shared" si="65"/>
        <v>#REF!</v>
      </c>
      <c r="AR55" s="54" t="e">
        <f t="shared" si="66"/>
        <v>#REF!</v>
      </c>
      <c r="AS55" s="54" t="e">
        <f t="shared" si="67"/>
        <v>#REF!</v>
      </c>
      <c r="AT55" s="54" t="e">
        <f t="shared" si="68"/>
        <v>#REF!</v>
      </c>
      <c r="AU55" s="54" t="e">
        <f t="shared" si="69"/>
        <v>#REF!</v>
      </c>
      <c r="AV55" s="54" t="e">
        <f t="shared" si="70"/>
        <v>#REF!</v>
      </c>
      <c r="AW55" s="54" t="e">
        <f t="shared" si="71"/>
        <v>#REF!</v>
      </c>
      <c r="AX55" s="54" t="e">
        <f t="shared" si="72"/>
        <v>#REF!</v>
      </c>
      <c r="AY55" s="54" t="e">
        <f t="shared" si="73"/>
        <v>#REF!</v>
      </c>
      <c r="AZ55" s="54" t="e">
        <f t="shared" si="74"/>
        <v>#REF!</v>
      </c>
      <c r="BA55" s="54" t="e">
        <f t="shared" si="75"/>
        <v>#REF!</v>
      </c>
      <c r="BB55" s="54" t="e">
        <f t="shared" si="76"/>
        <v>#REF!</v>
      </c>
      <c r="BC55" s="54" t="e">
        <f t="shared" si="77"/>
        <v>#REF!</v>
      </c>
      <c r="BD55" s="54" t="e">
        <f t="shared" si="78"/>
        <v>#REF!</v>
      </c>
      <c r="BE55" s="54" t="e">
        <f t="shared" si="79"/>
        <v>#REF!</v>
      </c>
      <c r="BF55" s="54" t="e">
        <f t="shared" si="80"/>
        <v>#REF!</v>
      </c>
      <c r="BG55" s="54" t="e">
        <f t="shared" si="81"/>
        <v>#REF!</v>
      </c>
      <c r="BH55" s="54" t="e">
        <f t="shared" si="82"/>
        <v>#REF!</v>
      </c>
      <c r="BI55" s="54" t="e">
        <f t="shared" si="83"/>
        <v>#REF!</v>
      </c>
      <c r="BJ55" s="54" t="e">
        <f t="shared" si="84"/>
        <v>#REF!</v>
      </c>
      <c r="BK55" s="54" t="e">
        <f t="shared" si="85"/>
        <v>#REF!</v>
      </c>
      <c r="BL55" s="54" t="e">
        <f t="shared" si="86"/>
        <v>#REF!</v>
      </c>
      <c r="BM55" s="54" t="e">
        <f t="shared" si="87"/>
        <v>#REF!</v>
      </c>
      <c r="BN55" s="54" t="e">
        <f t="shared" si="88"/>
        <v>#REF!</v>
      </c>
      <c r="BO55" s="54" t="e">
        <f t="shared" si="89"/>
        <v>#REF!</v>
      </c>
      <c r="BP55" s="54" t="e">
        <f t="shared" si="8"/>
        <v>#REF!</v>
      </c>
      <c r="BQ55" s="54" t="e">
        <f t="shared" si="9"/>
        <v>#REF!</v>
      </c>
      <c r="BR55" s="54" t="e">
        <f t="shared" si="10"/>
        <v>#REF!</v>
      </c>
      <c r="BS55" s="54" t="e">
        <f t="shared" si="11"/>
        <v>#REF!</v>
      </c>
      <c r="BT55" s="54" t="e">
        <f t="shared" si="12"/>
        <v>#REF!</v>
      </c>
      <c r="BU55" s="54" t="e">
        <f t="shared" si="90"/>
        <v>#REF!</v>
      </c>
      <c r="BV55" s="54" t="e">
        <f t="shared" si="13"/>
        <v>#REF!</v>
      </c>
      <c r="BW55" s="54" t="e">
        <f t="shared" si="91"/>
        <v>#REF!</v>
      </c>
      <c r="BX55" s="54" t="e">
        <f t="shared" si="92"/>
        <v>#REF!</v>
      </c>
      <c r="BY55" s="54" t="e">
        <f t="shared" si="93"/>
        <v>#REF!</v>
      </c>
      <c r="BZ55" s="54" t="e">
        <f t="shared" si="94"/>
        <v>#REF!</v>
      </c>
      <c r="CA55" s="54" t="e">
        <f t="shared" si="14"/>
        <v>#REF!</v>
      </c>
      <c r="CB55" s="54" t="e">
        <f t="shared" si="15"/>
        <v>#REF!</v>
      </c>
      <c r="CC55" s="54" t="e">
        <f t="shared" si="95"/>
        <v>#REF!</v>
      </c>
      <c r="CD55" s="54" t="e">
        <f t="shared" si="96"/>
        <v>#REF!</v>
      </c>
      <c r="CE55" s="54" t="e">
        <f t="shared" si="16"/>
        <v>#REF!</v>
      </c>
      <c r="CF55" s="54" t="e">
        <f t="shared" si="17"/>
        <v>#REF!</v>
      </c>
      <c r="CG55" s="54" t="e">
        <f t="shared" si="97"/>
        <v>#REF!</v>
      </c>
      <c r="CH55" s="54" t="e">
        <f t="shared" si="18"/>
        <v>#REF!</v>
      </c>
      <c r="CI55" s="54" t="e">
        <f t="shared" si="19"/>
        <v>#REF!</v>
      </c>
      <c r="CJ55" s="54" t="e">
        <f t="shared" si="98"/>
        <v>#REF!</v>
      </c>
      <c r="CK55" s="54" t="e">
        <f t="shared" si="99"/>
        <v>#REF!</v>
      </c>
      <c r="CL55" s="54" t="e">
        <f t="shared" si="100"/>
        <v>#REF!</v>
      </c>
      <c r="CM55" s="54" t="e">
        <f t="shared" si="20"/>
        <v>#REF!</v>
      </c>
      <c r="CN55" s="54" t="e">
        <f t="shared" si="21"/>
        <v>#REF!</v>
      </c>
      <c r="CO55" s="54" t="e">
        <f t="shared" si="22"/>
        <v>#REF!</v>
      </c>
      <c r="CP55" s="54" t="e">
        <f t="shared" si="23"/>
        <v>#REF!</v>
      </c>
      <c r="CQ55" s="54" t="e">
        <f t="shared" si="101"/>
        <v>#REF!</v>
      </c>
      <c r="CR55" s="54" t="e">
        <f t="shared" si="24"/>
        <v>#REF!</v>
      </c>
      <c r="CS55" s="54" t="e">
        <f t="shared" si="102"/>
        <v>#REF!</v>
      </c>
      <c r="CT55" s="54" t="e">
        <f t="shared" si="103"/>
        <v>#REF!</v>
      </c>
      <c r="CU55" s="54" t="e">
        <f t="shared" si="104"/>
        <v>#REF!</v>
      </c>
      <c r="CV55" s="54" t="e">
        <f t="shared" si="25"/>
        <v>#REF!</v>
      </c>
      <c r="CW55" s="54" t="e">
        <f t="shared" si="105"/>
        <v>#REF!</v>
      </c>
      <c r="CX55" s="54" t="e">
        <f t="shared" si="106"/>
        <v>#REF!</v>
      </c>
      <c r="CY55" s="54" t="e">
        <f t="shared" si="107"/>
        <v>#REF!</v>
      </c>
      <c r="CZ55" s="54" t="e">
        <f t="shared" si="26"/>
        <v>#REF!</v>
      </c>
      <c r="DA55" s="54" t="e">
        <f t="shared" si="108"/>
        <v>#REF!</v>
      </c>
      <c r="DB55" s="54" t="e">
        <f t="shared" si="109"/>
        <v>#REF!</v>
      </c>
      <c r="DC55" s="54" t="e">
        <f t="shared" si="110"/>
        <v>#REF!</v>
      </c>
      <c r="DD55" s="54" t="e">
        <f t="shared" si="27"/>
        <v>#REF!</v>
      </c>
      <c r="DE55" s="54" t="e">
        <f t="shared" si="28"/>
        <v>#REF!</v>
      </c>
      <c r="DF55" s="54" t="e">
        <f t="shared" si="111"/>
        <v>#REF!</v>
      </c>
      <c r="DG55" s="54" t="e">
        <f t="shared" si="29"/>
        <v>#REF!</v>
      </c>
      <c r="DH55" s="54" t="e">
        <f t="shared" si="30"/>
        <v>#REF!</v>
      </c>
      <c r="DI55" s="54" t="e">
        <f t="shared" si="31"/>
        <v>#REF!</v>
      </c>
      <c r="DJ55" s="54" t="e">
        <f t="shared" si="112"/>
        <v>#REF!</v>
      </c>
      <c r="DK55" s="54" t="e">
        <f t="shared" si="113"/>
        <v>#REF!</v>
      </c>
      <c r="DL55" s="54" t="e">
        <f t="shared" si="32"/>
        <v>#REF!</v>
      </c>
      <c r="DM55" s="54" t="e">
        <f t="shared" si="33"/>
        <v>#REF!</v>
      </c>
      <c r="DN55" s="54" t="e">
        <f t="shared" si="34"/>
        <v>#REF!</v>
      </c>
      <c r="DO55" s="54" t="e">
        <f t="shared" si="35"/>
        <v>#REF!</v>
      </c>
      <c r="DP55" s="54" t="e">
        <f t="shared" si="114"/>
        <v>#REF!</v>
      </c>
      <c r="DQ55" s="54" t="e">
        <f t="shared" si="36"/>
        <v>#REF!</v>
      </c>
      <c r="DR55" s="54" t="e">
        <f t="shared" si="115"/>
        <v>#REF!</v>
      </c>
      <c r="DS55" s="54" t="e">
        <f t="shared" si="37"/>
        <v>#REF!</v>
      </c>
      <c r="DT55" s="54" t="e">
        <f t="shared" si="116"/>
        <v>#REF!</v>
      </c>
      <c r="DU55" s="54" t="e">
        <f t="shared" si="117"/>
        <v>#REF!</v>
      </c>
      <c r="DV55" s="54" t="e">
        <f t="shared" si="118"/>
        <v>#REF!</v>
      </c>
      <c r="DW55" s="54" t="e">
        <f t="shared" si="38"/>
        <v>#REF!</v>
      </c>
      <c r="DX55" s="54" t="e">
        <f t="shared" si="119"/>
        <v>#REF!</v>
      </c>
      <c r="DY55" s="54" t="e">
        <f t="shared" si="120"/>
        <v>#REF!</v>
      </c>
      <c r="DZ55" s="54" t="e">
        <f t="shared" si="121"/>
        <v>#REF!</v>
      </c>
      <c r="EA55" s="54" t="e">
        <f t="shared" si="39"/>
        <v>#REF!</v>
      </c>
      <c r="EB55" s="54" t="e">
        <f t="shared" si="40"/>
        <v>#REF!</v>
      </c>
      <c r="EC55" s="54" t="e">
        <f t="shared" si="122"/>
        <v>#REF!</v>
      </c>
      <c r="ED55" s="54" t="e">
        <f t="shared" si="41"/>
        <v>#REF!</v>
      </c>
      <c r="EE55" s="54" t="e">
        <f t="shared" si="42"/>
        <v>#REF!</v>
      </c>
      <c r="EF55" s="54" t="e">
        <f t="shared" si="43"/>
        <v>#REF!</v>
      </c>
      <c r="EG55" s="54" t="e">
        <f t="shared" si="123"/>
        <v>#REF!</v>
      </c>
      <c r="EH55" s="54" t="e">
        <f t="shared" si="124"/>
        <v>#REF!</v>
      </c>
      <c r="EI55" s="54" t="e">
        <f t="shared" si="125"/>
        <v>#REF!</v>
      </c>
      <c r="EJ55" s="54" t="e">
        <f t="shared" si="126"/>
        <v>#REF!</v>
      </c>
      <c r="EK55" s="54" t="e">
        <f t="shared" si="127"/>
        <v>#REF!</v>
      </c>
      <c r="EL55" s="54" t="e">
        <f t="shared" si="128"/>
        <v>#REF!</v>
      </c>
      <c r="EM55" s="54" t="e">
        <f t="shared" si="44"/>
        <v>#REF!</v>
      </c>
      <c r="EN55" s="54" t="e">
        <f t="shared" si="45"/>
        <v>#REF!</v>
      </c>
      <c r="EO55" s="54" t="e">
        <f t="shared" si="46"/>
        <v>#REF!</v>
      </c>
      <c r="EP55" s="54" t="e">
        <f t="shared" si="47"/>
        <v>#REF!</v>
      </c>
      <c r="EQ55" s="54" t="e">
        <f t="shared" si="48"/>
        <v>#REF!</v>
      </c>
      <c r="ER55" s="54" t="e">
        <f t="shared" si="129"/>
        <v>#REF!</v>
      </c>
      <c r="ES55" s="54" t="e">
        <f t="shared" si="130"/>
        <v>#REF!</v>
      </c>
      <c r="ET55" s="54" t="e">
        <f t="shared" si="131"/>
        <v>#REF!</v>
      </c>
      <c r="EU55" s="54" t="e">
        <f t="shared" si="49"/>
        <v>#REF!</v>
      </c>
      <c r="EV55" s="54" t="e">
        <f t="shared" si="132"/>
        <v>#REF!</v>
      </c>
      <c r="EW55" s="54" t="e">
        <f t="shared" si="133"/>
        <v>#REF!</v>
      </c>
      <c r="EX55" s="54" t="e">
        <f t="shared" si="134"/>
        <v>#REF!</v>
      </c>
      <c r="EY55" s="54" t="e">
        <f t="shared" si="50"/>
        <v>#REF!</v>
      </c>
      <c r="EZ55" s="54" t="e">
        <f t="shared" si="51"/>
        <v>#REF!</v>
      </c>
      <c r="FA55" s="54" t="e">
        <f t="shared" si="135"/>
        <v>#REF!</v>
      </c>
      <c r="FB55" s="54" t="e">
        <f t="shared" si="136"/>
        <v>#REF!</v>
      </c>
      <c r="FC55" s="54" t="e">
        <f t="shared" si="137"/>
        <v>#REF!</v>
      </c>
      <c r="FD55" s="54" t="e">
        <f t="shared" si="138"/>
        <v>#REF!</v>
      </c>
      <c r="FE55" s="54" t="e">
        <f t="shared" si="139"/>
        <v>#REF!</v>
      </c>
      <c r="FF55" s="54" t="e">
        <f t="shared" si="140"/>
        <v>#REF!</v>
      </c>
      <c r="FG55" s="54" t="e">
        <f t="shared" si="141"/>
        <v>#REF!</v>
      </c>
      <c r="FH55" s="54" t="e">
        <f t="shared" si="52"/>
        <v>#REF!</v>
      </c>
      <c r="FI55" s="56" t="e">
        <f t="shared" si="142"/>
        <v>#N/A</v>
      </c>
      <c r="FJ55">
        <f t="shared" si="53"/>
        <v>0.75</v>
      </c>
      <c r="FK55" s="57">
        <f>'1PROJE'!$M$3</f>
        <v>1.18</v>
      </c>
      <c r="FL55" s="37" t="e">
        <f t="shared" si="143"/>
        <v>#N/A</v>
      </c>
    </row>
    <row r="56" spans="1:168" ht="15.75">
      <c r="AA56" s="55">
        <f t="shared" ref="AA56:AB56" si="158">AA36</f>
        <v>25</v>
      </c>
      <c r="AB56" s="54" t="e">
        <f t="shared" si="158"/>
        <v>#N/A</v>
      </c>
      <c r="AC56" s="54"/>
      <c r="AD56" s="54"/>
      <c r="AE56" s="54" t="e">
        <f t="shared" ref="AE56:AF56" si="159">AE36</f>
        <v>#N/A</v>
      </c>
      <c r="AF56" s="54">
        <f t="shared" si="159"/>
        <v>0</v>
      </c>
      <c r="AH56" s="54" t="e">
        <f t="shared" si="56"/>
        <v>#REF!</v>
      </c>
      <c r="AI56" s="54" t="e">
        <f t="shared" si="57"/>
        <v>#REF!</v>
      </c>
      <c r="AJ56" s="54" t="e">
        <f t="shared" si="58"/>
        <v>#REF!</v>
      </c>
      <c r="AK56" s="54" t="e">
        <f t="shared" si="59"/>
        <v>#REF!</v>
      </c>
      <c r="AL56" s="54" t="e">
        <f t="shared" si="60"/>
        <v>#REF!</v>
      </c>
      <c r="AM56" s="54" t="e">
        <f t="shared" si="61"/>
        <v>#REF!</v>
      </c>
      <c r="AN56" s="54">
        <f t="shared" si="62"/>
        <v>0</v>
      </c>
      <c r="AO56" s="54" t="e">
        <f t="shared" si="63"/>
        <v>#REF!</v>
      </c>
      <c r="AP56" s="54" t="e">
        <f t="shared" si="64"/>
        <v>#REF!</v>
      </c>
      <c r="AQ56" s="54" t="e">
        <f t="shared" si="65"/>
        <v>#REF!</v>
      </c>
      <c r="AR56" s="54" t="e">
        <f t="shared" si="66"/>
        <v>#REF!</v>
      </c>
      <c r="AS56" s="54" t="e">
        <f t="shared" si="67"/>
        <v>#REF!</v>
      </c>
      <c r="AT56" s="54" t="e">
        <f t="shared" si="68"/>
        <v>#REF!</v>
      </c>
      <c r="AU56" s="54" t="e">
        <f t="shared" si="69"/>
        <v>#REF!</v>
      </c>
      <c r="AV56" s="54" t="e">
        <f t="shared" si="70"/>
        <v>#REF!</v>
      </c>
      <c r="AW56" s="54" t="e">
        <f t="shared" si="71"/>
        <v>#REF!</v>
      </c>
      <c r="AX56" s="54" t="e">
        <f t="shared" si="72"/>
        <v>#REF!</v>
      </c>
      <c r="AY56" s="54" t="e">
        <f t="shared" si="73"/>
        <v>#REF!</v>
      </c>
      <c r="AZ56" s="54" t="e">
        <f t="shared" si="74"/>
        <v>#REF!</v>
      </c>
      <c r="BA56" s="54" t="e">
        <f t="shared" si="75"/>
        <v>#REF!</v>
      </c>
      <c r="BB56" s="54" t="e">
        <f t="shared" si="76"/>
        <v>#REF!</v>
      </c>
      <c r="BC56" s="54" t="e">
        <f t="shared" si="77"/>
        <v>#REF!</v>
      </c>
      <c r="BD56" s="54" t="e">
        <f t="shared" si="78"/>
        <v>#REF!</v>
      </c>
      <c r="BE56" s="54" t="e">
        <f t="shared" si="79"/>
        <v>#REF!</v>
      </c>
      <c r="BF56" s="54" t="e">
        <f t="shared" si="80"/>
        <v>#REF!</v>
      </c>
      <c r="BG56" s="54" t="e">
        <f t="shared" si="81"/>
        <v>#REF!</v>
      </c>
      <c r="BH56" s="54" t="e">
        <f t="shared" si="82"/>
        <v>#REF!</v>
      </c>
      <c r="BI56" s="54" t="e">
        <f t="shared" si="83"/>
        <v>#REF!</v>
      </c>
      <c r="BJ56" s="54" t="e">
        <f t="shared" si="84"/>
        <v>#REF!</v>
      </c>
      <c r="BK56" s="54" t="e">
        <f t="shared" si="85"/>
        <v>#REF!</v>
      </c>
      <c r="BL56" s="54" t="e">
        <f t="shared" si="86"/>
        <v>#REF!</v>
      </c>
      <c r="BM56" s="54" t="e">
        <f t="shared" si="87"/>
        <v>#REF!</v>
      </c>
      <c r="BN56" s="54" t="e">
        <f t="shared" si="88"/>
        <v>#REF!</v>
      </c>
      <c r="BO56" s="54" t="e">
        <f t="shared" si="89"/>
        <v>#REF!</v>
      </c>
      <c r="BP56" s="54" t="e">
        <f t="shared" si="8"/>
        <v>#REF!</v>
      </c>
      <c r="BQ56" s="54" t="e">
        <f t="shared" si="9"/>
        <v>#REF!</v>
      </c>
      <c r="BR56" s="54" t="e">
        <f t="shared" si="10"/>
        <v>#REF!</v>
      </c>
      <c r="BS56" s="54" t="e">
        <f t="shared" si="11"/>
        <v>#REF!</v>
      </c>
      <c r="BT56" s="54" t="e">
        <f t="shared" si="12"/>
        <v>#REF!</v>
      </c>
      <c r="BU56" s="54" t="e">
        <f t="shared" si="90"/>
        <v>#REF!</v>
      </c>
      <c r="BV56" s="54" t="e">
        <f t="shared" si="13"/>
        <v>#REF!</v>
      </c>
      <c r="BW56" s="54" t="e">
        <f t="shared" si="91"/>
        <v>#REF!</v>
      </c>
      <c r="BX56" s="54" t="e">
        <f t="shared" si="92"/>
        <v>#REF!</v>
      </c>
      <c r="BY56" s="54" t="e">
        <f t="shared" si="93"/>
        <v>#REF!</v>
      </c>
      <c r="BZ56" s="54" t="e">
        <f t="shared" si="94"/>
        <v>#REF!</v>
      </c>
      <c r="CA56" s="54" t="e">
        <f t="shared" si="14"/>
        <v>#REF!</v>
      </c>
      <c r="CB56" s="54" t="e">
        <f t="shared" si="15"/>
        <v>#REF!</v>
      </c>
      <c r="CC56" s="54" t="e">
        <f t="shared" si="95"/>
        <v>#REF!</v>
      </c>
      <c r="CD56" s="54" t="e">
        <f t="shared" si="96"/>
        <v>#REF!</v>
      </c>
      <c r="CE56" s="54" t="e">
        <f t="shared" si="16"/>
        <v>#REF!</v>
      </c>
      <c r="CF56" s="54" t="e">
        <f t="shared" si="17"/>
        <v>#REF!</v>
      </c>
      <c r="CG56" s="54" t="e">
        <f t="shared" si="97"/>
        <v>#REF!</v>
      </c>
      <c r="CH56" s="54" t="e">
        <f t="shared" si="18"/>
        <v>#REF!</v>
      </c>
      <c r="CI56" s="54" t="e">
        <f t="shared" si="19"/>
        <v>#REF!</v>
      </c>
      <c r="CJ56" s="54" t="e">
        <f t="shared" si="98"/>
        <v>#REF!</v>
      </c>
      <c r="CK56" s="54" t="e">
        <f t="shared" si="99"/>
        <v>#REF!</v>
      </c>
      <c r="CL56" s="54" t="e">
        <f t="shared" si="100"/>
        <v>#REF!</v>
      </c>
      <c r="CM56" s="54" t="e">
        <f t="shared" si="20"/>
        <v>#REF!</v>
      </c>
      <c r="CN56" s="54" t="e">
        <f t="shared" si="21"/>
        <v>#REF!</v>
      </c>
      <c r="CO56" s="54" t="e">
        <f t="shared" si="22"/>
        <v>#REF!</v>
      </c>
      <c r="CP56" s="54" t="e">
        <f t="shared" si="23"/>
        <v>#REF!</v>
      </c>
      <c r="CQ56" s="54" t="e">
        <f t="shared" si="101"/>
        <v>#REF!</v>
      </c>
      <c r="CR56" s="54" t="e">
        <f t="shared" si="24"/>
        <v>#REF!</v>
      </c>
      <c r="CS56" s="54" t="e">
        <f t="shared" si="102"/>
        <v>#REF!</v>
      </c>
      <c r="CT56" s="54" t="e">
        <f t="shared" si="103"/>
        <v>#REF!</v>
      </c>
      <c r="CU56" s="54" t="e">
        <f t="shared" si="104"/>
        <v>#REF!</v>
      </c>
      <c r="CV56" s="54" t="e">
        <f t="shared" si="25"/>
        <v>#REF!</v>
      </c>
      <c r="CW56" s="54" t="e">
        <f t="shared" si="105"/>
        <v>#REF!</v>
      </c>
      <c r="CX56" s="54" t="e">
        <f t="shared" si="106"/>
        <v>#REF!</v>
      </c>
      <c r="CY56" s="54" t="e">
        <f t="shared" si="107"/>
        <v>#REF!</v>
      </c>
      <c r="CZ56" s="54" t="e">
        <f t="shared" si="26"/>
        <v>#REF!</v>
      </c>
      <c r="DA56" s="54" t="e">
        <f t="shared" si="108"/>
        <v>#REF!</v>
      </c>
      <c r="DB56" s="54" t="e">
        <f t="shared" si="109"/>
        <v>#REF!</v>
      </c>
      <c r="DC56" s="54" t="e">
        <f t="shared" si="110"/>
        <v>#REF!</v>
      </c>
      <c r="DD56" s="54" t="e">
        <f t="shared" si="27"/>
        <v>#REF!</v>
      </c>
      <c r="DE56" s="54" t="e">
        <f t="shared" si="28"/>
        <v>#REF!</v>
      </c>
      <c r="DF56" s="54" t="e">
        <f t="shared" si="111"/>
        <v>#REF!</v>
      </c>
      <c r="DG56" s="54" t="e">
        <f t="shared" si="29"/>
        <v>#REF!</v>
      </c>
      <c r="DH56" s="54" t="e">
        <f t="shared" si="30"/>
        <v>#REF!</v>
      </c>
      <c r="DI56" s="54" t="e">
        <f t="shared" si="31"/>
        <v>#REF!</v>
      </c>
      <c r="DJ56" s="54" t="e">
        <f t="shared" si="112"/>
        <v>#REF!</v>
      </c>
      <c r="DK56" s="54" t="e">
        <f t="shared" si="113"/>
        <v>#REF!</v>
      </c>
      <c r="DL56" s="54" t="e">
        <f t="shared" si="32"/>
        <v>#REF!</v>
      </c>
      <c r="DM56" s="54" t="e">
        <f t="shared" si="33"/>
        <v>#REF!</v>
      </c>
      <c r="DN56" s="54" t="e">
        <f t="shared" si="34"/>
        <v>#REF!</v>
      </c>
      <c r="DO56" s="54" t="e">
        <f t="shared" si="35"/>
        <v>#REF!</v>
      </c>
      <c r="DP56" s="54" t="e">
        <f t="shared" si="114"/>
        <v>#REF!</v>
      </c>
      <c r="DQ56" s="54" t="e">
        <f t="shared" si="36"/>
        <v>#REF!</v>
      </c>
      <c r="DR56" s="54" t="e">
        <f t="shared" si="115"/>
        <v>#REF!</v>
      </c>
      <c r="DS56" s="54" t="e">
        <f t="shared" si="37"/>
        <v>#REF!</v>
      </c>
      <c r="DT56" s="54" t="e">
        <f t="shared" si="116"/>
        <v>#REF!</v>
      </c>
      <c r="DU56" s="54" t="e">
        <f t="shared" si="117"/>
        <v>#REF!</v>
      </c>
      <c r="DV56" s="54" t="e">
        <f t="shared" si="118"/>
        <v>#REF!</v>
      </c>
      <c r="DW56" s="54" t="e">
        <f t="shared" si="38"/>
        <v>#REF!</v>
      </c>
      <c r="DX56" s="54" t="e">
        <f t="shared" si="119"/>
        <v>#REF!</v>
      </c>
      <c r="DY56" s="54" t="e">
        <f t="shared" si="120"/>
        <v>#REF!</v>
      </c>
      <c r="DZ56" s="54" t="e">
        <f t="shared" si="121"/>
        <v>#REF!</v>
      </c>
      <c r="EA56" s="54" t="e">
        <f t="shared" si="39"/>
        <v>#REF!</v>
      </c>
      <c r="EB56" s="54" t="e">
        <f t="shared" si="40"/>
        <v>#REF!</v>
      </c>
      <c r="EC56" s="54" t="e">
        <f t="shared" si="122"/>
        <v>#REF!</v>
      </c>
      <c r="ED56" s="54" t="e">
        <f t="shared" si="41"/>
        <v>#REF!</v>
      </c>
      <c r="EE56" s="54" t="e">
        <f t="shared" si="42"/>
        <v>#REF!</v>
      </c>
      <c r="EF56" s="54" t="e">
        <f t="shared" si="43"/>
        <v>#REF!</v>
      </c>
      <c r="EG56" s="54" t="e">
        <f t="shared" si="123"/>
        <v>#REF!</v>
      </c>
      <c r="EH56" s="54" t="e">
        <f t="shared" si="124"/>
        <v>#REF!</v>
      </c>
      <c r="EI56" s="54" t="e">
        <f t="shared" si="125"/>
        <v>#REF!</v>
      </c>
      <c r="EJ56" s="54" t="e">
        <f t="shared" si="126"/>
        <v>#REF!</v>
      </c>
      <c r="EK56" s="54" t="e">
        <f t="shared" si="127"/>
        <v>#REF!</v>
      </c>
      <c r="EL56" s="54" t="e">
        <f t="shared" si="128"/>
        <v>#REF!</v>
      </c>
      <c r="EM56" s="54" t="e">
        <f t="shared" si="44"/>
        <v>#REF!</v>
      </c>
      <c r="EN56" s="54" t="e">
        <f t="shared" si="45"/>
        <v>#REF!</v>
      </c>
      <c r="EO56" s="54" t="e">
        <f t="shared" si="46"/>
        <v>#REF!</v>
      </c>
      <c r="EP56" s="54" t="e">
        <f t="shared" si="47"/>
        <v>#REF!</v>
      </c>
      <c r="EQ56" s="54" t="e">
        <f t="shared" si="48"/>
        <v>#REF!</v>
      </c>
      <c r="ER56" s="54" t="e">
        <f t="shared" si="129"/>
        <v>#REF!</v>
      </c>
      <c r="ES56" s="54" t="e">
        <f t="shared" si="130"/>
        <v>#REF!</v>
      </c>
      <c r="ET56" s="54" t="e">
        <f t="shared" si="131"/>
        <v>#REF!</v>
      </c>
      <c r="EU56" s="54" t="e">
        <f t="shared" si="49"/>
        <v>#REF!</v>
      </c>
      <c r="EV56" s="54" t="e">
        <f t="shared" si="132"/>
        <v>#REF!</v>
      </c>
      <c r="EW56" s="54" t="e">
        <f t="shared" si="133"/>
        <v>#REF!</v>
      </c>
      <c r="EX56" s="54" t="e">
        <f t="shared" si="134"/>
        <v>#REF!</v>
      </c>
      <c r="EY56" s="54" t="e">
        <f t="shared" si="50"/>
        <v>#REF!</v>
      </c>
      <c r="EZ56" s="54" t="e">
        <f t="shared" si="51"/>
        <v>#REF!</v>
      </c>
      <c r="FA56" s="54" t="e">
        <f t="shared" si="135"/>
        <v>#REF!</v>
      </c>
      <c r="FB56" s="54" t="e">
        <f t="shared" si="136"/>
        <v>#REF!</v>
      </c>
      <c r="FC56" s="54" t="e">
        <f t="shared" si="137"/>
        <v>#REF!</v>
      </c>
      <c r="FD56" s="54" t="e">
        <f t="shared" si="138"/>
        <v>#REF!</v>
      </c>
      <c r="FE56" s="54" t="e">
        <f t="shared" si="139"/>
        <v>#REF!</v>
      </c>
      <c r="FF56" s="54" t="e">
        <f t="shared" si="140"/>
        <v>#REF!</v>
      </c>
      <c r="FG56" s="54" t="e">
        <f t="shared" si="141"/>
        <v>#REF!</v>
      </c>
      <c r="FH56" s="54" t="e">
        <f t="shared" si="52"/>
        <v>#REF!</v>
      </c>
      <c r="FI56" s="56" t="e">
        <f t="shared" si="142"/>
        <v>#N/A</v>
      </c>
      <c r="FJ56">
        <f t="shared" si="53"/>
        <v>0.75</v>
      </c>
      <c r="FK56" s="57">
        <f>'1PROJE'!$M$3</f>
        <v>1.18</v>
      </c>
      <c r="FL56" s="37" t="e">
        <f t="shared" si="143"/>
        <v>#N/A</v>
      </c>
    </row>
    <row r="57" spans="1:168" ht="15.75">
      <c r="AA57" s="55">
        <f t="shared" ref="AA57:AB57" si="160">AA37</f>
        <v>25</v>
      </c>
      <c r="AB57" s="54" t="e">
        <f t="shared" si="160"/>
        <v>#N/A</v>
      </c>
      <c r="AC57" s="54"/>
      <c r="AD57" s="54"/>
      <c r="AE57" s="54" t="e">
        <f t="shared" ref="AE57:AF57" si="161">AE37</f>
        <v>#N/A</v>
      </c>
      <c r="AF57" s="54">
        <f t="shared" si="161"/>
        <v>0</v>
      </c>
      <c r="AH57" s="54" t="e">
        <f t="shared" si="56"/>
        <v>#REF!</v>
      </c>
      <c r="AI57" s="54" t="e">
        <f t="shared" si="57"/>
        <v>#REF!</v>
      </c>
      <c r="AJ57" s="54" t="e">
        <f t="shared" si="58"/>
        <v>#REF!</v>
      </c>
      <c r="AK57" s="54" t="e">
        <f t="shared" si="59"/>
        <v>#REF!</v>
      </c>
      <c r="AL57" s="54" t="e">
        <f t="shared" si="60"/>
        <v>#REF!</v>
      </c>
      <c r="AM57" s="54" t="e">
        <f t="shared" si="61"/>
        <v>#REF!</v>
      </c>
      <c r="AN57" s="54">
        <f t="shared" si="62"/>
        <v>0</v>
      </c>
      <c r="AO57" s="54" t="e">
        <f t="shared" si="63"/>
        <v>#REF!</v>
      </c>
      <c r="AP57" s="54" t="e">
        <f t="shared" si="64"/>
        <v>#REF!</v>
      </c>
      <c r="AQ57" s="54" t="e">
        <f t="shared" si="65"/>
        <v>#REF!</v>
      </c>
      <c r="AR57" s="54" t="e">
        <f t="shared" si="66"/>
        <v>#REF!</v>
      </c>
      <c r="AS57" s="54" t="e">
        <f t="shared" si="67"/>
        <v>#REF!</v>
      </c>
      <c r="AT57" s="54" t="e">
        <f t="shared" si="68"/>
        <v>#REF!</v>
      </c>
      <c r="AU57" s="54" t="e">
        <f t="shared" si="69"/>
        <v>#REF!</v>
      </c>
      <c r="AV57" s="54" t="e">
        <f t="shared" si="70"/>
        <v>#REF!</v>
      </c>
      <c r="AW57" s="54" t="e">
        <f t="shared" si="71"/>
        <v>#REF!</v>
      </c>
      <c r="AX57" s="54" t="e">
        <f t="shared" si="72"/>
        <v>#REF!</v>
      </c>
      <c r="AY57" s="54" t="e">
        <f t="shared" si="73"/>
        <v>#REF!</v>
      </c>
      <c r="AZ57" s="54" t="e">
        <f t="shared" si="74"/>
        <v>#REF!</v>
      </c>
      <c r="BA57" s="54" t="e">
        <f t="shared" si="75"/>
        <v>#REF!</v>
      </c>
      <c r="BB57" s="54" t="e">
        <f t="shared" si="76"/>
        <v>#REF!</v>
      </c>
      <c r="BC57" s="54" t="e">
        <f t="shared" si="77"/>
        <v>#REF!</v>
      </c>
      <c r="BD57" s="54" t="e">
        <f t="shared" si="78"/>
        <v>#REF!</v>
      </c>
      <c r="BE57" s="54" t="e">
        <f t="shared" si="79"/>
        <v>#REF!</v>
      </c>
      <c r="BF57" s="54" t="e">
        <f t="shared" si="80"/>
        <v>#REF!</v>
      </c>
      <c r="BG57" s="54" t="e">
        <f t="shared" si="81"/>
        <v>#REF!</v>
      </c>
      <c r="BH57" s="54" t="e">
        <f t="shared" si="82"/>
        <v>#REF!</v>
      </c>
      <c r="BI57" s="54" t="e">
        <f t="shared" si="83"/>
        <v>#REF!</v>
      </c>
      <c r="BJ57" s="54" t="e">
        <f t="shared" si="84"/>
        <v>#REF!</v>
      </c>
      <c r="BK57" s="54" t="e">
        <f t="shared" si="85"/>
        <v>#REF!</v>
      </c>
      <c r="BL57" s="54" t="e">
        <f t="shared" si="86"/>
        <v>#REF!</v>
      </c>
      <c r="BM57" s="54" t="e">
        <f t="shared" si="87"/>
        <v>#REF!</v>
      </c>
      <c r="BN57" s="54" t="e">
        <f t="shared" si="88"/>
        <v>#REF!</v>
      </c>
      <c r="BO57" s="54" t="e">
        <f t="shared" si="89"/>
        <v>#REF!</v>
      </c>
      <c r="BP57" s="54" t="e">
        <f t="shared" si="8"/>
        <v>#REF!</v>
      </c>
      <c r="BQ57" s="54" t="e">
        <f t="shared" si="9"/>
        <v>#REF!</v>
      </c>
      <c r="BR57" s="54" t="e">
        <f t="shared" si="10"/>
        <v>#REF!</v>
      </c>
      <c r="BS57" s="54" t="e">
        <f t="shared" si="11"/>
        <v>#REF!</v>
      </c>
      <c r="BT57" s="54" t="e">
        <f t="shared" si="12"/>
        <v>#REF!</v>
      </c>
      <c r="BU57" s="54" t="e">
        <f t="shared" si="90"/>
        <v>#REF!</v>
      </c>
      <c r="BV57" s="54" t="e">
        <f t="shared" si="13"/>
        <v>#REF!</v>
      </c>
      <c r="BW57" s="54" t="e">
        <f t="shared" si="91"/>
        <v>#REF!</v>
      </c>
      <c r="BX57" s="54" t="e">
        <f t="shared" si="92"/>
        <v>#REF!</v>
      </c>
      <c r="BY57" s="54" t="e">
        <f t="shared" si="93"/>
        <v>#REF!</v>
      </c>
      <c r="BZ57" s="54" t="e">
        <f t="shared" si="94"/>
        <v>#REF!</v>
      </c>
      <c r="CA57" s="54" t="e">
        <f t="shared" si="14"/>
        <v>#REF!</v>
      </c>
      <c r="CB57" s="54" t="e">
        <f t="shared" si="15"/>
        <v>#REF!</v>
      </c>
      <c r="CC57" s="54" t="e">
        <f t="shared" si="95"/>
        <v>#REF!</v>
      </c>
      <c r="CD57" s="54" t="e">
        <f t="shared" si="96"/>
        <v>#REF!</v>
      </c>
      <c r="CE57" s="54" t="e">
        <f t="shared" si="16"/>
        <v>#REF!</v>
      </c>
      <c r="CF57" s="54" t="e">
        <f t="shared" si="17"/>
        <v>#REF!</v>
      </c>
      <c r="CG57" s="54" t="e">
        <f t="shared" si="97"/>
        <v>#REF!</v>
      </c>
      <c r="CH57" s="54" t="e">
        <f t="shared" si="18"/>
        <v>#REF!</v>
      </c>
      <c r="CI57" s="54" t="e">
        <f t="shared" si="19"/>
        <v>#REF!</v>
      </c>
      <c r="CJ57" s="54" t="e">
        <f t="shared" si="98"/>
        <v>#REF!</v>
      </c>
      <c r="CK57" s="54" t="e">
        <f t="shared" si="99"/>
        <v>#REF!</v>
      </c>
      <c r="CL57" s="54" t="e">
        <f t="shared" si="100"/>
        <v>#REF!</v>
      </c>
      <c r="CM57" s="54" t="e">
        <f t="shared" si="20"/>
        <v>#REF!</v>
      </c>
      <c r="CN57" s="54" t="e">
        <f t="shared" si="21"/>
        <v>#REF!</v>
      </c>
      <c r="CO57" s="54" t="e">
        <f t="shared" si="22"/>
        <v>#REF!</v>
      </c>
      <c r="CP57" s="54" t="e">
        <f t="shared" si="23"/>
        <v>#REF!</v>
      </c>
      <c r="CQ57" s="54" t="e">
        <f t="shared" si="101"/>
        <v>#REF!</v>
      </c>
      <c r="CR57" s="54" t="e">
        <f t="shared" si="24"/>
        <v>#REF!</v>
      </c>
      <c r="CS57" s="54" t="e">
        <f t="shared" si="102"/>
        <v>#REF!</v>
      </c>
      <c r="CT57" s="54" t="e">
        <f t="shared" si="103"/>
        <v>#REF!</v>
      </c>
      <c r="CU57" s="54" t="e">
        <f t="shared" si="104"/>
        <v>#REF!</v>
      </c>
      <c r="CV57" s="54" t="e">
        <f t="shared" si="25"/>
        <v>#REF!</v>
      </c>
      <c r="CW57" s="54" t="e">
        <f t="shared" si="105"/>
        <v>#REF!</v>
      </c>
      <c r="CX57" s="54" t="e">
        <f t="shared" si="106"/>
        <v>#REF!</v>
      </c>
      <c r="CY57" s="54" t="e">
        <f t="shared" si="107"/>
        <v>#REF!</v>
      </c>
      <c r="CZ57" s="54" t="e">
        <f t="shared" si="26"/>
        <v>#REF!</v>
      </c>
      <c r="DA57" s="54" t="e">
        <f t="shared" si="108"/>
        <v>#REF!</v>
      </c>
      <c r="DB57" s="54" t="e">
        <f t="shared" si="109"/>
        <v>#REF!</v>
      </c>
      <c r="DC57" s="54" t="e">
        <f t="shared" si="110"/>
        <v>#REF!</v>
      </c>
      <c r="DD57" s="54" t="e">
        <f t="shared" si="27"/>
        <v>#REF!</v>
      </c>
      <c r="DE57" s="54" t="e">
        <f t="shared" si="28"/>
        <v>#REF!</v>
      </c>
      <c r="DF57" s="54" t="e">
        <f t="shared" si="111"/>
        <v>#REF!</v>
      </c>
      <c r="DG57" s="54" t="e">
        <f t="shared" si="29"/>
        <v>#REF!</v>
      </c>
      <c r="DH57" s="54" t="e">
        <f t="shared" si="30"/>
        <v>#REF!</v>
      </c>
      <c r="DI57" s="54" t="e">
        <f t="shared" si="31"/>
        <v>#REF!</v>
      </c>
      <c r="DJ57" s="54" t="e">
        <f t="shared" si="112"/>
        <v>#REF!</v>
      </c>
      <c r="DK57" s="54" t="e">
        <f t="shared" si="113"/>
        <v>#REF!</v>
      </c>
      <c r="DL57" s="54" t="e">
        <f t="shared" si="32"/>
        <v>#REF!</v>
      </c>
      <c r="DM57" s="54" t="e">
        <f t="shared" si="33"/>
        <v>#REF!</v>
      </c>
      <c r="DN57" s="54" t="e">
        <f t="shared" si="34"/>
        <v>#REF!</v>
      </c>
      <c r="DO57" s="54" t="e">
        <f t="shared" si="35"/>
        <v>#REF!</v>
      </c>
      <c r="DP57" s="54" t="e">
        <f t="shared" si="114"/>
        <v>#REF!</v>
      </c>
      <c r="DQ57" s="54" t="e">
        <f t="shared" si="36"/>
        <v>#REF!</v>
      </c>
      <c r="DR57" s="54" t="e">
        <f t="shared" si="115"/>
        <v>#REF!</v>
      </c>
      <c r="DS57" s="54" t="e">
        <f t="shared" si="37"/>
        <v>#REF!</v>
      </c>
      <c r="DT57" s="54" t="e">
        <f t="shared" si="116"/>
        <v>#REF!</v>
      </c>
      <c r="DU57" s="54" t="e">
        <f t="shared" si="117"/>
        <v>#REF!</v>
      </c>
      <c r="DV57" s="54" t="e">
        <f t="shared" si="118"/>
        <v>#REF!</v>
      </c>
      <c r="DW57" s="54" t="e">
        <f t="shared" si="38"/>
        <v>#REF!</v>
      </c>
      <c r="DX57" s="54" t="e">
        <f t="shared" si="119"/>
        <v>#REF!</v>
      </c>
      <c r="DY57" s="54" t="e">
        <f t="shared" si="120"/>
        <v>#REF!</v>
      </c>
      <c r="DZ57" s="54" t="e">
        <f t="shared" si="121"/>
        <v>#REF!</v>
      </c>
      <c r="EA57" s="54" t="e">
        <f t="shared" si="39"/>
        <v>#REF!</v>
      </c>
      <c r="EB57" s="54" t="e">
        <f t="shared" si="40"/>
        <v>#REF!</v>
      </c>
      <c r="EC57" s="54" t="e">
        <f t="shared" si="122"/>
        <v>#REF!</v>
      </c>
      <c r="ED57" s="54" t="e">
        <f t="shared" si="41"/>
        <v>#REF!</v>
      </c>
      <c r="EE57" s="54" t="e">
        <f t="shared" si="42"/>
        <v>#REF!</v>
      </c>
      <c r="EF57" s="54" t="e">
        <f t="shared" si="43"/>
        <v>#REF!</v>
      </c>
      <c r="EG57" s="54" t="e">
        <f t="shared" si="123"/>
        <v>#REF!</v>
      </c>
      <c r="EH57" s="54" t="e">
        <f t="shared" si="124"/>
        <v>#REF!</v>
      </c>
      <c r="EI57" s="54" t="e">
        <f t="shared" si="125"/>
        <v>#REF!</v>
      </c>
      <c r="EJ57" s="54" t="e">
        <f t="shared" si="126"/>
        <v>#REF!</v>
      </c>
      <c r="EK57" s="54" t="e">
        <f t="shared" si="127"/>
        <v>#REF!</v>
      </c>
      <c r="EL57" s="54" t="e">
        <f t="shared" si="128"/>
        <v>#REF!</v>
      </c>
      <c r="EM57" s="54" t="e">
        <f t="shared" si="44"/>
        <v>#REF!</v>
      </c>
      <c r="EN57" s="54" t="e">
        <f t="shared" si="45"/>
        <v>#REF!</v>
      </c>
      <c r="EO57" s="54" t="e">
        <f t="shared" si="46"/>
        <v>#REF!</v>
      </c>
      <c r="EP57" s="54" t="e">
        <f t="shared" si="47"/>
        <v>#REF!</v>
      </c>
      <c r="EQ57" s="54" t="e">
        <f t="shared" si="48"/>
        <v>#REF!</v>
      </c>
      <c r="ER57" s="54" t="e">
        <f t="shared" si="129"/>
        <v>#REF!</v>
      </c>
      <c r="ES57" s="54" t="e">
        <f t="shared" si="130"/>
        <v>#REF!</v>
      </c>
      <c r="ET57" s="54" t="e">
        <f t="shared" si="131"/>
        <v>#REF!</v>
      </c>
      <c r="EU57" s="54" t="e">
        <f t="shared" si="49"/>
        <v>#REF!</v>
      </c>
      <c r="EV57" s="54" t="e">
        <f t="shared" si="132"/>
        <v>#REF!</v>
      </c>
      <c r="EW57" s="54" t="e">
        <f t="shared" si="133"/>
        <v>#REF!</v>
      </c>
      <c r="EX57" s="54" t="e">
        <f t="shared" si="134"/>
        <v>#REF!</v>
      </c>
      <c r="EY57" s="54" t="e">
        <f t="shared" si="50"/>
        <v>#REF!</v>
      </c>
      <c r="EZ57" s="54" t="e">
        <f t="shared" si="51"/>
        <v>#REF!</v>
      </c>
      <c r="FA57" s="54" t="e">
        <f t="shared" si="135"/>
        <v>#REF!</v>
      </c>
      <c r="FB57" s="54" t="e">
        <f t="shared" si="136"/>
        <v>#REF!</v>
      </c>
      <c r="FC57" s="54" t="e">
        <f t="shared" si="137"/>
        <v>#REF!</v>
      </c>
      <c r="FD57" s="54" t="e">
        <f t="shared" si="138"/>
        <v>#REF!</v>
      </c>
      <c r="FE57" s="54" t="e">
        <f t="shared" si="139"/>
        <v>#REF!</v>
      </c>
      <c r="FF57" s="54" t="e">
        <f t="shared" si="140"/>
        <v>#REF!</v>
      </c>
      <c r="FG57" s="54" t="e">
        <f t="shared" si="141"/>
        <v>#REF!</v>
      </c>
      <c r="FH57" s="54" t="e">
        <f t="shared" si="52"/>
        <v>#REF!</v>
      </c>
      <c r="FI57" s="56" t="e">
        <f t="shared" si="142"/>
        <v>#N/A</v>
      </c>
      <c r="FJ57">
        <f t="shared" si="53"/>
        <v>0.75</v>
      </c>
      <c r="FK57" s="57">
        <f>'1PROJE'!$M$3</f>
        <v>1.18</v>
      </c>
      <c r="FL57" s="37" t="e">
        <f t="shared" si="143"/>
        <v>#N/A</v>
      </c>
    </row>
    <row r="58" spans="1:168" ht="15.75">
      <c r="AA58" s="55">
        <f t="shared" ref="AA58:AB58" si="162">AA38</f>
        <v>25</v>
      </c>
      <c r="AB58" s="54" t="e">
        <f t="shared" si="162"/>
        <v>#N/A</v>
      </c>
      <c r="AC58" s="54"/>
      <c r="AD58" s="54"/>
      <c r="AE58" s="54" t="e">
        <f t="shared" ref="AE58:AF58" si="163">AE38</f>
        <v>#N/A</v>
      </c>
      <c r="AF58" s="54">
        <f t="shared" si="163"/>
        <v>0</v>
      </c>
      <c r="AH58" s="54" t="e">
        <f t="shared" si="56"/>
        <v>#REF!</v>
      </c>
      <c r="AI58" s="54" t="e">
        <f t="shared" si="57"/>
        <v>#REF!</v>
      </c>
      <c r="AJ58" s="54" t="e">
        <f t="shared" si="58"/>
        <v>#REF!</v>
      </c>
      <c r="AK58" s="54" t="e">
        <f t="shared" si="59"/>
        <v>#REF!</v>
      </c>
      <c r="AL58" s="54" t="e">
        <f t="shared" si="60"/>
        <v>#REF!</v>
      </c>
      <c r="AM58" s="54" t="e">
        <f t="shared" si="61"/>
        <v>#REF!</v>
      </c>
      <c r="AN58" s="54">
        <f t="shared" si="62"/>
        <v>0</v>
      </c>
      <c r="AO58" s="54" t="e">
        <f t="shared" si="63"/>
        <v>#REF!</v>
      </c>
      <c r="AP58" s="54" t="e">
        <f t="shared" si="64"/>
        <v>#REF!</v>
      </c>
      <c r="AQ58" s="54" t="e">
        <f t="shared" si="65"/>
        <v>#REF!</v>
      </c>
      <c r="AR58" s="54" t="e">
        <f t="shared" si="66"/>
        <v>#REF!</v>
      </c>
      <c r="AS58" s="54" t="e">
        <f t="shared" si="67"/>
        <v>#REF!</v>
      </c>
      <c r="AT58" s="54" t="e">
        <f t="shared" si="68"/>
        <v>#REF!</v>
      </c>
      <c r="AU58" s="54" t="e">
        <f t="shared" si="69"/>
        <v>#REF!</v>
      </c>
      <c r="AV58" s="54" t="e">
        <f t="shared" si="70"/>
        <v>#REF!</v>
      </c>
      <c r="AW58" s="54" t="e">
        <f t="shared" si="71"/>
        <v>#REF!</v>
      </c>
      <c r="AX58" s="54" t="e">
        <f t="shared" si="72"/>
        <v>#REF!</v>
      </c>
      <c r="AY58" s="54" t="e">
        <f t="shared" si="73"/>
        <v>#REF!</v>
      </c>
      <c r="AZ58" s="54" t="e">
        <f t="shared" si="74"/>
        <v>#REF!</v>
      </c>
      <c r="BA58" s="54" t="e">
        <f t="shared" si="75"/>
        <v>#REF!</v>
      </c>
      <c r="BB58" s="54" t="e">
        <f t="shared" si="76"/>
        <v>#REF!</v>
      </c>
      <c r="BC58" s="54" t="e">
        <f t="shared" si="77"/>
        <v>#REF!</v>
      </c>
      <c r="BD58" s="54" t="e">
        <f t="shared" si="78"/>
        <v>#REF!</v>
      </c>
      <c r="BE58" s="54" t="e">
        <f t="shared" si="79"/>
        <v>#REF!</v>
      </c>
      <c r="BF58" s="54" t="e">
        <f t="shared" si="80"/>
        <v>#REF!</v>
      </c>
      <c r="BG58" s="54" t="e">
        <f t="shared" si="81"/>
        <v>#REF!</v>
      </c>
      <c r="BH58" s="54" t="e">
        <f t="shared" si="82"/>
        <v>#REF!</v>
      </c>
      <c r="BI58" s="54" t="e">
        <f t="shared" si="83"/>
        <v>#REF!</v>
      </c>
      <c r="BJ58" s="54" t="e">
        <f t="shared" si="84"/>
        <v>#REF!</v>
      </c>
      <c r="BK58" s="54" t="e">
        <f t="shared" si="85"/>
        <v>#REF!</v>
      </c>
      <c r="BL58" s="54" t="e">
        <f t="shared" si="86"/>
        <v>#REF!</v>
      </c>
      <c r="BM58" s="54" t="e">
        <f t="shared" si="87"/>
        <v>#REF!</v>
      </c>
      <c r="BN58" s="54" t="e">
        <f t="shared" si="88"/>
        <v>#REF!</v>
      </c>
      <c r="BO58" s="54" t="e">
        <f t="shared" si="89"/>
        <v>#REF!</v>
      </c>
      <c r="BP58" s="54" t="e">
        <f t="shared" si="8"/>
        <v>#REF!</v>
      </c>
      <c r="BQ58" s="54" t="e">
        <f t="shared" si="9"/>
        <v>#REF!</v>
      </c>
      <c r="BR58" s="54" t="e">
        <f t="shared" si="10"/>
        <v>#REF!</v>
      </c>
      <c r="BS58" s="54" t="e">
        <f t="shared" si="11"/>
        <v>#REF!</v>
      </c>
      <c r="BT58" s="54" t="e">
        <f t="shared" si="12"/>
        <v>#REF!</v>
      </c>
      <c r="BU58" s="54" t="e">
        <f t="shared" si="90"/>
        <v>#REF!</v>
      </c>
      <c r="BV58" s="54" t="e">
        <f t="shared" si="13"/>
        <v>#REF!</v>
      </c>
      <c r="BW58" s="54" t="e">
        <f t="shared" si="91"/>
        <v>#REF!</v>
      </c>
      <c r="BX58" s="54" t="e">
        <f t="shared" si="92"/>
        <v>#REF!</v>
      </c>
      <c r="BY58" s="54" t="e">
        <f t="shared" si="93"/>
        <v>#REF!</v>
      </c>
      <c r="BZ58" s="54" t="e">
        <f t="shared" si="94"/>
        <v>#REF!</v>
      </c>
      <c r="CA58" s="54" t="e">
        <f t="shared" si="14"/>
        <v>#REF!</v>
      </c>
      <c r="CB58" s="54" t="e">
        <f t="shared" si="15"/>
        <v>#REF!</v>
      </c>
      <c r="CC58" s="54" t="e">
        <f t="shared" si="95"/>
        <v>#REF!</v>
      </c>
      <c r="CD58" s="54" t="e">
        <f t="shared" si="96"/>
        <v>#REF!</v>
      </c>
      <c r="CE58" s="54" t="e">
        <f t="shared" si="16"/>
        <v>#REF!</v>
      </c>
      <c r="CF58" s="54" t="e">
        <f t="shared" si="17"/>
        <v>#REF!</v>
      </c>
      <c r="CG58" s="54" t="e">
        <f t="shared" si="97"/>
        <v>#REF!</v>
      </c>
      <c r="CH58" s="54" t="e">
        <f t="shared" si="18"/>
        <v>#REF!</v>
      </c>
      <c r="CI58" s="54" t="e">
        <f t="shared" si="19"/>
        <v>#REF!</v>
      </c>
      <c r="CJ58" s="54" t="e">
        <f t="shared" si="98"/>
        <v>#REF!</v>
      </c>
      <c r="CK58" s="54" t="e">
        <f t="shared" si="99"/>
        <v>#REF!</v>
      </c>
      <c r="CL58" s="54" t="e">
        <f t="shared" si="100"/>
        <v>#REF!</v>
      </c>
      <c r="CM58" s="54" t="e">
        <f t="shared" si="20"/>
        <v>#REF!</v>
      </c>
      <c r="CN58" s="54" t="e">
        <f t="shared" si="21"/>
        <v>#REF!</v>
      </c>
      <c r="CO58" s="54" t="e">
        <f t="shared" si="22"/>
        <v>#REF!</v>
      </c>
      <c r="CP58" s="54" t="e">
        <f t="shared" si="23"/>
        <v>#REF!</v>
      </c>
      <c r="CQ58" s="54" t="e">
        <f t="shared" si="101"/>
        <v>#REF!</v>
      </c>
      <c r="CR58" s="54" t="e">
        <f t="shared" si="24"/>
        <v>#REF!</v>
      </c>
      <c r="CS58" s="54" t="e">
        <f t="shared" si="102"/>
        <v>#REF!</v>
      </c>
      <c r="CT58" s="54" t="e">
        <f t="shared" si="103"/>
        <v>#REF!</v>
      </c>
      <c r="CU58" s="54" t="e">
        <f t="shared" si="104"/>
        <v>#REF!</v>
      </c>
      <c r="CV58" s="54" t="e">
        <f t="shared" si="25"/>
        <v>#REF!</v>
      </c>
      <c r="CW58" s="54" t="e">
        <f t="shared" si="105"/>
        <v>#REF!</v>
      </c>
      <c r="CX58" s="54" t="e">
        <f t="shared" si="106"/>
        <v>#REF!</v>
      </c>
      <c r="CY58" s="54" t="e">
        <f t="shared" si="107"/>
        <v>#REF!</v>
      </c>
      <c r="CZ58" s="54" t="e">
        <f t="shared" si="26"/>
        <v>#REF!</v>
      </c>
      <c r="DA58" s="54" t="e">
        <f t="shared" si="108"/>
        <v>#REF!</v>
      </c>
      <c r="DB58" s="54" t="e">
        <f t="shared" si="109"/>
        <v>#REF!</v>
      </c>
      <c r="DC58" s="54" t="e">
        <f t="shared" si="110"/>
        <v>#REF!</v>
      </c>
      <c r="DD58" s="54" t="e">
        <f t="shared" si="27"/>
        <v>#REF!</v>
      </c>
      <c r="DE58" s="54" t="e">
        <f t="shared" si="28"/>
        <v>#REF!</v>
      </c>
      <c r="DF58" s="54" t="e">
        <f t="shared" si="111"/>
        <v>#REF!</v>
      </c>
      <c r="DG58" s="54" t="e">
        <f t="shared" si="29"/>
        <v>#REF!</v>
      </c>
      <c r="DH58" s="54" t="e">
        <f t="shared" si="30"/>
        <v>#REF!</v>
      </c>
      <c r="DI58" s="54" t="e">
        <f t="shared" si="31"/>
        <v>#REF!</v>
      </c>
      <c r="DJ58" s="54" t="e">
        <f t="shared" si="112"/>
        <v>#REF!</v>
      </c>
      <c r="DK58" s="54" t="e">
        <f t="shared" si="113"/>
        <v>#REF!</v>
      </c>
      <c r="DL58" s="54" t="e">
        <f t="shared" si="32"/>
        <v>#REF!</v>
      </c>
      <c r="DM58" s="54" t="e">
        <f t="shared" si="33"/>
        <v>#REF!</v>
      </c>
      <c r="DN58" s="54" t="e">
        <f t="shared" si="34"/>
        <v>#REF!</v>
      </c>
      <c r="DO58" s="54" t="e">
        <f t="shared" si="35"/>
        <v>#REF!</v>
      </c>
      <c r="DP58" s="54" t="e">
        <f t="shared" si="114"/>
        <v>#REF!</v>
      </c>
      <c r="DQ58" s="54" t="e">
        <f t="shared" si="36"/>
        <v>#REF!</v>
      </c>
      <c r="DR58" s="54" t="e">
        <f t="shared" si="115"/>
        <v>#REF!</v>
      </c>
      <c r="DS58" s="54" t="e">
        <f t="shared" si="37"/>
        <v>#REF!</v>
      </c>
      <c r="DT58" s="54" t="e">
        <f t="shared" si="116"/>
        <v>#REF!</v>
      </c>
      <c r="DU58" s="54" t="e">
        <f t="shared" si="117"/>
        <v>#REF!</v>
      </c>
      <c r="DV58" s="54" t="e">
        <f t="shared" si="118"/>
        <v>#REF!</v>
      </c>
      <c r="DW58" s="54" t="e">
        <f t="shared" si="38"/>
        <v>#REF!</v>
      </c>
      <c r="DX58" s="54" t="e">
        <f t="shared" si="119"/>
        <v>#REF!</v>
      </c>
      <c r="DY58" s="54" t="e">
        <f t="shared" si="120"/>
        <v>#REF!</v>
      </c>
      <c r="DZ58" s="54" t="e">
        <f t="shared" si="121"/>
        <v>#REF!</v>
      </c>
      <c r="EA58" s="54" t="e">
        <f t="shared" si="39"/>
        <v>#REF!</v>
      </c>
      <c r="EB58" s="54" t="e">
        <f t="shared" si="40"/>
        <v>#REF!</v>
      </c>
      <c r="EC58" s="54" t="e">
        <f t="shared" si="122"/>
        <v>#REF!</v>
      </c>
      <c r="ED58" s="54" t="e">
        <f t="shared" si="41"/>
        <v>#REF!</v>
      </c>
      <c r="EE58" s="54" t="e">
        <f t="shared" si="42"/>
        <v>#REF!</v>
      </c>
      <c r="EF58" s="54" t="e">
        <f t="shared" si="43"/>
        <v>#REF!</v>
      </c>
      <c r="EG58" s="54" t="e">
        <f t="shared" si="123"/>
        <v>#REF!</v>
      </c>
      <c r="EH58" s="54" t="e">
        <f t="shared" si="124"/>
        <v>#REF!</v>
      </c>
      <c r="EI58" s="54" t="e">
        <f t="shared" si="125"/>
        <v>#REF!</v>
      </c>
      <c r="EJ58" s="54" t="e">
        <f t="shared" si="126"/>
        <v>#REF!</v>
      </c>
      <c r="EK58" s="54" t="e">
        <f t="shared" si="127"/>
        <v>#REF!</v>
      </c>
      <c r="EL58" s="54" t="e">
        <f t="shared" si="128"/>
        <v>#REF!</v>
      </c>
      <c r="EM58" s="54" t="e">
        <f t="shared" si="44"/>
        <v>#REF!</v>
      </c>
      <c r="EN58" s="54" t="e">
        <f t="shared" si="45"/>
        <v>#REF!</v>
      </c>
      <c r="EO58" s="54" t="e">
        <f t="shared" si="46"/>
        <v>#REF!</v>
      </c>
      <c r="EP58" s="54" t="e">
        <f t="shared" si="47"/>
        <v>#REF!</v>
      </c>
      <c r="EQ58" s="54" t="e">
        <f t="shared" si="48"/>
        <v>#REF!</v>
      </c>
      <c r="ER58" s="54" t="e">
        <f t="shared" si="129"/>
        <v>#REF!</v>
      </c>
      <c r="ES58" s="54" t="e">
        <f t="shared" si="130"/>
        <v>#REF!</v>
      </c>
      <c r="ET58" s="54" t="e">
        <f t="shared" si="131"/>
        <v>#REF!</v>
      </c>
      <c r="EU58" s="54" t="e">
        <f t="shared" si="49"/>
        <v>#REF!</v>
      </c>
      <c r="EV58" s="54" t="e">
        <f t="shared" si="132"/>
        <v>#REF!</v>
      </c>
      <c r="EW58" s="54" t="e">
        <f t="shared" si="133"/>
        <v>#REF!</v>
      </c>
      <c r="EX58" s="54" t="e">
        <f t="shared" si="134"/>
        <v>#REF!</v>
      </c>
      <c r="EY58" s="54" t="e">
        <f t="shared" si="50"/>
        <v>#REF!</v>
      </c>
      <c r="EZ58" s="54" t="e">
        <f t="shared" si="51"/>
        <v>#REF!</v>
      </c>
      <c r="FA58" s="54" t="e">
        <f t="shared" si="135"/>
        <v>#REF!</v>
      </c>
      <c r="FB58" s="54" t="e">
        <f t="shared" si="136"/>
        <v>#REF!</v>
      </c>
      <c r="FC58" s="54" t="e">
        <f t="shared" si="137"/>
        <v>#REF!</v>
      </c>
      <c r="FD58" s="54" t="e">
        <f t="shared" si="138"/>
        <v>#REF!</v>
      </c>
      <c r="FE58" s="54" t="e">
        <f t="shared" si="139"/>
        <v>#REF!</v>
      </c>
      <c r="FF58" s="54" t="e">
        <f t="shared" si="140"/>
        <v>#REF!</v>
      </c>
      <c r="FG58" s="54" t="e">
        <f t="shared" si="141"/>
        <v>#REF!</v>
      </c>
      <c r="FH58" s="54" t="e">
        <f t="shared" si="52"/>
        <v>#REF!</v>
      </c>
      <c r="FI58" s="56" t="e">
        <f t="shared" si="142"/>
        <v>#N/A</v>
      </c>
      <c r="FJ58">
        <f t="shared" si="53"/>
        <v>0.75</v>
      </c>
      <c r="FK58" s="57">
        <f>'1PROJE'!$M$3</f>
        <v>1.18</v>
      </c>
      <c r="FL58" s="37" t="e">
        <f t="shared" si="143"/>
        <v>#N/A</v>
      </c>
    </row>
    <row r="59" spans="1:168" ht="15.75">
      <c r="AA59" s="55">
        <f t="shared" ref="AA59:AB59" si="164">AA39</f>
        <v>25</v>
      </c>
      <c r="AB59" s="54" t="e">
        <f t="shared" si="164"/>
        <v>#N/A</v>
      </c>
      <c r="AC59" s="54"/>
      <c r="AD59" s="54"/>
      <c r="AE59" s="54" t="e">
        <f t="shared" ref="AE59:AF59" si="165">AE39</f>
        <v>#N/A</v>
      </c>
      <c r="AF59" s="54">
        <f t="shared" si="165"/>
        <v>0</v>
      </c>
      <c r="AH59" s="54" t="e">
        <f t="shared" si="56"/>
        <v>#REF!</v>
      </c>
      <c r="AI59" s="54" t="e">
        <f t="shared" si="57"/>
        <v>#REF!</v>
      </c>
      <c r="AJ59" s="54" t="e">
        <f t="shared" si="58"/>
        <v>#REF!</v>
      </c>
      <c r="AK59" s="54" t="e">
        <f t="shared" si="59"/>
        <v>#REF!</v>
      </c>
      <c r="AL59" s="54" t="e">
        <f t="shared" si="60"/>
        <v>#REF!</v>
      </c>
      <c r="AM59" s="54" t="e">
        <f t="shared" si="61"/>
        <v>#REF!</v>
      </c>
      <c r="AN59" s="54">
        <f t="shared" si="62"/>
        <v>0</v>
      </c>
      <c r="AO59" s="54" t="e">
        <f t="shared" si="63"/>
        <v>#REF!</v>
      </c>
      <c r="AP59" s="54" t="e">
        <f t="shared" si="64"/>
        <v>#REF!</v>
      </c>
      <c r="AQ59" s="54" t="e">
        <f t="shared" si="65"/>
        <v>#REF!</v>
      </c>
      <c r="AR59" s="54" t="e">
        <f t="shared" si="66"/>
        <v>#REF!</v>
      </c>
      <c r="AS59" s="54" t="e">
        <f t="shared" si="67"/>
        <v>#REF!</v>
      </c>
      <c r="AT59" s="54" t="e">
        <f t="shared" si="68"/>
        <v>#REF!</v>
      </c>
      <c r="AU59" s="54" t="e">
        <f t="shared" si="69"/>
        <v>#REF!</v>
      </c>
      <c r="AV59" s="54" t="e">
        <f t="shared" si="70"/>
        <v>#REF!</v>
      </c>
      <c r="AW59" s="54" t="e">
        <f t="shared" si="71"/>
        <v>#REF!</v>
      </c>
      <c r="AX59" s="54" t="e">
        <f t="shared" si="72"/>
        <v>#REF!</v>
      </c>
      <c r="AY59" s="54" t="e">
        <f t="shared" si="73"/>
        <v>#REF!</v>
      </c>
      <c r="AZ59" s="54" t="e">
        <f t="shared" si="74"/>
        <v>#REF!</v>
      </c>
      <c r="BA59" s="54" t="e">
        <f t="shared" si="75"/>
        <v>#REF!</v>
      </c>
      <c r="BB59" s="54" t="e">
        <f t="shared" si="76"/>
        <v>#REF!</v>
      </c>
      <c r="BC59" s="54" t="e">
        <f t="shared" si="77"/>
        <v>#REF!</v>
      </c>
      <c r="BD59" s="54" t="e">
        <f t="shared" si="78"/>
        <v>#REF!</v>
      </c>
      <c r="BE59" s="54" t="e">
        <f t="shared" si="79"/>
        <v>#REF!</v>
      </c>
      <c r="BF59" s="54" t="e">
        <f t="shared" si="80"/>
        <v>#REF!</v>
      </c>
      <c r="BG59" s="54" t="e">
        <f t="shared" si="81"/>
        <v>#REF!</v>
      </c>
      <c r="BH59" s="54" t="e">
        <f t="shared" si="82"/>
        <v>#REF!</v>
      </c>
      <c r="BI59" s="54" t="e">
        <f t="shared" si="83"/>
        <v>#REF!</v>
      </c>
      <c r="BJ59" s="54" t="e">
        <f t="shared" si="84"/>
        <v>#REF!</v>
      </c>
      <c r="BK59" s="54" t="e">
        <f t="shared" si="85"/>
        <v>#REF!</v>
      </c>
      <c r="BL59" s="54" t="e">
        <f t="shared" si="86"/>
        <v>#REF!</v>
      </c>
      <c r="BM59" s="54" t="e">
        <f t="shared" si="87"/>
        <v>#REF!</v>
      </c>
      <c r="BN59" s="54" t="e">
        <f t="shared" si="88"/>
        <v>#REF!</v>
      </c>
      <c r="BO59" s="54" t="e">
        <f t="shared" si="89"/>
        <v>#REF!</v>
      </c>
      <c r="BP59" s="54" t="e">
        <f t="shared" si="8"/>
        <v>#REF!</v>
      </c>
      <c r="BQ59" s="54" t="e">
        <f t="shared" si="9"/>
        <v>#REF!</v>
      </c>
      <c r="BR59" s="54" t="e">
        <f t="shared" si="10"/>
        <v>#REF!</v>
      </c>
      <c r="BS59" s="54" t="e">
        <f t="shared" si="11"/>
        <v>#REF!</v>
      </c>
      <c r="BT59" s="54" t="e">
        <f t="shared" si="12"/>
        <v>#REF!</v>
      </c>
      <c r="BU59" s="54" t="e">
        <f t="shared" si="90"/>
        <v>#REF!</v>
      </c>
      <c r="BV59" s="54" t="e">
        <f t="shared" si="13"/>
        <v>#REF!</v>
      </c>
      <c r="BW59" s="54" t="e">
        <f t="shared" si="91"/>
        <v>#REF!</v>
      </c>
      <c r="BX59" s="54" t="e">
        <f t="shared" si="92"/>
        <v>#REF!</v>
      </c>
      <c r="BY59" s="54" t="e">
        <f t="shared" si="93"/>
        <v>#REF!</v>
      </c>
      <c r="BZ59" s="54" t="e">
        <f t="shared" si="94"/>
        <v>#REF!</v>
      </c>
      <c r="CA59" s="54" t="e">
        <f t="shared" si="14"/>
        <v>#REF!</v>
      </c>
      <c r="CB59" s="54" t="e">
        <f t="shared" si="15"/>
        <v>#REF!</v>
      </c>
      <c r="CC59" s="54" t="e">
        <f t="shared" si="95"/>
        <v>#REF!</v>
      </c>
      <c r="CD59" s="54" t="e">
        <f t="shared" si="96"/>
        <v>#REF!</v>
      </c>
      <c r="CE59" s="54" t="e">
        <f t="shared" si="16"/>
        <v>#REF!</v>
      </c>
      <c r="CF59" s="54" t="e">
        <f t="shared" si="17"/>
        <v>#REF!</v>
      </c>
      <c r="CG59" s="54" t="e">
        <f t="shared" si="97"/>
        <v>#REF!</v>
      </c>
      <c r="CH59" s="54" t="e">
        <f t="shared" si="18"/>
        <v>#REF!</v>
      </c>
      <c r="CI59" s="54" t="e">
        <f t="shared" si="19"/>
        <v>#REF!</v>
      </c>
      <c r="CJ59" s="54" t="e">
        <f t="shared" si="98"/>
        <v>#REF!</v>
      </c>
      <c r="CK59" s="54" t="e">
        <f t="shared" si="99"/>
        <v>#REF!</v>
      </c>
      <c r="CL59" s="54" t="e">
        <f t="shared" si="100"/>
        <v>#REF!</v>
      </c>
      <c r="CM59" s="54" t="e">
        <f t="shared" si="20"/>
        <v>#REF!</v>
      </c>
      <c r="CN59" s="54" t="e">
        <f t="shared" si="21"/>
        <v>#REF!</v>
      </c>
      <c r="CO59" s="54" t="e">
        <f t="shared" si="22"/>
        <v>#REF!</v>
      </c>
      <c r="CP59" s="54" t="e">
        <f t="shared" si="23"/>
        <v>#REF!</v>
      </c>
      <c r="CQ59" s="54" t="e">
        <f t="shared" si="101"/>
        <v>#REF!</v>
      </c>
      <c r="CR59" s="54" t="e">
        <f t="shared" si="24"/>
        <v>#REF!</v>
      </c>
      <c r="CS59" s="54" t="e">
        <f t="shared" si="102"/>
        <v>#REF!</v>
      </c>
      <c r="CT59" s="54" t="e">
        <f t="shared" si="103"/>
        <v>#REF!</v>
      </c>
      <c r="CU59" s="54" t="e">
        <f t="shared" si="104"/>
        <v>#REF!</v>
      </c>
      <c r="CV59" s="54" t="e">
        <f t="shared" si="25"/>
        <v>#REF!</v>
      </c>
      <c r="CW59" s="54" t="e">
        <f t="shared" si="105"/>
        <v>#REF!</v>
      </c>
      <c r="CX59" s="54" t="e">
        <f t="shared" si="106"/>
        <v>#REF!</v>
      </c>
      <c r="CY59" s="54" t="e">
        <f t="shared" si="107"/>
        <v>#REF!</v>
      </c>
      <c r="CZ59" s="54" t="e">
        <f t="shared" si="26"/>
        <v>#REF!</v>
      </c>
      <c r="DA59" s="54" t="e">
        <f t="shared" si="108"/>
        <v>#REF!</v>
      </c>
      <c r="DB59" s="54" t="e">
        <f t="shared" si="109"/>
        <v>#REF!</v>
      </c>
      <c r="DC59" s="54" t="e">
        <f t="shared" si="110"/>
        <v>#REF!</v>
      </c>
      <c r="DD59" s="54" t="e">
        <f t="shared" si="27"/>
        <v>#REF!</v>
      </c>
      <c r="DE59" s="54" t="e">
        <f t="shared" si="28"/>
        <v>#REF!</v>
      </c>
      <c r="DF59" s="54" t="e">
        <f t="shared" si="111"/>
        <v>#REF!</v>
      </c>
      <c r="DG59" s="54" t="e">
        <f t="shared" si="29"/>
        <v>#REF!</v>
      </c>
      <c r="DH59" s="54" t="e">
        <f t="shared" si="30"/>
        <v>#REF!</v>
      </c>
      <c r="DI59" s="54" t="e">
        <f t="shared" si="31"/>
        <v>#REF!</v>
      </c>
      <c r="DJ59" s="54" t="e">
        <f t="shared" si="112"/>
        <v>#REF!</v>
      </c>
      <c r="DK59" s="54" t="e">
        <f t="shared" si="113"/>
        <v>#REF!</v>
      </c>
      <c r="DL59" s="54" t="e">
        <f t="shared" si="32"/>
        <v>#REF!</v>
      </c>
      <c r="DM59" s="54" t="e">
        <f t="shared" si="33"/>
        <v>#REF!</v>
      </c>
      <c r="DN59" s="54" t="e">
        <f t="shared" si="34"/>
        <v>#REF!</v>
      </c>
      <c r="DO59" s="54" t="e">
        <f t="shared" si="35"/>
        <v>#REF!</v>
      </c>
      <c r="DP59" s="54" t="e">
        <f t="shared" si="114"/>
        <v>#REF!</v>
      </c>
      <c r="DQ59" s="54" t="e">
        <f t="shared" si="36"/>
        <v>#REF!</v>
      </c>
      <c r="DR59" s="54" t="e">
        <f t="shared" si="115"/>
        <v>#REF!</v>
      </c>
      <c r="DS59" s="54" t="e">
        <f t="shared" si="37"/>
        <v>#REF!</v>
      </c>
      <c r="DT59" s="54" t="e">
        <f t="shared" si="116"/>
        <v>#REF!</v>
      </c>
      <c r="DU59" s="54" t="e">
        <f t="shared" si="117"/>
        <v>#REF!</v>
      </c>
      <c r="DV59" s="54" t="e">
        <f t="shared" si="118"/>
        <v>#REF!</v>
      </c>
      <c r="DW59" s="54" t="e">
        <f t="shared" si="38"/>
        <v>#REF!</v>
      </c>
      <c r="DX59" s="54" t="e">
        <f t="shared" si="119"/>
        <v>#REF!</v>
      </c>
      <c r="DY59" s="54" t="e">
        <f t="shared" si="120"/>
        <v>#REF!</v>
      </c>
      <c r="DZ59" s="54" t="e">
        <f t="shared" si="121"/>
        <v>#REF!</v>
      </c>
      <c r="EA59" s="54" t="e">
        <f t="shared" si="39"/>
        <v>#REF!</v>
      </c>
      <c r="EB59" s="54" t="e">
        <f t="shared" si="40"/>
        <v>#REF!</v>
      </c>
      <c r="EC59" s="54" t="e">
        <f t="shared" si="122"/>
        <v>#REF!</v>
      </c>
      <c r="ED59" s="54" t="e">
        <f t="shared" si="41"/>
        <v>#REF!</v>
      </c>
      <c r="EE59" s="54" t="e">
        <f t="shared" si="42"/>
        <v>#REF!</v>
      </c>
      <c r="EF59" s="54" t="e">
        <f t="shared" si="43"/>
        <v>#REF!</v>
      </c>
      <c r="EG59" s="54" t="e">
        <f t="shared" si="123"/>
        <v>#REF!</v>
      </c>
      <c r="EH59" s="54" t="e">
        <f t="shared" si="124"/>
        <v>#REF!</v>
      </c>
      <c r="EI59" s="54" t="e">
        <f t="shared" si="125"/>
        <v>#REF!</v>
      </c>
      <c r="EJ59" s="54" t="e">
        <f t="shared" si="126"/>
        <v>#REF!</v>
      </c>
      <c r="EK59" s="54" t="e">
        <f t="shared" si="127"/>
        <v>#REF!</v>
      </c>
      <c r="EL59" s="54" t="e">
        <f t="shared" si="128"/>
        <v>#REF!</v>
      </c>
      <c r="EM59" s="54" t="e">
        <f t="shared" si="44"/>
        <v>#REF!</v>
      </c>
      <c r="EN59" s="54" t="e">
        <f t="shared" si="45"/>
        <v>#REF!</v>
      </c>
      <c r="EO59" s="54" t="e">
        <f t="shared" si="46"/>
        <v>#REF!</v>
      </c>
      <c r="EP59" s="54" t="e">
        <f t="shared" si="47"/>
        <v>#REF!</v>
      </c>
      <c r="EQ59" s="54" t="e">
        <f t="shared" si="48"/>
        <v>#REF!</v>
      </c>
      <c r="ER59" s="54" t="e">
        <f t="shared" si="129"/>
        <v>#REF!</v>
      </c>
      <c r="ES59" s="54" t="e">
        <f t="shared" si="130"/>
        <v>#REF!</v>
      </c>
      <c r="ET59" s="54" t="e">
        <f t="shared" si="131"/>
        <v>#REF!</v>
      </c>
      <c r="EU59" s="54" t="e">
        <f t="shared" si="49"/>
        <v>#REF!</v>
      </c>
      <c r="EV59" s="54" t="e">
        <f t="shared" si="132"/>
        <v>#REF!</v>
      </c>
      <c r="EW59" s="54" t="e">
        <f t="shared" si="133"/>
        <v>#REF!</v>
      </c>
      <c r="EX59" s="54" t="e">
        <f t="shared" si="134"/>
        <v>#REF!</v>
      </c>
      <c r="EY59" s="54" t="e">
        <f t="shared" si="50"/>
        <v>#REF!</v>
      </c>
      <c r="EZ59" s="54" t="e">
        <f t="shared" si="51"/>
        <v>#REF!</v>
      </c>
      <c r="FA59" s="54" t="e">
        <f t="shared" si="135"/>
        <v>#REF!</v>
      </c>
      <c r="FB59" s="54" t="e">
        <f t="shared" si="136"/>
        <v>#REF!</v>
      </c>
      <c r="FC59" s="54" t="e">
        <f t="shared" si="137"/>
        <v>#REF!</v>
      </c>
      <c r="FD59" s="54" t="e">
        <f t="shared" si="138"/>
        <v>#REF!</v>
      </c>
      <c r="FE59" s="54" t="e">
        <f t="shared" si="139"/>
        <v>#REF!</v>
      </c>
      <c r="FF59" s="54" t="e">
        <f t="shared" si="140"/>
        <v>#REF!</v>
      </c>
      <c r="FG59" s="54" t="e">
        <f t="shared" si="141"/>
        <v>#REF!</v>
      </c>
      <c r="FH59" s="54" t="e">
        <f t="shared" si="52"/>
        <v>#REF!</v>
      </c>
      <c r="FI59" s="56" t="e">
        <f t="shared" si="142"/>
        <v>#N/A</v>
      </c>
      <c r="FJ59">
        <f t="shared" si="53"/>
        <v>0.75</v>
      </c>
      <c r="FK59" s="57">
        <f>'1PROJE'!$M$3</f>
        <v>1.18</v>
      </c>
      <c r="FL59" s="37" t="e">
        <f t="shared" si="143"/>
        <v>#N/A</v>
      </c>
    </row>
    <row r="60" spans="1:168" ht="15.75">
      <c r="AA60" s="55">
        <f t="shared" ref="AA60:AB60" si="166">AA40</f>
        <v>25</v>
      </c>
      <c r="AB60" s="54" t="e">
        <f t="shared" si="166"/>
        <v>#N/A</v>
      </c>
      <c r="AC60" s="54"/>
      <c r="AD60" s="54"/>
      <c r="AE60" s="54" t="e">
        <f t="shared" ref="AE60:AF60" si="167">AE40</f>
        <v>#N/A</v>
      </c>
      <c r="AF60" s="54">
        <f t="shared" si="167"/>
        <v>0</v>
      </c>
      <c r="AH60" s="54" t="e">
        <f t="shared" si="56"/>
        <v>#REF!</v>
      </c>
      <c r="AI60" s="54" t="e">
        <f t="shared" si="57"/>
        <v>#REF!</v>
      </c>
      <c r="AJ60" s="54" t="e">
        <f t="shared" si="58"/>
        <v>#REF!</v>
      </c>
      <c r="AK60" s="54" t="e">
        <f t="shared" si="59"/>
        <v>#REF!</v>
      </c>
      <c r="AL60" s="54" t="e">
        <f t="shared" si="60"/>
        <v>#REF!</v>
      </c>
      <c r="AM60" s="54" t="e">
        <f t="shared" si="61"/>
        <v>#REF!</v>
      </c>
      <c r="AN60" s="54">
        <f t="shared" si="62"/>
        <v>0</v>
      </c>
      <c r="AO60" s="54" t="e">
        <f t="shared" si="63"/>
        <v>#REF!</v>
      </c>
      <c r="AP60" s="54" t="e">
        <f t="shared" si="64"/>
        <v>#REF!</v>
      </c>
      <c r="AQ60" s="54" t="e">
        <f t="shared" si="65"/>
        <v>#REF!</v>
      </c>
      <c r="AR60" s="54" t="e">
        <f t="shared" si="66"/>
        <v>#REF!</v>
      </c>
      <c r="AS60" s="54" t="e">
        <f t="shared" si="67"/>
        <v>#REF!</v>
      </c>
      <c r="AT60" s="54" t="e">
        <f t="shared" si="68"/>
        <v>#REF!</v>
      </c>
      <c r="AU60" s="54" t="e">
        <f t="shared" si="69"/>
        <v>#REF!</v>
      </c>
      <c r="AV60" s="54" t="e">
        <f t="shared" si="70"/>
        <v>#REF!</v>
      </c>
      <c r="AW60" s="54" t="e">
        <f t="shared" si="71"/>
        <v>#REF!</v>
      </c>
      <c r="AX60" s="54" t="e">
        <f t="shared" si="72"/>
        <v>#REF!</v>
      </c>
      <c r="AY60" s="54" t="e">
        <f t="shared" si="73"/>
        <v>#REF!</v>
      </c>
      <c r="AZ60" s="54" t="e">
        <f t="shared" si="74"/>
        <v>#REF!</v>
      </c>
      <c r="BA60" s="54" t="e">
        <f t="shared" si="75"/>
        <v>#REF!</v>
      </c>
      <c r="BB60" s="54" t="e">
        <f t="shared" si="76"/>
        <v>#REF!</v>
      </c>
      <c r="BC60" s="54" t="e">
        <f t="shared" si="77"/>
        <v>#REF!</v>
      </c>
      <c r="BD60" s="54" t="e">
        <f t="shared" si="78"/>
        <v>#REF!</v>
      </c>
      <c r="BE60" s="54" t="e">
        <f t="shared" si="79"/>
        <v>#REF!</v>
      </c>
      <c r="BF60" s="54" t="e">
        <f t="shared" si="80"/>
        <v>#REF!</v>
      </c>
      <c r="BG60" s="54" t="e">
        <f t="shared" si="81"/>
        <v>#REF!</v>
      </c>
      <c r="BH60" s="54" t="e">
        <f t="shared" si="82"/>
        <v>#REF!</v>
      </c>
      <c r="BI60" s="54" t="e">
        <f t="shared" si="83"/>
        <v>#REF!</v>
      </c>
      <c r="BJ60" s="54" t="e">
        <f t="shared" si="84"/>
        <v>#REF!</v>
      </c>
      <c r="BK60" s="54" t="e">
        <f t="shared" si="85"/>
        <v>#REF!</v>
      </c>
      <c r="BL60" s="54" t="e">
        <f t="shared" si="86"/>
        <v>#REF!</v>
      </c>
      <c r="BM60" s="54" t="e">
        <f t="shared" si="87"/>
        <v>#REF!</v>
      </c>
      <c r="BN60" s="54" t="e">
        <f t="shared" si="88"/>
        <v>#REF!</v>
      </c>
      <c r="BO60" s="54" t="e">
        <f t="shared" si="89"/>
        <v>#REF!</v>
      </c>
      <c r="BP60" s="54" t="e">
        <f t="shared" si="8"/>
        <v>#REF!</v>
      </c>
      <c r="BQ60" s="54" t="e">
        <f t="shared" si="9"/>
        <v>#REF!</v>
      </c>
      <c r="BR60" s="54" t="e">
        <f t="shared" si="10"/>
        <v>#REF!</v>
      </c>
      <c r="BS60" s="54" t="e">
        <f t="shared" si="11"/>
        <v>#REF!</v>
      </c>
      <c r="BT60" s="54" t="e">
        <f t="shared" si="12"/>
        <v>#REF!</v>
      </c>
      <c r="BU60" s="54" t="e">
        <f t="shared" si="90"/>
        <v>#REF!</v>
      </c>
      <c r="BV60" s="54" t="e">
        <f t="shared" si="13"/>
        <v>#REF!</v>
      </c>
      <c r="BW60" s="54" t="e">
        <f t="shared" si="91"/>
        <v>#REF!</v>
      </c>
      <c r="BX60" s="54" t="e">
        <f t="shared" si="92"/>
        <v>#REF!</v>
      </c>
      <c r="BY60" s="54" t="e">
        <f t="shared" si="93"/>
        <v>#REF!</v>
      </c>
      <c r="BZ60" s="54" t="e">
        <f t="shared" si="94"/>
        <v>#REF!</v>
      </c>
      <c r="CA60" s="54" t="e">
        <f t="shared" si="14"/>
        <v>#REF!</v>
      </c>
      <c r="CB60" s="54" t="e">
        <f t="shared" si="15"/>
        <v>#REF!</v>
      </c>
      <c r="CC60" s="54" t="e">
        <f t="shared" si="95"/>
        <v>#REF!</v>
      </c>
      <c r="CD60" s="54" t="e">
        <f t="shared" si="96"/>
        <v>#REF!</v>
      </c>
      <c r="CE60" s="54" t="e">
        <f t="shared" si="16"/>
        <v>#REF!</v>
      </c>
      <c r="CF60" s="54" t="e">
        <f t="shared" si="17"/>
        <v>#REF!</v>
      </c>
      <c r="CG60" s="54" t="e">
        <f t="shared" si="97"/>
        <v>#REF!</v>
      </c>
      <c r="CH60" s="54" t="e">
        <f t="shared" si="18"/>
        <v>#REF!</v>
      </c>
      <c r="CI60" s="54" t="e">
        <f t="shared" si="19"/>
        <v>#REF!</v>
      </c>
      <c r="CJ60" s="54" t="e">
        <f t="shared" si="98"/>
        <v>#REF!</v>
      </c>
      <c r="CK60" s="54" t="e">
        <f t="shared" si="99"/>
        <v>#REF!</v>
      </c>
      <c r="CL60" s="54" t="e">
        <f t="shared" si="100"/>
        <v>#REF!</v>
      </c>
      <c r="CM60" s="54" t="e">
        <f t="shared" si="20"/>
        <v>#REF!</v>
      </c>
      <c r="CN60" s="54" t="e">
        <f t="shared" si="21"/>
        <v>#REF!</v>
      </c>
      <c r="CO60" s="54" t="e">
        <f t="shared" si="22"/>
        <v>#REF!</v>
      </c>
      <c r="CP60" s="54" t="e">
        <f t="shared" si="23"/>
        <v>#REF!</v>
      </c>
      <c r="CQ60" s="54" t="e">
        <f t="shared" si="101"/>
        <v>#REF!</v>
      </c>
      <c r="CR60" s="54" t="e">
        <f t="shared" si="24"/>
        <v>#REF!</v>
      </c>
      <c r="CS60" s="54" t="e">
        <f t="shared" si="102"/>
        <v>#REF!</v>
      </c>
      <c r="CT60" s="54" t="e">
        <f t="shared" si="103"/>
        <v>#REF!</v>
      </c>
      <c r="CU60" s="54" t="e">
        <f t="shared" si="104"/>
        <v>#REF!</v>
      </c>
      <c r="CV60" s="54" t="e">
        <f t="shared" si="25"/>
        <v>#REF!</v>
      </c>
      <c r="CW60" s="54" t="e">
        <f t="shared" si="105"/>
        <v>#REF!</v>
      </c>
      <c r="CX60" s="54" t="e">
        <f t="shared" si="106"/>
        <v>#REF!</v>
      </c>
      <c r="CY60" s="54" t="e">
        <f t="shared" si="107"/>
        <v>#REF!</v>
      </c>
      <c r="CZ60" s="54" t="e">
        <f t="shared" si="26"/>
        <v>#REF!</v>
      </c>
      <c r="DA60" s="54" t="e">
        <f t="shared" si="108"/>
        <v>#REF!</v>
      </c>
      <c r="DB60" s="54" t="e">
        <f t="shared" si="109"/>
        <v>#REF!</v>
      </c>
      <c r="DC60" s="54" t="e">
        <f t="shared" si="110"/>
        <v>#REF!</v>
      </c>
      <c r="DD60" s="54" t="e">
        <f t="shared" si="27"/>
        <v>#REF!</v>
      </c>
      <c r="DE60" s="54" t="e">
        <f t="shared" si="28"/>
        <v>#REF!</v>
      </c>
      <c r="DF60" s="54" t="e">
        <f t="shared" si="111"/>
        <v>#REF!</v>
      </c>
      <c r="DG60" s="54" t="e">
        <f t="shared" si="29"/>
        <v>#REF!</v>
      </c>
      <c r="DH60" s="54" t="e">
        <f t="shared" si="30"/>
        <v>#REF!</v>
      </c>
      <c r="DI60" s="54" t="e">
        <f t="shared" si="31"/>
        <v>#REF!</v>
      </c>
      <c r="DJ60" s="54" t="e">
        <f t="shared" si="112"/>
        <v>#REF!</v>
      </c>
      <c r="DK60" s="54" t="e">
        <f t="shared" si="113"/>
        <v>#REF!</v>
      </c>
      <c r="DL60" s="54" t="e">
        <f t="shared" si="32"/>
        <v>#REF!</v>
      </c>
      <c r="DM60" s="54" t="e">
        <f t="shared" si="33"/>
        <v>#REF!</v>
      </c>
      <c r="DN60" s="54" t="e">
        <f t="shared" si="34"/>
        <v>#REF!</v>
      </c>
      <c r="DO60" s="54" t="e">
        <f t="shared" si="35"/>
        <v>#REF!</v>
      </c>
      <c r="DP60" s="54" t="e">
        <f t="shared" si="114"/>
        <v>#REF!</v>
      </c>
      <c r="DQ60" s="54" t="e">
        <f t="shared" si="36"/>
        <v>#REF!</v>
      </c>
      <c r="DR60" s="54" t="e">
        <f t="shared" si="115"/>
        <v>#REF!</v>
      </c>
      <c r="DS60" s="54" t="e">
        <f t="shared" si="37"/>
        <v>#REF!</v>
      </c>
      <c r="DT60" s="54" t="e">
        <f t="shared" si="116"/>
        <v>#REF!</v>
      </c>
      <c r="DU60" s="54" t="e">
        <f t="shared" si="117"/>
        <v>#REF!</v>
      </c>
      <c r="DV60" s="54" t="e">
        <f t="shared" si="118"/>
        <v>#REF!</v>
      </c>
      <c r="DW60" s="54" t="e">
        <f t="shared" si="38"/>
        <v>#REF!</v>
      </c>
      <c r="DX60" s="54" t="e">
        <f t="shared" si="119"/>
        <v>#REF!</v>
      </c>
      <c r="DY60" s="54" t="e">
        <f t="shared" si="120"/>
        <v>#REF!</v>
      </c>
      <c r="DZ60" s="54" t="e">
        <f t="shared" si="121"/>
        <v>#REF!</v>
      </c>
      <c r="EA60" s="54" t="e">
        <f t="shared" si="39"/>
        <v>#REF!</v>
      </c>
      <c r="EB60" s="54" t="e">
        <f t="shared" si="40"/>
        <v>#REF!</v>
      </c>
      <c r="EC60" s="54" t="e">
        <f t="shared" si="122"/>
        <v>#REF!</v>
      </c>
      <c r="ED60" s="54" t="e">
        <f t="shared" si="41"/>
        <v>#REF!</v>
      </c>
      <c r="EE60" s="54" t="e">
        <f t="shared" si="42"/>
        <v>#REF!</v>
      </c>
      <c r="EF60" s="54" t="e">
        <f t="shared" si="43"/>
        <v>#REF!</v>
      </c>
      <c r="EG60" s="54" t="e">
        <f t="shared" si="123"/>
        <v>#REF!</v>
      </c>
      <c r="EH60" s="54" t="e">
        <f t="shared" si="124"/>
        <v>#REF!</v>
      </c>
      <c r="EI60" s="54" t="e">
        <f t="shared" si="125"/>
        <v>#REF!</v>
      </c>
      <c r="EJ60" s="54" t="e">
        <f t="shared" si="126"/>
        <v>#REF!</v>
      </c>
      <c r="EK60" s="54" t="e">
        <f t="shared" si="127"/>
        <v>#REF!</v>
      </c>
      <c r="EL60" s="54" t="e">
        <f t="shared" si="128"/>
        <v>#REF!</v>
      </c>
      <c r="EM60" s="54" t="e">
        <f t="shared" si="44"/>
        <v>#REF!</v>
      </c>
      <c r="EN60" s="54" t="e">
        <f t="shared" si="45"/>
        <v>#REF!</v>
      </c>
      <c r="EO60" s="54" t="e">
        <f t="shared" si="46"/>
        <v>#REF!</v>
      </c>
      <c r="EP60" s="54" t="e">
        <f t="shared" si="47"/>
        <v>#REF!</v>
      </c>
      <c r="EQ60" s="54" t="e">
        <f t="shared" si="48"/>
        <v>#REF!</v>
      </c>
      <c r="ER60" s="54" t="e">
        <f t="shared" si="129"/>
        <v>#REF!</v>
      </c>
      <c r="ES60" s="54" t="e">
        <f t="shared" si="130"/>
        <v>#REF!</v>
      </c>
      <c r="ET60" s="54" t="e">
        <f t="shared" si="131"/>
        <v>#REF!</v>
      </c>
      <c r="EU60" s="54" t="e">
        <f t="shared" si="49"/>
        <v>#REF!</v>
      </c>
      <c r="EV60" s="54" t="e">
        <f t="shared" si="132"/>
        <v>#REF!</v>
      </c>
      <c r="EW60" s="54" t="e">
        <f t="shared" si="133"/>
        <v>#REF!</v>
      </c>
      <c r="EX60" s="54" t="e">
        <f t="shared" si="134"/>
        <v>#REF!</v>
      </c>
      <c r="EY60" s="54" t="e">
        <f t="shared" si="50"/>
        <v>#REF!</v>
      </c>
      <c r="EZ60" s="54" t="e">
        <f t="shared" si="51"/>
        <v>#REF!</v>
      </c>
      <c r="FA60" s="54" t="e">
        <f t="shared" si="135"/>
        <v>#REF!</v>
      </c>
      <c r="FB60" s="54" t="e">
        <f t="shared" si="136"/>
        <v>#REF!</v>
      </c>
      <c r="FC60" s="54" t="e">
        <f t="shared" si="137"/>
        <v>#REF!</v>
      </c>
      <c r="FD60" s="54" t="e">
        <f t="shared" si="138"/>
        <v>#REF!</v>
      </c>
      <c r="FE60" s="54" t="e">
        <f t="shared" si="139"/>
        <v>#REF!</v>
      </c>
      <c r="FF60" s="54" t="e">
        <f t="shared" si="140"/>
        <v>#REF!</v>
      </c>
      <c r="FG60" s="54" t="e">
        <f t="shared" si="141"/>
        <v>#REF!</v>
      </c>
      <c r="FH60" s="54" t="e">
        <f t="shared" si="52"/>
        <v>#REF!</v>
      </c>
      <c r="FI60" s="56" t="e">
        <f t="shared" si="142"/>
        <v>#N/A</v>
      </c>
      <c r="FJ60">
        <f t="shared" si="53"/>
        <v>0.75</v>
      </c>
      <c r="FK60" s="57">
        <f>'1PROJE'!$M$3</f>
        <v>1.18</v>
      </c>
      <c r="FL60" s="37" t="e">
        <f t="shared" si="143"/>
        <v>#N/A</v>
      </c>
    </row>
    <row r="61" spans="1:168" ht="15.75">
      <c r="B61">
        <v>1</v>
      </c>
      <c r="C61">
        <v>2</v>
      </c>
      <c r="D61">
        <v>3</v>
      </c>
      <c r="E61">
        <v>4</v>
      </c>
      <c r="F61">
        <v>5</v>
      </c>
      <c r="G61">
        <v>6</v>
      </c>
      <c r="H61">
        <v>7</v>
      </c>
      <c r="I61">
        <v>8</v>
      </c>
      <c r="J61">
        <v>9</v>
      </c>
      <c r="K61">
        <v>10</v>
      </c>
      <c r="L61">
        <v>11</v>
      </c>
      <c r="M61">
        <v>12</v>
      </c>
      <c r="N61">
        <v>13</v>
      </c>
      <c r="O61">
        <v>14</v>
      </c>
      <c r="P61">
        <v>15</v>
      </c>
      <c r="Q61">
        <v>16</v>
      </c>
      <c r="R61">
        <v>17</v>
      </c>
      <c r="S61">
        <v>18</v>
      </c>
      <c r="T61">
        <v>19</v>
      </c>
      <c r="U61">
        <v>20</v>
      </c>
      <c r="AA61" s="55">
        <f t="shared" ref="AA61:AB61" si="168">AA41</f>
        <v>25</v>
      </c>
      <c r="AB61" s="54" t="e">
        <f t="shared" si="168"/>
        <v>#N/A</v>
      </c>
      <c r="AC61" s="54"/>
      <c r="AD61" s="54"/>
      <c r="AE61" s="54" t="e">
        <f t="shared" ref="AE61:AF61" si="169">AE41</f>
        <v>#N/A</v>
      </c>
      <c r="AF61" s="54">
        <f t="shared" si="169"/>
        <v>0</v>
      </c>
      <c r="AH61" s="54" t="e">
        <f t="shared" si="56"/>
        <v>#REF!</v>
      </c>
      <c r="AI61" s="54" t="e">
        <f t="shared" si="57"/>
        <v>#REF!</v>
      </c>
      <c r="AJ61" s="54" t="e">
        <f t="shared" si="58"/>
        <v>#REF!</v>
      </c>
      <c r="AK61" s="54" t="e">
        <f t="shared" si="59"/>
        <v>#REF!</v>
      </c>
      <c r="AL61" s="54" t="e">
        <f t="shared" si="60"/>
        <v>#REF!</v>
      </c>
      <c r="AM61" s="54" t="e">
        <f t="shared" si="61"/>
        <v>#REF!</v>
      </c>
      <c r="AN61" s="54">
        <f t="shared" si="62"/>
        <v>0</v>
      </c>
      <c r="AO61" s="54" t="e">
        <f t="shared" si="63"/>
        <v>#REF!</v>
      </c>
      <c r="AP61" s="54" t="e">
        <f t="shared" si="64"/>
        <v>#REF!</v>
      </c>
      <c r="AQ61" s="54" t="e">
        <f t="shared" si="65"/>
        <v>#REF!</v>
      </c>
      <c r="AR61" s="54" t="e">
        <f t="shared" si="66"/>
        <v>#REF!</v>
      </c>
      <c r="AS61" s="54" t="e">
        <f t="shared" si="67"/>
        <v>#REF!</v>
      </c>
      <c r="AT61" s="54" t="e">
        <f t="shared" si="68"/>
        <v>#REF!</v>
      </c>
      <c r="AU61" s="54" t="e">
        <f t="shared" si="69"/>
        <v>#REF!</v>
      </c>
      <c r="AV61" s="54" t="e">
        <f t="shared" si="70"/>
        <v>#REF!</v>
      </c>
      <c r="AW61" s="54" t="e">
        <f t="shared" si="71"/>
        <v>#REF!</v>
      </c>
      <c r="AX61" s="54" t="e">
        <f t="shared" si="72"/>
        <v>#REF!</v>
      </c>
      <c r="AY61" s="54" t="e">
        <f t="shared" si="73"/>
        <v>#REF!</v>
      </c>
      <c r="AZ61" s="54" t="e">
        <f t="shared" si="74"/>
        <v>#REF!</v>
      </c>
      <c r="BA61" s="54" t="e">
        <f t="shared" si="75"/>
        <v>#REF!</v>
      </c>
      <c r="BB61" s="54" t="e">
        <f t="shared" si="76"/>
        <v>#REF!</v>
      </c>
      <c r="BC61" s="54" t="e">
        <f t="shared" si="77"/>
        <v>#REF!</v>
      </c>
      <c r="BD61" s="54" t="e">
        <f t="shared" si="78"/>
        <v>#REF!</v>
      </c>
      <c r="BE61" s="54" t="e">
        <f t="shared" si="79"/>
        <v>#REF!</v>
      </c>
      <c r="BF61" s="54" t="e">
        <f t="shared" si="80"/>
        <v>#REF!</v>
      </c>
      <c r="BG61" s="54" t="e">
        <f t="shared" si="81"/>
        <v>#REF!</v>
      </c>
      <c r="BH61" s="54" t="e">
        <f t="shared" si="82"/>
        <v>#REF!</v>
      </c>
      <c r="BI61" s="54" t="e">
        <f t="shared" si="83"/>
        <v>#REF!</v>
      </c>
      <c r="BJ61" s="54" t="e">
        <f t="shared" si="84"/>
        <v>#REF!</v>
      </c>
      <c r="BK61" s="54" t="e">
        <f t="shared" si="85"/>
        <v>#REF!</v>
      </c>
      <c r="BL61" s="54" t="e">
        <f t="shared" si="86"/>
        <v>#REF!</v>
      </c>
      <c r="BM61" s="54" t="e">
        <f t="shared" si="87"/>
        <v>#REF!</v>
      </c>
      <c r="BN61" s="54" t="e">
        <f t="shared" si="88"/>
        <v>#REF!</v>
      </c>
      <c r="BO61" s="54" t="e">
        <f t="shared" si="89"/>
        <v>#REF!</v>
      </c>
      <c r="BP61" s="54" t="e">
        <f t="shared" si="8"/>
        <v>#REF!</v>
      </c>
      <c r="BQ61" s="54" t="e">
        <f t="shared" si="9"/>
        <v>#REF!</v>
      </c>
      <c r="BR61" s="54" t="e">
        <f t="shared" si="10"/>
        <v>#REF!</v>
      </c>
      <c r="BS61" s="54" t="e">
        <f t="shared" si="11"/>
        <v>#REF!</v>
      </c>
      <c r="BT61" s="54" t="e">
        <f t="shared" si="12"/>
        <v>#REF!</v>
      </c>
      <c r="BU61" s="54" t="e">
        <f t="shared" si="90"/>
        <v>#REF!</v>
      </c>
      <c r="BV61" s="54" t="e">
        <f t="shared" si="13"/>
        <v>#REF!</v>
      </c>
      <c r="BW61" s="54" t="e">
        <f t="shared" si="91"/>
        <v>#REF!</v>
      </c>
      <c r="BX61" s="54" t="e">
        <f t="shared" si="92"/>
        <v>#REF!</v>
      </c>
      <c r="BY61" s="54" t="e">
        <f t="shared" si="93"/>
        <v>#REF!</v>
      </c>
      <c r="BZ61" s="54" t="e">
        <f t="shared" si="94"/>
        <v>#REF!</v>
      </c>
      <c r="CA61" s="54" t="e">
        <f t="shared" si="14"/>
        <v>#REF!</v>
      </c>
      <c r="CB61" s="54" t="e">
        <f t="shared" si="15"/>
        <v>#REF!</v>
      </c>
      <c r="CC61" s="54" t="e">
        <f t="shared" si="95"/>
        <v>#REF!</v>
      </c>
      <c r="CD61" s="54" t="e">
        <f t="shared" si="96"/>
        <v>#REF!</v>
      </c>
      <c r="CE61" s="54" t="e">
        <f t="shared" si="16"/>
        <v>#REF!</v>
      </c>
      <c r="CF61" s="54" t="e">
        <f t="shared" si="17"/>
        <v>#REF!</v>
      </c>
      <c r="CG61" s="54" t="e">
        <f t="shared" si="97"/>
        <v>#REF!</v>
      </c>
      <c r="CH61" s="54" t="e">
        <f t="shared" si="18"/>
        <v>#REF!</v>
      </c>
      <c r="CI61" s="54" t="e">
        <f t="shared" si="19"/>
        <v>#REF!</v>
      </c>
      <c r="CJ61" s="54" t="e">
        <f t="shared" si="98"/>
        <v>#REF!</v>
      </c>
      <c r="CK61" s="54" t="e">
        <f t="shared" si="99"/>
        <v>#REF!</v>
      </c>
      <c r="CL61" s="54" t="e">
        <f t="shared" si="100"/>
        <v>#REF!</v>
      </c>
      <c r="CM61" s="54" t="e">
        <f t="shared" si="20"/>
        <v>#REF!</v>
      </c>
      <c r="CN61" s="54" t="e">
        <f t="shared" si="21"/>
        <v>#REF!</v>
      </c>
      <c r="CO61" s="54" t="e">
        <f t="shared" si="22"/>
        <v>#REF!</v>
      </c>
      <c r="CP61" s="54" t="e">
        <f t="shared" si="23"/>
        <v>#REF!</v>
      </c>
      <c r="CQ61" s="54" t="e">
        <f t="shared" si="101"/>
        <v>#REF!</v>
      </c>
      <c r="CR61" s="54" t="e">
        <f t="shared" si="24"/>
        <v>#REF!</v>
      </c>
      <c r="CS61" s="54" t="e">
        <f t="shared" si="102"/>
        <v>#REF!</v>
      </c>
      <c r="CT61" s="54" t="e">
        <f t="shared" si="103"/>
        <v>#REF!</v>
      </c>
      <c r="CU61" s="54" t="e">
        <f t="shared" si="104"/>
        <v>#REF!</v>
      </c>
      <c r="CV61" s="54" t="e">
        <f t="shared" si="25"/>
        <v>#REF!</v>
      </c>
      <c r="CW61" s="54" t="e">
        <f t="shared" si="105"/>
        <v>#REF!</v>
      </c>
      <c r="CX61" s="54" t="e">
        <f t="shared" si="106"/>
        <v>#REF!</v>
      </c>
      <c r="CY61" s="54" t="e">
        <f t="shared" si="107"/>
        <v>#REF!</v>
      </c>
      <c r="CZ61" s="54" t="e">
        <f t="shared" si="26"/>
        <v>#REF!</v>
      </c>
      <c r="DA61" s="54" t="e">
        <f t="shared" si="108"/>
        <v>#REF!</v>
      </c>
      <c r="DB61" s="54" t="e">
        <f t="shared" si="109"/>
        <v>#REF!</v>
      </c>
      <c r="DC61" s="54" t="e">
        <f t="shared" si="110"/>
        <v>#REF!</v>
      </c>
      <c r="DD61" s="54" t="e">
        <f t="shared" si="27"/>
        <v>#REF!</v>
      </c>
      <c r="DE61" s="54" t="e">
        <f t="shared" si="28"/>
        <v>#REF!</v>
      </c>
      <c r="DF61" s="54" t="e">
        <f t="shared" si="111"/>
        <v>#REF!</v>
      </c>
      <c r="DG61" s="54" t="e">
        <f t="shared" si="29"/>
        <v>#REF!</v>
      </c>
      <c r="DH61" s="54" t="e">
        <f t="shared" si="30"/>
        <v>#REF!</v>
      </c>
      <c r="DI61" s="54" t="e">
        <f t="shared" si="31"/>
        <v>#REF!</v>
      </c>
      <c r="DJ61" s="54" t="e">
        <f t="shared" si="112"/>
        <v>#REF!</v>
      </c>
      <c r="DK61" s="54" t="e">
        <f t="shared" si="113"/>
        <v>#REF!</v>
      </c>
      <c r="DL61" s="54" t="e">
        <f t="shared" si="32"/>
        <v>#REF!</v>
      </c>
      <c r="DM61" s="54" t="e">
        <f t="shared" si="33"/>
        <v>#REF!</v>
      </c>
      <c r="DN61" s="54" t="e">
        <f t="shared" si="34"/>
        <v>#REF!</v>
      </c>
      <c r="DO61" s="54" t="e">
        <f t="shared" si="35"/>
        <v>#REF!</v>
      </c>
      <c r="DP61" s="54" t="e">
        <f t="shared" si="114"/>
        <v>#REF!</v>
      </c>
      <c r="DQ61" s="54" t="e">
        <f t="shared" si="36"/>
        <v>#REF!</v>
      </c>
      <c r="DR61" s="54" t="e">
        <f t="shared" si="115"/>
        <v>#REF!</v>
      </c>
      <c r="DS61" s="54" t="e">
        <f t="shared" si="37"/>
        <v>#REF!</v>
      </c>
      <c r="DT61" s="54" t="e">
        <f t="shared" si="116"/>
        <v>#REF!</v>
      </c>
      <c r="DU61" s="54" t="e">
        <f t="shared" si="117"/>
        <v>#REF!</v>
      </c>
      <c r="DV61" s="54" t="e">
        <f t="shared" si="118"/>
        <v>#REF!</v>
      </c>
      <c r="DW61" s="54" t="e">
        <f t="shared" si="38"/>
        <v>#REF!</v>
      </c>
      <c r="DX61" s="54" t="e">
        <f t="shared" si="119"/>
        <v>#REF!</v>
      </c>
      <c r="DY61" s="54" t="e">
        <f t="shared" si="120"/>
        <v>#REF!</v>
      </c>
      <c r="DZ61" s="54" t="e">
        <f t="shared" si="121"/>
        <v>#REF!</v>
      </c>
      <c r="EA61" s="54" t="e">
        <f t="shared" si="39"/>
        <v>#REF!</v>
      </c>
      <c r="EB61" s="54" t="e">
        <f t="shared" si="40"/>
        <v>#REF!</v>
      </c>
      <c r="EC61" s="54" t="e">
        <f t="shared" si="122"/>
        <v>#REF!</v>
      </c>
      <c r="ED61" s="54" t="e">
        <f t="shared" si="41"/>
        <v>#REF!</v>
      </c>
      <c r="EE61" s="54" t="e">
        <f t="shared" si="42"/>
        <v>#REF!</v>
      </c>
      <c r="EF61" s="54" t="e">
        <f t="shared" si="43"/>
        <v>#REF!</v>
      </c>
      <c r="EG61" s="54" t="e">
        <f t="shared" si="123"/>
        <v>#REF!</v>
      </c>
      <c r="EH61" s="54" t="e">
        <f t="shared" si="124"/>
        <v>#REF!</v>
      </c>
      <c r="EI61" s="54" t="e">
        <f t="shared" si="125"/>
        <v>#REF!</v>
      </c>
      <c r="EJ61" s="54" t="e">
        <f t="shared" si="126"/>
        <v>#REF!</v>
      </c>
      <c r="EK61" s="54" t="e">
        <f t="shared" si="127"/>
        <v>#REF!</v>
      </c>
      <c r="EL61" s="54" t="e">
        <f t="shared" si="128"/>
        <v>#REF!</v>
      </c>
      <c r="EM61" s="54" t="e">
        <f t="shared" si="44"/>
        <v>#REF!</v>
      </c>
      <c r="EN61" s="54" t="e">
        <f t="shared" si="45"/>
        <v>#REF!</v>
      </c>
      <c r="EO61" s="54" t="e">
        <f t="shared" si="46"/>
        <v>#REF!</v>
      </c>
      <c r="EP61" s="54" t="e">
        <f t="shared" si="47"/>
        <v>#REF!</v>
      </c>
      <c r="EQ61" s="54" t="e">
        <f t="shared" si="48"/>
        <v>#REF!</v>
      </c>
      <c r="ER61" s="54" t="e">
        <f t="shared" si="129"/>
        <v>#REF!</v>
      </c>
      <c r="ES61" s="54" t="e">
        <f t="shared" si="130"/>
        <v>#REF!</v>
      </c>
      <c r="ET61" s="54" t="e">
        <f t="shared" si="131"/>
        <v>#REF!</v>
      </c>
      <c r="EU61" s="54" t="e">
        <f t="shared" si="49"/>
        <v>#REF!</v>
      </c>
      <c r="EV61" s="54" t="e">
        <f t="shared" si="132"/>
        <v>#REF!</v>
      </c>
      <c r="EW61" s="54" t="e">
        <f t="shared" si="133"/>
        <v>#REF!</v>
      </c>
      <c r="EX61" s="54" t="e">
        <f t="shared" si="134"/>
        <v>#REF!</v>
      </c>
      <c r="EY61" s="54" t="e">
        <f t="shared" si="50"/>
        <v>#REF!</v>
      </c>
      <c r="EZ61" s="54" t="e">
        <f t="shared" si="51"/>
        <v>#REF!</v>
      </c>
      <c r="FA61" s="54" t="e">
        <f t="shared" si="135"/>
        <v>#REF!</v>
      </c>
      <c r="FB61" s="54" t="e">
        <f t="shared" si="136"/>
        <v>#REF!</v>
      </c>
      <c r="FC61" s="54" t="e">
        <f t="shared" si="137"/>
        <v>#REF!</v>
      </c>
      <c r="FD61" s="54" t="e">
        <f t="shared" si="138"/>
        <v>#REF!</v>
      </c>
      <c r="FE61" s="54" t="e">
        <f t="shared" si="139"/>
        <v>#REF!</v>
      </c>
      <c r="FF61" s="54" t="e">
        <f t="shared" si="140"/>
        <v>#REF!</v>
      </c>
      <c r="FG61" s="54" t="e">
        <f t="shared" si="141"/>
        <v>#REF!</v>
      </c>
      <c r="FH61" s="54" t="e">
        <f t="shared" si="52"/>
        <v>#REF!</v>
      </c>
      <c r="FI61" s="56" t="e">
        <f t="shared" si="142"/>
        <v>#N/A</v>
      </c>
      <c r="FJ61">
        <f t="shared" si="53"/>
        <v>0.75</v>
      </c>
      <c r="FK61" s="57">
        <f>'1PROJE'!$M$3</f>
        <v>1.18</v>
      </c>
      <c r="FL61" s="37" t="e">
        <f t="shared" si="143"/>
        <v>#N/A</v>
      </c>
    </row>
    <row r="62" spans="1:168" ht="15.75">
      <c r="A62">
        <v>1</v>
      </c>
      <c r="B62" t="str">
        <f>IF(C27=0,0,IF(($C$27-A62)=0,"POZ 1.","POZ"&amp;" "&amp;$B$61&amp;"."&amp;A62))</f>
        <v>POZ 1.</v>
      </c>
      <c r="AA62" s="55">
        <f t="shared" ref="AA62:AB62" si="170">AA42</f>
        <v>25</v>
      </c>
      <c r="AB62" s="54" t="e">
        <f t="shared" si="170"/>
        <v>#N/A</v>
      </c>
      <c r="AC62" s="54"/>
      <c r="AD62" s="54"/>
      <c r="AE62" s="54" t="e">
        <f t="shared" ref="AE62:AF62" si="171">AE42</f>
        <v>#N/A</v>
      </c>
      <c r="AF62" s="54">
        <f t="shared" si="171"/>
        <v>0</v>
      </c>
      <c r="AH62" s="54" t="e">
        <f t="shared" si="56"/>
        <v>#REF!</v>
      </c>
      <c r="AI62" s="54" t="e">
        <f t="shared" si="57"/>
        <v>#REF!</v>
      </c>
      <c r="AJ62" s="54" t="e">
        <f t="shared" si="58"/>
        <v>#REF!</v>
      </c>
      <c r="AK62" s="54" t="e">
        <f t="shared" si="59"/>
        <v>#REF!</v>
      </c>
      <c r="AL62" s="54" t="e">
        <f t="shared" si="60"/>
        <v>#REF!</v>
      </c>
      <c r="AM62" s="54" t="e">
        <f t="shared" si="61"/>
        <v>#REF!</v>
      </c>
      <c r="AN62" s="54">
        <f t="shared" si="62"/>
        <v>0</v>
      </c>
      <c r="AO62" s="54" t="e">
        <f t="shared" si="63"/>
        <v>#REF!</v>
      </c>
      <c r="AP62" s="54" t="e">
        <f t="shared" si="64"/>
        <v>#REF!</v>
      </c>
      <c r="AQ62" s="54" t="e">
        <f t="shared" si="65"/>
        <v>#REF!</v>
      </c>
      <c r="AR62" s="54" t="e">
        <f t="shared" si="66"/>
        <v>#REF!</v>
      </c>
      <c r="AS62" s="54" t="e">
        <f t="shared" si="67"/>
        <v>#REF!</v>
      </c>
      <c r="AT62" s="54" t="e">
        <f t="shared" si="68"/>
        <v>#REF!</v>
      </c>
      <c r="AU62" s="54" t="e">
        <f t="shared" si="69"/>
        <v>#REF!</v>
      </c>
      <c r="AV62" s="54" t="e">
        <f t="shared" si="70"/>
        <v>#REF!</v>
      </c>
      <c r="AW62" s="54" t="e">
        <f t="shared" si="71"/>
        <v>#REF!</v>
      </c>
      <c r="AX62" s="54" t="e">
        <f t="shared" si="72"/>
        <v>#REF!</v>
      </c>
      <c r="AY62" s="54" t="e">
        <f t="shared" si="73"/>
        <v>#REF!</v>
      </c>
      <c r="AZ62" s="54" t="e">
        <f t="shared" si="74"/>
        <v>#REF!</v>
      </c>
      <c r="BA62" s="54" t="e">
        <f t="shared" si="75"/>
        <v>#REF!</v>
      </c>
      <c r="BB62" s="54" t="e">
        <f t="shared" si="76"/>
        <v>#REF!</v>
      </c>
      <c r="BC62" s="54" t="e">
        <f t="shared" si="77"/>
        <v>#REF!</v>
      </c>
      <c r="BD62" s="54" t="e">
        <f t="shared" si="78"/>
        <v>#REF!</v>
      </c>
      <c r="BE62" s="54" t="e">
        <f t="shared" si="79"/>
        <v>#REF!</v>
      </c>
      <c r="BF62" s="54" t="e">
        <f t="shared" si="80"/>
        <v>#REF!</v>
      </c>
      <c r="BG62" s="54" t="e">
        <f t="shared" si="81"/>
        <v>#REF!</v>
      </c>
      <c r="BH62" s="54" t="e">
        <f t="shared" si="82"/>
        <v>#REF!</v>
      </c>
      <c r="BI62" s="54" t="e">
        <f t="shared" si="83"/>
        <v>#REF!</v>
      </c>
      <c r="BJ62" s="54" t="e">
        <f t="shared" si="84"/>
        <v>#REF!</v>
      </c>
      <c r="BK62" s="54" t="e">
        <f t="shared" si="85"/>
        <v>#REF!</v>
      </c>
      <c r="BL62" s="54" t="e">
        <f t="shared" si="86"/>
        <v>#REF!</v>
      </c>
      <c r="BM62" s="54" t="e">
        <f t="shared" si="87"/>
        <v>#REF!</v>
      </c>
      <c r="BN62" s="54" t="e">
        <f t="shared" si="88"/>
        <v>#REF!</v>
      </c>
      <c r="BO62" s="54" t="e">
        <f t="shared" si="89"/>
        <v>#REF!</v>
      </c>
      <c r="BP62" s="54" t="e">
        <f t="shared" si="8"/>
        <v>#REF!</v>
      </c>
      <c r="BQ62" s="54" t="e">
        <f t="shared" si="9"/>
        <v>#REF!</v>
      </c>
      <c r="BR62" s="54" t="e">
        <f t="shared" si="10"/>
        <v>#REF!</v>
      </c>
      <c r="BS62" s="54" t="e">
        <f t="shared" si="11"/>
        <v>#REF!</v>
      </c>
      <c r="BT62" s="54" t="e">
        <f t="shared" si="12"/>
        <v>#REF!</v>
      </c>
      <c r="BU62" s="54" t="e">
        <f t="shared" si="90"/>
        <v>#REF!</v>
      </c>
      <c r="BV62" s="54" t="e">
        <f t="shared" si="13"/>
        <v>#REF!</v>
      </c>
      <c r="BW62" s="54" t="e">
        <f t="shared" si="91"/>
        <v>#REF!</v>
      </c>
      <c r="BX62" s="54" t="e">
        <f t="shared" si="92"/>
        <v>#REF!</v>
      </c>
      <c r="BY62" s="54" t="e">
        <f t="shared" si="93"/>
        <v>#REF!</v>
      </c>
      <c r="BZ62" s="54" t="e">
        <f t="shared" si="94"/>
        <v>#REF!</v>
      </c>
      <c r="CA62" s="54" t="e">
        <f t="shared" si="14"/>
        <v>#REF!</v>
      </c>
      <c r="CB62" s="54" t="e">
        <f t="shared" si="15"/>
        <v>#REF!</v>
      </c>
      <c r="CC62" s="54" t="e">
        <f t="shared" si="95"/>
        <v>#REF!</v>
      </c>
      <c r="CD62" s="54" t="e">
        <f t="shared" si="96"/>
        <v>#REF!</v>
      </c>
      <c r="CE62" s="54" t="e">
        <f t="shared" si="16"/>
        <v>#REF!</v>
      </c>
      <c r="CF62" s="54" t="e">
        <f t="shared" si="17"/>
        <v>#REF!</v>
      </c>
      <c r="CG62" s="54" t="e">
        <f t="shared" si="97"/>
        <v>#REF!</v>
      </c>
      <c r="CH62" s="54" t="e">
        <f t="shared" si="18"/>
        <v>#REF!</v>
      </c>
      <c r="CI62" s="54" t="e">
        <f t="shared" si="19"/>
        <v>#REF!</v>
      </c>
      <c r="CJ62" s="54" t="e">
        <f t="shared" si="98"/>
        <v>#REF!</v>
      </c>
      <c r="CK62" s="54" t="e">
        <f t="shared" si="99"/>
        <v>#REF!</v>
      </c>
      <c r="CL62" s="54" t="e">
        <f t="shared" si="100"/>
        <v>#REF!</v>
      </c>
      <c r="CM62" s="54" t="e">
        <f t="shared" si="20"/>
        <v>#REF!</v>
      </c>
      <c r="CN62" s="54" t="e">
        <f t="shared" si="21"/>
        <v>#REF!</v>
      </c>
      <c r="CO62" s="54" t="e">
        <f t="shared" si="22"/>
        <v>#REF!</v>
      </c>
      <c r="CP62" s="54" t="e">
        <f t="shared" si="23"/>
        <v>#REF!</v>
      </c>
      <c r="CQ62" s="54" t="e">
        <f t="shared" si="101"/>
        <v>#REF!</v>
      </c>
      <c r="CR62" s="54" t="e">
        <f t="shared" si="24"/>
        <v>#REF!</v>
      </c>
      <c r="CS62" s="54" t="e">
        <f t="shared" si="102"/>
        <v>#REF!</v>
      </c>
      <c r="CT62" s="54" t="e">
        <f t="shared" si="103"/>
        <v>#REF!</v>
      </c>
      <c r="CU62" s="54" t="e">
        <f t="shared" si="104"/>
        <v>#REF!</v>
      </c>
      <c r="CV62" s="54" t="e">
        <f t="shared" si="25"/>
        <v>#REF!</v>
      </c>
      <c r="CW62" s="54" t="e">
        <f t="shared" si="105"/>
        <v>#REF!</v>
      </c>
      <c r="CX62" s="54" t="e">
        <f t="shared" si="106"/>
        <v>#REF!</v>
      </c>
      <c r="CY62" s="54" t="e">
        <f t="shared" si="107"/>
        <v>#REF!</v>
      </c>
      <c r="CZ62" s="54" t="e">
        <f t="shared" si="26"/>
        <v>#REF!</v>
      </c>
      <c r="DA62" s="54" t="e">
        <f t="shared" si="108"/>
        <v>#REF!</v>
      </c>
      <c r="DB62" s="54" t="e">
        <f t="shared" si="109"/>
        <v>#REF!</v>
      </c>
      <c r="DC62" s="54" t="e">
        <f t="shared" si="110"/>
        <v>#REF!</v>
      </c>
      <c r="DD62" s="54" t="e">
        <f t="shared" si="27"/>
        <v>#REF!</v>
      </c>
      <c r="DE62" s="54" t="e">
        <f t="shared" si="28"/>
        <v>#REF!</v>
      </c>
      <c r="DF62" s="54" t="e">
        <f t="shared" si="111"/>
        <v>#REF!</v>
      </c>
      <c r="DG62" s="54" t="e">
        <f t="shared" si="29"/>
        <v>#REF!</v>
      </c>
      <c r="DH62" s="54" t="e">
        <f t="shared" si="30"/>
        <v>#REF!</v>
      </c>
      <c r="DI62" s="54" t="e">
        <f t="shared" si="31"/>
        <v>#REF!</v>
      </c>
      <c r="DJ62" s="54" t="e">
        <f t="shared" si="112"/>
        <v>#REF!</v>
      </c>
      <c r="DK62" s="54" t="e">
        <f t="shared" si="113"/>
        <v>#REF!</v>
      </c>
      <c r="DL62" s="54" t="e">
        <f t="shared" si="32"/>
        <v>#REF!</v>
      </c>
      <c r="DM62" s="54" t="e">
        <f t="shared" si="33"/>
        <v>#REF!</v>
      </c>
      <c r="DN62" s="54" t="e">
        <f t="shared" si="34"/>
        <v>#REF!</v>
      </c>
      <c r="DO62" s="54" t="e">
        <f t="shared" si="35"/>
        <v>#REF!</v>
      </c>
      <c r="DP62" s="54" t="e">
        <f t="shared" si="114"/>
        <v>#REF!</v>
      </c>
      <c r="DQ62" s="54" t="e">
        <f t="shared" si="36"/>
        <v>#REF!</v>
      </c>
      <c r="DR62" s="54" t="e">
        <f t="shared" si="115"/>
        <v>#REF!</v>
      </c>
      <c r="DS62" s="54" t="e">
        <f t="shared" si="37"/>
        <v>#REF!</v>
      </c>
      <c r="DT62" s="54" t="e">
        <f t="shared" si="116"/>
        <v>#REF!</v>
      </c>
      <c r="DU62" s="54" t="e">
        <f t="shared" si="117"/>
        <v>#REF!</v>
      </c>
      <c r="DV62" s="54" t="e">
        <f t="shared" si="118"/>
        <v>#REF!</v>
      </c>
      <c r="DW62" s="54" t="e">
        <f t="shared" si="38"/>
        <v>#REF!</v>
      </c>
      <c r="DX62" s="54" t="e">
        <f t="shared" si="119"/>
        <v>#REF!</v>
      </c>
      <c r="DY62" s="54" t="e">
        <f t="shared" si="120"/>
        <v>#REF!</v>
      </c>
      <c r="DZ62" s="54" t="e">
        <f t="shared" si="121"/>
        <v>#REF!</v>
      </c>
      <c r="EA62" s="54" t="e">
        <f t="shared" si="39"/>
        <v>#REF!</v>
      </c>
      <c r="EB62" s="54" t="e">
        <f t="shared" si="40"/>
        <v>#REF!</v>
      </c>
      <c r="EC62" s="54" t="e">
        <f t="shared" si="122"/>
        <v>#REF!</v>
      </c>
      <c r="ED62" s="54" t="e">
        <f t="shared" si="41"/>
        <v>#REF!</v>
      </c>
      <c r="EE62" s="54" t="e">
        <f t="shared" si="42"/>
        <v>#REF!</v>
      </c>
      <c r="EF62" s="54" t="e">
        <f t="shared" si="43"/>
        <v>#REF!</v>
      </c>
      <c r="EG62" s="54" t="e">
        <f t="shared" si="123"/>
        <v>#REF!</v>
      </c>
      <c r="EH62" s="54" t="e">
        <f t="shared" si="124"/>
        <v>#REF!</v>
      </c>
      <c r="EI62" s="54" t="e">
        <f t="shared" si="125"/>
        <v>#REF!</v>
      </c>
      <c r="EJ62" s="54" t="e">
        <f t="shared" si="126"/>
        <v>#REF!</v>
      </c>
      <c r="EK62" s="54" t="e">
        <f t="shared" si="127"/>
        <v>#REF!</v>
      </c>
      <c r="EL62" s="54" t="e">
        <f t="shared" si="128"/>
        <v>#REF!</v>
      </c>
      <c r="EM62" s="54" t="e">
        <f t="shared" si="44"/>
        <v>#REF!</v>
      </c>
      <c r="EN62" s="54" t="e">
        <f t="shared" si="45"/>
        <v>#REF!</v>
      </c>
      <c r="EO62" s="54" t="e">
        <f t="shared" si="46"/>
        <v>#REF!</v>
      </c>
      <c r="EP62" s="54" t="e">
        <f t="shared" si="47"/>
        <v>#REF!</v>
      </c>
      <c r="EQ62" s="54" t="e">
        <f t="shared" si="48"/>
        <v>#REF!</v>
      </c>
      <c r="ER62" s="54" t="e">
        <f t="shared" si="129"/>
        <v>#REF!</v>
      </c>
      <c r="ES62" s="54" t="e">
        <f t="shared" si="130"/>
        <v>#REF!</v>
      </c>
      <c r="ET62" s="54" t="e">
        <f t="shared" si="131"/>
        <v>#REF!</v>
      </c>
      <c r="EU62" s="54" t="e">
        <f t="shared" si="49"/>
        <v>#REF!</v>
      </c>
      <c r="EV62" s="54" t="e">
        <f t="shared" si="132"/>
        <v>#REF!</v>
      </c>
      <c r="EW62" s="54" t="e">
        <f t="shared" si="133"/>
        <v>#REF!</v>
      </c>
      <c r="EX62" s="54" t="e">
        <f t="shared" si="134"/>
        <v>#REF!</v>
      </c>
      <c r="EY62" s="54" t="e">
        <f t="shared" si="50"/>
        <v>#REF!</v>
      </c>
      <c r="EZ62" s="54" t="e">
        <f t="shared" si="51"/>
        <v>#REF!</v>
      </c>
      <c r="FA62" s="54" t="e">
        <f t="shared" si="135"/>
        <v>#REF!</v>
      </c>
      <c r="FB62" s="54" t="e">
        <f t="shared" si="136"/>
        <v>#REF!</v>
      </c>
      <c r="FC62" s="54" t="e">
        <f t="shared" si="137"/>
        <v>#REF!</v>
      </c>
      <c r="FD62" s="54" t="e">
        <f t="shared" si="138"/>
        <v>#REF!</v>
      </c>
      <c r="FE62" s="54" t="e">
        <f t="shared" si="139"/>
        <v>#REF!</v>
      </c>
      <c r="FF62" s="54" t="e">
        <f t="shared" si="140"/>
        <v>#REF!</v>
      </c>
      <c r="FG62" s="54" t="e">
        <f t="shared" si="141"/>
        <v>#REF!</v>
      </c>
      <c r="FH62" s="54" t="e">
        <f t="shared" si="52"/>
        <v>#REF!</v>
      </c>
      <c r="FI62" s="56" t="e">
        <f t="shared" si="142"/>
        <v>#N/A</v>
      </c>
      <c r="FJ62">
        <f t="shared" si="53"/>
        <v>0.75</v>
      </c>
      <c r="FK62" s="57">
        <f>'1PROJE'!$M$3</f>
        <v>1.18</v>
      </c>
      <c r="FL62" s="37" t="e">
        <f t="shared" si="143"/>
        <v>#N/A</v>
      </c>
    </row>
    <row r="63" spans="1:168" ht="15.75">
      <c r="A63">
        <v>2</v>
      </c>
      <c r="B63">
        <f t="shared" ref="B63:B126" si="172">IF(($C$27-A63)&lt;0,0,"POZ"&amp;" "&amp;$B$61&amp;"."&amp;A63)</f>
        <v>0</v>
      </c>
      <c r="AA63" s="55">
        <f t="shared" ref="AA63:AB63" si="173">AA43</f>
        <v>25</v>
      </c>
      <c r="AB63" s="54" t="e">
        <f t="shared" si="173"/>
        <v>#N/A</v>
      </c>
      <c r="AC63" s="54"/>
      <c r="AD63" s="54"/>
      <c r="AE63" s="54" t="e">
        <f t="shared" ref="AE63:AF63" si="174">AE43</f>
        <v>#N/A</v>
      </c>
      <c r="AF63" s="54">
        <f t="shared" si="174"/>
        <v>0</v>
      </c>
      <c r="AH63" s="54" t="e">
        <f t="shared" si="56"/>
        <v>#REF!</v>
      </c>
      <c r="AI63" s="54" t="e">
        <f t="shared" si="57"/>
        <v>#REF!</v>
      </c>
      <c r="AJ63" s="54" t="e">
        <f t="shared" si="58"/>
        <v>#REF!</v>
      </c>
      <c r="AK63" s="54" t="e">
        <f t="shared" si="59"/>
        <v>#REF!</v>
      </c>
      <c r="AL63" s="54" t="e">
        <f t="shared" si="60"/>
        <v>#REF!</v>
      </c>
      <c r="AM63" s="54" t="e">
        <f t="shared" si="61"/>
        <v>#REF!</v>
      </c>
      <c r="AN63" s="54">
        <f t="shared" si="62"/>
        <v>0</v>
      </c>
      <c r="AO63" s="54" t="e">
        <f t="shared" si="63"/>
        <v>#REF!</v>
      </c>
      <c r="AP63" s="54" t="e">
        <f t="shared" si="64"/>
        <v>#REF!</v>
      </c>
      <c r="AQ63" s="54" t="e">
        <f t="shared" si="65"/>
        <v>#REF!</v>
      </c>
      <c r="AR63" s="54" t="e">
        <f t="shared" si="66"/>
        <v>#REF!</v>
      </c>
      <c r="AS63" s="54" t="e">
        <f t="shared" si="67"/>
        <v>#REF!</v>
      </c>
      <c r="AT63" s="54" t="e">
        <f t="shared" si="68"/>
        <v>#REF!</v>
      </c>
      <c r="AU63" s="54" t="e">
        <f t="shared" si="69"/>
        <v>#REF!</v>
      </c>
      <c r="AV63" s="54" t="e">
        <f t="shared" si="70"/>
        <v>#REF!</v>
      </c>
      <c r="AW63" s="54" t="e">
        <f t="shared" si="71"/>
        <v>#REF!</v>
      </c>
      <c r="AX63" s="54" t="e">
        <f t="shared" si="72"/>
        <v>#REF!</v>
      </c>
      <c r="AY63" s="54" t="e">
        <f t="shared" si="73"/>
        <v>#REF!</v>
      </c>
      <c r="AZ63" s="54" t="e">
        <f t="shared" si="74"/>
        <v>#REF!</v>
      </c>
      <c r="BA63" s="54" t="e">
        <f t="shared" si="75"/>
        <v>#REF!</v>
      </c>
      <c r="BB63" s="54" t="e">
        <f t="shared" si="76"/>
        <v>#REF!</v>
      </c>
      <c r="BC63" s="54" t="e">
        <f t="shared" si="77"/>
        <v>#REF!</v>
      </c>
      <c r="BD63" s="54" t="e">
        <f t="shared" si="78"/>
        <v>#REF!</v>
      </c>
      <c r="BE63" s="54" t="e">
        <f t="shared" si="79"/>
        <v>#REF!</v>
      </c>
      <c r="BF63" s="54" t="e">
        <f t="shared" si="80"/>
        <v>#REF!</v>
      </c>
      <c r="BG63" s="54" t="e">
        <f t="shared" si="81"/>
        <v>#REF!</v>
      </c>
      <c r="BH63" s="54" t="e">
        <f t="shared" si="82"/>
        <v>#REF!</v>
      </c>
      <c r="BI63" s="54" t="e">
        <f t="shared" si="83"/>
        <v>#REF!</v>
      </c>
      <c r="BJ63" s="54" t="e">
        <f t="shared" si="84"/>
        <v>#REF!</v>
      </c>
      <c r="BK63" s="54" t="e">
        <f t="shared" si="85"/>
        <v>#REF!</v>
      </c>
      <c r="BL63" s="54" t="e">
        <f t="shared" si="86"/>
        <v>#REF!</v>
      </c>
      <c r="BM63" s="54" t="e">
        <f t="shared" si="87"/>
        <v>#REF!</v>
      </c>
      <c r="BN63" s="54" t="e">
        <f t="shared" si="88"/>
        <v>#REF!</v>
      </c>
      <c r="BO63" s="54" t="e">
        <f t="shared" si="89"/>
        <v>#REF!</v>
      </c>
      <c r="BP63" s="54" t="e">
        <f t="shared" si="8"/>
        <v>#REF!</v>
      </c>
      <c r="BQ63" s="54" t="e">
        <f t="shared" si="9"/>
        <v>#REF!</v>
      </c>
      <c r="BR63" s="54" t="e">
        <f t="shared" si="10"/>
        <v>#REF!</v>
      </c>
      <c r="BS63" s="54" t="e">
        <f t="shared" si="11"/>
        <v>#REF!</v>
      </c>
      <c r="BT63" s="54" t="e">
        <f t="shared" si="12"/>
        <v>#REF!</v>
      </c>
      <c r="BU63" s="54" t="e">
        <f t="shared" si="90"/>
        <v>#REF!</v>
      </c>
      <c r="BV63" s="54" t="e">
        <f t="shared" si="13"/>
        <v>#REF!</v>
      </c>
      <c r="BW63" s="54" t="e">
        <f t="shared" si="91"/>
        <v>#REF!</v>
      </c>
      <c r="BX63" s="54" t="e">
        <f t="shared" si="92"/>
        <v>#REF!</v>
      </c>
      <c r="BY63" s="54" t="e">
        <f t="shared" si="93"/>
        <v>#REF!</v>
      </c>
      <c r="BZ63" s="54" t="e">
        <f t="shared" si="94"/>
        <v>#REF!</v>
      </c>
      <c r="CA63" s="54" t="e">
        <f t="shared" si="14"/>
        <v>#REF!</v>
      </c>
      <c r="CB63" s="54" t="e">
        <f t="shared" si="15"/>
        <v>#REF!</v>
      </c>
      <c r="CC63" s="54" t="e">
        <f t="shared" si="95"/>
        <v>#REF!</v>
      </c>
      <c r="CD63" s="54" t="e">
        <f t="shared" si="96"/>
        <v>#REF!</v>
      </c>
      <c r="CE63" s="54" t="e">
        <f t="shared" si="16"/>
        <v>#REF!</v>
      </c>
      <c r="CF63" s="54" t="e">
        <f t="shared" si="17"/>
        <v>#REF!</v>
      </c>
      <c r="CG63" s="54" t="e">
        <f t="shared" si="97"/>
        <v>#REF!</v>
      </c>
      <c r="CH63" s="54" t="e">
        <f t="shared" si="18"/>
        <v>#REF!</v>
      </c>
      <c r="CI63" s="54" t="e">
        <f t="shared" si="19"/>
        <v>#REF!</v>
      </c>
      <c r="CJ63" s="54" t="e">
        <f t="shared" si="98"/>
        <v>#REF!</v>
      </c>
      <c r="CK63" s="54" t="e">
        <f t="shared" si="99"/>
        <v>#REF!</v>
      </c>
      <c r="CL63" s="54" t="e">
        <f t="shared" si="100"/>
        <v>#REF!</v>
      </c>
      <c r="CM63" s="54" t="e">
        <f t="shared" si="20"/>
        <v>#REF!</v>
      </c>
      <c r="CN63" s="54" t="e">
        <f t="shared" si="21"/>
        <v>#REF!</v>
      </c>
      <c r="CO63" s="54" t="e">
        <f t="shared" si="22"/>
        <v>#REF!</v>
      </c>
      <c r="CP63" s="54" t="e">
        <f t="shared" si="23"/>
        <v>#REF!</v>
      </c>
      <c r="CQ63" s="54" t="e">
        <f t="shared" si="101"/>
        <v>#REF!</v>
      </c>
      <c r="CR63" s="54" t="e">
        <f t="shared" si="24"/>
        <v>#REF!</v>
      </c>
      <c r="CS63" s="54" t="e">
        <f t="shared" si="102"/>
        <v>#REF!</v>
      </c>
      <c r="CT63" s="54" t="e">
        <f t="shared" si="103"/>
        <v>#REF!</v>
      </c>
      <c r="CU63" s="54" t="e">
        <f t="shared" si="104"/>
        <v>#REF!</v>
      </c>
      <c r="CV63" s="54" t="e">
        <f t="shared" si="25"/>
        <v>#REF!</v>
      </c>
      <c r="CW63" s="54" t="e">
        <f t="shared" si="105"/>
        <v>#REF!</v>
      </c>
      <c r="CX63" s="54" t="e">
        <f t="shared" si="106"/>
        <v>#REF!</v>
      </c>
      <c r="CY63" s="54" t="e">
        <f t="shared" si="107"/>
        <v>#REF!</v>
      </c>
      <c r="CZ63" s="54" t="e">
        <f t="shared" si="26"/>
        <v>#REF!</v>
      </c>
      <c r="DA63" s="54" t="e">
        <f t="shared" si="108"/>
        <v>#REF!</v>
      </c>
      <c r="DB63" s="54" t="e">
        <f t="shared" si="109"/>
        <v>#REF!</v>
      </c>
      <c r="DC63" s="54" t="e">
        <f t="shared" si="110"/>
        <v>#REF!</v>
      </c>
      <c r="DD63" s="54" t="e">
        <f t="shared" si="27"/>
        <v>#REF!</v>
      </c>
      <c r="DE63" s="54" t="e">
        <f t="shared" si="28"/>
        <v>#REF!</v>
      </c>
      <c r="DF63" s="54" t="e">
        <f t="shared" si="111"/>
        <v>#REF!</v>
      </c>
      <c r="DG63" s="54" t="e">
        <f t="shared" si="29"/>
        <v>#REF!</v>
      </c>
      <c r="DH63" s="54" t="e">
        <f t="shared" si="30"/>
        <v>#REF!</v>
      </c>
      <c r="DI63" s="54" t="e">
        <f t="shared" si="31"/>
        <v>#REF!</v>
      </c>
      <c r="DJ63" s="54" t="e">
        <f t="shared" si="112"/>
        <v>#REF!</v>
      </c>
      <c r="DK63" s="54" t="e">
        <f t="shared" si="113"/>
        <v>#REF!</v>
      </c>
      <c r="DL63" s="54" t="e">
        <f t="shared" si="32"/>
        <v>#REF!</v>
      </c>
      <c r="DM63" s="54" t="e">
        <f t="shared" si="33"/>
        <v>#REF!</v>
      </c>
      <c r="DN63" s="54" t="e">
        <f t="shared" si="34"/>
        <v>#REF!</v>
      </c>
      <c r="DO63" s="54" t="e">
        <f t="shared" si="35"/>
        <v>#REF!</v>
      </c>
      <c r="DP63" s="54" t="e">
        <f t="shared" si="114"/>
        <v>#REF!</v>
      </c>
      <c r="DQ63" s="54" t="e">
        <f t="shared" si="36"/>
        <v>#REF!</v>
      </c>
      <c r="DR63" s="54" t="e">
        <f t="shared" si="115"/>
        <v>#REF!</v>
      </c>
      <c r="DS63" s="54" t="e">
        <f t="shared" si="37"/>
        <v>#REF!</v>
      </c>
      <c r="DT63" s="54" t="e">
        <f t="shared" si="116"/>
        <v>#REF!</v>
      </c>
      <c r="DU63" s="54" t="e">
        <f t="shared" si="117"/>
        <v>#REF!</v>
      </c>
      <c r="DV63" s="54" t="e">
        <f t="shared" si="118"/>
        <v>#REF!</v>
      </c>
      <c r="DW63" s="54" t="e">
        <f t="shared" si="38"/>
        <v>#REF!</v>
      </c>
      <c r="DX63" s="54" t="e">
        <f t="shared" si="119"/>
        <v>#REF!</v>
      </c>
      <c r="DY63" s="54" t="e">
        <f t="shared" si="120"/>
        <v>#REF!</v>
      </c>
      <c r="DZ63" s="54" t="e">
        <f t="shared" si="121"/>
        <v>#REF!</v>
      </c>
      <c r="EA63" s="54" t="e">
        <f t="shared" si="39"/>
        <v>#REF!</v>
      </c>
      <c r="EB63" s="54" t="e">
        <f t="shared" si="40"/>
        <v>#REF!</v>
      </c>
      <c r="EC63" s="54" t="e">
        <f t="shared" si="122"/>
        <v>#REF!</v>
      </c>
      <c r="ED63" s="54" t="e">
        <f t="shared" si="41"/>
        <v>#REF!</v>
      </c>
      <c r="EE63" s="54" t="e">
        <f t="shared" si="42"/>
        <v>#REF!</v>
      </c>
      <c r="EF63" s="54" t="e">
        <f t="shared" si="43"/>
        <v>#REF!</v>
      </c>
      <c r="EG63" s="54" t="e">
        <f t="shared" si="123"/>
        <v>#REF!</v>
      </c>
      <c r="EH63" s="54" t="e">
        <f t="shared" si="124"/>
        <v>#REF!</v>
      </c>
      <c r="EI63" s="54" t="e">
        <f t="shared" si="125"/>
        <v>#REF!</v>
      </c>
      <c r="EJ63" s="54" t="e">
        <f t="shared" si="126"/>
        <v>#REF!</v>
      </c>
      <c r="EK63" s="54" t="e">
        <f t="shared" si="127"/>
        <v>#REF!</v>
      </c>
      <c r="EL63" s="54" t="e">
        <f t="shared" si="128"/>
        <v>#REF!</v>
      </c>
      <c r="EM63" s="54" t="e">
        <f t="shared" si="44"/>
        <v>#REF!</v>
      </c>
      <c r="EN63" s="54" t="e">
        <f t="shared" si="45"/>
        <v>#REF!</v>
      </c>
      <c r="EO63" s="54" t="e">
        <f t="shared" si="46"/>
        <v>#REF!</v>
      </c>
      <c r="EP63" s="54" t="e">
        <f t="shared" si="47"/>
        <v>#REF!</v>
      </c>
      <c r="EQ63" s="54" t="e">
        <f t="shared" si="48"/>
        <v>#REF!</v>
      </c>
      <c r="ER63" s="54" t="e">
        <f t="shared" si="129"/>
        <v>#REF!</v>
      </c>
      <c r="ES63" s="54" t="e">
        <f t="shared" si="130"/>
        <v>#REF!</v>
      </c>
      <c r="ET63" s="54" t="e">
        <f t="shared" si="131"/>
        <v>#REF!</v>
      </c>
      <c r="EU63" s="54" t="e">
        <f t="shared" si="49"/>
        <v>#REF!</v>
      </c>
      <c r="EV63" s="54" t="e">
        <f t="shared" si="132"/>
        <v>#REF!</v>
      </c>
      <c r="EW63" s="54" t="e">
        <f t="shared" si="133"/>
        <v>#REF!</v>
      </c>
      <c r="EX63" s="54" t="e">
        <f t="shared" si="134"/>
        <v>#REF!</v>
      </c>
      <c r="EY63" s="54" t="e">
        <f t="shared" si="50"/>
        <v>#REF!</v>
      </c>
      <c r="EZ63" s="54" t="e">
        <f t="shared" si="51"/>
        <v>#REF!</v>
      </c>
      <c r="FA63" s="54" t="e">
        <f t="shared" si="135"/>
        <v>#REF!</v>
      </c>
      <c r="FB63" s="54" t="e">
        <f t="shared" si="136"/>
        <v>#REF!</v>
      </c>
      <c r="FC63" s="54" t="e">
        <f t="shared" si="137"/>
        <v>#REF!</v>
      </c>
      <c r="FD63" s="54" t="e">
        <f t="shared" si="138"/>
        <v>#REF!</v>
      </c>
      <c r="FE63" s="54" t="e">
        <f t="shared" si="139"/>
        <v>#REF!</v>
      </c>
      <c r="FF63" s="54" t="e">
        <f t="shared" si="140"/>
        <v>#REF!</v>
      </c>
      <c r="FG63" s="54" t="e">
        <f t="shared" si="141"/>
        <v>#REF!</v>
      </c>
      <c r="FH63" s="54" t="e">
        <f t="shared" si="52"/>
        <v>#REF!</v>
      </c>
      <c r="FI63" s="56" t="e">
        <f t="shared" si="142"/>
        <v>#N/A</v>
      </c>
      <c r="FJ63">
        <f t="shared" si="53"/>
        <v>0.75</v>
      </c>
      <c r="FK63" s="57">
        <f>'1PROJE'!$M$3</f>
        <v>1.18</v>
      </c>
      <c r="FL63" s="37" t="e">
        <f t="shared" si="143"/>
        <v>#N/A</v>
      </c>
    </row>
    <row r="64" spans="1:168" ht="15.75">
      <c r="A64">
        <v>3</v>
      </c>
      <c r="B64">
        <f t="shared" si="172"/>
        <v>0</v>
      </c>
      <c r="C64" t="s">
        <v>973</v>
      </c>
      <c r="D64" s="244">
        <v>1</v>
      </c>
      <c r="AA64" s="55">
        <f t="shared" ref="AA64:AB64" si="175">AA44</f>
        <v>25</v>
      </c>
      <c r="AB64" s="54" t="e">
        <f t="shared" si="175"/>
        <v>#N/A</v>
      </c>
      <c r="AC64" s="54"/>
      <c r="AD64" s="54"/>
      <c r="AE64" s="54" t="e">
        <f t="shared" ref="AE64:AF64" si="176">AE44</f>
        <v>#N/A</v>
      </c>
      <c r="AF64" s="54">
        <f t="shared" si="176"/>
        <v>0</v>
      </c>
      <c r="AH64" s="54" t="e">
        <f t="shared" si="56"/>
        <v>#REF!</v>
      </c>
      <c r="AI64" s="54" t="e">
        <f t="shared" si="57"/>
        <v>#REF!</v>
      </c>
      <c r="AJ64" s="54" t="e">
        <f t="shared" si="58"/>
        <v>#REF!</v>
      </c>
      <c r="AK64" s="54" t="e">
        <f t="shared" si="59"/>
        <v>#REF!</v>
      </c>
      <c r="AL64" s="54" t="e">
        <f t="shared" si="60"/>
        <v>#REF!</v>
      </c>
      <c r="AM64" s="54" t="e">
        <f t="shared" si="61"/>
        <v>#REF!</v>
      </c>
      <c r="AN64" s="54">
        <f t="shared" si="62"/>
        <v>0</v>
      </c>
      <c r="AO64" s="54" t="e">
        <f t="shared" si="63"/>
        <v>#REF!</v>
      </c>
      <c r="AP64" s="54" t="e">
        <f t="shared" si="64"/>
        <v>#REF!</v>
      </c>
      <c r="AQ64" s="54" t="e">
        <f t="shared" si="65"/>
        <v>#REF!</v>
      </c>
      <c r="AR64" s="54" t="e">
        <f t="shared" si="66"/>
        <v>#REF!</v>
      </c>
      <c r="AS64" s="54" t="e">
        <f t="shared" si="67"/>
        <v>#REF!</v>
      </c>
      <c r="AT64" s="54" t="e">
        <f t="shared" si="68"/>
        <v>#REF!</v>
      </c>
      <c r="AU64" s="54" t="e">
        <f t="shared" si="69"/>
        <v>#REF!</v>
      </c>
      <c r="AV64" s="54" t="e">
        <f t="shared" si="70"/>
        <v>#REF!</v>
      </c>
      <c r="AW64" s="54" t="e">
        <f t="shared" si="71"/>
        <v>#REF!</v>
      </c>
      <c r="AX64" s="54" t="e">
        <f t="shared" si="72"/>
        <v>#REF!</v>
      </c>
      <c r="AY64" s="54" t="e">
        <f t="shared" si="73"/>
        <v>#REF!</v>
      </c>
      <c r="AZ64" s="54" t="e">
        <f t="shared" si="74"/>
        <v>#REF!</v>
      </c>
      <c r="BA64" s="54" t="e">
        <f t="shared" si="75"/>
        <v>#REF!</v>
      </c>
      <c r="BB64" s="54" t="e">
        <f t="shared" si="76"/>
        <v>#REF!</v>
      </c>
      <c r="BC64" s="54" t="e">
        <f t="shared" si="77"/>
        <v>#REF!</v>
      </c>
      <c r="BD64" s="54" t="e">
        <f t="shared" si="78"/>
        <v>#REF!</v>
      </c>
      <c r="BE64" s="54" t="e">
        <f t="shared" si="79"/>
        <v>#REF!</v>
      </c>
      <c r="BF64" s="54" t="e">
        <f t="shared" si="80"/>
        <v>#REF!</v>
      </c>
      <c r="BG64" s="54" t="e">
        <f t="shared" si="81"/>
        <v>#REF!</v>
      </c>
      <c r="BH64" s="54" t="e">
        <f t="shared" si="82"/>
        <v>#REF!</v>
      </c>
      <c r="BI64" s="54" t="e">
        <f t="shared" si="83"/>
        <v>#REF!</v>
      </c>
      <c r="BJ64" s="54" t="e">
        <f t="shared" si="84"/>
        <v>#REF!</v>
      </c>
      <c r="BK64" s="54" t="e">
        <f t="shared" si="85"/>
        <v>#REF!</v>
      </c>
      <c r="BL64" s="54" t="e">
        <f t="shared" si="86"/>
        <v>#REF!</v>
      </c>
      <c r="BM64" s="54" t="e">
        <f t="shared" si="87"/>
        <v>#REF!</v>
      </c>
      <c r="BN64" s="54" t="e">
        <f t="shared" si="88"/>
        <v>#REF!</v>
      </c>
      <c r="BO64" s="54" t="e">
        <f t="shared" si="89"/>
        <v>#REF!</v>
      </c>
      <c r="BP64" s="54" t="e">
        <f t="shared" si="8"/>
        <v>#REF!</v>
      </c>
      <c r="BQ64" s="54" t="e">
        <f t="shared" si="9"/>
        <v>#REF!</v>
      </c>
      <c r="BR64" s="54" t="e">
        <f t="shared" si="10"/>
        <v>#REF!</v>
      </c>
      <c r="BS64" s="54" t="e">
        <f t="shared" si="11"/>
        <v>#REF!</v>
      </c>
      <c r="BT64" s="54" t="e">
        <f t="shared" si="12"/>
        <v>#REF!</v>
      </c>
      <c r="BU64" s="54" t="e">
        <f t="shared" si="90"/>
        <v>#REF!</v>
      </c>
      <c r="BV64" s="54" t="e">
        <f t="shared" si="13"/>
        <v>#REF!</v>
      </c>
      <c r="BW64" s="54" t="e">
        <f t="shared" si="91"/>
        <v>#REF!</v>
      </c>
      <c r="BX64" s="54" t="e">
        <f t="shared" si="92"/>
        <v>#REF!</v>
      </c>
      <c r="BY64" s="54" t="e">
        <f t="shared" si="93"/>
        <v>#REF!</v>
      </c>
      <c r="BZ64" s="54" t="e">
        <f t="shared" si="94"/>
        <v>#REF!</v>
      </c>
      <c r="CA64" s="54" t="e">
        <f t="shared" si="14"/>
        <v>#REF!</v>
      </c>
      <c r="CB64" s="54" t="e">
        <f t="shared" si="15"/>
        <v>#REF!</v>
      </c>
      <c r="CC64" s="54" t="e">
        <f t="shared" si="95"/>
        <v>#REF!</v>
      </c>
      <c r="CD64" s="54" t="e">
        <f t="shared" si="96"/>
        <v>#REF!</v>
      </c>
      <c r="CE64" s="54" t="e">
        <f t="shared" si="16"/>
        <v>#REF!</v>
      </c>
      <c r="CF64" s="54" t="e">
        <f t="shared" si="17"/>
        <v>#REF!</v>
      </c>
      <c r="CG64" s="54" t="e">
        <f t="shared" si="97"/>
        <v>#REF!</v>
      </c>
      <c r="CH64" s="54" t="e">
        <f t="shared" si="18"/>
        <v>#REF!</v>
      </c>
      <c r="CI64" s="54" t="e">
        <f t="shared" si="19"/>
        <v>#REF!</v>
      </c>
      <c r="CJ64" s="54" t="e">
        <f t="shared" si="98"/>
        <v>#REF!</v>
      </c>
      <c r="CK64" s="54" t="e">
        <f t="shared" si="99"/>
        <v>#REF!</v>
      </c>
      <c r="CL64" s="54" t="e">
        <f t="shared" si="100"/>
        <v>#REF!</v>
      </c>
      <c r="CM64" s="54" t="e">
        <f t="shared" si="20"/>
        <v>#REF!</v>
      </c>
      <c r="CN64" s="54" t="e">
        <f t="shared" si="21"/>
        <v>#REF!</v>
      </c>
      <c r="CO64" s="54" t="e">
        <f t="shared" si="22"/>
        <v>#REF!</v>
      </c>
      <c r="CP64" s="54" t="e">
        <f t="shared" si="23"/>
        <v>#REF!</v>
      </c>
      <c r="CQ64" s="54" t="e">
        <f t="shared" si="101"/>
        <v>#REF!</v>
      </c>
      <c r="CR64" s="54" t="e">
        <f t="shared" si="24"/>
        <v>#REF!</v>
      </c>
      <c r="CS64" s="54" t="e">
        <f t="shared" si="102"/>
        <v>#REF!</v>
      </c>
      <c r="CT64" s="54" t="e">
        <f t="shared" si="103"/>
        <v>#REF!</v>
      </c>
      <c r="CU64" s="54" t="e">
        <f t="shared" si="104"/>
        <v>#REF!</v>
      </c>
      <c r="CV64" s="54" t="e">
        <f t="shared" si="25"/>
        <v>#REF!</v>
      </c>
      <c r="CW64" s="54" t="e">
        <f t="shared" si="105"/>
        <v>#REF!</v>
      </c>
      <c r="CX64" s="54" t="e">
        <f t="shared" si="106"/>
        <v>#REF!</v>
      </c>
      <c r="CY64" s="54" t="e">
        <f t="shared" si="107"/>
        <v>#REF!</v>
      </c>
      <c r="CZ64" s="54" t="e">
        <f t="shared" si="26"/>
        <v>#REF!</v>
      </c>
      <c r="DA64" s="54" t="e">
        <f t="shared" si="108"/>
        <v>#REF!</v>
      </c>
      <c r="DB64" s="54" t="e">
        <f t="shared" si="109"/>
        <v>#REF!</v>
      </c>
      <c r="DC64" s="54" t="e">
        <f t="shared" si="110"/>
        <v>#REF!</v>
      </c>
      <c r="DD64" s="54" t="e">
        <f t="shared" si="27"/>
        <v>#REF!</v>
      </c>
      <c r="DE64" s="54" t="e">
        <f t="shared" si="28"/>
        <v>#REF!</v>
      </c>
      <c r="DF64" s="54" t="e">
        <f t="shared" si="111"/>
        <v>#REF!</v>
      </c>
      <c r="DG64" s="54" t="e">
        <f t="shared" si="29"/>
        <v>#REF!</v>
      </c>
      <c r="DH64" s="54" t="e">
        <f t="shared" si="30"/>
        <v>#REF!</v>
      </c>
      <c r="DI64" s="54" t="e">
        <f t="shared" si="31"/>
        <v>#REF!</v>
      </c>
      <c r="DJ64" s="54" t="e">
        <f t="shared" si="112"/>
        <v>#REF!</v>
      </c>
      <c r="DK64" s="54" t="e">
        <f t="shared" si="113"/>
        <v>#REF!</v>
      </c>
      <c r="DL64" s="54" t="e">
        <f t="shared" si="32"/>
        <v>#REF!</v>
      </c>
      <c r="DM64" s="54" t="e">
        <f t="shared" si="33"/>
        <v>#REF!</v>
      </c>
      <c r="DN64" s="54" t="e">
        <f t="shared" si="34"/>
        <v>#REF!</v>
      </c>
      <c r="DO64" s="54" t="e">
        <f t="shared" si="35"/>
        <v>#REF!</v>
      </c>
      <c r="DP64" s="54" t="e">
        <f t="shared" si="114"/>
        <v>#REF!</v>
      </c>
      <c r="DQ64" s="54" t="e">
        <f t="shared" si="36"/>
        <v>#REF!</v>
      </c>
      <c r="DR64" s="54" t="e">
        <f t="shared" si="115"/>
        <v>#REF!</v>
      </c>
      <c r="DS64" s="54" t="e">
        <f t="shared" si="37"/>
        <v>#REF!</v>
      </c>
      <c r="DT64" s="54" t="e">
        <f t="shared" si="116"/>
        <v>#REF!</v>
      </c>
      <c r="DU64" s="54" t="e">
        <f t="shared" si="117"/>
        <v>#REF!</v>
      </c>
      <c r="DV64" s="54" t="e">
        <f t="shared" si="118"/>
        <v>#REF!</v>
      </c>
      <c r="DW64" s="54" t="e">
        <f t="shared" si="38"/>
        <v>#REF!</v>
      </c>
      <c r="DX64" s="54" t="e">
        <f t="shared" si="119"/>
        <v>#REF!</v>
      </c>
      <c r="DY64" s="54" t="e">
        <f t="shared" si="120"/>
        <v>#REF!</v>
      </c>
      <c r="DZ64" s="54" t="e">
        <f t="shared" si="121"/>
        <v>#REF!</v>
      </c>
      <c r="EA64" s="54" t="e">
        <f t="shared" si="39"/>
        <v>#REF!</v>
      </c>
      <c r="EB64" s="54" t="e">
        <f t="shared" si="40"/>
        <v>#REF!</v>
      </c>
      <c r="EC64" s="54" t="e">
        <f t="shared" si="122"/>
        <v>#REF!</v>
      </c>
      <c r="ED64" s="54" t="e">
        <f t="shared" si="41"/>
        <v>#REF!</v>
      </c>
      <c r="EE64" s="54" t="e">
        <f t="shared" si="42"/>
        <v>#REF!</v>
      </c>
      <c r="EF64" s="54" t="e">
        <f t="shared" si="43"/>
        <v>#REF!</v>
      </c>
      <c r="EG64" s="54" t="e">
        <f t="shared" si="123"/>
        <v>#REF!</v>
      </c>
      <c r="EH64" s="54" t="e">
        <f t="shared" si="124"/>
        <v>#REF!</v>
      </c>
      <c r="EI64" s="54" t="e">
        <f t="shared" si="125"/>
        <v>#REF!</v>
      </c>
      <c r="EJ64" s="54" t="e">
        <f t="shared" si="126"/>
        <v>#REF!</v>
      </c>
      <c r="EK64" s="54" t="e">
        <f t="shared" si="127"/>
        <v>#REF!</v>
      </c>
      <c r="EL64" s="54" t="e">
        <f t="shared" si="128"/>
        <v>#REF!</v>
      </c>
      <c r="EM64" s="54" t="e">
        <f t="shared" si="44"/>
        <v>#REF!</v>
      </c>
      <c r="EN64" s="54" t="e">
        <f t="shared" si="45"/>
        <v>#REF!</v>
      </c>
      <c r="EO64" s="54" t="e">
        <f t="shared" si="46"/>
        <v>#REF!</v>
      </c>
      <c r="EP64" s="54" t="e">
        <f t="shared" si="47"/>
        <v>#REF!</v>
      </c>
      <c r="EQ64" s="54" t="e">
        <f t="shared" si="48"/>
        <v>#REF!</v>
      </c>
      <c r="ER64" s="54" t="e">
        <f t="shared" si="129"/>
        <v>#REF!</v>
      </c>
      <c r="ES64" s="54" t="e">
        <f t="shared" si="130"/>
        <v>#REF!</v>
      </c>
      <c r="ET64" s="54" t="e">
        <f t="shared" si="131"/>
        <v>#REF!</v>
      </c>
      <c r="EU64" s="54" t="e">
        <f t="shared" si="49"/>
        <v>#REF!</v>
      </c>
      <c r="EV64" s="54" t="e">
        <f t="shared" si="132"/>
        <v>#REF!</v>
      </c>
      <c r="EW64" s="54" t="e">
        <f t="shared" si="133"/>
        <v>#REF!</v>
      </c>
      <c r="EX64" s="54" t="e">
        <f t="shared" si="134"/>
        <v>#REF!</v>
      </c>
      <c r="EY64" s="54" t="e">
        <f t="shared" si="50"/>
        <v>#REF!</v>
      </c>
      <c r="EZ64" s="54" t="e">
        <f t="shared" si="51"/>
        <v>#REF!</v>
      </c>
      <c r="FA64" s="54" t="e">
        <f t="shared" si="135"/>
        <v>#REF!</v>
      </c>
      <c r="FB64" s="54" t="e">
        <f t="shared" si="136"/>
        <v>#REF!</v>
      </c>
      <c r="FC64" s="54" t="e">
        <f t="shared" si="137"/>
        <v>#REF!</v>
      </c>
      <c r="FD64" s="54" t="e">
        <f t="shared" si="138"/>
        <v>#REF!</v>
      </c>
      <c r="FE64" s="54" t="e">
        <f t="shared" si="139"/>
        <v>#REF!</v>
      </c>
      <c r="FF64" s="54" t="e">
        <f t="shared" si="140"/>
        <v>#REF!</v>
      </c>
      <c r="FG64" s="54" t="e">
        <f t="shared" si="141"/>
        <v>#REF!</v>
      </c>
      <c r="FH64" s="54" t="e">
        <f t="shared" si="52"/>
        <v>#REF!</v>
      </c>
      <c r="FI64" s="56" t="e">
        <f t="shared" si="142"/>
        <v>#N/A</v>
      </c>
      <c r="FJ64">
        <f t="shared" si="53"/>
        <v>0.75</v>
      </c>
      <c r="FK64" s="57">
        <f>'1PROJE'!$M$3</f>
        <v>1.18</v>
      </c>
      <c r="FL64" s="37" t="e">
        <f t="shared" si="143"/>
        <v>#N/A</v>
      </c>
    </row>
    <row r="65" spans="1:168" ht="15.75">
      <c r="A65">
        <v>4</v>
      </c>
      <c r="B65">
        <f t="shared" si="172"/>
        <v>0</v>
      </c>
      <c r="C65" t="s">
        <v>974</v>
      </c>
      <c r="D65" s="245">
        <v>2</v>
      </c>
      <c r="AA65" s="55">
        <f t="shared" ref="AA65:AB65" si="177">AA45</f>
        <v>25</v>
      </c>
      <c r="AB65" s="54" t="e">
        <f t="shared" si="177"/>
        <v>#N/A</v>
      </c>
      <c r="AC65" s="54"/>
      <c r="AD65" s="54"/>
      <c r="AE65" s="54" t="e">
        <f t="shared" ref="AE65:AF65" si="178">AE45</f>
        <v>#N/A</v>
      </c>
      <c r="AF65" s="54">
        <f t="shared" si="178"/>
        <v>0</v>
      </c>
      <c r="AH65" s="54" t="e">
        <f t="shared" si="56"/>
        <v>#REF!</v>
      </c>
      <c r="AI65" s="54" t="e">
        <f t="shared" si="57"/>
        <v>#REF!</v>
      </c>
      <c r="AJ65" s="54" t="e">
        <f t="shared" si="58"/>
        <v>#REF!</v>
      </c>
      <c r="AK65" s="54" t="e">
        <f t="shared" si="59"/>
        <v>#REF!</v>
      </c>
      <c r="AL65" s="54" t="e">
        <f t="shared" si="60"/>
        <v>#REF!</v>
      </c>
      <c r="AM65" s="54" t="e">
        <f t="shared" si="61"/>
        <v>#REF!</v>
      </c>
      <c r="AN65" s="54">
        <f t="shared" si="62"/>
        <v>0</v>
      </c>
      <c r="AO65" s="54" t="e">
        <f t="shared" si="63"/>
        <v>#REF!</v>
      </c>
      <c r="AP65" s="54" t="e">
        <f t="shared" si="64"/>
        <v>#REF!</v>
      </c>
      <c r="AQ65" s="54" t="e">
        <f t="shared" si="65"/>
        <v>#REF!</v>
      </c>
      <c r="AR65" s="54" t="e">
        <f t="shared" si="66"/>
        <v>#REF!</v>
      </c>
      <c r="AS65" s="54" t="e">
        <f t="shared" si="67"/>
        <v>#REF!</v>
      </c>
      <c r="AT65" s="54" t="e">
        <f t="shared" si="68"/>
        <v>#REF!</v>
      </c>
      <c r="AU65" s="54" t="e">
        <f t="shared" si="69"/>
        <v>#REF!</v>
      </c>
      <c r="AV65" s="54" t="e">
        <f t="shared" si="70"/>
        <v>#REF!</v>
      </c>
      <c r="AW65" s="54" t="e">
        <f t="shared" si="71"/>
        <v>#REF!</v>
      </c>
      <c r="AX65" s="54" t="e">
        <f t="shared" si="72"/>
        <v>#REF!</v>
      </c>
      <c r="AY65" s="54" t="e">
        <f t="shared" si="73"/>
        <v>#REF!</v>
      </c>
      <c r="AZ65" s="54" t="e">
        <f t="shared" si="74"/>
        <v>#REF!</v>
      </c>
      <c r="BA65" s="54" t="e">
        <f t="shared" si="75"/>
        <v>#REF!</v>
      </c>
      <c r="BB65" s="54" t="e">
        <f t="shared" si="76"/>
        <v>#REF!</v>
      </c>
      <c r="BC65" s="54" t="e">
        <f t="shared" si="77"/>
        <v>#REF!</v>
      </c>
      <c r="BD65" s="54" t="e">
        <f t="shared" si="78"/>
        <v>#REF!</v>
      </c>
      <c r="BE65" s="54" t="e">
        <f t="shared" si="79"/>
        <v>#REF!</v>
      </c>
      <c r="BF65" s="54" t="e">
        <f t="shared" si="80"/>
        <v>#REF!</v>
      </c>
      <c r="BG65" s="54" t="e">
        <f t="shared" si="81"/>
        <v>#REF!</v>
      </c>
      <c r="BH65" s="54" t="e">
        <f t="shared" si="82"/>
        <v>#REF!</v>
      </c>
      <c r="BI65" s="54" t="e">
        <f t="shared" si="83"/>
        <v>#REF!</v>
      </c>
      <c r="BJ65" s="54" t="e">
        <f t="shared" si="84"/>
        <v>#REF!</v>
      </c>
      <c r="BK65" s="54" t="e">
        <f t="shared" si="85"/>
        <v>#REF!</v>
      </c>
      <c r="BL65" s="54" t="e">
        <f t="shared" si="86"/>
        <v>#REF!</v>
      </c>
      <c r="BM65" s="54" t="e">
        <f t="shared" si="87"/>
        <v>#REF!</v>
      </c>
      <c r="BN65" s="54" t="e">
        <f t="shared" si="88"/>
        <v>#REF!</v>
      </c>
      <c r="BO65" s="54" t="e">
        <f t="shared" si="89"/>
        <v>#REF!</v>
      </c>
      <c r="BP65" s="54" t="e">
        <f t="shared" si="8"/>
        <v>#REF!</v>
      </c>
      <c r="BQ65" s="54" t="e">
        <f t="shared" si="9"/>
        <v>#REF!</v>
      </c>
      <c r="BR65" s="54" t="e">
        <f t="shared" si="10"/>
        <v>#REF!</v>
      </c>
      <c r="BS65" s="54" t="e">
        <f t="shared" si="11"/>
        <v>#REF!</v>
      </c>
      <c r="BT65" s="54" t="e">
        <f t="shared" si="12"/>
        <v>#REF!</v>
      </c>
      <c r="BU65" s="54" t="e">
        <f t="shared" si="90"/>
        <v>#REF!</v>
      </c>
      <c r="BV65" s="54" t="e">
        <f t="shared" si="13"/>
        <v>#REF!</v>
      </c>
      <c r="BW65" s="54" t="e">
        <f t="shared" si="91"/>
        <v>#REF!</v>
      </c>
      <c r="BX65" s="54" t="e">
        <f t="shared" si="92"/>
        <v>#REF!</v>
      </c>
      <c r="BY65" s="54" t="e">
        <f t="shared" si="93"/>
        <v>#REF!</v>
      </c>
      <c r="BZ65" s="54" t="e">
        <f t="shared" si="94"/>
        <v>#REF!</v>
      </c>
      <c r="CA65" s="54" t="e">
        <f t="shared" si="14"/>
        <v>#REF!</v>
      </c>
      <c r="CB65" s="54" t="e">
        <f t="shared" si="15"/>
        <v>#REF!</v>
      </c>
      <c r="CC65" s="54" t="e">
        <f t="shared" si="95"/>
        <v>#REF!</v>
      </c>
      <c r="CD65" s="54" t="e">
        <f t="shared" si="96"/>
        <v>#REF!</v>
      </c>
      <c r="CE65" s="54" t="e">
        <f t="shared" si="16"/>
        <v>#REF!</v>
      </c>
      <c r="CF65" s="54" t="e">
        <f t="shared" si="17"/>
        <v>#REF!</v>
      </c>
      <c r="CG65" s="54" t="e">
        <f t="shared" si="97"/>
        <v>#REF!</v>
      </c>
      <c r="CH65" s="54" t="e">
        <f t="shared" si="18"/>
        <v>#REF!</v>
      </c>
      <c r="CI65" s="54" t="e">
        <f t="shared" si="19"/>
        <v>#REF!</v>
      </c>
      <c r="CJ65" s="54" t="e">
        <f t="shared" si="98"/>
        <v>#REF!</v>
      </c>
      <c r="CK65" s="54" t="e">
        <f t="shared" si="99"/>
        <v>#REF!</v>
      </c>
      <c r="CL65" s="54" t="e">
        <f t="shared" si="100"/>
        <v>#REF!</v>
      </c>
      <c r="CM65" s="54" t="e">
        <f t="shared" si="20"/>
        <v>#REF!</v>
      </c>
      <c r="CN65" s="54" t="e">
        <f t="shared" si="21"/>
        <v>#REF!</v>
      </c>
      <c r="CO65" s="54" t="e">
        <f t="shared" si="22"/>
        <v>#REF!</v>
      </c>
      <c r="CP65" s="54" t="e">
        <f t="shared" si="23"/>
        <v>#REF!</v>
      </c>
      <c r="CQ65" s="54" t="e">
        <f t="shared" si="101"/>
        <v>#REF!</v>
      </c>
      <c r="CR65" s="54" t="e">
        <f t="shared" si="24"/>
        <v>#REF!</v>
      </c>
      <c r="CS65" s="54" t="e">
        <f t="shared" si="102"/>
        <v>#REF!</v>
      </c>
      <c r="CT65" s="54" t="e">
        <f t="shared" si="103"/>
        <v>#REF!</v>
      </c>
      <c r="CU65" s="54" t="e">
        <f t="shared" si="104"/>
        <v>#REF!</v>
      </c>
      <c r="CV65" s="54" t="e">
        <f t="shared" si="25"/>
        <v>#REF!</v>
      </c>
      <c r="CW65" s="54" t="e">
        <f t="shared" si="105"/>
        <v>#REF!</v>
      </c>
      <c r="CX65" s="54" t="e">
        <f t="shared" si="106"/>
        <v>#REF!</v>
      </c>
      <c r="CY65" s="54" t="e">
        <f t="shared" si="107"/>
        <v>#REF!</v>
      </c>
      <c r="CZ65" s="54" t="e">
        <f t="shared" si="26"/>
        <v>#REF!</v>
      </c>
      <c r="DA65" s="54" t="e">
        <f t="shared" si="108"/>
        <v>#REF!</v>
      </c>
      <c r="DB65" s="54" t="e">
        <f t="shared" si="109"/>
        <v>#REF!</v>
      </c>
      <c r="DC65" s="54" t="e">
        <f t="shared" si="110"/>
        <v>#REF!</v>
      </c>
      <c r="DD65" s="54" t="e">
        <f t="shared" si="27"/>
        <v>#REF!</v>
      </c>
      <c r="DE65" s="54" t="e">
        <f t="shared" si="28"/>
        <v>#REF!</v>
      </c>
      <c r="DF65" s="54" t="e">
        <f t="shared" si="111"/>
        <v>#REF!</v>
      </c>
      <c r="DG65" s="54" t="e">
        <f t="shared" si="29"/>
        <v>#REF!</v>
      </c>
      <c r="DH65" s="54" t="e">
        <f t="shared" si="30"/>
        <v>#REF!</v>
      </c>
      <c r="DI65" s="54" t="e">
        <f t="shared" si="31"/>
        <v>#REF!</v>
      </c>
      <c r="DJ65" s="54" t="e">
        <f t="shared" si="112"/>
        <v>#REF!</v>
      </c>
      <c r="DK65" s="54" t="e">
        <f t="shared" si="113"/>
        <v>#REF!</v>
      </c>
      <c r="DL65" s="54" t="e">
        <f t="shared" si="32"/>
        <v>#REF!</v>
      </c>
      <c r="DM65" s="54" t="e">
        <f t="shared" si="33"/>
        <v>#REF!</v>
      </c>
      <c r="DN65" s="54" t="e">
        <f t="shared" si="34"/>
        <v>#REF!</v>
      </c>
      <c r="DO65" s="54" t="e">
        <f t="shared" si="35"/>
        <v>#REF!</v>
      </c>
      <c r="DP65" s="54" t="e">
        <f t="shared" si="114"/>
        <v>#REF!</v>
      </c>
      <c r="DQ65" s="54" t="e">
        <f t="shared" si="36"/>
        <v>#REF!</v>
      </c>
      <c r="DR65" s="54" t="e">
        <f t="shared" si="115"/>
        <v>#REF!</v>
      </c>
      <c r="DS65" s="54" t="e">
        <f t="shared" si="37"/>
        <v>#REF!</v>
      </c>
      <c r="DT65" s="54" t="e">
        <f t="shared" si="116"/>
        <v>#REF!</v>
      </c>
      <c r="DU65" s="54" t="e">
        <f t="shared" si="117"/>
        <v>#REF!</v>
      </c>
      <c r="DV65" s="54" t="e">
        <f t="shared" si="118"/>
        <v>#REF!</v>
      </c>
      <c r="DW65" s="54" t="e">
        <f t="shared" si="38"/>
        <v>#REF!</v>
      </c>
      <c r="DX65" s="54" t="e">
        <f t="shared" si="119"/>
        <v>#REF!</v>
      </c>
      <c r="DY65" s="54" t="e">
        <f t="shared" si="120"/>
        <v>#REF!</v>
      </c>
      <c r="DZ65" s="54" t="e">
        <f t="shared" si="121"/>
        <v>#REF!</v>
      </c>
      <c r="EA65" s="54" t="e">
        <f t="shared" si="39"/>
        <v>#REF!</v>
      </c>
      <c r="EB65" s="54" t="e">
        <f t="shared" si="40"/>
        <v>#REF!</v>
      </c>
      <c r="EC65" s="54" t="e">
        <f t="shared" si="122"/>
        <v>#REF!</v>
      </c>
      <c r="ED65" s="54" t="e">
        <f t="shared" si="41"/>
        <v>#REF!</v>
      </c>
      <c r="EE65" s="54" t="e">
        <f t="shared" si="42"/>
        <v>#REF!</v>
      </c>
      <c r="EF65" s="54" t="e">
        <f t="shared" si="43"/>
        <v>#REF!</v>
      </c>
      <c r="EG65" s="54" t="e">
        <f t="shared" si="123"/>
        <v>#REF!</v>
      </c>
      <c r="EH65" s="54" t="e">
        <f t="shared" si="124"/>
        <v>#REF!</v>
      </c>
      <c r="EI65" s="54" t="e">
        <f t="shared" si="125"/>
        <v>#REF!</v>
      </c>
      <c r="EJ65" s="54" t="e">
        <f t="shared" si="126"/>
        <v>#REF!</v>
      </c>
      <c r="EK65" s="54" t="e">
        <f t="shared" si="127"/>
        <v>#REF!</v>
      </c>
      <c r="EL65" s="54" t="e">
        <f t="shared" si="128"/>
        <v>#REF!</v>
      </c>
      <c r="EM65" s="54" t="e">
        <f t="shared" si="44"/>
        <v>#REF!</v>
      </c>
      <c r="EN65" s="54" t="e">
        <f t="shared" si="45"/>
        <v>#REF!</v>
      </c>
      <c r="EO65" s="54" t="e">
        <f t="shared" si="46"/>
        <v>#REF!</v>
      </c>
      <c r="EP65" s="54" t="e">
        <f t="shared" si="47"/>
        <v>#REF!</v>
      </c>
      <c r="EQ65" s="54" t="e">
        <f t="shared" si="48"/>
        <v>#REF!</v>
      </c>
      <c r="ER65" s="54" t="e">
        <f t="shared" si="129"/>
        <v>#REF!</v>
      </c>
      <c r="ES65" s="54" t="e">
        <f t="shared" si="130"/>
        <v>#REF!</v>
      </c>
      <c r="ET65" s="54" t="e">
        <f t="shared" si="131"/>
        <v>#REF!</v>
      </c>
      <c r="EU65" s="54" t="e">
        <f t="shared" si="49"/>
        <v>#REF!</v>
      </c>
      <c r="EV65" s="54" t="e">
        <f t="shared" si="132"/>
        <v>#REF!</v>
      </c>
      <c r="EW65" s="54" t="e">
        <f t="shared" si="133"/>
        <v>#REF!</v>
      </c>
      <c r="EX65" s="54" t="e">
        <f t="shared" si="134"/>
        <v>#REF!</v>
      </c>
      <c r="EY65" s="54" t="e">
        <f t="shared" si="50"/>
        <v>#REF!</v>
      </c>
      <c r="EZ65" s="54" t="e">
        <f t="shared" si="51"/>
        <v>#REF!</v>
      </c>
      <c r="FA65" s="54" t="e">
        <f t="shared" si="135"/>
        <v>#REF!</v>
      </c>
      <c r="FB65" s="54" t="e">
        <f t="shared" si="136"/>
        <v>#REF!</v>
      </c>
      <c r="FC65" s="54" t="e">
        <f t="shared" si="137"/>
        <v>#REF!</v>
      </c>
      <c r="FD65" s="54" t="e">
        <f t="shared" si="138"/>
        <v>#REF!</v>
      </c>
      <c r="FE65" s="54" t="e">
        <f t="shared" si="139"/>
        <v>#REF!</v>
      </c>
      <c r="FF65" s="54" t="e">
        <f t="shared" si="140"/>
        <v>#REF!</v>
      </c>
      <c r="FG65" s="54" t="e">
        <f t="shared" si="141"/>
        <v>#REF!</v>
      </c>
      <c r="FH65" s="54" t="e">
        <f t="shared" si="52"/>
        <v>#REF!</v>
      </c>
      <c r="FI65" s="56" t="e">
        <f t="shared" si="142"/>
        <v>#N/A</v>
      </c>
      <c r="FJ65">
        <f t="shared" si="53"/>
        <v>0.75</v>
      </c>
      <c r="FK65" s="57">
        <f>'1PROJE'!$M$3</f>
        <v>1.18</v>
      </c>
      <c r="FL65" s="37" t="e">
        <f t="shared" si="143"/>
        <v>#N/A</v>
      </c>
    </row>
    <row r="66" spans="1:168" ht="15.75">
      <c r="A66">
        <v>5</v>
      </c>
      <c r="B66">
        <f t="shared" si="172"/>
        <v>0</v>
      </c>
      <c r="C66" t="s">
        <v>975</v>
      </c>
      <c r="D66" s="245">
        <v>3</v>
      </c>
      <c r="AA66" s="55">
        <f t="shared" ref="AA66:AB66" si="179">AA46</f>
        <v>25</v>
      </c>
      <c r="AB66" s="54" t="e">
        <f t="shared" si="179"/>
        <v>#N/A</v>
      </c>
      <c r="AC66" s="54"/>
      <c r="AD66" s="54"/>
      <c r="AE66" s="54" t="e">
        <f t="shared" ref="AE66:AF66" si="180">AE46</f>
        <v>#N/A</v>
      </c>
      <c r="AF66" s="54">
        <f t="shared" si="180"/>
        <v>0</v>
      </c>
      <c r="AH66" s="54" t="e">
        <f t="shared" si="56"/>
        <v>#REF!</v>
      </c>
      <c r="AI66" s="54" t="e">
        <f t="shared" si="57"/>
        <v>#REF!</v>
      </c>
      <c r="AJ66" s="54" t="e">
        <f t="shared" si="58"/>
        <v>#REF!</v>
      </c>
      <c r="AK66" s="54" t="e">
        <f t="shared" si="59"/>
        <v>#REF!</v>
      </c>
      <c r="AL66" s="54" t="e">
        <f t="shared" si="60"/>
        <v>#REF!</v>
      </c>
      <c r="AM66" s="54" t="e">
        <f t="shared" si="61"/>
        <v>#REF!</v>
      </c>
      <c r="AN66" s="54">
        <f t="shared" si="62"/>
        <v>0</v>
      </c>
      <c r="AO66" s="54" t="e">
        <f t="shared" si="63"/>
        <v>#REF!</v>
      </c>
      <c r="AP66" s="54" t="e">
        <f t="shared" si="64"/>
        <v>#REF!</v>
      </c>
      <c r="AQ66" s="54" t="e">
        <f t="shared" si="65"/>
        <v>#REF!</v>
      </c>
      <c r="AR66" s="54" t="e">
        <f t="shared" si="66"/>
        <v>#REF!</v>
      </c>
      <c r="AS66" s="54" t="e">
        <f t="shared" si="67"/>
        <v>#REF!</v>
      </c>
      <c r="AT66" s="54" t="e">
        <f t="shared" si="68"/>
        <v>#REF!</v>
      </c>
      <c r="AU66" s="54" t="e">
        <f t="shared" si="69"/>
        <v>#REF!</v>
      </c>
      <c r="AV66" s="54" t="e">
        <f t="shared" si="70"/>
        <v>#REF!</v>
      </c>
      <c r="AW66" s="54" t="e">
        <f t="shared" si="71"/>
        <v>#REF!</v>
      </c>
      <c r="AX66" s="54" t="e">
        <f t="shared" si="72"/>
        <v>#REF!</v>
      </c>
      <c r="AY66" s="54" t="e">
        <f t="shared" si="73"/>
        <v>#REF!</v>
      </c>
      <c r="AZ66" s="54" t="e">
        <f t="shared" si="74"/>
        <v>#REF!</v>
      </c>
      <c r="BA66" s="54" t="e">
        <f t="shared" si="75"/>
        <v>#REF!</v>
      </c>
      <c r="BB66" s="54" t="e">
        <f t="shared" si="76"/>
        <v>#REF!</v>
      </c>
      <c r="BC66" s="54" t="e">
        <f t="shared" si="77"/>
        <v>#REF!</v>
      </c>
      <c r="BD66" s="54" t="e">
        <f t="shared" si="78"/>
        <v>#REF!</v>
      </c>
      <c r="BE66" s="54" t="e">
        <f t="shared" si="79"/>
        <v>#REF!</v>
      </c>
      <c r="BF66" s="54" t="e">
        <f t="shared" si="80"/>
        <v>#REF!</v>
      </c>
      <c r="BG66" s="54" t="e">
        <f t="shared" si="81"/>
        <v>#REF!</v>
      </c>
      <c r="BH66" s="54" t="e">
        <f t="shared" si="82"/>
        <v>#REF!</v>
      </c>
      <c r="BI66" s="54" t="e">
        <f t="shared" si="83"/>
        <v>#REF!</v>
      </c>
      <c r="BJ66" s="54" t="e">
        <f t="shared" si="84"/>
        <v>#REF!</v>
      </c>
      <c r="BK66" s="54" t="e">
        <f t="shared" si="85"/>
        <v>#REF!</v>
      </c>
      <c r="BL66" s="54" t="e">
        <f t="shared" si="86"/>
        <v>#REF!</v>
      </c>
      <c r="BM66" s="54" t="e">
        <f t="shared" si="87"/>
        <v>#REF!</v>
      </c>
      <c r="BN66" s="54" t="e">
        <f t="shared" si="88"/>
        <v>#REF!</v>
      </c>
      <c r="BO66" s="54" t="e">
        <f t="shared" si="89"/>
        <v>#REF!</v>
      </c>
      <c r="BP66" s="54" t="e">
        <f t="shared" si="8"/>
        <v>#REF!</v>
      </c>
      <c r="BQ66" s="54" t="e">
        <f t="shared" si="9"/>
        <v>#REF!</v>
      </c>
      <c r="BR66" s="54" t="e">
        <f t="shared" si="10"/>
        <v>#REF!</v>
      </c>
      <c r="BS66" s="54" t="e">
        <f t="shared" si="11"/>
        <v>#REF!</v>
      </c>
      <c r="BT66" s="54" t="e">
        <f t="shared" si="12"/>
        <v>#REF!</v>
      </c>
      <c r="BU66" s="54" t="e">
        <f t="shared" si="90"/>
        <v>#REF!</v>
      </c>
      <c r="BV66" s="54" t="e">
        <f t="shared" si="13"/>
        <v>#REF!</v>
      </c>
      <c r="BW66" s="54" t="e">
        <f t="shared" si="91"/>
        <v>#REF!</v>
      </c>
      <c r="BX66" s="54" t="e">
        <f t="shared" si="92"/>
        <v>#REF!</v>
      </c>
      <c r="BY66" s="54" t="e">
        <f t="shared" si="93"/>
        <v>#REF!</v>
      </c>
      <c r="BZ66" s="54" t="e">
        <f t="shared" si="94"/>
        <v>#REF!</v>
      </c>
      <c r="CA66" s="54" t="e">
        <f t="shared" si="14"/>
        <v>#REF!</v>
      </c>
      <c r="CB66" s="54" t="e">
        <f t="shared" si="15"/>
        <v>#REF!</v>
      </c>
      <c r="CC66" s="54" t="e">
        <f t="shared" si="95"/>
        <v>#REF!</v>
      </c>
      <c r="CD66" s="54" t="e">
        <f t="shared" si="96"/>
        <v>#REF!</v>
      </c>
      <c r="CE66" s="54" t="e">
        <f t="shared" si="16"/>
        <v>#REF!</v>
      </c>
      <c r="CF66" s="54" t="e">
        <f t="shared" si="17"/>
        <v>#REF!</v>
      </c>
      <c r="CG66" s="54" t="e">
        <f t="shared" si="97"/>
        <v>#REF!</v>
      </c>
      <c r="CH66" s="54" t="e">
        <f t="shared" si="18"/>
        <v>#REF!</v>
      </c>
      <c r="CI66" s="54" t="e">
        <f t="shared" si="19"/>
        <v>#REF!</v>
      </c>
      <c r="CJ66" s="54" t="e">
        <f t="shared" si="98"/>
        <v>#REF!</v>
      </c>
      <c r="CK66" s="54" t="e">
        <f t="shared" si="99"/>
        <v>#REF!</v>
      </c>
      <c r="CL66" s="54" t="e">
        <f t="shared" si="100"/>
        <v>#REF!</v>
      </c>
      <c r="CM66" s="54" t="e">
        <f t="shared" si="20"/>
        <v>#REF!</v>
      </c>
      <c r="CN66" s="54" t="e">
        <f t="shared" si="21"/>
        <v>#REF!</v>
      </c>
      <c r="CO66" s="54" t="e">
        <f t="shared" si="22"/>
        <v>#REF!</v>
      </c>
      <c r="CP66" s="54" t="e">
        <f t="shared" si="23"/>
        <v>#REF!</v>
      </c>
      <c r="CQ66" s="54" t="e">
        <f t="shared" si="101"/>
        <v>#REF!</v>
      </c>
      <c r="CR66" s="54" t="e">
        <f t="shared" si="24"/>
        <v>#REF!</v>
      </c>
      <c r="CS66" s="54" t="e">
        <f t="shared" si="102"/>
        <v>#REF!</v>
      </c>
      <c r="CT66" s="54" t="e">
        <f t="shared" si="103"/>
        <v>#REF!</v>
      </c>
      <c r="CU66" s="54" t="e">
        <f t="shared" si="104"/>
        <v>#REF!</v>
      </c>
      <c r="CV66" s="54" t="e">
        <f t="shared" si="25"/>
        <v>#REF!</v>
      </c>
      <c r="CW66" s="54" t="e">
        <f t="shared" si="105"/>
        <v>#REF!</v>
      </c>
      <c r="CX66" s="54" t="e">
        <f t="shared" si="106"/>
        <v>#REF!</v>
      </c>
      <c r="CY66" s="54" t="e">
        <f t="shared" si="107"/>
        <v>#REF!</v>
      </c>
      <c r="CZ66" s="54" t="e">
        <f t="shared" si="26"/>
        <v>#REF!</v>
      </c>
      <c r="DA66" s="54" t="e">
        <f t="shared" si="108"/>
        <v>#REF!</v>
      </c>
      <c r="DB66" s="54" t="e">
        <f t="shared" si="109"/>
        <v>#REF!</v>
      </c>
      <c r="DC66" s="54" t="e">
        <f t="shared" si="110"/>
        <v>#REF!</v>
      </c>
      <c r="DD66" s="54" t="e">
        <f t="shared" si="27"/>
        <v>#REF!</v>
      </c>
      <c r="DE66" s="54" t="e">
        <f t="shared" si="28"/>
        <v>#REF!</v>
      </c>
      <c r="DF66" s="54" t="e">
        <f t="shared" si="111"/>
        <v>#REF!</v>
      </c>
      <c r="DG66" s="54" t="e">
        <f t="shared" si="29"/>
        <v>#REF!</v>
      </c>
      <c r="DH66" s="54" t="e">
        <f t="shared" si="30"/>
        <v>#REF!</v>
      </c>
      <c r="DI66" s="54" t="e">
        <f t="shared" si="31"/>
        <v>#REF!</v>
      </c>
      <c r="DJ66" s="54" t="e">
        <f t="shared" si="112"/>
        <v>#REF!</v>
      </c>
      <c r="DK66" s="54" t="e">
        <f t="shared" si="113"/>
        <v>#REF!</v>
      </c>
      <c r="DL66" s="54" t="e">
        <f t="shared" si="32"/>
        <v>#REF!</v>
      </c>
      <c r="DM66" s="54" t="e">
        <f t="shared" si="33"/>
        <v>#REF!</v>
      </c>
      <c r="DN66" s="54" t="e">
        <f t="shared" si="34"/>
        <v>#REF!</v>
      </c>
      <c r="DO66" s="54" t="e">
        <f t="shared" si="35"/>
        <v>#REF!</v>
      </c>
      <c r="DP66" s="54" t="e">
        <f t="shared" si="114"/>
        <v>#REF!</v>
      </c>
      <c r="DQ66" s="54" t="e">
        <f t="shared" si="36"/>
        <v>#REF!</v>
      </c>
      <c r="DR66" s="54" t="e">
        <f t="shared" si="115"/>
        <v>#REF!</v>
      </c>
      <c r="DS66" s="54" t="e">
        <f t="shared" si="37"/>
        <v>#REF!</v>
      </c>
      <c r="DT66" s="54" t="e">
        <f t="shared" si="116"/>
        <v>#REF!</v>
      </c>
      <c r="DU66" s="54" t="e">
        <f t="shared" si="117"/>
        <v>#REF!</v>
      </c>
      <c r="DV66" s="54" t="e">
        <f t="shared" si="118"/>
        <v>#REF!</v>
      </c>
      <c r="DW66" s="54" t="e">
        <f t="shared" si="38"/>
        <v>#REF!</v>
      </c>
      <c r="DX66" s="54" t="e">
        <f t="shared" si="119"/>
        <v>#REF!</v>
      </c>
      <c r="DY66" s="54" t="e">
        <f t="shared" si="120"/>
        <v>#REF!</v>
      </c>
      <c r="DZ66" s="54" t="e">
        <f t="shared" si="121"/>
        <v>#REF!</v>
      </c>
      <c r="EA66" s="54" t="e">
        <f t="shared" si="39"/>
        <v>#REF!</v>
      </c>
      <c r="EB66" s="54" t="e">
        <f t="shared" si="40"/>
        <v>#REF!</v>
      </c>
      <c r="EC66" s="54" t="e">
        <f t="shared" si="122"/>
        <v>#REF!</v>
      </c>
      <c r="ED66" s="54" t="e">
        <f t="shared" si="41"/>
        <v>#REF!</v>
      </c>
      <c r="EE66" s="54" t="e">
        <f t="shared" si="42"/>
        <v>#REF!</v>
      </c>
      <c r="EF66" s="54" t="e">
        <f t="shared" si="43"/>
        <v>#REF!</v>
      </c>
      <c r="EG66" s="54" t="e">
        <f t="shared" si="123"/>
        <v>#REF!</v>
      </c>
      <c r="EH66" s="54" t="e">
        <f t="shared" si="124"/>
        <v>#REF!</v>
      </c>
      <c r="EI66" s="54" t="e">
        <f t="shared" si="125"/>
        <v>#REF!</v>
      </c>
      <c r="EJ66" s="54" t="e">
        <f t="shared" si="126"/>
        <v>#REF!</v>
      </c>
      <c r="EK66" s="54" t="e">
        <f t="shared" si="127"/>
        <v>#REF!</v>
      </c>
      <c r="EL66" s="54" t="e">
        <f t="shared" si="128"/>
        <v>#REF!</v>
      </c>
      <c r="EM66" s="54" t="e">
        <f t="shared" si="44"/>
        <v>#REF!</v>
      </c>
      <c r="EN66" s="54" t="e">
        <f t="shared" si="45"/>
        <v>#REF!</v>
      </c>
      <c r="EO66" s="54" t="e">
        <f t="shared" si="46"/>
        <v>#REF!</v>
      </c>
      <c r="EP66" s="54" t="e">
        <f t="shared" si="47"/>
        <v>#REF!</v>
      </c>
      <c r="EQ66" s="54" t="e">
        <f t="shared" si="48"/>
        <v>#REF!</v>
      </c>
      <c r="ER66" s="54" t="e">
        <f t="shared" si="129"/>
        <v>#REF!</v>
      </c>
      <c r="ES66" s="54" t="e">
        <f t="shared" si="130"/>
        <v>#REF!</v>
      </c>
      <c r="ET66" s="54" t="e">
        <f t="shared" si="131"/>
        <v>#REF!</v>
      </c>
      <c r="EU66" s="54" t="e">
        <f t="shared" si="49"/>
        <v>#REF!</v>
      </c>
      <c r="EV66" s="54" t="e">
        <f t="shared" si="132"/>
        <v>#REF!</v>
      </c>
      <c r="EW66" s="54" t="e">
        <f t="shared" si="133"/>
        <v>#REF!</v>
      </c>
      <c r="EX66" s="54" t="e">
        <f t="shared" si="134"/>
        <v>#REF!</v>
      </c>
      <c r="EY66" s="54" t="e">
        <f t="shared" si="50"/>
        <v>#REF!</v>
      </c>
      <c r="EZ66" s="54" t="e">
        <f t="shared" si="51"/>
        <v>#REF!</v>
      </c>
      <c r="FA66" s="54" t="e">
        <f t="shared" si="135"/>
        <v>#REF!</v>
      </c>
      <c r="FB66" s="54" t="e">
        <f t="shared" si="136"/>
        <v>#REF!</v>
      </c>
      <c r="FC66" s="54" t="e">
        <f t="shared" si="137"/>
        <v>#REF!</v>
      </c>
      <c r="FD66" s="54" t="e">
        <f t="shared" si="138"/>
        <v>#REF!</v>
      </c>
      <c r="FE66" s="54" t="e">
        <f t="shared" si="139"/>
        <v>#REF!</v>
      </c>
      <c r="FF66" s="54" t="e">
        <f t="shared" si="140"/>
        <v>#REF!</v>
      </c>
      <c r="FG66" s="54" t="e">
        <f t="shared" si="141"/>
        <v>#REF!</v>
      </c>
      <c r="FH66" s="54" t="e">
        <f t="shared" si="52"/>
        <v>#REF!</v>
      </c>
      <c r="FI66" s="56" t="e">
        <f t="shared" si="142"/>
        <v>#N/A</v>
      </c>
      <c r="FJ66">
        <f t="shared" si="53"/>
        <v>0.75</v>
      </c>
      <c r="FK66" s="57">
        <f>'1PROJE'!$M$3</f>
        <v>1.18</v>
      </c>
      <c r="FL66" s="37" t="e">
        <f t="shared" si="143"/>
        <v>#N/A</v>
      </c>
    </row>
    <row r="67" spans="1:168" ht="15">
      <c r="A67">
        <v>6</v>
      </c>
      <c r="B67">
        <f t="shared" si="172"/>
        <v>0</v>
      </c>
      <c r="C67" t="s">
        <v>976</v>
      </c>
      <c r="D67" s="245">
        <v>4</v>
      </c>
      <c r="AH67" s="37"/>
    </row>
    <row r="68" spans="1:168" ht="15">
      <c r="A68">
        <v>7</v>
      </c>
      <c r="B68">
        <f t="shared" si="172"/>
        <v>0</v>
      </c>
      <c r="C68" t="s">
        <v>977</v>
      </c>
      <c r="D68" s="245">
        <v>5</v>
      </c>
      <c r="AH68" s="37"/>
    </row>
    <row r="69" spans="1:168" ht="15">
      <c r="A69">
        <v>8</v>
      </c>
      <c r="B69">
        <f t="shared" si="172"/>
        <v>0</v>
      </c>
      <c r="C69" t="s">
        <v>978</v>
      </c>
      <c r="D69" s="245">
        <v>6</v>
      </c>
      <c r="AH69" s="37"/>
    </row>
    <row r="70" spans="1:168" ht="15">
      <c r="A70">
        <v>9</v>
      </c>
      <c r="B70">
        <f t="shared" si="172"/>
        <v>0</v>
      </c>
      <c r="C70" t="s">
        <v>979</v>
      </c>
      <c r="D70" s="245">
        <v>7</v>
      </c>
      <c r="AH70" s="37"/>
    </row>
    <row r="71" spans="1:168" ht="15">
      <c r="A71">
        <v>10</v>
      </c>
      <c r="B71">
        <f t="shared" si="172"/>
        <v>0</v>
      </c>
      <c r="C71" t="s">
        <v>980</v>
      </c>
      <c r="D71" s="245">
        <v>8</v>
      </c>
      <c r="AH71" s="37"/>
    </row>
    <row r="72" spans="1:168" ht="15">
      <c r="A72">
        <v>11</v>
      </c>
      <c r="B72">
        <f t="shared" si="172"/>
        <v>0</v>
      </c>
      <c r="C72" t="s">
        <v>981</v>
      </c>
      <c r="D72" s="245">
        <v>9</v>
      </c>
      <c r="AH72" s="37"/>
    </row>
    <row r="73" spans="1:168" ht="15">
      <c r="A73">
        <v>12</v>
      </c>
      <c r="B73">
        <f t="shared" si="172"/>
        <v>0</v>
      </c>
      <c r="C73" t="s">
        <v>402</v>
      </c>
      <c r="D73" s="245">
        <v>10</v>
      </c>
      <c r="H73" t="s">
        <v>868</v>
      </c>
      <c r="I73" t="s">
        <v>99</v>
      </c>
      <c r="J73" t="s">
        <v>21</v>
      </c>
      <c r="K73" t="s">
        <v>22</v>
      </c>
      <c r="AH73" s="37"/>
    </row>
    <row r="74" spans="1:168" ht="15">
      <c r="A74">
        <v>13</v>
      </c>
      <c r="B74">
        <f t="shared" si="172"/>
        <v>0</v>
      </c>
      <c r="C74" t="s">
        <v>403</v>
      </c>
      <c r="D74" s="245">
        <v>11</v>
      </c>
      <c r="F74" s="57">
        <f>VLOOKUP(G74,$C$64:$D$83,2,0)</f>
        <v>1</v>
      </c>
      <c r="G74" t="str">
        <f>LEFT(H74,6)</f>
        <v>POZ 1.</v>
      </c>
      <c r="H74" t="str" cm="1">
        <f t="array" ref="H74">_xlfn._xlws.FILTER(B62:B2061,B62:B2061&gt;0,0)</f>
        <v>POZ 1.</v>
      </c>
      <c r="I74" t="str">
        <f>VLOOKUP(F74,'1PROJE'!$B$7:$F$26,2,0)</f>
        <v>Zipline® Neo 110 Wawe (Dikey)</v>
      </c>
      <c r="J74">
        <f>VLOOKUP(F74,'1PROJE'!$B$7:$F$26,4,0)</f>
        <v>1200</v>
      </c>
      <c r="K74">
        <f>VLOOKUP(F74,'1PROJE'!$B$7:$F$26,5,0)</f>
        <v>2315</v>
      </c>
      <c r="AH74" s="37" t="str" cm="1">
        <f t="array" ref="AH74:BD75">_xlfn._xlws.FILTER($AH$26:$FH$27,AH27:FH27&gt;0,"")</f>
        <v>DKYB01</v>
      </c>
      <c r="AI74" t="str">
        <v>DKYB02</v>
      </c>
      <c r="AJ74" t="str">
        <v>GNL06Y</v>
      </c>
      <c r="AK74" t="str">
        <v>GNL01Y</v>
      </c>
      <c r="AL74" t="str">
        <v>GNL10Y</v>
      </c>
      <c r="AM74" t="str">
        <v>GNL11Y</v>
      </c>
      <c r="AN74" t="str">
        <v>GNL05Y</v>
      </c>
      <c r="AO74" t="str">
        <v>GNL03Y</v>
      </c>
      <c r="AP74" t="str">
        <v>GNL08Y</v>
      </c>
      <c r="AQ74" t="str">
        <v>GNL09Y</v>
      </c>
      <c r="AR74" t="str">
        <v>GNL07Y</v>
      </c>
      <c r="AS74" t="str">
        <v>DKYB05</v>
      </c>
      <c r="AT74" t="str">
        <v>DKYB06</v>
      </c>
      <c r="AU74" t="str">
        <v>DKYB07</v>
      </c>
      <c r="AV74" t="str">
        <v>DKYB08</v>
      </c>
      <c r="AW74" t="str">
        <v>DKYB09</v>
      </c>
      <c r="AX74" t="str">
        <v>DKYB10</v>
      </c>
      <c r="AY74" t="str">
        <v>DKYB11</v>
      </c>
      <c r="AZ74" t="str">
        <v>DKYB12</v>
      </c>
      <c r="BA74" t="str">
        <v>DKYB13</v>
      </c>
      <c r="BB74" t="str">
        <v>DKYB14</v>
      </c>
      <c r="BC74" t="str">
        <v>DKYB15</v>
      </c>
      <c r="BD74" t="str">
        <v>DKYB16</v>
      </c>
    </row>
    <row r="75" spans="1:168" ht="15">
      <c r="A75">
        <v>14</v>
      </c>
      <c r="B75">
        <f t="shared" si="172"/>
        <v>0</v>
      </c>
      <c r="C75" t="s">
        <v>404</v>
      </c>
      <c r="D75" s="245">
        <v>12</v>
      </c>
      <c r="F75" s="57" t="e">
        <f t="shared" ref="F75:F138" si="181">VLOOKUP(G75,$C$64:$D$83,2,0)</f>
        <v>#N/A</v>
      </c>
      <c r="G75" t="str">
        <f t="shared" ref="G75:G138" si="182">LEFT(H75,6)</f>
        <v/>
      </c>
      <c r="I75" t="e">
        <f>VLOOKUP(F75,'1PROJE'!$B$7:$F$26,2,0)</f>
        <v>#N/A</v>
      </c>
      <c r="J75" t="e">
        <f>VLOOKUP(F75,'1PROJE'!$B$7:$F$26,4,0)</f>
        <v>#N/A</v>
      </c>
      <c r="K75" t="e">
        <f>VLOOKUP(F75,'1PROJE'!$B$7:$F$26,5,0)</f>
        <v>#N/A</v>
      </c>
      <c r="AG75" s="62" t="s">
        <v>390</v>
      </c>
      <c r="AH75" s="62">
        <v>1.1919999999999999</v>
      </c>
      <c r="AI75" s="62">
        <v>1.1919999999999999</v>
      </c>
      <c r="AJ75" s="62">
        <v>36</v>
      </c>
      <c r="AK75" s="62">
        <v>1.0920000000000001</v>
      </c>
      <c r="AL75" s="62">
        <v>1</v>
      </c>
      <c r="AM75" s="62">
        <v>1</v>
      </c>
      <c r="AN75" s="62">
        <v>5.23</v>
      </c>
      <c r="AO75" s="62">
        <v>4.6100000000000003</v>
      </c>
      <c r="AP75" s="62">
        <v>1</v>
      </c>
      <c r="AQ75" s="62">
        <v>1.0880000000000001</v>
      </c>
      <c r="AR75" s="62">
        <v>2.1800000000000002</v>
      </c>
      <c r="AS75" s="62">
        <v>1</v>
      </c>
      <c r="AT75" s="62">
        <v>1</v>
      </c>
      <c r="AU75" s="62">
        <v>1</v>
      </c>
      <c r="AV75" s="62">
        <v>2</v>
      </c>
      <c r="AW75" s="62">
        <v>1.0880000000000001</v>
      </c>
      <c r="AX75" s="62">
        <v>1.085</v>
      </c>
      <c r="AY75" s="62">
        <v>4</v>
      </c>
      <c r="AZ75" s="62">
        <v>4.62</v>
      </c>
      <c r="BA75" s="62">
        <v>4.62</v>
      </c>
      <c r="BB75" s="62">
        <v>4.6139999999999999</v>
      </c>
      <c r="BC75" s="62">
        <v>2</v>
      </c>
      <c r="BD75" s="62">
        <v>2</v>
      </c>
      <c r="BE75" s="62"/>
      <c r="BF75" s="62"/>
      <c r="BG75" s="62"/>
      <c r="BH75" s="62"/>
      <c r="BI75" s="62"/>
    </row>
    <row r="76" spans="1:168" ht="15">
      <c r="A76">
        <v>15</v>
      </c>
      <c r="B76">
        <f t="shared" si="172"/>
        <v>0</v>
      </c>
      <c r="C76" t="s">
        <v>405</v>
      </c>
      <c r="D76" s="245">
        <v>13</v>
      </c>
      <c r="F76" s="57" t="e">
        <f t="shared" si="181"/>
        <v>#N/A</v>
      </c>
      <c r="G76" t="str">
        <f t="shared" si="182"/>
        <v/>
      </c>
      <c r="I76" t="e">
        <f>VLOOKUP(F76,'1PROJE'!$B$7:$F$26,2,0)</f>
        <v>#N/A</v>
      </c>
      <c r="J76" t="e">
        <f>VLOOKUP(F76,'1PROJE'!$B$7:$F$26,4,0)</f>
        <v>#N/A</v>
      </c>
      <c r="K76" t="e">
        <f>VLOOKUP(F76,'1PROJE'!$B$7:$F$26,5,0)</f>
        <v>#N/A</v>
      </c>
      <c r="AH76" s="37"/>
    </row>
    <row r="77" spans="1:168" ht="15">
      <c r="A77">
        <v>16</v>
      </c>
      <c r="B77">
        <f t="shared" si="172"/>
        <v>0</v>
      </c>
      <c r="C77" t="s">
        <v>406</v>
      </c>
      <c r="D77" s="245">
        <v>14</v>
      </c>
      <c r="F77" s="57" t="e">
        <f t="shared" si="181"/>
        <v>#N/A</v>
      </c>
      <c r="G77" t="str">
        <f t="shared" si="182"/>
        <v/>
      </c>
      <c r="I77" t="e">
        <f>VLOOKUP(F77,'1PROJE'!$B$7:$F$26,2,0)</f>
        <v>#N/A</v>
      </c>
      <c r="J77" t="e">
        <f>VLOOKUP(F77,'1PROJE'!$B$7:$F$26,4,0)</f>
        <v>#N/A</v>
      </c>
      <c r="K77" t="e">
        <f>VLOOKUP(F77,'1PROJE'!$B$7:$F$26,5,0)</f>
        <v>#N/A</v>
      </c>
      <c r="AH77" s="37" t="e" cm="1">
        <f t="array" ref="AH77">_xlfn._xlws.FILTER($AH$26:$FH$28,AH28:FH28&gt;0,"")</f>
        <v>#REF!</v>
      </c>
    </row>
    <row r="78" spans="1:168" ht="15">
      <c r="A78">
        <v>17</v>
      </c>
      <c r="B78">
        <f t="shared" si="172"/>
        <v>0</v>
      </c>
      <c r="C78" t="s">
        <v>407</v>
      </c>
      <c r="D78" s="245">
        <v>15</v>
      </c>
      <c r="F78" s="57" t="e">
        <f t="shared" si="181"/>
        <v>#N/A</v>
      </c>
      <c r="G78" t="str">
        <f t="shared" si="182"/>
        <v/>
      </c>
      <c r="I78" t="e">
        <f>VLOOKUP(F78,'1PROJE'!$B$7:$F$26,2,0)</f>
        <v>#N/A</v>
      </c>
      <c r="J78" t="e">
        <f>VLOOKUP(F78,'1PROJE'!$B$7:$F$26,4,0)</f>
        <v>#N/A</v>
      </c>
      <c r="K78" t="e">
        <f>VLOOKUP(F78,'1PROJE'!$B$7:$F$26,5,0)</f>
        <v>#N/A</v>
      </c>
    </row>
    <row r="79" spans="1:168" ht="15">
      <c r="A79">
        <v>18</v>
      </c>
      <c r="B79">
        <f t="shared" si="172"/>
        <v>0</v>
      </c>
      <c r="C79" t="s">
        <v>655</v>
      </c>
      <c r="D79" s="245">
        <v>16</v>
      </c>
      <c r="F79" s="57" t="e">
        <f t="shared" si="181"/>
        <v>#N/A</v>
      </c>
      <c r="G79" t="str">
        <f t="shared" si="182"/>
        <v/>
      </c>
      <c r="I79" t="e">
        <f>VLOOKUP(F79,'1PROJE'!$B$7:$F$26,2,0)</f>
        <v>#N/A</v>
      </c>
      <c r="J79" t="e">
        <f>VLOOKUP(F79,'1PROJE'!$B$7:$F$26,4,0)</f>
        <v>#N/A</v>
      </c>
      <c r="K79" t="e">
        <f>VLOOKUP(F79,'1PROJE'!$B$7:$F$26,5,0)</f>
        <v>#N/A</v>
      </c>
      <c r="AG79" s="62" t="s">
        <v>653</v>
      </c>
      <c r="AH79" s="62"/>
      <c r="AI79" s="62"/>
      <c r="AJ79" s="62"/>
      <c r="AK79" s="62"/>
      <c r="AL79" s="62"/>
      <c r="AM79" s="62"/>
      <c r="AN79" s="62"/>
      <c r="AO79" s="62"/>
      <c r="AP79" s="62"/>
      <c r="AQ79" s="62"/>
      <c r="AR79" s="62"/>
      <c r="AS79" s="62"/>
      <c r="AT79" s="62"/>
      <c r="AU79" s="62"/>
      <c r="AV79" s="62"/>
      <c r="AW79" s="62"/>
      <c r="AX79" s="62"/>
      <c r="AY79" s="62"/>
      <c r="AZ79" s="62"/>
      <c r="BA79" s="62"/>
      <c r="BB79" s="62"/>
      <c r="BC79" s="62"/>
      <c r="BD79" s="62"/>
      <c r="BE79" s="62"/>
      <c r="BF79" s="62"/>
      <c r="BG79" s="62"/>
      <c r="BH79" s="62"/>
      <c r="BI79" s="62"/>
    </row>
    <row r="80" spans="1:168" ht="15">
      <c r="A80">
        <v>19</v>
      </c>
      <c r="B80">
        <f t="shared" si="172"/>
        <v>0</v>
      </c>
      <c r="C80" t="s">
        <v>656</v>
      </c>
      <c r="D80" s="245">
        <v>17</v>
      </c>
      <c r="F80" s="57" t="e">
        <f t="shared" si="181"/>
        <v>#N/A</v>
      </c>
      <c r="G80" t="str">
        <f t="shared" si="182"/>
        <v/>
      </c>
      <c r="I80" t="e">
        <f>VLOOKUP(F80,'1PROJE'!$B$7:$F$26,2,0)</f>
        <v>#N/A</v>
      </c>
      <c r="J80" t="e">
        <f>VLOOKUP(F80,'1PROJE'!$B$7:$F$26,4,0)</f>
        <v>#N/A</v>
      </c>
      <c r="K80" t="e">
        <f>VLOOKUP(F80,'1PROJE'!$B$7:$F$26,5,0)</f>
        <v>#N/A</v>
      </c>
      <c r="AH80" s="37"/>
    </row>
    <row r="81" spans="1:61" ht="15">
      <c r="A81">
        <v>20</v>
      </c>
      <c r="B81">
        <f t="shared" si="172"/>
        <v>0</v>
      </c>
      <c r="C81" t="s">
        <v>657</v>
      </c>
      <c r="D81" s="245">
        <v>18</v>
      </c>
      <c r="F81" s="57" t="e">
        <f t="shared" si="181"/>
        <v>#N/A</v>
      </c>
      <c r="G81" t="str">
        <f t="shared" si="182"/>
        <v/>
      </c>
      <c r="I81" t="e">
        <f>VLOOKUP(F81,'1PROJE'!$B$7:$F$26,2,0)</f>
        <v>#N/A</v>
      </c>
      <c r="J81" t="e">
        <f>VLOOKUP(F81,'1PROJE'!$B$7:$F$26,4,0)</f>
        <v>#N/A</v>
      </c>
      <c r="K81" t="e">
        <f>VLOOKUP(F81,'1PROJE'!$B$7:$F$26,5,0)</f>
        <v>#N/A</v>
      </c>
      <c r="AH81" s="37" t="e" cm="1">
        <f t="array" ref="AH81">_xlfn._xlws.FILTER($AH$26:$FH$29,AH29:FH29&gt;0,"")</f>
        <v>#REF!</v>
      </c>
    </row>
    <row r="82" spans="1:61" ht="15">
      <c r="A82">
        <v>21</v>
      </c>
      <c r="B82">
        <f t="shared" si="172"/>
        <v>0</v>
      </c>
      <c r="C82" t="s">
        <v>658</v>
      </c>
      <c r="D82" s="245">
        <v>19</v>
      </c>
      <c r="F82" s="57" t="e">
        <f t="shared" si="181"/>
        <v>#N/A</v>
      </c>
      <c r="G82" t="str">
        <f t="shared" si="182"/>
        <v/>
      </c>
      <c r="I82" t="e">
        <f>VLOOKUP(F82,'1PROJE'!$B$7:$F$26,2,0)</f>
        <v>#N/A</v>
      </c>
      <c r="J82" t="e">
        <f>VLOOKUP(F82,'1PROJE'!$B$7:$F$26,4,0)</f>
        <v>#N/A</v>
      </c>
      <c r="K82" t="e">
        <f>VLOOKUP(F82,'1PROJE'!$B$7:$F$26,5,0)</f>
        <v>#N/A</v>
      </c>
    </row>
    <row r="83" spans="1:61" ht="15.75" thickBot="1">
      <c r="A83">
        <v>22</v>
      </c>
      <c r="B83">
        <f t="shared" si="172"/>
        <v>0</v>
      </c>
      <c r="C83" t="s">
        <v>659</v>
      </c>
      <c r="D83" s="246">
        <v>20</v>
      </c>
      <c r="F83" s="57" t="e">
        <f t="shared" si="181"/>
        <v>#N/A</v>
      </c>
      <c r="G83" t="str">
        <f t="shared" si="182"/>
        <v/>
      </c>
      <c r="I83" t="e">
        <f>VLOOKUP(F83,'1PROJE'!$B$7:$F$26,2,0)</f>
        <v>#N/A</v>
      </c>
      <c r="J83" t="e">
        <f>VLOOKUP(F83,'1PROJE'!$B$7:$F$26,4,0)</f>
        <v>#N/A</v>
      </c>
      <c r="K83" t="e">
        <f>VLOOKUP(F83,'1PROJE'!$B$7:$F$26,5,0)</f>
        <v>#N/A</v>
      </c>
    </row>
    <row r="84" spans="1:61">
      <c r="A84">
        <v>23</v>
      </c>
      <c r="B84">
        <f t="shared" si="172"/>
        <v>0</v>
      </c>
      <c r="F84" s="57" t="e">
        <f t="shared" si="181"/>
        <v>#N/A</v>
      </c>
      <c r="G84" t="str">
        <f t="shared" si="182"/>
        <v/>
      </c>
      <c r="I84" t="e">
        <f>VLOOKUP(F84,'1PROJE'!$B$7:$F$26,2,0)</f>
        <v>#N/A</v>
      </c>
      <c r="J84" t="e">
        <f>VLOOKUP(F84,'1PROJE'!$B$7:$F$26,4,0)</f>
        <v>#N/A</v>
      </c>
      <c r="K84" t="e">
        <f>VLOOKUP(F84,'1PROJE'!$B$7:$F$26,5,0)</f>
        <v>#N/A</v>
      </c>
      <c r="AG84" s="62" t="s">
        <v>396</v>
      </c>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row>
    <row r="85" spans="1:61">
      <c r="A85">
        <v>24</v>
      </c>
      <c r="B85">
        <f t="shared" si="172"/>
        <v>0</v>
      </c>
      <c r="F85" s="57" t="e">
        <f t="shared" si="181"/>
        <v>#N/A</v>
      </c>
      <c r="G85" t="str">
        <f t="shared" si="182"/>
        <v/>
      </c>
      <c r="I85" t="e">
        <f>VLOOKUP(F85,'1PROJE'!$B$7:$F$26,2,0)</f>
        <v>#N/A</v>
      </c>
      <c r="J85" t="e">
        <f>VLOOKUP(F85,'1PROJE'!$B$7:$F$26,4,0)</f>
        <v>#N/A</v>
      </c>
      <c r="K85" t="e">
        <f>VLOOKUP(F85,'1PROJE'!$B$7:$F$26,5,0)</f>
        <v>#N/A</v>
      </c>
      <c r="AH85" s="37"/>
    </row>
    <row r="86" spans="1:61">
      <c r="A86">
        <v>25</v>
      </c>
      <c r="B86">
        <f t="shared" si="172"/>
        <v>0</v>
      </c>
      <c r="F86" s="57" t="e">
        <f t="shared" si="181"/>
        <v>#N/A</v>
      </c>
      <c r="G86" t="str">
        <f t="shared" si="182"/>
        <v/>
      </c>
      <c r="I86" t="e">
        <f>VLOOKUP(F86,'1PROJE'!$B$7:$F$26,2,0)</f>
        <v>#N/A</v>
      </c>
      <c r="J86" t="e">
        <f>VLOOKUP(F86,'1PROJE'!$B$7:$F$26,4,0)</f>
        <v>#N/A</v>
      </c>
      <c r="K86" t="e">
        <f>VLOOKUP(F86,'1PROJE'!$B$7:$F$26,5,0)</f>
        <v>#N/A</v>
      </c>
      <c r="AH86" s="37" t="e" cm="1">
        <f t="array" ref="AH86">_xlfn._xlws.FILTER($AH$26:$FH$30,AH30:FH30&gt;0,"")</f>
        <v>#REF!</v>
      </c>
    </row>
    <row r="87" spans="1:61">
      <c r="A87">
        <v>26</v>
      </c>
      <c r="B87">
        <f t="shared" si="172"/>
        <v>0</v>
      </c>
      <c r="F87" s="57" t="e">
        <f t="shared" si="181"/>
        <v>#N/A</v>
      </c>
      <c r="G87" t="str">
        <f t="shared" si="182"/>
        <v/>
      </c>
      <c r="I87" t="e">
        <f>VLOOKUP(F87,'1PROJE'!$B$7:$F$26,2,0)</f>
        <v>#N/A</v>
      </c>
      <c r="J87" t="e">
        <f>VLOOKUP(F87,'1PROJE'!$B$7:$F$26,4,0)</f>
        <v>#N/A</v>
      </c>
      <c r="K87" t="e">
        <f>VLOOKUP(F87,'1PROJE'!$B$7:$F$26,5,0)</f>
        <v>#N/A</v>
      </c>
    </row>
    <row r="88" spans="1:61">
      <c r="A88">
        <v>27</v>
      </c>
      <c r="B88">
        <f t="shared" si="172"/>
        <v>0</v>
      </c>
      <c r="F88" s="57" t="e">
        <f t="shared" si="181"/>
        <v>#N/A</v>
      </c>
      <c r="G88" t="str">
        <f t="shared" si="182"/>
        <v/>
      </c>
      <c r="I88" t="e">
        <f>VLOOKUP(F88,'1PROJE'!$B$7:$F$26,2,0)</f>
        <v>#N/A</v>
      </c>
      <c r="J88" t="e">
        <f>VLOOKUP(F88,'1PROJE'!$B$7:$F$26,4,0)</f>
        <v>#N/A</v>
      </c>
      <c r="K88" t="e">
        <f>VLOOKUP(F88,'1PROJE'!$B$7:$F$26,5,0)</f>
        <v>#N/A</v>
      </c>
    </row>
    <row r="89" spans="1:61">
      <c r="A89">
        <v>28</v>
      </c>
      <c r="B89">
        <f t="shared" si="172"/>
        <v>0</v>
      </c>
      <c r="F89" s="57" t="e">
        <f t="shared" si="181"/>
        <v>#N/A</v>
      </c>
      <c r="G89" t="str">
        <f t="shared" si="182"/>
        <v/>
      </c>
      <c r="I89" t="e">
        <f>VLOOKUP(F89,'1PROJE'!$B$7:$F$26,2,0)</f>
        <v>#N/A</v>
      </c>
      <c r="J89" t="e">
        <f>VLOOKUP(F89,'1PROJE'!$B$7:$F$26,4,0)</f>
        <v>#N/A</v>
      </c>
      <c r="K89" t="e">
        <f>VLOOKUP(F89,'1PROJE'!$B$7:$F$26,5,0)</f>
        <v>#N/A</v>
      </c>
    </row>
    <row r="90" spans="1:61">
      <c r="A90">
        <v>29</v>
      </c>
      <c r="B90">
        <f t="shared" si="172"/>
        <v>0</v>
      </c>
      <c r="F90" s="57" t="e">
        <f t="shared" si="181"/>
        <v>#N/A</v>
      </c>
      <c r="G90" t="str">
        <f t="shared" si="182"/>
        <v/>
      </c>
      <c r="I90" t="e">
        <f>VLOOKUP(F90,'1PROJE'!$B$7:$F$26,2,0)</f>
        <v>#N/A</v>
      </c>
      <c r="J90" t="e">
        <f>VLOOKUP(F90,'1PROJE'!$B$7:$F$26,4,0)</f>
        <v>#N/A</v>
      </c>
      <c r="K90" t="e">
        <f>VLOOKUP(F90,'1PROJE'!$B$7:$F$26,5,0)</f>
        <v>#N/A</v>
      </c>
      <c r="AG90" s="62" t="s">
        <v>654</v>
      </c>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row>
    <row r="91" spans="1:61">
      <c r="A91">
        <v>30</v>
      </c>
      <c r="B91">
        <f t="shared" si="172"/>
        <v>0</v>
      </c>
      <c r="F91" s="57" t="e">
        <f t="shared" si="181"/>
        <v>#N/A</v>
      </c>
      <c r="G91" t="str">
        <f t="shared" si="182"/>
        <v/>
      </c>
      <c r="I91" t="e">
        <f>VLOOKUP(F91,'1PROJE'!$B$7:$F$26,2,0)</f>
        <v>#N/A</v>
      </c>
      <c r="J91" t="e">
        <f>VLOOKUP(F91,'1PROJE'!$B$7:$F$26,4,0)</f>
        <v>#N/A</v>
      </c>
      <c r="K91" t="e">
        <f>VLOOKUP(F91,'1PROJE'!$B$7:$F$26,5,0)</f>
        <v>#N/A</v>
      </c>
    </row>
    <row r="92" spans="1:61">
      <c r="A92">
        <v>31</v>
      </c>
      <c r="B92">
        <f t="shared" si="172"/>
        <v>0</v>
      </c>
      <c r="F92" s="57" t="e">
        <f t="shared" si="181"/>
        <v>#N/A</v>
      </c>
      <c r="G92" t="str">
        <f t="shared" si="182"/>
        <v/>
      </c>
      <c r="I92" t="e">
        <f>VLOOKUP(F92,'1PROJE'!$B$7:$F$26,2,0)</f>
        <v>#N/A</v>
      </c>
      <c r="J92" t="e">
        <f>VLOOKUP(F92,'1PROJE'!$B$7:$F$26,4,0)</f>
        <v>#N/A</v>
      </c>
      <c r="K92" t="e">
        <f>VLOOKUP(F92,'1PROJE'!$B$7:$F$26,5,0)</f>
        <v>#N/A</v>
      </c>
      <c r="AH92" s="37" t="e" cm="1">
        <f t="array" ref="AH92">_xlfn._xlws.FILTER($AH$26:$FH$31,AH31:FH31&gt;0,"")</f>
        <v>#REF!</v>
      </c>
    </row>
    <row r="93" spans="1:61">
      <c r="A93">
        <v>32</v>
      </c>
      <c r="B93">
        <f t="shared" si="172"/>
        <v>0</v>
      </c>
      <c r="F93" s="57" t="e">
        <f t="shared" si="181"/>
        <v>#N/A</v>
      </c>
      <c r="G93" t="str">
        <f t="shared" si="182"/>
        <v/>
      </c>
      <c r="I93" t="e">
        <f>VLOOKUP(F93,'1PROJE'!$B$7:$F$26,2,0)</f>
        <v>#N/A</v>
      </c>
      <c r="J93" t="e">
        <f>VLOOKUP(F93,'1PROJE'!$B$7:$F$26,4,0)</f>
        <v>#N/A</v>
      </c>
      <c r="K93" t="e">
        <f>VLOOKUP(F93,'1PROJE'!$B$7:$F$26,5,0)</f>
        <v>#N/A</v>
      </c>
    </row>
    <row r="94" spans="1:61">
      <c r="A94">
        <v>33</v>
      </c>
      <c r="B94">
        <f t="shared" si="172"/>
        <v>0</v>
      </c>
      <c r="F94" s="57" t="e">
        <f t="shared" si="181"/>
        <v>#N/A</v>
      </c>
      <c r="G94" t="str">
        <f t="shared" si="182"/>
        <v/>
      </c>
      <c r="I94" t="e">
        <f>VLOOKUP(F94,'1PROJE'!$B$7:$F$26,2,0)</f>
        <v>#N/A</v>
      </c>
      <c r="J94" t="e">
        <f>VLOOKUP(F94,'1PROJE'!$B$7:$F$26,4,0)</f>
        <v>#N/A</v>
      </c>
      <c r="K94" t="e">
        <f>VLOOKUP(F94,'1PROJE'!$B$7:$F$26,5,0)</f>
        <v>#N/A</v>
      </c>
    </row>
    <row r="95" spans="1:61">
      <c r="A95">
        <v>34</v>
      </c>
      <c r="B95">
        <f t="shared" si="172"/>
        <v>0</v>
      </c>
      <c r="F95" s="57" t="e">
        <f t="shared" si="181"/>
        <v>#N/A</v>
      </c>
      <c r="G95" t="str">
        <f t="shared" si="182"/>
        <v/>
      </c>
      <c r="I95" t="e">
        <f>VLOOKUP(F95,'1PROJE'!$B$7:$F$26,2,0)</f>
        <v>#N/A</v>
      </c>
      <c r="J95" t="e">
        <f>VLOOKUP(F95,'1PROJE'!$B$7:$F$26,4,0)</f>
        <v>#N/A</v>
      </c>
      <c r="K95" t="e">
        <f>VLOOKUP(F95,'1PROJE'!$B$7:$F$26,5,0)</f>
        <v>#N/A</v>
      </c>
    </row>
    <row r="96" spans="1:61">
      <c r="A96">
        <v>35</v>
      </c>
      <c r="B96">
        <f t="shared" si="172"/>
        <v>0</v>
      </c>
      <c r="F96" s="57" t="e">
        <f t="shared" si="181"/>
        <v>#N/A</v>
      </c>
      <c r="G96" t="str">
        <f t="shared" si="182"/>
        <v/>
      </c>
      <c r="I96" t="e">
        <f>VLOOKUP(F96,'1PROJE'!$B$7:$F$26,2,0)</f>
        <v>#N/A</v>
      </c>
      <c r="J96" t="e">
        <f>VLOOKUP(F96,'1PROJE'!$B$7:$F$26,4,0)</f>
        <v>#N/A</v>
      </c>
      <c r="K96" t="e">
        <f>VLOOKUP(F96,'1PROJE'!$B$7:$F$26,5,0)</f>
        <v>#N/A</v>
      </c>
    </row>
    <row r="97" spans="1:61">
      <c r="A97">
        <v>36</v>
      </c>
      <c r="B97">
        <f t="shared" si="172"/>
        <v>0</v>
      </c>
      <c r="F97" s="57" t="e">
        <f t="shared" si="181"/>
        <v>#N/A</v>
      </c>
      <c r="G97" t="str">
        <f t="shared" si="182"/>
        <v/>
      </c>
      <c r="I97" t="e">
        <f>VLOOKUP(F97,'1PROJE'!$B$7:$F$26,2,0)</f>
        <v>#N/A</v>
      </c>
      <c r="J97" t="e">
        <f>VLOOKUP(F97,'1PROJE'!$B$7:$F$26,4,0)</f>
        <v>#N/A</v>
      </c>
      <c r="K97" t="e">
        <f>VLOOKUP(F97,'1PROJE'!$B$7:$F$26,5,0)</f>
        <v>#N/A</v>
      </c>
      <c r="AG97" s="62" t="s">
        <v>397</v>
      </c>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row>
    <row r="98" spans="1:61">
      <c r="A98">
        <v>37</v>
      </c>
      <c r="B98">
        <f t="shared" si="172"/>
        <v>0</v>
      </c>
      <c r="F98" s="57" t="e">
        <f t="shared" si="181"/>
        <v>#N/A</v>
      </c>
      <c r="G98" t="str">
        <f t="shared" si="182"/>
        <v/>
      </c>
      <c r="I98" t="e">
        <f>VLOOKUP(F98,'1PROJE'!$B$7:$F$26,2,0)</f>
        <v>#N/A</v>
      </c>
      <c r="J98" t="e">
        <f>VLOOKUP(F98,'1PROJE'!$B$7:$F$26,4,0)</f>
        <v>#N/A</v>
      </c>
      <c r="K98" t="e">
        <f>VLOOKUP(F98,'1PROJE'!$B$7:$F$26,5,0)</f>
        <v>#N/A</v>
      </c>
    </row>
    <row r="99" spans="1:61">
      <c r="A99">
        <v>38</v>
      </c>
      <c r="B99">
        <f t="shared" si="172"/>
        <v>0</v>
      </c>
      <c r="F99" s="57" t="e">
        <f t="shared" si="181"/>
        <v>#N/A</v>
      </c>
      <c r="G99" t="str">
        <f t="shared" si="182"/>
        <v/>
      </c>
      <c r="I99" t="e">
        <f>VLOOKUP(F99,'1PROJE'!$B$7:$F$26,2,0)</f>
        <v>#N/A</v>
      </c>
      <c r="J99" t="e">
        <f>VLOOKUP(F99,'1PROJE'!$B$7:$F$26,4,0)</f>
        <v>#N/A</v>
      </c>
      <c r="K99" t="e">
        <f>VLOOKUP(F99,'1PROJE'!$B$7:$F$26,5,0)</f>
        <v>#N/A</v>
      </c>
      <c r="AH99" s="37" t="e" cm="1">
        <f t="array" ref="AH99">_xlfn._xlws.FILTER($AH$26:$FH$32,AH32:FH32&gt;0,"")</f>
        <v>#REF!</v>
      </c>
    </row>
    <row r="100" spans="1:61">
      <c r="A100">
        <v>39</v>
      </c>
      <c r="B100">
        <f t="shared" si="172"/>
        <v>0</v>
      </c>
      <c r="F100" s="57" t="e">
        <f t="shared" si="181"/>
        <v>#N/A</v>
      </c>
      <c r="G100" t="str">
        <f t="shared" si="182"/>
        <v/>
      </c>
      <c r="I100" t="e">
        <f>VLOOKUP(F100,'1PROJE'!$B$7:$F$26,2,0)</f>
        <v>#N/A</v>
      </c>
      <c r="J100" t="e">
        <f>VLOOKUP(F100,'1PROJE'!$B$7:$F$26,4,0)</f>
        <v>#N/A</v>
      </c>
      <c r="K100" t="e">
        <f>VLOOKUP(F100,'1PROJE'!$B$7:$F$26,5,0)</f>
        <v>#N/A</v>
      </c>
    </row>
    <row r="101" spans="1:61">
      <c r="A101">
        <v>40</v>
      </c>
      <c r="B101">
        <f t="shared" si="172"/>
        <v>0</v>
      </c>
      <c r="F101" s="57" t="e">
        <f t="shared" si="181"/>
        <v>#N/A</v>
      </c>
      <c r="G101" t="str">
        <f t="shared" si="182"/>
        <v/>
      </c>
      <c r="I101" t="e">
        <f>VLOOKUP(F101,'1PROJE'!$B$7:$F$26,2,0)</f>
        <v>#N/A</v>
      </c>
      <c r="J101" t="e">
        <f>VLOOKUP(F101,'1PROJE'!$B$7:$F$26,4,0)</f>
        <v>#N/A</v>
      </c>
      <c r="K101" t="e">
        <f>VLOOKUP(F101,'1PROJE'!$B$7:$F$26,5,0)</f>
        <v>#N/A</v>
      </c>
    </row>
    <row r="102" spans="1:61">
      <c r="A102">
        <v>41</v>
      </c>
      <c r="B102">
        <f t="shared" si="172"/>
        <v>0</v>
      </c>
      <c r="F102" s="57" t="e">
        <f t="shared" si="181"/>
        <v>#N/A</v>
      </c>
      <c r="G102" t="str">
        <f t="shared" si="182"/>
        <v/>
      </c>
      <c r="I102" t="e">
        <f>VLOOKUP(F102,'1PROJE'!$B$7:$F$26,2,0)</f>
        <v>#N/A</v>
      </c>
      <c r="J102" t="e">
        <f>VLOOKUP(F102,'1PROJE'!$B$7:$F$26,4,0)</f>
        <v>#N/A</v>
      </c>
      <c r="K102" t="e">
        <f>VLOOKUP(F102,'1PROJE'!$B$7:$F$26,5,0)</f>
        <v>#N/A</v>
      </c>
    </row>
    <row r="103" spans="1:61">
      <c r="A103">
        <v>42</v>
      </c>
      <c r="B103">
        <f t="shared" si="172"/>
        <v>0</v>
      </c>
      <c r="F103" s="57" t="e">
        <f t="shared" si="181"/>
        <v>#N/A</v>
      </c>
      <c r="G103" t="str">
        <f t="shared" si="182"/>
        <v/>
      </c>
      <c r="I103" t="e">
        <f>VLOOKUP(F103,'1PROJE'!$B$7:$F$26,2,0)</f>
        <v>#N/A</v>
      </c>
      <c r="J103" t="e">
        <f>VLOOKUP(F103,'1PROJE'!$B$7:$F$26,4,0)</f>
        <v>#N/A</v>
      </c>
      <c r="K103" t="e">
        <f>VLOOKUP(F103,'1PROJE'!$B$7:$F$26,5,0)</f>
        <v>#N/A</v>
      </c>
    </row>
    <row r="104" spans="1:61">
      <c r="A104">
        <v>43</v>
      </c>
      <c r="B104">
        <f t="shared" si="172"/>
        <v>0</v>
      </c>
      <c r="F104" s="57" t="e">
        <f t="shared" si="181"/>
        <v>#N/A</v>
      </c>
      <c r="G104" t="str">
        <f t="shared" si="182"/>
        <v/>
      </c>
      <c r="I104" t="e">
        <f>VLOOKUP(F104,'1PROJE'!$B$7:$F$26,2,0)</f>
        <v>#N/A</v>
      </c>
      <c r="J104" t="e">
        <f>VLOOKUP(F104,'1PROJE'!$B$7:$F$26,4,0)</f>
        <v>#N/A</v>
      </c>
      <c r="K104" t="e">
        <f>VLOOKUP(F104,'1PROJE'!$B$7:$F$26,5,0)</f>
        <v>#N/A</v>
      </c>
    </row>
    <row r="105" spans="1:61">
      <c r="A105">
        <v>44</v>
      </c>
      <c r="B105">
        <f t="shared" si="172"/>
        <v>0</v>
      </c>
      <c r="F105" s="57" t="e">
        <f t="shared" si="181"/>
        <v>#N/A</v>
      </c>
      <c r="G105" t="str">
        <f t="shared" si="182"/>
        <v/>
      </c>
      <c r="I105" t="e">
        <f>VLOOKUP(F105,'1PROJE'!$B$7:$F$26,2,0)</f>
        <v>#N/A</v>
      </c>
      <c r="J105" t="e">
        <f>VLOOKUP(F105,'1PROJE'!$B$7:$F$26,4,0)</f>
        <v>#N/A</v>
      </c>
      <c r="K105" t="e">
        <f>VLOOKUP(F105,'1PROJE'!$B$7:$F$26,5,0)</f>
        <v>#N/A</v>
      </c>
      <c r="AG105" s="62" t="s">
        <v>398</v>
      </c>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row>
    <row r="106" spans="1:61">
      <c r="A106">
        <v>45</v>
      </c>
      <c r="B106">
        <f t="shared" si="172"/>
        <v>0</v>
      </c>
      <c r="F106" s="57" t="e">
        <f t="shared" si="181"/>
        <v>#N/A</v>
      </c>
      <c r="G106" t="str">
        <f t="shared" si="182"/>
        <v/>
      </c>
      <c r="I106" t="e">
        <f>VLOOKUP(F106,'1PROJE'!$B$7:$F$26,2,0)</f>
        <v>#N/A</v>
      </c>
      <c r="J106" t="e">
        <f>VLOOKUP(F106,'1PROJE'!$B$7:$F$26,4,0)</f>
        <v>#N/A</v>
      </c>
      <c r="K106" t="e">
        <f>VLOOKUP(F106,'1PROJE'!$B$7:$F$26,5,0)</f>
        <v>#N/A</v>
      </c>
    </row>
    <row r="107" spans="1:61">
      <c r="A107">
        <v>46</v>
      </c>
      <c r="B107">
        <f t="shared" si="172"/>
        <v>0</v>
      </c>
      <c r="F107" s="57" t="e">
        <f t="shared" si="181"/>
        <v>#N/A</v>
      </c>
      <c r="G107" t="str">
        <f t="shared" si="182"/>
        <v/>
      </c>
      <c r="I107" t="e">
        <f>VLOOKUP(F107,'1PROJE'!$B$7:$F$26,2,0)</f>
        <v>#N/A</v>
      </c>
      <c r="J107" t="e">
        <f>VLOOKUP(F107,'1PROJE'!$B$7:$F$26,4,0)</f>
        <v>#N/A</v>
      </c>
      <c r="K107" t="e">
        <f>VLOOKUP(F107,'1PROJE'!$B$7:$F$26,5,0)</f>
        <v>#N/A</v>
      </c>
      <c r="AH107" s="37" t="e" cm="1">
        <f t="array" ref="AH107">_xlfn._xlws.FILTER($AH$26:$FH$33,AH33:FH33&gt;0,"")</f>
        <v>#REF!</v>
      </c>
    </row>
    <row r="108" spans="1:61">
      <c r="A108">
        <v>47</v>
      </c>
      <c r="B108">
        <f t="shared" si="172"/>
        <v>0</v>
      </c>
      <c r="F108" s="57" t="e">
        <f t="shared" si="181"/>
        <v>#N/A</v>
      </c>
      <c r="G108" t="str">
        <f t="shared" si="182"/>
        <v/>
      </c>
      <c r="I108" t="e">
        <f>VLOOKUP(F108,'1PROJE'!$B$7:$F$26,2,0)</f>
        <v>#N/A</v>
      </c>
      <c r="J108" t="e">
        <f>VLOOKUP(F108,'1PROJE'!$B$7:$F$26,4,0)</f>
        <v>#N/A</v>
      </c>
      <c r="K108" t="e">
        <f>VLOOKUP(F108,'1PROJE'!$B$7:$F$26,5,0)</f>
        <v>#N/A</v>
      </c>
    </row>
    <row r="109" spans="1:61">
      <c r="A109">
        <v>48</v>
      </c>
      <c r="B109">
        <f t="shared" si="172"/>
        <v>0</v>
      </c>
      <c r="F109" s="57" t="e">
        <f t="shared" si="181"/>
        <v>#N/A</v>
      </c>
      <c r="G109" t="str">
        <f t="shared" si="182"/>
        <v/>
      </c>
      <c r="I109" t="e">
        <f>VLOOKUP(F109,'1PROJE'!$B$7:$F$26,2,0)</f>
        <v>#N/A</v>
      </c>
      <c r="J109" t="e">
        <f>VLOOKUP(F109,'1PROJE'!$B$7:$F$26,4,0)</f>
        <v>#N/A</v>
      </c>
      <c r="K109" t="e">
        <f>VLOOKUP(F109,'1PROJE'!$B$7:$F$26,5,0)</f>
        <v>#N/A</v>
      </c>
    </row>
    <row r="110" spans="1:61">
      <c r="A110">
        <v>49</v>
      </c>
      <c r="B110">
        <f t="shared" si="172"/>
        <v>0</v>
      </c>
      <c r="F110" s="57" t="e">
        <f t="shared" si="181"/>
        <v>#N/A</v>
      </c>
      <c r="G110" t="str">
        <f t="shared" si="182"/>
        <v/>
      </c>
      <c r="I110" t="e">
        <f>VLOOKUP(F110,'1PROJE'!$B$7:$F$26,2,0)</f>
        <v>#N/A</v>
      </c>
      <c r="J110" t="e">
        <f>VLOOKUP(F110,'1PROJE'!$B$7:$F$26,4,0)</f>
        <v>#N/A</v>
      </c>
      <c r="K110" t="e">
        <f>VLOOKUP(F110,'1PROJE'!$B$7:$F$26,5,0)</f>
        <v>#N/A</v>
      </c>
    </row>
    <row r="111" spans="1:61">
      <c r="A111">
        <v>50</v>
      </c>
      <c r="B111">
        <f t="shared" si="172"/>
        <v>0</v>
      </c>
      <c r="F111" s="57" t="e">
        <f t="shared" si="181"/>
        <v>#N/A</v>
      </c>
      <c r="G111" t="str">
        <f t="shared" si="182"/>
        <v/>
      </c>
      <c r="I111" t="e">
        <f>VLOOKUP(F111,'1PROJE'!$B$7:$F$26,2,0)</f>
        <v>#N/A</v>
      </c>
      <c r="J111" t="e">
        <f>VLOOKUP(F111,'1PROJE'!$B$7:$F$26,4,0)</f>
        <v>#N/A</v>
      </c>
      <c r="K111" t="e">
        <f>VLOOKUP(F111,'1PROJE'!$B$7:$F$26,5,0)</f>
        <v>#N/A</v>
      </c>
    </row>
    <row r="112" spans="1:61">
      <c r="A112">
        <v>51</v>
      </c>
      <c r="B112">
        <f t="shared" si="172"/>
        <v>0</v>
      </c>
      <c r="F112" s="57" t="e">
        <f t="shared" si="181"/>
        <v>#N/A</v>
      </c>
      <c r="G112" t="str">
        <f t="shared" si="182"/>
        <v/>
      </c>
      <c r="I112" t="e">
        <f>VLOOKUP(F112,'1PROJE'!$B$7:$F$26,2,0)</f>
        <v>#N/A</v>
      </c>
      <c r="J112" t="e">
        <f>VLOOKUP(F112,'1PROJE'!$B$7:$F$26,4,0)</f>
        <v>#N/A</v>
      </c>
      <c r="K112" t="e">
        <f>VLOOKUP(F112,'1PROJE'!$B$7:$F$26,5,0)</f>
        <v>#N/A</v>
      </c>
    </row>
    <row r="113" spans="1:61">
      <c r="A113">
        <v>52</v>
      </c>
      <c r="B113">
        <f t="shared" si="172"/>
        <v>0</v>
      </c>
      <c r="F113" s="57" t="e">
        <f t="shared" si="181"/>
        <v>#N/A</v>
      </c>
      <c r="G113" t="str">
        <f t="shared" si="182"/>
        <v/>
      </c>
      <c r="I113" t="e">
        <f>VLOOKUP(F113,'1PROJE'!$B$7:$F$26,2,0)</f>
        <v>#N/A</v>
      </c>
      <c r="J113" t="e">
        <f>VLOOKUP(F113,'1PROJE'!$B$7:$F$26,4,0)</f>
        <v>#N/A</v>
      </c>
      <c r="K113" t="e">
        <f>VLOOKUP(F113,'1PROJE'!$B$7:$F$26,5,0)</f>
        <v>#N/A</v>
      </c>
    </row>
    <row r="114" spans="1:61">
      <c r="A114">
        <v>53</v>
      </c>
      <c r="B114">
        <f t="shared" si="172"/>
        <v>0</v>
      </c>
      <c r="F114" s="57" t="e">
        <f t="shared" si="181"/>
        <v>#N/A</v>
      </c>
      <c r="G114" t="str">
        <f t="shared" si="182"/>
        <v/>
      </c>
      <c r="I114" t="e">
        <f>VLOOKUP(F114,'1PROJE'!$B$7:$F$26,2,0)</f>
        <v>#N/A</v>
      </c>
      <c r="J114" t="e">
        <f>VLOOKUP(F114,'1PROJE'!$B$7:$F$26,4,0)</f>
        <v>#N/A</v>
      </c>
      <c r="K114" t="e">
        <f>VLOOKUP(F114,'1PROJE'!$B$7:$F$26,5,0)</f>
        <v>#N/A</v>
      </c>
      <c r="AG114" s="62" t="s">
        <v>399</v>
      </c>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row>
    <row r="115" spans="1:61">
      <c r="A115">
        <v>54</v>
      </c>
      <c r="B115">
        <f t="shared" si="172"/>
        <v>0</v>
      </c>
      <c r="F115" s="57" t="e">
        <f t="shared" si="181"/>
        <v>#N/A</v>
      </c>
      <c r="G115" t="str">
        <f t="shared" si="182"/>
        <v/>
      </c>
      <c r="I115" t="e">
        <f>VLOOKUP(F115,'1PROJE'!$B$7:$F$26,2,0)</f>
        <v>#N/A</v>
      </c>
      <c r="J115" t="e">
        <f>VLOOKUP(F115,'1PROJE'!$B$7:$F$26,4,0)</f>
        <v>#N/A</v>
      </c>
      <c r="K115" t="e">
        <f>VLOOKUP(F115,'1PROJE'!$B$7:$F$26,5,0)</f>
        <v>#N/A</v>
      </c>
    </row>
    <row r="116" spans="1:61">
      <c r="A116">
        <v>55</v>
      </c>
      <c r="B116">
        <f t="shared" si="172"/>
        <v>0</v>
      </c>
      <c r="F116" s="57" t="e">
        <f t="shared" si="181"/>
        <v>#N/A</v>
      </c>
      <c r="G116" t="str">
        <f t="shared" si="182"/>
        <v/>
      </c>
      <c r="I116" t="e">
        <f>VLOOKUP(F116,'1PROJE'!$B$7:$F$26,2,0)</f>
        <v>#N/A</v>
      </c>
      <c r="J116" t="e">
        <f>VLOOKUP(F116,'1PROJE'!$B$7:$F$26,4,0)</f>
        <v>#N/A</v>
      </c>
      <c r="K116" t="e">
        <f>VLOOKUP(F116,'1PROJE'!$B$7:$F$26,5,0)</f>
        <v>#N/A</v>
      </c>
      <c r="AH116" s="37" t="e" cm="1">
        <f t="array" ref="AH116">_xlfn._xlws.FILTER($AH$26:$FH$34,AH34:FH34&gt;0,"")</f>
        <v>#REF!</v>
      </c>
    </row>
    <row r="117" spans="1:61">
      <c r="A117">
        <v>56</v>
      </c>
      <c r="B117">
        <f t="shared" si="172"/>
        <v>0</v>
      </c>
      <c r="F117" s="57" t="e">
        <f t="shared" si="181"/>
        <v>#N/A</v>
      </c>
      <c r="G117" t="str">
        <f t="shared" si="182"/>
        <v/>
      </c>
      <c r="I117" t="e">
        <f>VLOOKUP(F117,'1PROJE'!$B$7:$F$26,2,0)</f>
        <v>#N/A</v>
      </c>
      <c r="J117" t="e">
        <f>VLOOKUP(F117,'1PROJE'!$B$7:$F$26,4,0)</f>
        <v>#N/A</v>
      </c>
      <c r="K117" t="e">
        <f>VLOOKUP(F117,'1PROJE'!$B$7:$F$26,5,0)</f>
        <v>#N/A</v>
      </c>
    </row>
    <row r="118" spans="1:61">
      <c r="A118">
        <v>57</v>
      </c>
      <c r="B118">
        <f t="shared" si="172"/>
        <v>0</v>
      </c>
      <c r="F118" s="57" t="e">
        <f t="shared" si="181"/>
        <v>#N/A</v>
      </c>
      <c r="G118" t="str">
        <f t="shared" si="182"/>
        <v/>
      </c>
      <c r="I118" t="e">
        <f>VLOOKUP(F118,'1PROJE'!$B$7:$F$26,2,0)</f>
        <v>#N/A</v>
      </c>
      <c r="J118" t="e">
        <f>VLOOKUP(F118,'1PROJE'!$B$7:$F$26,4,0)</f>
        <v>#N/A</v>
      </c>
      <c r="K118" t="e">
        <f>VLOOKUP(F118,'1PROJE'!$B$7:$F$26,5,0)</f>
        <v>#N/A</v>
      </c>
    </row>
    <row r="119" spans="1:61">
      <c r="A119">
        <v>58</v>
      </c>
      <c r="B119">
        <f t="shared" si="172"/>
        <v>0</v>
      </c>
      <c r="F119" s="57" t="e">
        <f t="shared" si="181"/>
        <v>#N/A</v>
      </c>
      <c r="G119" t="str">
        <f t="shared" si="182"/>
        <v/>
      </c>
      <c r="I119" t="e">
        <f>VLOOKUP(F119,'1PROJE'!$B$7:$F$26,2,0)</f>
        <v>#N/A</v>
      </c>
      <c r="J119" t="e">
        <f>VLOOKUP(F119,'1PROJE'!$B$7:$F$26,4,0)</f>
        <v>#N/A</v>
      </c>
      <c r="K119" t="e">
        <f>VLOOKUP(F119,'1PROJE'!$B$7:$F$26,5,0)</f>
        <v>#N/A</v>
      </c>
    </row>
    <row r="120" spans="1:61">
      <c r="A120">
        <v>59</v>
      </c>
      <c r="B120">
        <f t="shared" si="172"/>
        <v>0</v>
      </c>
      <c r="F120" s="57" t="e">
        <f t="shared" si="181"/>
        <v>#N/A</v>
      </c>
      <c r="G120" t="str">
        <f t="shared" si="182"/>
        <v/>
      </c>
      <c r="I120" t="e">
        <f>VLOOKUP(F120,'1PROJE'!$B$7:$F$26,2,0)</f>
        <v>#N/A</v>
      </c>
      <c r="J120" t="e">
        <f>VLOOKUP(F120,'1PROJE'!$B$7:$F$26,4,0)</f>
        <v>#N/A</v>
      </c>
      <c r="K120" t="e">
        <f>VLOOKUP(F120,'1PROJE'!$B$7:$F$26,5,0)</f>
        <v>#N/A</v>
      </c>
    </row>
    <row r="121" spans="1:61">
      <c r="A121">
        <v>60</v>
      </c>
      <c r="B121">
        <f t="shared" si="172"/>
        <v>0</v>
      </c>
      <c r="F121" s="57" t="e">
        <f t="shared" si="181"/>
        <v>#N/A</v>
      </c>
      <c r="G121" t="str">
        <f t="shared" si="182"/>
        <v/>
      </c>
      <c r="I121" t="e">
        <f>VLOOKUP(F121,'1PROJE'!$B$7:$F$26,2,0)</f>
        <v>#N/A</v>
      </c>
      <c r="J121" t="e">
        <f>VLOOKUP(F121,'1PROJE'!$B$7:$F$26,4,0)</f>
        <v>#N/A</v>
      </c>
      <c r="K121" t="e">
        <f>VLOOKUP(F121,'1PROJE'!$B$7:$F$26,5,0)</f>
        <v>#N/A</v>
      </c>
    </row>
    <row r="122" spans="1:61">
      <c r="A122">
        <v>61</v>
      </c>
      <c r="B122">
        <f t="shared" si="172"/>
        <v>0</v>
      </c>
      <c r="F122" s="57" t="e">
        <f t="shared" si="181"/>
        <v>#N/A</v>
      </c>
      <c r="G122" t="str">
        <f t="shared" si="182"/>
        <v/>
      </c>
      <c r="I122" t="e">
        <f>VLOOKUP(F122,'1PROJE'!$B$7:$F$26,2,0)</f>
        <v>#N/A</v>
      </c>
      <c r="J122" t="e">
        <f>VLOOKUP(F122,'1PROJE'!$B$7:$F$26,4,0)</f>
        <v>#N/A</v>
      </c>
      <c r="K122" t="e">
        <f>VLOOKUP(F122,'1PROJE'!$B$7:$F$26,5,0)</f>
        <v>#N/A</v>
      </c>
    </row>
    <row r="123" spans="1:61">
      <c r="A123">
        <v>62</v>
      </c>
      <c r="B123">
        <f t="shared" si="172"/>
        <v>0</v>
      </c>
      <c r="F123" s="57" t="e">
        <f t="shared" si="181"/>
        <v>#N/A</v>
      </c>
      <c r="G123" t="str">
        <f t="shared" si="182"/>
        <v/>
      </c>
      <c r="I123" t="e">
        <f>VLOOKUP(F123,'1PROJE'!$B$7:$F$26,2,0)</f>
        <v>#N/A</v>
      </c>
      <c r="J123" t="e">
        <f>VLOOKUP(F123,'1PROJE'!$B$7:$F$26,4,0)</f>
        <v>#N/A</v>
      </c>
      <c r="K123" t="e">
        <f>VLOOKUP(F123,'1PROJE'!$B$7:$F$26,5,0)</f>
        <v>#N/A</v>
      </c>
    </row>
    <row r="124" spans="1:61">
      <c r="A124">
        <v>63</v>
      </c>
      <c r="B124">
        <f t="shared" si="172"/>
        <v>0</v>
      </c>
      <c r="F124" s="57" t="e">
        <f t="shared" si="181"/>
        <v>#N/A</v>
      </c>
      <c r="G124" t="str">
        <f t="shared" si="182"/>
        <v/>
      </c>
      <c r="I124" t="e">
        <f>VLOOKUP(F124,'1PROJE'!$B$7:$F$26,2,0)</f>
        <v>#N/A</v>
      </c>
      <c r="J124" t="e">
        <f>VLOOKUP(F124,'1PROJE'!$B$7:$F$26,4,0)</f>
        <v>#N/A</v>
      </c>
      <c r="K124" t="e">
        <f>VLOOKUP(F124,'1PROJE'!$B$7:$F$26,5,0)</f>
        <v>#N/A</v>
      </c>
      <c r="AG124" s="62" t="s">
        <v>400</v>
      </c>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row>
    <row r="125" spans="1:61">
      <c r="A125">
        <v>64</v>
      </c>
      <c r="B125">
        <f t="shared" si="172"/>
        <v>0</v>
      </c>
      <c r="F125" s="57" t="e">
        <f t="shared" si="181"/>
        <v>#N/A</v>
      </c>
      <c r="G125" t="str">
        <f t="shared" si="182"/>
        <v/>
      </c>
      <c r="I125" t="e">
        <f>VLOOKUP(F125,'1PROJE'!$B$7:$F$26,2,0)</f>
        <v>#N/A</v>
      </c>
      <c r="J125" t="e">
        <f>VLOOKUP(F125,'1PROJE'!$B$7:$F$26,4,0)</f>
        <v>#N/A</v>
      </c>
      <c r="K125" t="e">
        <f>VLOOKUP(F125,'1PROJE'!$B$7:$F$26,5,0)</f>
        <v>#N/A</v>
      </c>
    </row>
    <row r="126" spans="1:61">
      <c r="A126">
        <v>65</v>
      </c>
      <c r="B126">
        <f t="shared" si="172"/>
        <v>0</v>
      </c>
      <c r="F126" s="57" t="e">
        <f t="shared" si="181"/>
        <v>#N/A</v>
      </c>
      <c r="G126" t="str">
        <f t="shared" si="182"/>
        <v/>
      </c>
      <c r="I126" t="e">
        <f>VLOOKUP(F126,'1PROJE'!$B$7:$F$26,2,0)</f>
        <v>#N/A</v>
      </c>
      <c r="J126" t="e">
        <f>VLOOKUP(F126,'1PROJE'!$B$7:$F$26,4,0)</f>
        <v>#N/A</v>
      </c>
      <c r="K126" t="e">
        <f>VLOOKUP(F126,'1PROJE'!$B$7:$F$26,5,0)</f>
        <v>#N/A</v>
      </c>
      <c r="AH126" s="37" t="e" cm="1">
        <f t="array" ref="AH126">_xlfn._xlws.FILTER($AH$26:$FH$35,AH35:FH35&gt;0,"")</f>
        <v>#REF!</v>
      </c>
    </row>
    <row r="127" spans="1:61">
      <c r="A127">
        <v>66</v>
      </c>
      <c r="B127">
        <f t="shared" ref="B127:B161" si="183">IF(($C$27-A127)&lt;0,0,"POZ"&amp;" "&amp;$B$61&amp;"."&amp;A127)</f>
        <v>0</v>
      </c>
      <c r="F127" s="57" t="e">
        <f t="shared" si="181"/>
        <v>#N/A</v>
      </c>
      <c r="G127" t="str">
        <f t="shared" si="182"/>
        <v/>
      </c>
      <c r="I127" t="e">
        <f>VLOOKUP(F127,'1PROJE'!$B$7:$F$26,2,0)</f>
        <v>#N/A</v>
      </c>
      <c r="J127" t="e">
        <f>VLOOKUP(F127,'1PROJE'!$B$7:$F$26,4,0)</f>
        <v>#N/A</v>
      </c>
      <c r="K127" t="e">
        <f>VLOOKUP(F127,'1PROJE'!$B$7:$F$26,5,0)</f>
        <v>#N/A</v>
      </c>
    </row>
    <row r="128" spans="1:61">
      <c r="A128">
        <v>67</v>
      </c>
      <c r="B128">
        <f t="shared" si="183"/>
        <v>0</v>
      </c>
      <c r="F128" s="57" t="e">
        <f t="shared" si="181"/>
        <v>#N/A</v>
      </c>
      <c r="G128" t="str">
        <f t="shared" si="182"/>
        <v/>
      </c>
      <c r="I128" t="e">
        <f>VLOOKUP(F128,'1PROJE'!$B$7:$F$26,2,0)</f>
        <v>#N/A</v>
      </c>
      <c r="J128" t="e">
        <f>VLOOKUP(F128,'1PROJE'!$B$7:$F$26,4,0)</f>
        <v>#N/A</v>
      </c>
      <c r="K128" t="e">
        <f>VLOOKUP(F128,'1PROJE'!$B$7:$F$26,5,0)</f>
        <v>#N/A</v>
      </c>
    </row>
    <row r="129" spans="1:61">
      <c r="A129">
        <v>68</v>
      </c>
      <c r="B129">
        <f t="shared" si="183"/>
        <v>0</v>
      </c>
      <c r="F129" s="57" t="e">
        <f t="shared" si="181"/>
        <v>#N/A</v>
      </c>
      <c r="G129" t="str">
        <f t="shared" si="182"/>
        <v/>
      </c>
      <c r="I129" t="e">
        <f>VLOOKUP(F129,'1PROJE'!$B$7:$F$26,2,0)</f>
        <v>#N/A</v>
      </c>
      <c r="J129" t="e">
        <f>VLOOKUP(F129,'1PROJE'!$B$7:$F$26,4,0)</f>
        <v>#N/A</v>
      </c>
      <c r="K129" t="e">
        <f>VLOOKUP(F129,'1PROJE'!$B$7:$F$26,5,0)</f>
        <v>#N/A</v>
      </c>
    </row>
    <row r="130" spans="1:61">
      <c r="A130">
        <v>69</v>
      </c>
      <c r="B130">
        <f t="shared" si="183"/>
        <v>0</v>
      </c>
      <c r="F130" s="57" t="e">
        <f t="shared" si="181"/>
        <v>#N/A</v>
      </c>
      <c r="G130" t="str">
        <f t="shared" si="182"/>
        <v/>
      </c>
      <c r="I130" t="e">
        <f>VLOOKUP(F130,'1PROJE'!$B$7:$F$26,2,0)</f>
        <v>#N/A</v>
      </c>
      <c r="J130" t="e">
        <f>VLOOKUP(F130,'1PROJE'!$B$7:$F$26,4,0)</f>
        <v>#N/A</v>
      </c>
      <c r="K130" t="e">
        <f>VLOOKUP(F130,'1PROJE'!$B$7:$F$26,5,0)</f>
        <v>#N/A</v>
      </c>
    </row>
    <row r="131" spans="1:61">
      <c r="A131">
        <v>70</v>
      </c>
      <c r="B131">
        <f t="shared" si="183"/>
        <v>0</v>
      </c>
      <c r="F131" s="57" t="e">
        <f t="shared" si="181"/>
        <v>#N/A</v>
      </c>
      <c r="G131" t="str">
        <f t="shared" si="182"/>
        <v/>
      </c>
      <c r="I131" t="e">
        <f>VLOOKUP(F131,'1PROJE'!$B$7:$F$26,2,0)</f>
        <v>#N/A</v>
      </c>
      <c r="J131" t="e">
        <f>VLOOKUP(F131,'1PROJE'!$B$7:$F$26,4,0)</f>
        <v>#N/A</v>
      </c>
      <c r="K131" t="e">
        <f>VLOOKUP(F131,'1PROJE'!$B$7:$F$26,5,0)</f>
        <v>#N/A</v>
      </c>
    </row>
    <row r="132" spans="1:61">
      <c r="A132">
        <v>71</v>
      </c>
      <c r="B132">
        <f t="shared" si="183"/>
        <v>0</v>
      </c>
      <c r="F132" s="57" t="e">
        <f t="shared" si="181"/>
        <v>#N/A</v>
      </c>
      <c r="G132" t="str">
        <f t="shared" si="182"/>
        <v/>
      </c>
      <c r="I132" t="e">
        <f>VLOOKUP(F132,'1PROJE'!$B$7:$F$26,2,0)</f>
        <v>#N/A</v>
      </c>
      <c r="J132" t="e">
        <f>VLOOKUP(F132,'1PROJE'!$B$7:$F$26,4,0)</f>
        <v>#N/A</v>
      </c>
      <c r="K132" t="e">
        <f>VLOOKUP(F132,'1PROJE'!$B$7:$F$26,5,0)</f>
        <v>#N/A</v>
      </c>
    </row>
    <row r="133" spans="1:61">
      <c r="A133">
        <v>72</v>
      </c>
      <c r="B133">
        <f t="shared" si="183"/>
        <v>0</v>
      </c>
      <c r="F133" s="57" t="e">
        <f t="shared" si="181"/>
        <v>#N/A</v>
      </c>
      <c r="G133" t="str">
        <f t="shared" si="182"/>
        <v/>
      </c>
      <c r="I133" t="e">
        <f>VLOOKUP(F133,'1PROJE'!$B$7:$F$26,2,0)</f>
        <v>#N/A</v>
      </c>
      <c r="J133" t="e">
        <f>VLOOKUP(F133,'1PROJE'!$B$7:$F$26,4,0)</f>
        <v>#N/A</v>
      </c>
      <c r="K133" t="e">
        <f>VLOOKUP(F133,'1PROJE'!$B$7:$F$26,5,0)</f>
        <v>#N/A</v>
      </c>
    </row>
    <row r="134" spans="1:61">
      <c r="A134">
        <v>73</v>
      </c>
      <c r="B134">
        <f t="shared" si="183"/>
        <v>0</v>
      </c>
      <c r="F134" s="57" t="e">
        <f t="shared" si="181"/>
        <v>#N/A</v>
      </c>
      <c r="G134" t="str">
        <f t="shared" si="182"/>
        <v/>
      </c>
      <c r="I134" t="e">
        <f>VLOOKUP(F134,'1PROJE'!$B$7:$F$26,2,0)</f>
        <v>#N/A</v>
      </c>
      <c r="J134" t="e">
        <f>VLOOKUP(F134,'1PROJE'!$B$7:$F$26,4,0)</f>
        <v>#N/A</v>
      </c>
      <c r="K134" t="e">
        <f>VLOOKUP(F134,'1PROJE'!$B$7:$F$26,5,0)</f>
        <v>#N/A</v>
      </c>
    </row>
    <row r="135" spans="1:61">
      <c r="A135">
        <v>74</v>
      </c>
      <c r="B135">
        <f t="shared" si="183"/>
        <v>0</v>
      </c>
      <c r="F135" s="57" t="e">
        <f t="shared" si="181"/>
        <v>#N/A</v>
      </c>
      <c r="G135" t="str">
        <f t="shared" si="182"/>
        <v/>
      </c>
      <c r="I135" t="e">
        <f>VLOOKUP(F135,'1PROJE'!$B$7:$F$26,2,0)</f>
        <v>#N/A</v>
      </c>
      <c r="J135" t="e">
        <f>VLOOKUP(F135,'1PROJE'!$B$7:$F$26,4,0)</f>
        <v>#N/A</v>
      </c>
      <c r="K135" t="e">
        <f>VLOOKUP(F135,'1PROJE'!$B$7:$F$26,5,0)</f>
        <v>#N/A</v>
      </c>
      <c r="AG135" s="62" t="s">
        <v>401</v>
      </c>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row>
    <row r="136" spans="1:61">
      <c r="A136">
        <v>75</v>
      </c>
      <c r="B136">
        <f t="shared" si="183"/>
        <v>0</v>
      </c>
      <c r="F136" s="57" t="e">
        <f t="shared" si="181"/>
        <v>#N/A</v>
      </c>
      <c r="G136" t="str">
        <f t="shared" si="182"/>
        <v/>
      </c>
      <c r="I136" t="e">
        <f>VLOOKUP(F136,'1PROJE'!$B$7:$F$26,2,0)</f>
        <v>#N/A</v>
      </c>
      <c r="J136" t="e">
        <f>VLOOKUP(F136,'1PROJE'!$B$7:$F$26,4,0)</f>
        <v>#N/A</v>
      </c>
      <c r="K136" t="e">
        <f>VLOOKUP(F136,'1PROJE'!$B$7:$F$26,5,0)</f>
        <v>#N/A</v>
      </c>
    </row>
    <row r="137" spans="1:61">
      <c r="A137">
        <v>76</v>
      </c>
      <c r="B137">
        <f t="shared" si="183"/>
        <v>0</v>
      </c>
      <c r="F137" s="57" t="e">
        <f t="shared" si="181"/>
        <v>#N/A</v>
      </c>
      <c r="G137" t="str">
        <f t="shared" si="182"/>
        <v/>
      </c>
      <c r="I137" t="e">
        <f>VLOOKUP(F137,'1PROJE'!$B$7:$F$26,2,0)</f>
        <v>#N/A</v>
      </c>
      <c r="J137" t="e">
        <f>VLOOKUP(F137,'1PROJE'!$B$7:$F$26,4,0)</f>
        <v>#N/A</v>
      </c>
      <c r="K137" t="e">
        <f>VLOOKUP(F137,'1PROJE'!$B$7:$F$26,5,0)</f>
        <v>#N/A</v>
      </c>
      <c r="AH137" s="37" t="e" cm="1">
        <f t="array" ref="AH137">_xlfn._xlws.FILTER($AH$26:$FH$36,AH36:FH36&gt;0,"")</f>
        <v>#REF!</v>
      </c>
    </row>
    <row r="138" spans="1:61">
      <c r="A138">
        <v>77</v>
      </c>
      <c r="B138">
        <f t="shared" si="183"/>
        <v>0</v>
      </c>
      <c r="F138" s="57" t="e">
        <f t="shared" si="181"/>
        <v>#N/A</v>
      </c>
      <c r="G138" t="str">
        <f t="shared" si="182"/>
        <v/>
      </c>
      <c r="I138" t="e">
        <f>VLOOKUP(F138,'1PROJE'!$B$7:$F$26,2,0)</f>
        <v>#N/A</v>
      </c>
      <c r="J138" t="e">
        <f>VLOOKUP(F138,'1PROJE'!$B$7:$F$26,4,0)</f>
        <v>#N/A</v>
      </c>
      <c r="K138" t="e">
        <f>VLOOKUP(F138,'1PROJE'!$B$7:$F$26,5,0)</f>
        <v>#N/A</v>
      </c>
    </row>
    <row r="139" spans="1:61">
      <c r="A139">
        <v>78</v>
      </c>
      <c r="B139">
        <f t="shared" si="183"/>
        <v>0</v>
      </c>
      <c r="F139" s="57" t="e">
        <f t="shared" ref="F139:F202" si="184">VLOOKUP(G139,$C$64:$D$83,2,0)</f>
        <v>#N/A</v>
      </c>
      <c r="G139" t="str">
        <f t="shared" ref="G139:G202" si="185">LEFT(H139,6)</f>
        <v/>
      </c>
      <c r="I139" t="e">
        <f>VLOOKUP(F139,'1PROJE'!$B$7:$F$26,2,0)</f>
        <v>#N/A</v>
      </c>
      <c r="J139" t="e">
        <f>VLOOKUP(F139,'1PROJE'!$B$7:$F$26,4,0)</f>
        <v>#N/A</v>
      </c>
      <c r="K139" t="e">
        <f>VLOOKUP(F139,'1PROJE'!$B$7:$F$26,5,0)</f>
        <v>#N/A</v>
      </c>
    </row>
    <row r="140" spans="1:61">
      <c r="A140">
        <v>79</v>
      </c>
      <c r="B140">
        <f t="shared" si="183"/>
        <v>0</v>
      </c>
      <c r="F140" s="57" t="e">
        <f t="shared" si="184"/>
        <v>#N/A</v>
      </c>
      <c r="G140" t="str">
        <f t="shared" si="185"/>
        <v/>
      </c>
      <c r="I140" t="e">
        <f>VLOOKUP(F140,'1PROJE'!$B$7:$F$26,2,0)</f>
        <v>#N/A</v>
      </c>
      <c r="J140" t="e">
        <f>VLOOKUP(F140,'1PROJE'!$B$7:$F$26,4,0)</f>
        <v>#N/A</v>
      </c>
      <c r="K140" t="e">
        <f>VLOOKUP(F140,'1PROJE'!$B$7:$F$26,5,0)</f>
        <v>#N/A</v>
      </c>
    </row>
    <row r="141" spans="1:61">
      <c r="A141">
        <v>80</v>
      </c>
      <c r="B141">
        <f t="shared" si="183"/>
        <v>0</v>
      </c>
      <c r="F141" s="57" t="e">
        <f t="shared" si="184"/>
        <v>#N/A</v>
      </c>
      <c r="G141" t="str">
        <f t="shared" si="185"/>
        <v/>
      </c>
      <c r="I141" t="e">
        <f>VLOOKUP(F141,'1PROJE'!$B$7:$F$26,2,0)</f>
        <v>#N/A</v>
      </c>
      <c r="J141" t="e">
        <f>VLOOKUP(F141,'1PROJE'!$B$7:$F$26,4,0)</f>
        <v>#N/A</v>
      </c>
      <c r="K141" t="e">
        <f>VLOOKUP(F141,'1PROJE'!$B$7:$F$26,5,0)</f>
        <v>#N/A</v>
      </c>
    </row>
    <row r="142" spans="1:61">
      <c r="A142">
        <v>81</v>
      </c>
      <c r="B142">
        <f t="shared" si="183"/>
        <v>0</v>
      </c>
      <c r="F142" s="57" t="e">
        <f t="shared" si="184"/>
        <v>#N/A</v>
      </c>
      <c r="G142" t="str">
        <f t="shared" si="185"/>
        <v/>
      </c>
      <c r="I142" t="e">
        <f>VLOOKUP(F142,'1PROJE'!$B$7:$F$26,2,0)</f>
        <v>#N/A</v>
      </c>
      <c r="J142" t="e">
        <f>VLOOKUP(F142,'1PROJE'!$B$7:$F$26,4,0)</f>
        <v>#N/A</v>
      </c>
      <c r="K142" t="e">
        <f>VLOOKUP(F142,'1PROJE'!$B$7:$F$26,5,0)</f>
        <v>#N/A</v>
      </c>
    </row>
    <row r="143" spans="1:61">
      <c r="A143">
        <v>82</v>
      </c>
      <c r="B143">
        <f t="shared" si="183"/>
        <v>0</v>
      </c>
      <c r="F143" s="57" t="e">
        <f t="shared" si="184"/>
        <v>#N/A</v>
      </c>
      <c r="G143" t="str">
        <f t="shared" si="185"/>
        <v/>
      </c>
      <c r="I143" t="e">
        <f>VLOOKUP(F143,'1PROJE'!$B$7:$F$26,2,0)</f>
        <v>#N/A</v>
      </c>
      <c r="J143" t="e">
        <f>VLOOKUP(F143,'1PROJE'!$B$7:$F$26,4,0)</f>
        <v>#N/A</v>
      </c>
      <c r="K143" t="e">
        <f>VLOOKUP(F143,'1PROJE'!$B$7:$F$26,5,0)</f>
        <v>#N/A</v>
      </c>
    </row>
    <row r="144" spans="1:61">
      <c r="A144">
        <v>83</v>
      </c>
      <c r="B144">
        <f t="shared" si="183"/>
        <v>0</v>
      </c>
      <c r="F144" s="57" t="e">
        <f t="shared" si="184"/>
        <v>#N/A</v>
      </c>
      <c r="G144" t="str">
        <f t="shared" si="185"/>
        <v/>
      </c>
      <c r="I144" t="e">
        <f>VLOOKUP(F144,'1PROJE'!$B$7:$F$26,2,0)</f>
        <v>#N/A</v>
      </c>
      <c r="J144" t="e">
        <f>VLOOKUP(F144,'1PROJE'!$B$7:$F$26,4,0)</f>
        <v>#N/A</v>
      </c>
      <c r="K144" t="e">
        <f>VLOOKUP(F144,'1PROJE'!$B$7:$F$26,5,0)</f>
        <v>#N/A</v>
      </c>
    </row>
    <row r="145" spans="1:61">
      <c r="A145">
        <v>84</v>
      </c>
      <c r="B145">
        <f t="shared" si="183"/>
        <v>0</v>
      </c>
      <c r="F145" s="57" t="e">
        <f t="shared" si="184"/>
        <v>#N/A</v>
      </c>
      <c r="G145" t="str">
        <f t="shared" si="185"/>
        <v/>
      </c>
      <c r="I145" t="e">
        <f>VLOOKUP(F145,'1PROJE'!$B$7:$F$26,2,0)</f>
        <v>#N/A</v>
      </c>
      <c r="J145" t="e">
        <f>VLOOKUP(F145,'1PROJE'!$B$7:$F$26,4,0)</f>
        <v>#N/A</v>
      </c>
      <c r="K145" t="e">
        <f>VLOOKUP(F145,'1PROJE'!$B$7:$F$26,5,0)</f>
        <v>#N/A</v>
      </c>
    </row>
    <row r="146" spans="1:61">
      <c r="A146">
        <v>85</v>
      </c>
      <c r="B146">
        <f t="shared" si="183"/>
        <v>0</v>
      </c>
      <c r="F146" s="57" t="e">
        <f t="shared" si="184"/>
        <v>#N/A</v>
      </c>
      <c r="G146" t="str">
        <f t="shared" si="185"/>
        <v/>
      </c>
      <c r="I146" t="e">
        <f>VLOOKUP(F146,'1PROJE'!$B$7:$F$26,2,0)</f>
        <v>#N/A</v>
      </c>
      <c r="J146" t="e">
        <f>VLOOKUP(F146,'1PROJE'!$B$7:$F$26,4,0)</f>
        <v>#N/A</v>
      </c>
      <c r="K146" t="e">
        <f>VLOOKUP(F146,'1PROJE'!$B$7:$F$26,5,0)</f>
        <v>#N/A</v>
      </c>
    </row>
    <row r="147" spans="1:61">
      <c r="A147">
        <v>86</v>
      </c>
      <c r="B147">
        <f t="shared" si="183"/>
        <v>0</v>
      </c>
      <c r="F147" s="57" t="e">
        <f t="shared" si="184"/>
        <v>#N/A</v>
      </c>
      <c r="G147" t="str">
        <f t="shared" si="185"/>
        <v/>
      </c>
      <c r="I147" t="e">
        <f>VLOOKUP(F147,'1PROJE'!$B$7:$F$26,2,0)</f>
        <v>#N/A</v>
      </c>
      <c r="J147" t="e">
        <f>VLOOKUP(F147,'1PROJE'!$B$7:$F$26,4,0)</f>
        <v>#N/A</v>
      </c>
      <c r="K147" t="e">
        <f>VLOOKUP(F147,'1PROJE'!$B$7:$F$26,5,0)</f>
        <v>#N/A</v>
      </c>
      <c r="AG147" s="62" t="s">
        <v>402</v>
      </c>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row>
    <row r="148" spans="1:61">
      <c r="A148">
        <v>87</v>
      </c>
      <c r="B148">
        <f t="shared" si="183"/>
        <v>0</v>
      </c>
      <c r="F148" s="57" t="e">
        <f t="shared" si="184"/>
        <v>#N/A</v>
      </c>
      <c r="G148" t="str">
        <f t="shared" si="185"/>
        <v/>
      </c>
      <c r="I148" t="e">
        <f>VLOOKUP(F148,'1PROJE'!$B$7:$F$26,2,0)</f>
        <v>#N/A</v>
      </c>
      <c r="J148" t="e">
        <f>VLOOKUP(F148,'1PROJE'!$B$7:$F$26,4,0)</f>
        <v>#N/A</v>
      </c>
      <c r="K148" t="e">
        <f>VLOOKUP(F148,'1PROJE'!$B$7:$F$26,5,0)</f>
        <v>#N/A</v>
      </c>
    </row>
    <row r="149" spans="1:61">
      <c r="A149">
        <v>88</v>
      </c>
      <c r="B149">
        <f t="shared" si="183"/>
        <v>0</v>
      </c>
      <c r="F149" s="57" t="e">
        <f t="shared" si="184"/>
        <v>#N/A</v>
      </c>
      <c r="G149" t="str">
        <f t="shared" si="185"/>
        <v/>
      </c>
      <c r="I149" t="e">
        <f>VLOOKUP(F149,'1PROJE'!$B$7:$F$26,2,0)</f>
        <v>#N/A</v>
      </c>
      <c r="J149" t="e">
        <f>VLOOKUP(F149,'1PROJE'!$B$7:$F$26,4,0)</f>
        <v>#N/A</v>
      </c>
      <c r="K149" t="e">
        <f>VLOOKUP(F149,'1PROJE'!$B$7:$F$26,5,0)</f>
        <v>#N/A</v>
      </c>
      <c r="AH149" s="37" t="e" cm="1">
        <f t="array" ref="AH149">_xlfn._xlws.FILTER($AH$26:$FH$37,AH37:FH37&gt;0,"")</f>
        <v>#REF!</v>
      </c>
    </row>
    <row r="150" spans="1:61">
      <c r="A150">
        <v>89</v>
      </c>
      <c r="B150">
        <f t="shared" si="183"/>
        <v>0</v>
      </c>
      <c r="F150" s="57" t="e">
        <f t="shared" si="184"/>
        <v>#N/A</v>
      </c>
      <c r="G150" t="str">
        <f t="shared" si="185"/>
        <v/>
      </c>
      <c r="I150" t="e">
        <f>VLOOKUP(F150,'1PROJE'!$B$7:$F$26,2,0)</f>
        <v>#N/A</v>
      </c>
      <c r="J150" t="e">
        <f>VLOOKUP(F150,'1PROJE'!$B$7:$F$26,4,0)</f>
        <v>#N/A</v>
      </c>
      <c r="K150" t="e">
        <f>VLOOKUP(F150,'1PROJE'!$B$7:$F$26,5,0)</f>
        <v>#N/A</v>
      </c>
    </row>
    <row r="151" spans="1:61">
      <c r="A151">
        <v>90</v>
      </c>
      <c r="B151">
        <f t="shared" si="183"/>
        <v>0</v>
      </c>
      <c r="F151" s="57" t="e">
        <f t="shared" si="184"/>
        <v>#N/A</v>
      </c>
      <c r="G151" t="str">
        <f t="shared" si="185"/>
        <v/>
      </c>
      <c r="I151" t="e">
        <f>VLOOKUP(F151,'1PROJE'!$B$7:$F$26,2,0)</f>
        <v>#N/A</v>
      </c>
      <c r="J151" t="e">
        <f>VLOOKUP(F151,'1PROJE'!$B$7:$F$26,4,0)</f>
        <v>#N/A</v>
      </c>
      <c r="K151" t="e">
        <f>VLOOKUP(F151,'1PROJE'!$B$7:$F$26,5,0)</f>
        <v>#N/A</v>
      </c>
    </row>
    <row r="152" spans="1:61">
      <c r="A152">
        <v>91</v>
      </c>
      <c r="B152">
        <f t="shared" si="183"/>
        <v>0</v>
      </c>
      <c r="F152" s="57" t="e">
        <f t="shared" si="184"/>
        <v>#N/A</v>
      </c>
      <c r="G152" t="str">
        <f t="shared" si="185"/>
        <v/>
      </c>
      <c r="I152" t="e">
        <f>VLOOKUP(F152,'1PROJE'!$B$7:$F$26,2,0)</f>
        <v>#N/A</v>
      </c>
      <c r="J152" t="e">
        <f>VLOOKUP(F152,'1PROJE'!$B$7:$F$26,4,0)</f>
        <v>#N/A</v>
      </c>
      <c r="K152" t="e">
        <f>VLOOKUP(F152,'1PROJE'!$B$7:$F$26,5,0)</f>
        <v>#N/A</v>
      </c>
    </row>
    <row r="153" spans="1:61">
      <c r="A153">
        <v>92</v>
      </c>
      <c r="B153">
        <f t="shared" si="183"/>
        <v>0</v>
      </c>
      <c r="F153" s="57" t="e">
        <f t="shared" si="184"/>
        <v>#N/A</v>
      </c>
      <c r="G153" t="str">
        <f t="shared" si="185"/>
        <v/>
      </c>
      <c r="I153" t="e">
        <f>VLOOKUP(F153,'1PROJE'!$B$7:$F$26,2,0)</f>
        <v>#N/A</v>
      </c>
      <c r="J153" t="e">
        <f>VLOOKUP(F153,'1PROJE'!$B$7:$F$26,4,0)</f>
        <v>#N/A</v>
      </c>
      <c r="K153" t="e">
        <f>VLOOKUP(F153,'1PROJE'!$B$7:$F$26,5,0)</f>
        <v>#N/A</v>
      </c>
    </row>
    <row r="154" spans="1:61">
      <c r="A154">
        <v>93</v>
      </c>
      <c r="B154">
        <f t="shared" si="183"/>
        <v>0</v>
      </c>
      <c r="F154" s="57" t="e">
        <f t="shared" si="184"/>
        <v>#N/A</v>
      </c>
      <c r="G154" t="str">
        <f t="shared" si="185"/>
        <v/>
      </c>
      <c r="I154" t="e">
        <f>VLOOKUP(F154,'1PROJE'!$B$7:$F$26,2,0)</f>
        <v>#N/A</v>
      </c>
      <c r="J154" t="e">
        <f>VLOOKUP(F154,'1PROJE'!$B$7:$F$26,4,0)</f>
        <v>#N/A</v>
      </c>
      <c r="K154" t="e">
        <f>VLOOKUP(F154,'1PROJE'!$B$7:$F$26,5,0)</f>
        <v>#N/A</v>
      </c>
    </row>
    <row r="155" spans="1:61">
      <c r="A155">
        <v>94</v>
      </c>
      <c r="B155">
        <f t="shared" si="183"/>
        <v>0</v>
      </c>
      <c r="F155" s="57" t="e">
        <f t="shared" si="184"/>
        <v>#N/A</v>
      </c>
      <c r="G155" t="str">
        <f t="shared" si="185"/>
        <v/>
      </c>
      <c r="I155" t="e">
        <f>VLOOKUP(F155,'1PROJE'!$B$7:$F$26,2,0)</f>
        <v>#N/A</v>
      </c>
      <c r="J155" t="e">
        <f>VLOOKUP(F155,'1PROJE'!$B$7:$F$26,4,0)</f>
        <v>#N/A</v>
      </c>
      <c r="K155" t="e">
        <f>VLOOKUP(F155,'1PROJE'!$B$7:$F$26,5,0)</f>
        <v>#N/A</v>
      </c>
    </row>
    <row r="156" spans="1:61">
      <c r="A156">
        <v>95</v>
      </c>
      <c r="B156">
        <f t="shared" si="183"/>
        <v>0</v>
      </c>
      <c r="F156" s="57" t="e">
        <f t="shared" si="184"/>
        <v>#N/A</v>
      </c>
      <c r="G156" t="str">
        <f t="shared" si="185"/>
        <v/>
      </c>
      <c r="I156" t="e">
        <f>VLOOKUP(F156,'1PROJE'!$B$7:$F$26,2,0)</f>
        <v>#N/A</v>
      </c>
      <c r="J156" t="e">
        <f>VLOOKUP(F156,'1PROJE'!$B$7:$F$26,4,0)</f>
        <v>#N/A</v>
      </c>
      <c r="K156" t="e">
        <f>VLOOKUP(F156,'1PROJE'!$B$7:$F$26,5,0)</f>
        <v>#N/A</v>
      </c>
    </row>
    <row r="157" spans="1:61">
      <c r="A157">
        <v>96</v>
      </c>
      <c r="B157">
        <f t="shared" si="183"/>
        <v>0</v>
      </c>
      <c r="F157" s="57" t="e">
        <f t="shared" si="184"/>
        <v>#N/A</v>
      </c>
      <c r="G157" t="str">
        <f t="shared" si="185"/>
        <v/>
      </c>
      <c r="I157" t="e">
        <f>VLOOKUP(F157,'1PROJE'!$B$7:$F$26,2,0)</f>
        <v>#N/A</v>
      </c>
      <c r="J157" t="e">
        <f>VLOOKUP(F157,'1PROJE'!$B$7:$F$26,4,0)</f>
        <v>#N/A</v>
      </c>
      <c r="K157" t="e">
        <f>VLOOKUP(F157,'1PROJE'!$B$7:$F$26,5,0)</f>
        <v>#N/A</v>
      </c>
    </row>
    <row r="158" spans="1:61">
      <c r="A158">
        <v>97</v>
      </c>
      <c r="B158">
        <f t="shared" si="183"/>
        <v>0</v>
      </c>
      <c r="F158" s="57" t="e">
        <f t="shared" si="184"/>
        <v>#N/A</v>
      </c>
      <c r="G158" t="str">
        <f t="shared" si="185"/>
        <v/>
      </c>
      <c r="I158" t="e">
        <f>VLOOKUP(F158,'1PROJE'!$B$7:$F$26,2,0)</f>
        <v>#N/A</v>
      </c>
      <c r="J158" t="e">
        <f>VLOOKUP(F158,'1PROJE'!$B$7:$F$26,4,0)</f>
        <v>#N/A</v>
      </c>
      <c r="K158" t="e">
        <f>VLOOKUP(F158,'1PROJE'!$B$7:$F$26,5,0)</f>
        <v>#N/A</v>
      </c>
    </row>
    <row r="159" spans="1:61">
      <c r="A159">
        <v>98</v>
      </c>
      <c r="B159">
        <f t="shared" si="183"/>
        <v>0</v>
      </c>
      <c r="F159" s="57" t="e">
        <f t="shared" si="184"/>
        <v>#N/A</v>
      </c>
      <c r="G159" t="str">
        <f t="shared" si="185"/>
        <v/>
      </c>
      <c r="I159" t="e">
        <f>VLOOKUP(F159,'1PROJE'!$B$7:$F$26,2,0)</f>
        <v>#N/A</v>
      </c>
      <c r="J159" t="e">
        <f>VLOOKUP(F159,'1PROJE'!$B$7:$F$26,4,0)</f>
        <v>#N/A</v>
      </c>
      <c r="K159" t="e">
        <f>VLOOKUP(F159,'1PROJE'!$B$7:$F$26,5,0)</f>
        <v>#N/A</v>
      </c>
    </row>
    <row r="160" spans="1:61">
      <c r="A160">
        <v>99</v>
      </c>
      <c r="B160">
        <f t="shared" si="183"/>
        <v>0</v>
      </c>
      <c r="F160" s="57" t="e">
        <f t="shared" si="184"/>
        <v>#N/A</v>
      </c>
      <c r="G160" t="str">
        <f t="shared" si="185"/>
        <v/>
      </c>
      <c r="I160" t="e">
        <f>VLOOKUP(F160,'1PROJE'!$B$7:$F$26,2,0)</f>
        <v>#N/A</v>
      </c>
      <c r="J160" t="e">
        <f>VLOOKUP(F160,'1PROJE'!$B$7:$F$26,4,0)</f>
        <v>#N/A</v>
      </c>
      <c r="K160" t="e">
        <f>VLOOKUP(F160,'1PROJE'!$B$7:$F$26,5,0)</f>
        <v>#N/A</v>
      </c>
      <c r="AG160" s="62" t="s">
        <v>403</v>
      </c>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row>
    <row r="161" spans="1:61">
      <c r="A161">
        <v>100</v>
      </c>
      <c r="B161">
        <f t="shared" si="183"/>
        <v>0</v>
      </c>
      <c r="F161" s="57" t="e">
        <f t="shared" si="184"/>
        <v>#N/A</v>
      </c>
      <c r="G161" t="str">
        <f t="shared" si="185"/>
        <v/>
      </c>
      <c r="I161" t="e">
        <f>VLOOKUP(F161,'1PROJE'!$B$7:$F$26,2,0)</f>
        <v>#N/A</v>
      </c>
      <c r="J161" t="e">
        <f>VLOOKUP(F161,'1PROJE'!$B$7:$F$26,4,0)</f>
        <v>#N/A</v>
      </c>
      <c r="K161" t="e">
        <f>VLOOKUP(F161,'1PROJE'!$B$7:$F$26,5,0)</f>
        <v>#N/A</v>
      </c>
    </row>
    <row r="162" spans="1:61">
      <c r="B162">
        <f>IF(C28=0,0,IF(($C$28-A62)=0,"POZ 2.","POZ"&amp;" "&amp;$C$61&amp;"."&amp;A62))</f>
        <v>0</v>
      </c>
      <c r="F162" s="57" t="e">
        <f t="shared" si="184"/>
        <v>#N/A</v>
      </c>
      <c r="G162" t="str">
        <f t="shared" si="185"/>
        <v/>
      </c>
      <c r="I162" t="e">
        <f>VLOOKUP(F162,'1PROJE'!$B$7:$F$26,2,0)</f>
        <v>#N/A</v>
      </c>
      <c r="J162" t="e">
        <f>VLOOKUP(F162,'1PROJE'!$B$7:$F$26,4,0)</f>
        <v>#N/A</v>
      </c>
      <c r="K162" t="e">
        <f>VLOOKUP(F162,'1PROJE'!$B$7:$F$26,5,0)</f>
        <v>#N/A</v>
      </c>
      <c r="AH162" s="37" t="e" cm="1">
        <f t="array" ref="AH162">_xlfn._xlws.FILTER($AH$26:$FH$38,AH38:FH38&gt;0,"")</f>
        <v>#REF!</v>
      </c>
    </row>
    <row r="163" spans="1:61">
      <c r="B163">
        <f t="shared" ref="B163:B194" si="186">IF(($C$28-A63)&lt;0,0,"POZ"&amp;" "&amp;$C$61&amp;"."&amp;A63)</f>
        <v>0</v>
      </c>
      <c r="F163" s="57" t="e">
        <f t="shared" si="184"/>
        <v>#N/A</v>
      </c>
      <c r="G163" t="str">
        <f t="shared" si="185"/>
        <v/>
      </c>
      <c r="I163" t="e">
        <f>VLOOKUP(F163,'1PROJE'!$B$7:$F$26,2,0)</f>
        <v>#N/A</v>
      </c>
      <c r="J163" t="e">
        <f>VLOOKUP(F163,'1PROJE'!$B$7:$F$26,4,0)</f>
        <v>#N/A</v>
      </c>
      <c r="K163" t="e">
        <f>VLOOKUP(F163,'1PROJE'!$B$7:$F$26,5,0)</f>
        <v>#N/A</v>
      </c>
    </row>
    <row r="164" spans="1:61">
      <c r="B164">
        <f t="shared" si="186"/>
        <v>0</v>
      </c>
      <c r="F164" s="57" t="e">
        <f t="shared" si="184"/>
        <v>#N/A</v>
      </c>
      <c r="G164" t="str">
        <f t="shared" si="185"/>
        <v/>
      </c>
      <c r="I164" t="e">
        <f>VLOOKUP(F164,'1PROJE'!$B$7:$F$26,2,0)</f>
        <v>#N/A</v>
      </c>
      <c r="J164" t="e">
        <f>VLOOKUP(F164,'1PROJE'!$B$7:$F$26,4,0)</f>
        <v>#N/A</v>
      </c>
      <c r="K164" t="e">
        <f>VLOOKUP(F164,'1PROJE'!$B$7:$F$26,5,0)</f>
        <v>#N/A</v>
      </c>
    </row>
    <row r="165" spans="1:61">
      <c r="B165">
        <f t="shared" si="186"/>
        <v>0</v>
      </c>
      <c r="F165" s="57" t="e">
        <f t="shared" si="184"/>
        <v>#N/A</v>
      </c>
      <c r="G165" t="str">
        <f t="shared" si="185"/>
        <v/>
      </c>
      <c r="I165" t="e">
        <f>VLOOKUP(F165,'1PROJE'!$B$7:$F$26,2,0)</f>
        <v>#N/A</v>
      </c>
      <c r="J165" t="e">
        <f>VLOOKUP(F165,'1PROJE'!$B$7:$F$26,4,0)</f>
        <v>#N/A</v>
      </c>
      <c r="K165" t="e">
        <f>VLOOKUP(F165,'1PROJE'!$B$7:$F$26,5,0)</f>
        <v>#N/A</v>
      </c>
    </row>
    <row r="166" spans="1:61">
      <c r="B166">
        <f t="shared" si="186"/>
        <v>0</v>
      </c>
      <c r="F166" s="57" t="e">
        <f t="shared" si="184"/>
        <v>#N/A</v>
      </c>
      <c r="G166" t="str">
        <f t="shared" si="185"/>
        <v/>
      </c>
      <c r="I166" t="e">
        <f>VLOOKUP(F166,'1PROJE'!$B$7:$F$26,2,0)</f>
        <v>#N/A</v>
      </c>
      <c r="J166" t="e">
        <f>VLOOKUP(F166,'1PROJE'!$B$7:$F$26,4,0)</f>
        <v>#N/A</v>
      </c>
      <c r="K166" t="e">
        <f>VLOOKUP(F166,'1PROJE'!$B$7:$F$26,5,0)</f>
        <v>#N/A</v>
      </c>
    </row>
    <row r="167" spans="1:61">
      <c r="B167">
        <f t="shared" si="186"/>
        <v>0</v>
      </c>
      <c r="F167" s="57" t="e">
        <f t="shared" si="184"/>
        <v>#N/A</v>
      </c>
      <c r="G167" t="str">
        <f t="shared" si="185"/>
        <v/>
      </c>
      <c r="I167" t="e">
        <f>VLOOKUP(F167,'1PROJE'!$B$7:$F$26,2,0)</f>
        <v>#N/A</v>
      </c>
      <c r="J167" t="e">
        <f>VLOOKUP(F167,'1PROJE'!$B$7:$F$26,4,0)</f>
        <v>#N/A</v>
      </c>
      <c r="K167" t="e">
        <f>VLOOKUP(F167,'1PROJE'!$B$7:$F$26,5,0)</f>
        <v>#N/A</v>
      </c>
    </row>
    <row r="168" spans="1:61">
      <c r="B168">
        <f t="shared" si="186"/>
        <v>0</v>
      </c>
      <c r="F168" s="57" t="e">
        <f t="shared" si="184"/>
        <v>#N/A</v>
      </c>
      <c r="G168" t="str">
        <f t="shared" si="185"/>
        <v/>
      </c>
      <c r="I168" t="e">
        <f>VLOOKUP(F168,'1PROJE'!$B$7:$F$26,2,0)</f>
        <v>#N/A</v>
      </c>
      <c r="J168" t="e">
        <f>VLOOKUP(F168,'1PROJE'!$B$7:$F$26,4,0)</f>
        <v>#N/A</v>
      </c>
      <c r="K168" t="e">
        <f>VLOOKUP(F168,'1PROJE'!$B$7:$F$26,5,0)</f>
        <v>#N/A</v>
      </c>
    </row>
    <row r="169" spans="1:61">
      <c r="B169">
        <f t="shared" si="186"/>
        <v>0</v>
      </c>
      <c r="F169" s="57" t="e">
        <f t="shared" si="184"/>
        <v>#N/A</v>
      </c>
      <c r="G169" t="str">
        <f t="shared" si="185"/>
        <v/>
      </c>
      <c r="I169" t="e">
        <f>VLOOKUP(F169,'1PROJE'!$B$7:$F$26,2,0)</f>
        <v>#N/A</v>
      </c>
      <c r="J169" t="e">
        <f>VLOOKUP(F169,'1PROJE'!$B$7:$F$26,4,0)</f>
        <v>#N/A</v>
      </c>
      <c r="K169" t="e">
        <f>VLOOKUP(F169,'1PROJE'!$B$7:$F$26,5,0)</f>
        <v>#N/A</v>
      </c>
    </row>
    <row r="170" spans="1:61">
      <c r="B170">
        <f t="shared" si="186"/>
        <v>0</v>
      </c>
      <c r="F170" s="57" t="e">
        <f t="shared" si="184"/>
        <v>#N/A</v>
      </c>
      <c r="G170" t="str">
        <f t="shared" si="185"/>
        <v/>
      </c>
      <c r="I170" t="e">
        <f>VLOOKUP(F170,'1PROJE'!$B$7:$F$26,2,0)</f>
        <v>#N/A</v>
      </c>
      <c r="J170" t="e">
        <f>VLOOKUP(F170,'1PROJE'!$B$7:$F$26,4,0)</f>
        <v>#N/A</v>
      </c>
      <c r="K170" t="e">
        <f>VLOOKUP(F170,'1PROJE'!$B$7:$F$26,5,0)</f>
        <v>#N/A</v>
      </c>
    </row>
    <row r="171" spans="1:61">
      <c r="B171">
        <f t="shared" si="186"/>
        <v>0</v>
      </c>
      <c r="F171" s="57" t="e">
        <f t="shared" si="184"/>
        <v>#N/A</v>
      </c>
      <c r="G171" t="str">
        <f t="shared" si="185"/>
        <v/>
      </c>
      <c r="I171" t="e">
        <f>VLOOKUP(F171,'1PROJE'!$B$7:$F$26,2,0)</f>
        <v>#N/A</v>
      </c>
      <c r="J171" t="e">
        <f>VLOOKUP(F171,'1PROJE'!$B$7:$F$26,4,0)</f>
        <v>#N/A</v>
      </c>
      <c r="K171" t="e">
        <f>VLOOKUP(F171,'1PROJE'!$B$7:$F$26,5,0)</f>
        <v>#N/A</v>
      </c>
    </row>
    <row r="172" spans="1:61">
      <c r="B172">
        <f t="shared" si="186"/>
        <v>0</v>
      </c>
      <c r="F172" s="57" t="e">
        <f t="shared" si="184"/>
        <v>#N/A</v>
      </c>
      <c r="G172" t="str">
        <f t="shared" si="185"/>
        <v/>
      </c>
      <c r="I172" t="e">
        <f>VLOOKUP(F172,'1PROJE'!$B$7:$F$26,2,0)</f>
        <v>#N/A</v>
      </c>
      <c r="J172" t="e">
        <f>VLOOKUP(F172,'1PROJE'!$B$7:$F$26,4,0)</f>
        <v>#N/A</v>
      </c>
      <c r="K172" t="e">
        <f>VLOOKUP(F172,'1PROJE'!$B$7:$F$26,5,0)</f>
        <v>#N/A</v>
      </c>
    </row>
    <row r="173" spans="1:61">
      <c r="B173">
        <f t="shared" si="186"/>
        <v>0</v>
      </c>
      <c r="F173" s="57" t="e">
        <f t="shared" si="184"/>
        <v>#N/A</v>
      </c>
      <c r="G173" t="str">
        <f t="shared" si="185"/>
        <v/>
      </c>
      <c r="I173" t="e">
        <f>VLOOKUP(F173,'1PROJE'!$B$7:$F$26,2,0)</f>
        <v>#N/A</v>
      </c>
      <c r="J173" t="e">
        <f>VLOOKUP(F173,'1PROJE'!$B$7:$F$26,4,0)</f>
        <v>#N/A</v>
      </c>
      <c r="K173" t="e">
        <f>VLOOKUP(F173,'1PROJE'!$B$7:$F$26,5,0)</f>
        <v>#N/A</v>
      </c>
    </row>
    <row r="174" spans="1:61">
      <c r="B174">
        <f t="shared" si="186"/>
        <v>0</v>
      </c>
      <c r="F174" s="57" t="e">
        <f t="shared" si="184"/>
        <v>#N/A</v>
      </c>
      <c r="G174" t="str">
        <f t="shared" si="185"/>
        <v/>
      </c>
      <c r="I174" t="e">
        <f>VLOOKUP(F174,'1PROJE'!$B$7:$F$26,2,0)</f>
        <v>#N/A</v>
      </c>
      <c r="J174" t="e">
        <f>VLOOKUP(F174,'1PROJE'!$B$7:$F$26,4,0)</f>
        <v>#N/A</v>
      </c>
      <c r="K174" t="e">
        <f>VLOOKUP(F174,'1PROJE'!$B$7:$F$26,5,0)</f>
        <v>#N/A</v>
      </c>
      <c r="AG174" s="62" t="s">
        <v>404</v>
      </c>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row>
    <row r="175" spans="1:61">
      <c r="B175">
        <f t="shared" si="186"/>
        <v>0</v>
      </c>
      <c r="F175" s="57" t="e">
        <f t="shared" si="184"/>
        <v>#N/A</v>
      </c>
      <c r="G175" t="str">
        <f t="shared" si="185"/>
        <v/>
      </c>
      <c r="I175" t="e">
        <f>VLOOKUP(F175,'1PROJE'!$B$7:$F$26,2,0)</f>
        <v>#N/A</v>
      </c>
      <c r="J175" t="e">
        <f>VLOOKUP(F175,'1PROJE'!$B$7:$F$26,4,0)</f>
        <v>#N/A</v>
      </c>
      <c r="K175" t="e">
        <f>VLOOKUP(F175,'1PROJE'!$B$7:$F$26,5,0)</f>
        <v>#N/A</v>
      </c>
    </row>
    <row r="176" spans="1:61">
      <c r="B176">
        <f t="shared" si="186"/>
        <v>0</v>
      </c>
      <c r="F176" s="57" t="e">
        <f t="shared" si="184"/>
        <v>#N/A</v>
      </c>
      <c r="G176" t="str">
        <f t="shared" si="185"/>
        <v/>
      </c>
      <c r="I176" t="e">
        <f>VLOOKUP(F176,'1PROJE'!$B$7:$F$26,2,0)</f>
        <v>#N/A</v>
      </c>
      <c r="J176" t="e">
        <f>VLOOKUP(F176,'1PROJE'!$B$7:$F$26,4,0)</f>
        <v>#N/A</v>
      </c>
      <c r="K176" t="e">
        <f>VLOOKUP(F176,'1PROJE'!$B$7:$F$26,5,0)</f>
        <v>#N/A</v>
      </c>
      <c r="AH176" s="37" t="e" cm="1">
        <f t="array" ref="AH176">_xlfn._xlws.FILTER($AH$26:$FH$39,AH39:FH39&gt;0,"")</f>
        <v>#REF!</v>
      </c>
    </row>
    <row r="177" spans="2:61">
      <c r="B177">
        <f t="shared" si="186"/>
        <v>0</v>
      </c>
      <c r="F177" s="57" t="e">
        <f t="shared" si="184"/>
        <v>#N/A</v>
      </c>
      <c r="G177" t="str">
        <f t="shared" si="185"/>
        <v/>
      </c>
      <c r="I177" t="e">
        <f>VLOOKUP(F177,'1PROJE'!$B$7:$F$26,2,0)</f>
        <v>#N/A</v>
      </c>
      <c r="J177" t="e">
        <f>VLOOKUP(F177,'1PROJE'!$B$7:$F$26,4,0)</f>
        <v>#N/A</v>
      </c>
      <c r="K177" t="e">
        <f>VLOOKUP(F177,'1PROJE'!$B$7:$F$26,5,0)</f>
        <v>#N/A</v>
      </c>
    </row>
    <row r="178" spans="2:61">
      <c r="B178">
        <f t="shared" si="186"/>
        <v>0</v>
      </c>
      <c r="F178" s="57" t="e">
        <f t="shared" si="184"/>
        <v>#N/A</v>
      </c>
      <c r="G178" t="str">
        <f t="shared" si="185"/>
        <v/>
      </c>
      <c r="I178" t="e">
        <f>VLOOKUP(F178,'1PROJE'!$B$7:$F$26,2,0)</f>
        <v>#N/A</v>
      </c>
      <c r="J178" t="e">
        <f>VLOOKUP(F178,'1PROJE'!$B$7:$F$26,4,0)</f>
        <v>#N/A</v>
      </c>
      <c r="K178" t="e">
        <f>VLOOKUP(F178,'1PROJE'!$B$7:$F$26,5,0)</f>
        <v>#N/A</v>
      </c>
    </row>
    <row r="179" spans="2:61">
      <c r="B179">
        <f t="shared" si="186"/>
        <v>0</v>
      </c>
      <c r="F179" s="57" t="e">
        <f t="shared" si="184"/>
        <v>#N/A</v>
      </c>
      <c r="G179" t="str">
        <f t="shared" si="185"/>
        <v/>
      </c>
      <c r="I179" t="e">
        <f>VLOOKUP(F179,'1PROJE'!$B$7:$F$26,2,0)</f>
        <v>#N/A</v>
      </c>
      <c r="J179" t="e">
        <f>VLOOKUP(F179,'1PROJE'!$B$7:$F$26,4,0)</f>
        <v>#N/A</v>
      </c>
      <c r="K179" t="e">
        <f>VLOOKUP(F179,'1PROJE'!$B$7:$F$26,5,0)</f>
        <v>#N/A</v>
      </c>
    </row>
    <row r="180" spans="2:61">
      <c r="B180">
        <f t="shared" si="186"/>
        <v>0</v>
      </c>
      <c r="F180" s="57" t="e">
        <f t="shared" si="184"/>
        <v>#N/A</v>
      </c>
      <c r="G180" t="str">
        <f t="shared" si="185"/>
        <v/>
      </c>
      <c r="I180" t="e">
        <f>VLOOKUP(F180,'1PROJE'!$B$7:$F$26,2,0)</f>
        <v>#N/A</v>
      </c>
      <c r="J180" t="e">
        <f>VLOOKUP(F180,'1PROJE'!$B$7:$F$26,4,0)</f>
        <v>#N/A</v>
      </c>
      <c r="K180" t="e">
        <f>VLOOKUP(F180,'1PROJE'!$B$7:$F$26,5,0)</f>
        <v>#N/A</v>
      </c>
    </row>
    <row r="181" spans="2:61">
      <c r="B181">
        <f t="shared" si="186"/>
        <v>0</v>
      </c>
      <c r="F181" s="57" t="e">
        <f t="shared" si="184"/>
        <v>#N/A</v>
      </c>
      <c r="G181" t="str">
        <f t="shared" si="185"/>
        <v/>
      </c>
      <c r="I181" t="e">
        <f>VLOOKUP(F181,'1PROJE'!$B$7:$F$26,2,0)</f>
        <v>#N/A</v>
      </c>
      <c r="J181" t="e">
        <f>VLOOKUP(F181,'1PROJE'!$B$7:$F$26,4,0)</f>
        <v>#N/A</v>
      </c>
      <c r="K181" t="e">
        <f>VLOOKUP(F181,'1PROJE'!$B$7:$F$26,5,0)</f>
        <v>#N/A</v>
      </c>
    </row>
    <row r="182" spans="2:61">
      <c r="B182">
        <f t="shared" si="186"/>
        <v>0</v>
      </c>
      <c r="F182" s="57" t="e">
        <f t="shared" si="184"/>
        <v>#N/A</v>
      </c>
      <c r="G182" t="str">
        <f t="shared" si="185"/>
        <v/>
      </c>
      <c r="I182" t="e">
        <f>VLOOKUP(F182,'1PROJE'!$B$7:$F$26,2,0)</f>
        <v>#N/A</v>
      </c>
      <c r="J182" t="e">
        <f>VLOOKUP(F182,'1PROJE'!$B$7:$F$26,4,0)</f>
        <v>#N/A</v>
      </c>
      <c r="K182" t="e">
        <f>VLOOKUP(F182,'1PROJE'!$B$7:$F$26,5,0)</f>
        <v>#N/A</v>
      </c>
    </row>
    <row r="183" spans="2:61">
      <c r="B183">
        <f t="shared" si="186"/>
        <v>0</v>
      </c>
      <c r="F183" s="57" t="e">
        <f t="shared" si="184"/>
        <v>#N/A</v>
      </c>
      <c r="G183" t="str">
        <f t="shared" si="185"/>
        <v/>
      </c>
      <c r="I183" t="e">
        <f>VLOOKUP(F183,'1PROJE'!$B$7:$F$26,2,0)</f>
        <v>#N/A</v>
      </c>
      <c r="J183" t="e">
        <f>VLOOKUP(F183,'1PROJE'!$B$7:$F$26,4,0)</f>
        <v>#N/A</v>
      </c>
      <c r="K183" t="e">
        <f>VLOOKUP(F183,'1PROJE'!$B$7:$F$26,5,0)</f>
        <v>#N/A</v>
      </c>
    </row>
    <row r="184" spans="2:61">
      <c r="B184">
        <f t="shared" si="186"/>
        <v>0</v>
      </c>
      <c r="F184" s="57" t="e">
        <f t="shared" si="184"/>
        <v>#N/A</v>
      </c>
      <c r="G184" t="str">
        <f t="shared" si="185"/>
        <v/>
      </c>
      <c r="I184" t="e">
        <f>VLOOKUP(F184,'1PROJE'!$B$7:$F$26,2,0)</f>
        <v>#N/A</v>
      </c>
      <c r="J184" t="e">
        <f>VLOOKUP(F184,'1PROJE'!$B$7:$F$26,4,0)</f>
        <v>#N/A</v>
      </c>
      <c r="K184" t="e">
        <f>VLOOKUP(F184,'1PROJE'!$B$7:$F$26,5,0)</f>
        <v>#N/A</v>
      </c>
    </row>
    <row r="185" spans="2:61">
      <c r="B185">
        <f t="shared" si="186"/>
        <v>0</v>
      </c>
      <c r="F185" s="57" t="e">
        <f t="shared" si="184"/>
        <v>#N/A</v>
      </c>
      <c r="G185" t="str">
        <f t="shared" si="185"/>
        <v/>
      </c>
      <c r="I185" t="e">
        <f>VLOOKUP(F185,'1PROJE'!$B$7:$F$26,2,0)</f>
        <v>#N/A</v>
      </c>
      <c r="J185" t="e">
        <f>VLOOKUP(F185,'1PROJE'!$B$7:$F$26,4,0)</f>
        <v>#N/A</v>
      </c>
      <c r="K185" t="e">
        <f>VLOOKUP(F185,'1PROJE'!$B$7:$F$26,5,0)</f>
        <v>#N/A</v>
      </c>
    </row>
    <row r="186" spans="2:61">
      <c r="B186">
        <f t="shared" si="186"/>
        <v>0</v>
      </c>
      <c r="F186" s="57" t="e">
        <f t="shared" si="184"/>
        <v>#N/A</v>
      </c>
      <c r="G186" t="str">
        <f t="shared" si="185"/>
        <v/>
      </c>
      <c r="I186" t="e">
        <f>VLOOKUP(F186,'1PROJE'!$B$7:$F$26,2,0)</f>
        <v>#N/A</v>
      </c>
      <c r="J186" t="e">
        <f>VLOOKUP(F186,'1PROJE'!$B$7:$F$26,4,0)</f>
        <v>#N/A</v>
      </c>
      <c r="K186" t="e">
        <f>VLOOKUP(F186,'1PROJE'!$B$7:$F$26,5,0)</f>
        <v>#N/A</v>
      </c>
    </row>
    <row r="187" spans="2:61">
      <c r="B187">
        <f t="shared" si="186"/>
        <v>0</v>
      </c>
      <c r="F187" s="57" t="e">
        <f t="shared" si="184"/>
        <v>#N/A</v>
      </c>
      <c r="G187" t="str">
        <f t="shared" si="185"/>
        <v/>
      </c>
      <c r="I187" t="e">
        <f>VLOOKUP(F187,'1PROJE'!$B$7:$F$26,2,0)</f>
        <v>#N/A</v>
      </c>
      <c r="J187" t="e">
        <f>VLOOKUP(F187,'1PROJE'!$B$7:$F$26,4,0)</f>
        <v>#N/A</v>
      </c>
      <c r="K187" t="e">
        <f>VLOOKUP(F187,'1PROJE'!$B$7:$F$26,5,0)</f>
        <v>#N/A</v>
      </c>
    </row>
    <row r="188" spans="2:61">
      <c r="B188">
        <f t="shared" si="186"/>
        <v>0</v>
      </c>
      <c r="F188" s="57" t="e">
        <f t="shared" si="184"/>
        <v>#N/A</v>
      </c>
      <c r="G188" t="str">
        <f t="shared" si="185"/>
        <v/>
      </c>
      <c r="I188" t="e">
        <f>VLOOKUP(F188,'1PROJE'!$B$7:$F$26,2,0)</f>
        <v>#N/A</v>
      </c>
      <c r="J188" t="e">
        <f>VLOOKUP(F188,'1PROJE'!$B$7:$F$26,4,0)</f>
        <v>#N/A</v>
      </c>
      <c r="K188" t="e">
        <f>VLOOKUP(F188,'1PROJE'!$B$7:$F$26,5,0)</f>
        <v>#N/A</v>
      </c>
    </row>
    <row r="189" spans="2:61">
      <c r="B189">
        <f t="shared" si="186"/>
        <v>0</v>
      </c>
      <c r="F189" s="57" t="e">
        <f t="shared" si="184"/>
        <v>#N/A</v>
      </c>
      <c r="G189" t="str">
        <f t="shared" si="185"/>
        <v/>
      </c>
      <c r="I189" t="e">
        <f>VLOOKUP(F189,'1PROJE'!$B$7:$F$26,2,0)</f>
        <v>#N/A</v>
      </c>
      <c r="J189" t="e">
        <f>VLOOKUP(F189,'1PROJE'!$B$7:$F$26,4,0)</f>
        <v>#N/A</v>
      </c>
      <c r="K189" t="e">
        <f>VLOOKUP(F189,'1PROJE'!$B$7:$F$26,5,0)</f>
        <v>#N/A</v>
      </c>
      <c r="AG189" s="62" t="s">
        <v>405</v>
      </c>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row>
    <row r="190" spans="2:61">
      <c r="B190">
        <f t="shared" si="186"/>
        <v>0</v>
      </c>
      <c r="F190" s="57" t="e">
        <f t="shared" si="184"/>
        <v>#N/A</v>
      </c>
      <c r="G190" t="str">
        <f t="shared" si="185"/>
        <v/>
      </c>
      <c r="I190" t="e">
        <f>VLOOKUP(F190,'1PROJE'!$B$7:$F$26,2,0)</f>
        <v>#N/A</v>
      </c>
      <c r="J190" t="e">
        <f>VLOOKUP(F190,'1PROJE'!$B$7:$F$26,4,0)</f>
        <v>#N/A</v>
      </c>
      <c r="K190" t="e">
        <f>VLOOKUP(F190,'1PROJE'!$B$7:$F$26,5,0)</f>
        <v>#N/A</v>
      </c>
    </row>
    <row r="191" spans="2:61">
      <c r="B191">
        <f t="shared" si="186"/>
        <v>0</v>
      </c>
      <c r="F191" s="57" t="e">
        <f t="shared" si="184"/>
        <v>#N/A</v>
      </c>
      <c r="G191" t="str">
        <f t="shared" si="185"/>
        <v/>
      </c>
      <c r="I191" t="e">
        <f>VLOOKUP(F191,'1PROJE'!$B$7:$F$26,2,0)</f>
        <v>#N/A</v>
      </c>
      <c r="J191" t="e">
        <f>VLOOKUP(F191,'1PROJE'!$B$7:$F$26,4,0)</f>
        <v>#N/A</v>
      </c>
      <c r="K191" t="e">
        <f>VLOOKUP(F191,'1PROJE'!$B$7:$F$26,5,0)</f>
        <v>#N/A</v>
      </c>
      <c r="AH191" s="37" t="e" cm="1">
        <f t="array" ref="AH191">_xlfn._xlws.FILTER($AH$26:$FH$40,AH40:FH40&gt;0,"")</f>
        <v>#REF!</v>
      </c>
    </row>
    <row r="192" spans="2:61">
      <c r="B192">
        <f t="shared" si="186"/>
        <v>0</v>
      </c>
      <c r="F192" s="57" t="e">
        <f t="shared" si="184"/>
        <v>#N/A</v>
      </c>
      <c r="G192" t="str">
        <f t="shared" si="185"/>
        <v/>
      </c>
      <c r="I192" t="e">
        <f>VLOOKUP(F192,'1PROJE'!$B$7:$F$26,2,0)</f>
        <v>#N/A</v>
      </c>
      <c r="J192" t="e">
        <f>VLOOKUP(F192,'1PROJE'!$B$7:$F$26,4,0)</f>
        <v>#N/A</v>
      </c>
      <c r="K192" t="e">
        <f>VLOOKUP(F192,'1PROJE'!$B$7:$F$26,5,0)</f>
        <v>#N/A</v>
      </c>
    </row>
    <row r="193" spans="2:61">
      <c r="B193">
        <f t="shared" si="186"/>
        <v>0</v>
      </c>
      <c r="F193" s="57" t="e">
        <f t="shared" si="184"/>
        <v>#N/A</v>
      </c>
      <c r="G193" t="str">
        <f t="shared" si="185"/>
        <v/>
      </c>
      <c r="I193" t="e">
        <f>VLOOKUP(F193,'1PROJE'!$B$7:$F$26,2,0)</f>
        <v>#N/A</v>
      </c>
      <c r="J193" t="e">
        <f>VLOOKUP(F193,'1PROJE'!$B$7:$F$26,4,0)</f>
        <v>#N/A</v>
      </c>
      <c r="K193" t="e">
        <f>VLOOKUP(F193,'1PROJE'!$B$7:$F$26,5,0)</f>
        <v>#N/A</v>
      </c>
    </row>
    <row r="194" spans="2:61">
      <c r="B194">
        <f t="shared" si="186"/>
        <v>0</v>
      </c>
      <c r="F194" s="57" t="e">
        <f t="shared" si="184"/>
        <v>#N/A</v>
      </c>
      <c r="G194" t="str">
        <f t="shared" si="185"/>
        <v/>
      </c>
      <c r="I194" t="e">
        <f>VLOOKUP(F194,'1PROJE'!$B$7:$F$26,2,0)</f>
        <v>#N/A</v>
      </c>
      <c r="J194" t="e">
        <f>VLOOKUP(F194,'1PROJE'!$B$7:$F$26,4,0)</f>
        <v>#N/A</v>
      </c>
      <c r="K194" t="e">
        <f>VLOOKUP(F194,'1PROJE'!$B$7:$F$26,5,0)</f>
        <v>#N/A</v>
      </c>
    </row>
    <row r="195" spans="2:61">
      <c r="B195">
        <f t="shared" ref="B195:B226" si="187">IF(($C$28-A95)&lt;0,0,"POZ"&amp;" "&amp;$C$61&amp;"."&amp;A95)</f>
        <v>0</v>
      </c>
      <c r="F195" s="57" t="e">
        <f t="shared" si="184"/>
        <v>#N/A</v>
      </c>
      <c r="G195" t="str">
        <f t="shared" si="185"/>
        <v/>
      </c>
      <c r="I195" t="e">
        <f>VLOOKUP(F195,'1PROJE'!$B$7:$F$26,2,0)</f>
        <v>#N/A</v>
      </c>
      <c r="J195" t="e">
        <f>VLOOKUP(F195,'1PROJE'!$B$7:$F$26,4,0)</f>
        <v>#N/A</v>
      </c>
      <c r="K195" t="e">
        <f>VLOOKUP(F195,'1PROJE'!$B$7:$F$26,5,0)</f>
        <v>#N/A</v>
      </c>
    </row>
    <row r="196" spans="2:61">
      <c r="B196">
        <f t="shared" si="187"/>
        <v>0</v>
      </c>
      <c r="F196" s="57" t="e">
        <f t="shared" si="184"/>
        <v>#N/A</v>
      </c>
      <c r="G196" t="str">
        <f t="shared" si="185"/>
        <v/>
      </c>
      <c r="I196" t="e">
        <f>VLOOKUP(F196,'1PROJE'!$B$7:$F$26,2,0)</f>
        <v>#N/A</v>
      </c>
      <c r="J196" t="e">
        <f>VLOOKUP(F196,'1PROJE'!$B$7:$F$26,4,0)</f>
        <v>#N/A</v>
      </c>
      <c r="K196" t="e">
        <f>VLOOKUP(F196,'1PROJE'!$B$7:$F$26,5,0)</f>
        <v>#N/A</v>
      </c>
    </row>
    <row r="197" spans="2:61">
      <c r="B197">
        <f t="shared" si="187"/>
        <v>0</v>
      </c>
      <c r="F197" s="57" t="e">
        <f t="shared" si="184"/>
        <v>#N/A</v>
      </c>
      <c r="G197" t="str">
        <f t="shared" si="185"/>
        <v/>
      </c>
      <c r="I197" t="e">
        <f>VLOOKUP(F197,'1PROJE'!$B$7:$F$26,2,0)</f>
        <v>#N/A</v>
      </c>
      <c r="J197" t="e">
        <f>VLOOKUP(F197,'1PROJE'!$B$7:$F$26,4,0)</f>
        <v>#N/A</v>
      </c>
      <c r="K197" t="e">
        <f>VLOOKUP(F197,'1PROJE'!$B$7:$F$26,5,0)</f>
        <v>#N/A</v>
      </c>
    </row>
    <row r="198" spans="2:61">
      <c r="B198">
        <f t="shared" si="187"/>
        <v>0</v>
      </c>
      <c r="F198" s="57" t="e">
        <f t="shared" si="184"/>
        <v>#N/A</v>
      </c>
      <c r="G198" t="str">
        <f t="shared" si="185"/>
        <v/>
      </c>
      <c r="I198" t="e">
        <f>VLOOKUP(F198,'1PROJE'!$B$7:$F$26,2,0)</f>
        <v>#N/A</v>
      </c>
      <c r="J198" t="e">
        <f>VLOOKUP(F198,'1PROJE'!$B$7:$F$26,4,0)</f>
        <v>#N/A</v>
      </c>
      <c r="K198" t="e">
        <f>VLOOKUP(F198,'1PROJE'!$B$7:$F$26,5,0)</f>
        <v>#N/A</v>
      </c>
    </row>
    <row r="199" spans="2:61">
      <c r="B199">
        <f t="shared" si="187"/>
        <v>0</v>
      </c>
      <c r="F199" s="57" t="e">
        <f t="shared" si="184"/>
        <v>#N/A</v>
      </c>
      <c r="G199" t="str">
        <f t="shared" si="185"/>
        <v/>
      </c>
      <c r="I199" t="e">
        <f>VLOOKUP(F199,'1PROJE'!$B$7:$F$26,2,0)</f>
        <v>#N/A</v>
      </c>
      <c r="J199" t="e">
        <f>VLOOKUP(F199,'1PROJE'!$B$7:$F$26,4,0)</f>
        <v>#N/A</v>
      </c>
      <c r="K199" t="e">
        <f>VLOOKUP(F199,'1PROJE'!$B$7:$F$26,5,0)</f>
        <v>#N/A</v>
      </c>
    </row>
    <row r="200" spans="2:61">
      <c r="B200">
        <f t="shared" si="187"/>
        <v>0</v>
      </c>
      <c r="F200" s="57" t="e">
        <f t="shared" si="184"/>
        <v>#N/A</v>
      </c>
      <c r="G200" t="str">
        <f t="shared" si="185"/>
        <v/>
      </c>
      <c r="I200" t="e">
        <f>VLOOKUP(F200,'1PROJE'!$B$7:$F$26,2,0)</f>
        <v>#N/A</v>
      </c>
      <c r="J200" t="e">
        <f>VLOOKUP(F200,'1PROJE'!$B$7:$F$26,4,0)</f>
        <v>#N/A</v>
      </c>
      <c r="K200" t="e">
        <f>VLOOKUP(F200,'1PROJE'!$B$7:$F$26,5,0)</f>
        <v>#N/A</v>
      </c>
    </row>
    <row r="201" spans="2:61">
      <c r="B201">
        <f t="shared" si="187"/>
        <v>0</v>
      </c>
      <c r="F201" s="57" t="e">
        <f t="shared" si="184"/>
        <v>#N/A</v>
      </c>
      <c r="G201" t="str">
        <f t="shared" si="185"/>
        <v/>
      </c>
      <c r="I201" t="e">
        <f>VLOOKUP(F201,'1PROJE'!$B$7:$F$26,2,0)</f>
        <v>#N/A</v>
      </c>
      <c r="J201" t="e">
        <f>VLOOKUP(F201,'1PROJE'!$B$7:$F$26,4,0)</f>
        <v>#N/A</v>
      </c>
      <c r="K201" t="e">
        <f>VLOOKUP(F201,'1PROJE'!$B$7:$F$26,5,0)</f>
        <v>#N/A</v>
      </c>
    </row>
    <row r="202" spans="2:61">
      <c r="B202">
        <f t="shared" si="187"/>
        <v>0</v>
      </c>
      <c r="F202" s="57" t="e">
        <f t="shared" si="184"/>
        <v>#N/A</v>
      </c>
      <c r="G202" t="str">
        <f t="shared" si="185"/>
        <v/>
      </c>
      <c r="I202" t="e">
        <f>VLOOKUP(F202,'1PROJE'!$B$7:$F$26,2,0)</f>
        <v>#N/A</v>
      </c>
      <c r="J202" t="e">
        <f>VLOOKUP(F202,'1PROJE'!$B$7:$F$26,4,0)</f>
        <v>#N/A</v>
      </c>
      <c r="K202" t="e">
        <f>VLOOKUP(F202,'1PROJE'!$B$7:$F$26,5,0)</f>
        <v>#N/A</v>
      </c>
    </row>
    <row r="203" spans="2:61">
      <c r="B203">
        <f t="shared" si="187"/>
        <v>0</v>
      </c>
      <c r="F203" s="57" t="e">
        <f t="shared" ref="F203:F266" si="188">VLOOKUP(G203,$C$64:$D$83,2,0)</f>
        <v>#N/A</v>
      </c>
      <c r="G203" t="str">
        <f t="shared" ref="G203:G266" si="189">LEFT(H203,6)</f>
        <v/>
      </c>
      <c r="I203" t="e">
        <f>VLOOKUP(F203,'1PROJE'!$B$7:$F$26,2,0)</f>
        <v>#N/A</v>
      </c>
      <c r="J203" t="e">
        <f>VLOOKUP(F203,'1PROJE'!$B$7:$F$26,4,0)</f>
        <v>#N/A</v>
      </c>
      <c r="K203" t="e">
        <f>VLOOKUP(F203,'1PROJE'!$B$7:$F$26,5,0)</f>
        <v>#N/A</v>
      </c>
    </row>
    <row r="204" spans="2:61">
      <c r="B204">
        <f t="shared" si="187"/>
        <v>0</v>
      </c>
      <c r="F204" s="57" t="e">
        <f t="shared" si="188"/>
        <v>#N/A</v>
      </c>
      <c r="G204" t="str">
        <f t="shared" si="189"/>
        <v/>
      </c>
      <c r="I204" t="e">
        <f>VLOOKUP(F204,'1PROJE'!$B$7:$F$26,2,0)</f>
        <v>#N/A</v>
      </c>
      <c r="J204" t="e">
        <f>VLOOKUP(F204,'1PROJE'!$B$7:$F$26,4,0)</f>
        <v>#N/A</v>
      </c>
      <c r="K204" t="e">
        <f>VLOOKUP(F204,'1PROJE'!$B$7:$F$26,5,0)</f>
        <v>#N/A</v>
      </c>
    </row>
    <row r="205" spans="2:61">
      <c r="B205">
        <f t="shared" si="187"/>
        <v>0</v>
      </c>
      <c r="F205" s="57" t="e">
        <f t="shared" si="188"/>
        <v>#N/A</v>
      </c>
      <c r="G205" t="str">
        <f t="shared" si="189"/>
        <v/>
      </c>
      <c r="I205" t="e">
        <f>VLOOKUP(F205,'1PROJE'!$B$7:$F$26,2,0)</f>
        <v>#N/A</v>
      </c>
      <c r="J205" t="e">
        <f>VLOOKUP(F205,'1PROJE'!$B$7:$F$26,4,0)</f>
        <v>#N/A</v>
      </c>
      <c r="K205" t="e">
        <f>VLOOKUP(F205,'1PROJE'!$B$7:$F$26,5,0)</f>
        <v>#N/A</v>
      </c>
      <c r="AG205" s="62" t="s">
        <v>406</v>
      </c>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row>
    <row r="206" spans="2:61">
      <c r="B206">
        <f t="shared" si="187"/>
        <v>0</v>
      </c>
      <c r="F206" s="57" t="e">
        <f t="shared" si="188"/>
        <v>#N/A</v>
      </c>
      <c r="G206" t="str">
        <f t="shared" si="189"/>
        <v/>
      </c>
      <c r="I206" t="e">
        <f>VLOOKUP(F206,'1PROJE'!$B$7:$F$26,2,0)</f>
        <v>#N/A</v>
      </c>
      <c r="J206" t="e">
        <f>VLOOKUP(F206,'1PROJE'!$B$7:$F$26,4,0)</f>
        <v>#N/A</v>
      </c>
      <c r="K206" t="e">
        <f>VLOOKUP(F206,'1PROJE'!$B$7:$F$26,5,0)</f>
        <v>#N/A</v>
      </c>
    </row>
    <row r="207" spans="2:61">
      <c r="B207">
        <f t="shared" si="187"/>
        <v>0</v>
      </c>
      <c r="F207" s="57" t="e">
        <f t="shared" si="188"/>
        <v>#N/A</v>
      </c>
      <c r="G207" t="str">
        <f t="shared" si="189"/>
        <v/>
      </c>
      <c r="I207" t="e">
        <f>VLOOKUP(F207,'1PROJE'!$B$7:$F$26,2,0)</f>
        <v>#N/A</v>
      </c>
      <c r="J207" t="e">
        <f>VLOOKUP(F207,'1PROJE'!$B$7:$F$26,4,0)</f>
        <v>#N/A</v>
      </c>
      <c r="K207" t="e">
        <f>VLOOKUP(F207,'1PROJE'!$B$7:$F$26,5,0)</f>
        <v>#N/A</v>
      </c>
      <c r="AH207" s="37" t="e" cm="1">
        <f t="array" ref="AH207">_xlfn._xlws.FILTER($AH$26:$FH$41,AH41:FH41&gt;0,"")</f>
        <v>#REF!</v>
      </c>
    </row>
    <row r="208" spans="2:61">
      <c r="B208">
        <f t="shared" si="187"/>
        <v>0</v>
      </c>
      <c r="F208" s="57" t="e">
        <f t="shared" si="188"/>
        <v>#N/A</v>
      </c>
      <c r="G208" t="str">
        <f t="shared" si="189"/>
        <v/>
      </c>
      <c r="I208" t="e">
        <f>VLOOKUP(F208,'1PROJE'!$B$7:$F$26,2,0)</f>
        <v>#N/A</v>
      </c>
      <c r="J208" t="e">
        <f>VLOOKUP(F208,'1PROJE'!$B$7:$F$26,4,0)</f>
        <v>#N/A</v>
      </c>
      <c r="K208" t="e">
        <f>VLOOKUP(F208,'1PROJE'!$B$7:$F$26,5,0)</f>
        <v>#N/A</v>
      </c>
    </row>
    <row r="209" spans="2:61">
      <c r="B209">
        <f t="shared" si="187"/>
        <v>0</v>
      </c>
      <c r="F209" s="57" t="e">
        <f t="shared" si="188"/>
        <v>#N/A</v>
      </c>
      <c r="G209" t="str">
        <f t="shared" si="189"/>
        <v/>
      </c>
      <c r="I209" t="e">
        <f>VLOOKUP(F209,'1PROJE'!$B$7:$F$26,2,0)</f>
        <v>#N/A</v>
      </c>
      <c r="J209" t="e">
        <f>VLOOKUP(F209,'1PROJE'!$B$7:$F$26,4,0)</f>
        <v>#N/A</v>
      </c>
      <c r="K209" t="e">
        <f>VLOOKUP(F209,'1PROJE'!$B$7:$F$26,5,0)</f>
        <v>#N/A</v>
      </c>
    </row>
    <row r="210" spans="2:61">
      <c r="B210">
        <f t="shared" si="187"/>
        <v>0</v>
      </c>
      <c r="F210" s="57" t="e">
        <f t="shared" si="188"/>
        <v>#N/A</v>
      </c>
      <c r="G210" t="str">
        <f t="shared" si="189"/>
        <v/>
      </c>
      <c r="I210" t="e">
        <f>VLOOKUP(F210,'1PROJE'!$B$7:$F$26,2,0)</f>
        <v>#N/A</v>
      </c>
      <c r="J210" t="e">
        <f>VLOOKUP(F210,'1PROJE'!$B$7:$F$26,4,0)</f>
        <v>#N/A</v>
      </c>
      <c r="K210" t="e">
        <f>VLOOKUP(F210,'1PROJE'!$B$7:$F$26,5,0)</f>
        <v>#N/A</v>
      </c>
    </row>
    <row r="211" spans="2:61">
      <c r="B211">
        <f t="shared" si="187"/>
        <v>0</v>
      </c>
      <c r="F211" s="57" t="e">
        <f t="shared" si="188"/>
        <v>#N/A</v>
      </c>
      <c r="G211" t="str">
        <f t="shared" si="189"/>
        <v/>
      </c>
      <c r="I211" t="e">
        <f>VLOOKUP(F211,'1PROJE'!$B$7:$F$26,2,0)</f>
        <v>#N/A</v>
      </c>
      <c r="J211" t="e">
        <f>VLOOKUP(F211,'1PROJE'!$B$7:$F$26,4,0)</f>
        <v>#N/A</v>
      </c>
      <c r="K211" t="e">
        <f>VLOOKUP(F211,'1PROJE'!$B$7:$F$26,5,0)</f>
        <v>#N/A</v>
      </c>
    </row>
    <row r="212" spans="2:61">
      <c r="B212">
        <f t="shared" si="187"/>
        <v>0</v>
      </c>
      <c r="F212" s="57" t="e">
        <f t="shared" si="188"/>
        <v>#N/A</v>
      </c>
      <c r="G212" t="str">
        <f t="shared" si="189"/>
        <v/>
      </c>
      <c r="I212" t="e">
        <f>VLOOKUP(F212,'1PROJE'!$B$7:$F$26,2,0)</f>
        <v>#N/A</v>
      </c>
      <c r="J212" t="e">
        <f>VLOOKUP(F212,'1PROJE'!$B$7:$F$26,4,0)</f>
        <v>#N/A</v>
      </c>
      <c r="K212" t="e">
        <f>VLOOKUP(F212,'1PROJE'!$B$7:$F$26,5,0)</f>
        <v>#N/A</v>
      </c>
    </row>
    <row r="213" spans="2:61">
      <c r="B213">
        <f t="shared" si="187"/>
        <v>0</v>
      </c>
      <c r="F213" s="57" t="e">
        <f t="shared" si="188"/>
        <v>#N/A</v>
      </c>
      <c r="G213" t="str">
        <f t="shared" si="189"/>
        <v/>
      </c>
      <c r="I213" t="e">
        <f>VLOOKUP(F213,'1PROJE'!$B$7:$F$26,2,0)</f>
        <v>#N/A</v>
      </c>
      <c r="J213" t="e">
        <f>VLOOKUP(F213,'1PROJE'!$B$7:$F$26,4,0)</f>
        <v>#N/A</v>
      </c>
      <c r="K213" t="e">
        <f>VLOOKUP(F213,'1PROJE'!$B$7:$F$26,5,0)</f>
        <v>#N/A</v>
      </c>
    </row>
    <row r="214" spans="2:61">
      <c r="B214">
        <f t="shared" si="187"/>
        <v>0</v>
      </c>
      <c r="F214" s="57" t="e">
        <f t="shared" si="188"/>
        <v>#N/A</v>
      </c>
      <c r="G214" t="str">
        <f t="shared" si="189"/>
        <v/>
      </c>
      <c r="I214" t="e">
        <f>VLOOKUP(F214,'1PROJE'!$B$7:$F$26,2,0)</f>
        <v>#N/A</v>
      </c>
      <c r="J214" t="e">
        <f>VLOOKUP(F214,'1PROJE'!$B$7:$F$26,4,0)</f>
        <v>#N/A</v>
      </c>
      <c r="K214" t="e">
        <f>VLOOKUP(F214,'1PROJE'!$B$7:$F$26,5,0)</f>
        <v>#N/A</v>
      </c>
    </row>
    <row r="215" spans="2:61">
      <c r="B215">
        <f t="shared" si="187"/>
        <v>0</v>
      </c>
      <c r="F215" s="57" t="e">
        <f t="shared" si="188"/>
        <v>#N/A</v>
      </c>
      <c r="G215" t="str">
        <f t="shared" si="189"/>
        <v/>
      </c>
      <c r="I215" t="e">
        <f>VLOOKUP(F215,'1PROJE'!$B$7:$F$26,2,0)</f>
        <v>#N/A</v>
      </c>
      <c r="J215" t="e">
        <f>VLOOKUP(F215,'1PROJE'!$B$7:$F$26,4,0)</f>
        <v>#N/A</v>
      </c>
      <c r="K215" t="e">
        <f>VLOOKUP(F215,'1PROJE'!$B$7:$F$26,5,0)</f>
        <v>#N/A</v>
      </c>
    </row>
    <row r="216" spans="2:61">
      <c r="B216">
        <f t="shared" si="187"/>
        <v>0</v>
      </c>
      <c r="F216" s="57" t="e">
        <f t="shared" si="188"/>
        <v>#N/A</v>
      </c>
      <c r="G216" t="str">
        <f t="shared" si="189"/>
        <v/>
      </c>
      <c r="I216" t="e">
        <f>VLOOKUP(F216,'1PROJE'!$B$7:$F$26,2,0)</f>
        <v>#N/A</v>
      </c>
      <c r="J216" t="e">
        <f>VLOOKUP(F216,'1PROJE'!$B$7:$F$26,4,0)</f>
        <v>#N/A</v>
      </c>
      <c r="K216" t="e">
        <f>VLOOKUP(F216,'1PROJE'!$B$7:$F$26,5,0)</f>
        <v>#N/A</v>
      </c>
    </row>
    <row r="217" spans="2:61">
      <c r="B217">
        <f t="shared" si="187"/>
        <v>0</v>
      </c>
      <c r="F217" s="57" t="e">
        <f t="shared" si="188"/>
        <v>#N/A</v>
      </c>
      <c r="G217" t="str">
        <f t="shared" si="189"/>
        <v/>
      </c>
      <c r="I217" t="e">
        <f>VLOOKUP(F217,'1PROJE'!$B$7:$F$26,2,0)</f>
        <v>#N/A</v>
      </c>
      <c r="J217" t="e">
        <f>VLOOKUP(F217,'1PROJE'!$B$7:$F$26,4,0)</f>
        <v>#N/A</v>
      </c>
      <c r="K217" t="e">
        <f>VLOOKUP(F217,'1PROJE'!$B$7:$F$26,5,0)</f>
        <v>#N/A</v>
      </c>
    </row>
    <row r="218" spans="2:61">
      <c r="B218">
        <f t="shared" si="187"/>
        <v>0</v>
      </c>
      <c r="F218" s="57" t="e">
        <f t="shared" si="188"/>
        <v>#N/A</v>
      </c>
      <c r="G218" t="str">
        <f t="shared" si="189"/>
        <v/>
      </c>
      <c r="I218" t="e">
        <f>VLOOKUP(F218,'1PROJE'!$B$7:$F$26,2,0)</f>
        <v>#N/A</v>
      </c>
      <c r="J218" t="e">
        <f>VLOOKUP(F218,'1PROJE'!$B$7:$F$26,4,0)</f>
        <v>#N/A</v>
      </c>
      <c r="K218" t="e">
        <f>VLOOKUP(F218,'1PROJE'!$B$7:$F$26,5,0)</f>
        <v>#N/A</v>
      </c>
    </row>
    <row r="219" spans="2:61">
      <c r="B219">
        <f t="shared" si="187"/>
        <v>0</v>
      </c>
      <c r="F219" s="57" t="e">
        <f t="shared" si="188"/>
        <v>#N/A</v>
      </c>
      <c r="G219" t="str">
        <f t="shared" si="189"/>
        <v/>
      </c>
      <c r="I219" t="e">
        <f>VLOOKUP(F219,'1PROJE'!$B$7:$F$26,2,0)</f>
        <v>#N/A</v>
      </c>
      <c r="J219" t="e">
        <f>VLOOKUP(F219,'1PROJE'!$B$7:$F$26,4,0)</f>
        <v>#N/A</v>
      </c>
      <c r="K219" t="e">
        <f>VLOOKUP(F219,'1PROJE'!$B$7:$F$26,5,0)</f>
        <v>#N/A</v>
      </c>
    </row>
    <row r="220" spans="2:61">
      <c r="B220">
        <f t="shared" si="187"/>
        <v>0</v>
      </c>
      <c r="F220" s="57" t="e">
        <f t="shared" si="188"/>
        <v>#N/A</v>
      </c>
      <c r="G220" t="str">
        <f t="shared" si="189"/>
        <v/>
      </c>
      <c r="I220" t="e">
        <f>VLOOKUP(F220,'1PROJE'!$B$7:$F$26,2,0)</f>
        <v>#N/A</v>
      </c>
      <c r="J220" t="e">
        <f>VLOOKUP(F220,'1PROJE'!$B$7:$F$26,4,0)</f>
        <v>#N/A</v>
      </c>
      <c r="K220" t="e">
        <f>VLOOKUP(F220,'1PROJE'!$B$7:$F$26,5,0)</f>
        <v>#N/A</v>
      </c>
    </row>
    <row r="221" spans="2:61">
      <c r="B221">
        <f t="shared" si="187"/>
        <v>0</v>
      </c>
      <c r="F221" s="57" t="e">
        <f t="shared" si="188"/>
        <v>#N/A</v>
      </c>
      <c r="G221" t="str">
        <f t="shared" si="189"/>
        <v/>
      </c>
      <c r="I221" t="e">
        <f>VLOOKUP(F221,'1PROJE'!$B$7:$F$26,2,0)</f>
        <v>#N/A</v>
      </c>
      <c r="J221" t="e">
        <f>VLOOKUP(F221,'1PROJE'!$B$7:$F$26,4,0)</f>
        <v>#N/A</v>
      </c>
      <c r="K221" t="e">
        <f>VLOOKUP(F221,'1PROJE'!$B$7:$F$26,5,0)</f>
        <v>#N/A</v>
      </c>
    </row>
    <row r="222" spans="2:61">
      <c r="B222">
        <f t="shared" si="187"/>
        <v>0</v>
      </c>
      <c r="F222" s="57" t="e">
        <f t="shared" si="188"/>
        <v>#N/A</v>
      </c>
      <c r="G222" t="str">
        <f t="shared" si="189"/>
        <v/>
      </c>
      <c r="I222" t="e">
        <f>VLOOKUP(F222,'1PROJE'!$B$7:$F$26,2,0)</f>
        <v>#N/A</v>
      </c>
      <c r="J222" t="e">
        <f>VLOOKUP(F222,'1PROJE'!$B$7:$F$26,4,0)</f>
        <v>#N/A</v>
      </c>
      <c r="K222" t="e">
        <f>VLOOKUP(F222,'1PROJE'!$B$7:$F$26,5,0)</f>
        <v>#N/A</v>
      </c>
      <c r="AG222" s="62" t="s">
        <v>407</v>
      </c>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row>
    <row r="223" spans="2:61">
      <c r="B223">
        <f t="shared" si="187"/>
        <v>0</v>
      </c>
      <c r="F223" s="57" t="e">
        <f t="shared" si="188"/>
        <v>#N/A</v>
      </c>
      <c r="G223" t="str">
        <f t="shared" si="189"/>
        <v/>
      </c>
      <c r="I223" t="e">
        <f>VLOOKUP(F223,'1PROJE'!$B$7:$F$26,2,0)</f>
        <v>#N/A</v>
      </c>
      <c r="J223" t="e">
        <f>VLOOKUP(F223,'1PROJE'!$B$7:$F$26,4,0)</f>
        <v>#N/A</v>
      </c>
      <c r="K223" t="e">
        <f>VLOOKUP(F223,'1PROJE'!$B$7:$F$26,5,0)</f>
        <v>#N/A</v>
      </c>
    </row>
    <row r="224" spans="2:61">
      <c r="B224">
        <f t="shared" si="187"/>
        <v>0</v>
      </c>
      <c r="F224" s="57" t="e">
        <f t="shared" si="188"/>
        <v>#N/A</v>
      </c>
      <c r="G224" t="str">
        <f t="shared" si="189"/>
        <v/>
      </c>
      <c r="I224" t="e">
        <f>VLOOKUP(F224,'1PROJE'!$B$7:$F$26,2,0)</f>
        <v>#N/A</v>
      </c>
      <c r="J224" t="e">
        <f>VLOOKUP(F224,'1PROJE'!$B$7:$F$26,4,0)</f>
        <v>#N/A</v>
      </c>
      <c r="K224" t="e">
        <f>VLOOKUP(F224,'1PROJE'!$B$7:$F$26,5,0)</f>
        <v>#N/A</v>
      </c>
      <c r="AH224" s="37" t="e" cm="1">
        <f t="array" ref="AH224">_xlfn._xlws.FILTER($AH$26:$FH$42,AH42:FH42&gt;0,"")</f>
        <v>#REF!</v>
      </c>
    </row>
    <row r="225" spans="2:61">
      <c r="B225">
        <f t="shared" si="187"/>
        <v>0</v>
      </c>
      <c r="F225" s="57" t="e">
        <f t="shared" si="188"/>
        <v>#N/A</v>
      </c>
      <c r="G225" t="str">
        <f t="shared" si="189"/>
        <v/>
      </c>
      <c r="I225" t="e">
        <f>VLOOKUP(F225,'1PROJE'!$B$7:$F$26,2,0)</f>
        <v>#N/A</v>
      </c>
      <c r="J225" t="e">
        <f>VLOOKUP(F225,'1PROJE'!$B$7:$F$26,4,0)</f>
        <v>#N/A</v>
      </c>
      <c r="K225" t="e">
        <f>VLOOKUP(F225,'1PROJE'!$B$7:$F$26,5,0)</f>
        <v>#N/A</v>
      </c>
    </row>
    <row r="226" spans="2:61">
      <c r="B226">
        <f t="shared" si="187"/>
        <v>0</v>
      </c>
      <c r="F226" s="57" t="e">
        <f t="shared" si="188"/>
        <v>#N/A</v>
      </c>
      <c r="G226" t="str">
        <f t="shared" si="189"/>
        <v/>
      </c>
      <c r="I226" t="e">
        <f>VLOOKUP(F226,'1PROJE'!$B$7:$F$26,2,0)</f>
        <v>#N/A</v>
      </c>
      <c r="J226" t="e">
        <f>VLOOKUP(F226,'1PROJE'!$B$7:$F$26,4,0)</f>
        <v>#N/A</v>
      </c>
      <c r="K226" t="e">
        <f>VLOOKUP(F226,'1PROJE'!$B$7:$F$26,5,0)</f>
        <v>#N/A</v>
      </c>
    </row>
    <row r="227" spans="2:61">
      <c r="B227">
        <f t="shared" ref="B227:B258" si="190">IF(($C$28-A127)&lt;0,0,"POZ"&amp;" "&amp;$C$61&amp;"."&amp;A127)</f>
        <v>0</v>
      </c>
      <c r="F227" s="57" t="e">
        <f t="shared" si="188"/>
        <v>#N/A</v>
      </c>
      <c r="G227" t="str">
        <f t="shared" si="189"/>
        <v/>
      </c>
      <c r="I227" t="e">
        <f>VLOOKUP(F227,'1PROJE'!$B$7:$F$26,2,0)</f>
        <v>#N/A</v>
      </c>
      <c r="J227" t="e">
        <f>VLOOKUP(F227,'1PROJE'!$B$7:$F$26,4,0)</f>
        <v>#N/A</v>
      </c>
      <c r="K227" t="e">
        <f>VLOOKUP(F227,'1PROJE'!$B$7:$F$26,5,0)</f>
        <v>#N/A</v>
      </c>
    </row>
    <row r="228" spans="2:61">
      <c r="B228">
        <f t="shared" si="190"/>
        <v>0</v>
      </c>
      <c r="F228" s="57" t="e">
        <f t="shared" si="188"/>
        <v>#N/A</v>
      </c>
      <c r="G228" t="str">
        <f t="shared" si="189"/>
        <v/>
      </c>
      <c r="I228" t="e">
        <f>VLOOKUP(F228,'1PROJE'!$B$7:$F$26,2,0)</f>
        <v>#N/A</v>
      </c>
      <c r="J228" t="e">
        <f>VLOOKUP(F228,'1PROJE'!$B$7:$F$26,4,0)</f>
        <v>#N/A</v>
      </c>
      <c r="K228" t="e">
        <f>VLOOKUP(F228,'1PROJE'!$B$7:$F$26,5,0)</f>
        <v>#N/A</v>
      </c>
    </row>
    <row r="229" spans="2:61">
      <c r="B229">
        <f t="shared" si="190"/>
        <v>0</v>
      </c>
      <c r="F229" s="57" t="e">
        <f t="shared" si="188"/>
        <v>#N/A</v>
      </c>
      <c r="G229" t="str">
        <f t="shared" si="189"/>
        <v/>
      </c>
      <c r="I229" t="e">
        <f>VLOOKUP(F229,'1PROJE'!$B$7:$F$26,2,0)</f>
        <v>#N/A</v>
      </c>
      <c r="J229" t="e">
        <f>VLOOKUP(F229,'1PROJE'!$B$7:$F$26,4,0)</f>
        <v>#N/A</v>
      </c>
      <c r="K229" t="e">
        <f>VLOOKUP(F229,'1PROJE'!$B$7:$F$26,5,0)</f>
        <v>#N/A</v>
      </c>
    </row>
    <row r="230" spans="2:61">
      <c r="B230">
        <f t="shared" si="190"/>
        <v>0</v>
      </c>
      <c r="F230" s="57" t="e">
        <f t="shared" si="188"/>
        <v>#N/A</v>
      </c>
      <c r="G230" t="str">
        <f t="shared" si="189"/>
        <v/>
      </c>
      <c r="I230" t="e">
        <f>VLOOKUP(F230,'1PROJE'!$B$7:$F$26,2,0)</f>
        <v>#N/A</v>
      </c>
      <c r="J230" t="e">
        <f>VLOOKUP(F230,'1PROJE'!$B$7:$F$26,4,0)</f>
        <v>#N/A</v>
      </c>
      <c r="K230" t="e">
        <f>VLOOKUP(F230,'1PROJE'!$B$7:$F$26,5,0)</f>
        <v>#N/A</v>
      </c>
    </row>
    <row r="231" spans="2:61">
      <c r="B231">
        <f t="shared" si="190"/>
        <v>0</v>
      </c>
      <c r="F231" s="57" t="e">
        <f t="shared" si="188"/>
        <v>#N/A</v>
      </c>
      <c r="G231" t="str">
        <f t="shared" si="189"/>
        <v/>
      </c>
      <c r="I231" t="e">
        <f>VLOOKUP(F231,'1PROJE'!$B$7:$F$26,2,0)</f>
        <v>#N/A</v>
      </c>
      <c r="J231" t="e">
        <f>VLOOKUP(F231,'1PROJE'!$B$7:$F$26,4,0)</f>
        <v>#N/A</v>
      </c>
      <c r="K231" t="e">
        <f>VLOOKUP(F231,'1PROJE'!$B$7:$F$26,5,0)</f>
        <v>#N/A</v>
      </c>
    </row>
    <row r="232" spans="2:61">
      <c r="B232">
        <f t="shared" si="190"/>
        <v>0</v>
      </c>
      <c r="F232" s="57" t="e">
        <f t="shared" si="188"/>
        <v>#N/A</v>
      </c>
      <c r="G232" t="str">
        <f t="shared" si="189"/>
        <v/>
      </c>
      <c r="I232" t="e">
        <f>VLOOKUP(F232,'1PROJE'!$B$7:$F$26,2,0)</f>
        <v>#N/A</v>
      </c>
      <c r="J232" t="e">
        <f>VLOOKUP(F232,'1PROJE'!$B$7:$F$26,4,0)</f>
        <v>#N/A</v>
      </c>
      <c r="K232" t="e">
        <f>VLOOKUP(F232,'1PROJE'!$B$7:$F$26,5,0)</f>
        <v>#N/A</v>
      </c>
    </row>
    <row r="233" spans="2:61">
      <c r="B233">
        <f t="shared" si="190"/>
        <v>0</v>
      </c>
      <c r="F233" s="57" t="e">
        <f t="shared" si="188"/>
        <v>#N/A</v>
      </c>
      <c r="G233" t="str">
        <f t="shared" si="189"/>
        <v/>
      </c>
      <c r="I233" t="e">
        <f>VLOOKUP(F233,'1PROJE'!$B$7:$F$26,2,0)</f>
        <v>#N/A</v>
      </c>
      <c r="J233" t="e">
        <f>VLOOKUP(F233,'1PROJE'!$B$7:$F$26,4,0)</f>
        <v>#N/A</v>
      </c>
      <c r="K233" t="e">
        <f>VLOOKUP(F233,'1PROJE'!$B$7:$F$26,5,0)</f>
        <v>#N/A</v>
      </c>
    </row>
    <row r="234" spans="2:61">
      <c r="B234">
        <f t="shared" si="190"/>
        <v>0</v>
      </c>
      <c r="F234" s="57" t="e">
        <f t="shared" si="188"/>
        <v>#N/A</v>
      </c>
      <c r="G234" t="str">
        <f t="shared" si="189"/>
        <v/>
      </c>
      <c r="I234" t="e">
        <f>VLOOKUP(F234,'1PROJE'!$B$7:$F$26,2,0)</f>
        <v>#N/A</v>
      </c>
      <c r="J234" t="e">
        <f>VLOOKUP(F234,'1PROJE'!$B$7:$F$26,4,0)</f>
        <v>#N/A</v>
      </c>
      <c r="K234" t="e">
        <f>VLOOKUP(F234,'1PROJE'!$B$7:$F$26,5,0)</f>
        <v>#N/A</v>
      </c>
    </row>
    <row r="235" spans="2:61">
      <c r="B235">
        <f t="shared" si="190"/>
        <v>0</v>
      </c>
      <c r="F235" s="57" t="e">
        <f t="shared" si="188"/>
        <v>#N/A</v>
      </c>
      <c r="G235" t="str">
        <f t="shared" si="189"/>
        <v/>
      </c>
      <c r="I235" t="e">
        <f>VLOOKUP(F235,'1PROJE'!$B$7:$F$26,2,0)</f>
        <v>#N/A</v>
      </c>
      <c r="J235" t="e">
        <f>VLOOKUP(F235,'1PROJE'!$B$7:$F$26,4,0)</f>
        <v>#N/A</v>
      </c>
      <c r="K235" t="e">
        <f>VLOOKUP(F235,'1PROJE'!$B$7:$F$26,5,0)</f>
        <v>#N/A</v>
      </c>
    </row>
    <row r="236" spans="2:61">
      <c r="B236">
        <f t="shared" si="190"/>
        <v>0</v>
      </c>
      <c r="F236" s="57" t="e">
        <f t="shared" si="188"/>
        <v>#N/A</v>
      </c>
      <c r="G236" t="str">
        <f t="shared" si="189"/>
        <v/>
      </c>
      <c r="I236" t="e">
        <f>VLOOKUP(F236,'1PROJE'!$B$7:$F$26,2,0)</f>
        <v>#N/A</v>
      </c>
      <c r="J236" t="e">
        <f>VLOOKUP(F236,'1PROJE'!$B$7:$F$26,4,0)</f>
        <v>#N/A</v>
      </c>
      <c r="K236" t="e">
        <f>VLOOKUP(F236,'1PROJE'!$B$7:$F$26,5,0)</f>
        <v>#N/A</v>
      </c>
    </row>
    <row r="237" spans="2:61">
      <c r="B237">
        <f t="shared" si="190"/>
        <v>0</v>
      </c>
      <c r="F237" s="57" t="e">
        <f t="shared" si="188"/>
        <v>#N/A</v>
      </c>
      <c r="G237" t="str">
        <f t="shared" si="189"/>
        <v/>
      </c>
      <c r="I237" t="e">
        <f>VLOOKUP(F237,'1PROJE'!$B$7:$F$26,2,0)</f>
        <v>#N/A</v>
      </c>
      <c r="J237" t="e">
        <f>VLOOKUP(F237,'1PROJE'!$B$7:$F$26,4,0)</f>
        <v>#N/A</v>
      </c>
      <c r="K237" t="e">
        <f>VLOOKUP(F237,'1PROJE'!$B$7:$F$26,5,0)</f>
        <v>#N/A</v>
      </c>
    </row>
    <row r="238" spans="2:61">
      <c r="B238">
        <f t="shared" si="190"/>
        <v>0</v>
      </c>
      <c r="F238" s="57" t="e">
        <f t="shared" si="188"/>
        <v>#N/A</v>
      </c>
      <c r="G238" t="str">
        <f t="shared" si="189"/>
        <v/>
      </c>
      <c r="I238" t="e">
        <f>VLOOKUP(F238,'1PROJE'!$B$7:$F$26,2,0)</f>
        <v>#N/A</v>
      </c>
      <c r="J238" t="e">
        <f>VLOOKUP(F238,'1PROJE'!$B$7:$F$26,4,0)</f>
        <v>#N/A</v>
      </c>
      <c r="K238" t="e">
        <f>VLOOKUP(F238,'1PROJE'!$B$7:$F$26,5,0)</f>
        <v>#N/A</v>
      </c>
    </row>
    <row r="239" spans="2:61">
      <c r="B239">
        <f t="shared" si="190"/>
        <v>0</v>
      </c>
      <c r="F239" s="57" t="e">
        <f t="shared" si="188"/>
        <v>#N/A</v>
      </c>
      <c r="G239" t="str">
        <f t="shared" si="189"/>
        <v/>
      </c>
      <c r="I239" t="e">
        <f>VLOOKUP(F239,'1PROJE'!$B$7:$F$26,2,0)</f>
        <v>#N/A</v>
      </c>
      <c r="J239" t="e">
        <f>VLOOKUP(F239,'1PROJE'!$B$7:$F$26,4,0)</f>
        <v>#N/A</v>
      </c>
      <c r="K239" t="e">
        <f>VLOOKUP(F239,'1PROJE'!$B$7:$F$26,5,0)</f>
        <v>#N/A</v>
      </c>
    </row>
    <row r="240" spans="2:61">
      <c r="B240">
        <f t="shared" si="190"/>
        <v>0</v>
      </c>
      <c r="F240" s="57" t="e">
        <f t="shared" si="188"/>
        <v>#N/A</v>
      </c>
      <c r="G240" t="str">
        <f t="shared" si="189"/>
        <v/>
      </c>
      <c r="I240" t="e">
        <f>VLOOKUP(F240,'1PROJE'!$B$7:$F$26,2,0)</f>
        <v>#N/A</v>
      </c>
      <c r="J240" t="e">
        <f>VLOOKUP(F240,'1PROJE'!$B$7:$F$26,4,0)</f>
        <v>#N/A</v>
      </c>
      <c r="K240" t="e">
        <f>VLOOKUP(F240,'1PROJE'!$B$7:$F$26,5,0)</f>
        <v>#N/A</v>
      </c>
      <c r="AG240" s="62" t="s">
        <v>655</v>
      </c>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row>
    <row r="241" spans="2:34">
      <c r="B241">
        <f t="shared" si="190"/>
        <v>0</v>
      </c>
      <c r="F241" s="57" t="e">
        <f t="shared" si="188"/>
        <v>#N/A</v>
      </c>
      <c r="G241" t="str">
        <f t="shared" si="189"/>
        <v/>
      </c>
      <c r="I241" t="e">
        <f>VLOOKUP(F241,'1PROJE'!$B$7:$F$26,2,0)</f>
        <v>#N/A</v>
      </c>
      <c r="J241" t="e">
        <f>VLOOKUP(F241,'1PROJE'!$B$7:$F$26,4,0)</f>
        <v>#N/A</v>
      </c>
      <c r="K241" t="e">
        <f>VLOOKUP(F241,'1PROJE'!$B$7:$F$26,5,0)</f>
        <v>#N/A</v>
      </c>
    </row>
    <row r="242" spans="2:34">
      <c r="B242">
        <f t="shared" si="190"/>
        <v>0</v>
      </c>
      <c r="F242" s="57" t="e">
        <f t="shared" si="188"/>
        <v>#N/A</v>
      </c>
      <c r="G242" t="str">
        <f t="shared" si="189"/>
        <v/>
      </c>
      <c r="I242" t="e">
        <f>VLOOKUP(F242,'1PROJE'!$B$7:$F$26,2,0)</f>
        <v>#N/A</v>
      </c>
      <c r="J242" t="e">
        <f>VLOOKUP(F242,'1PROJE'!$B$7:$F$26,4,0)</f>
        <v>#N/A</v>
      </c>
      <c r="K242" t="e">
        <f>VLOOKUP(F242,'1PROJE'!$B$7:$F$26,5,0)</f>
        <v>#N/A</v>
      </c>
      <c r="AH242" s="37" t="e" cm="1">
        <f t="array" ref="AH242">_xlfn._xlws.FILTER($AH$26:$FH$43,AH43:FH43&gt;0,"")</f>
        <v>#REF!</v>
      </c>
    </row>
    <row r="243" spans="2:34">
      <c r="B243">
        <f t="shared" si="190"/>
        <v>0</v>
      </c>
      <c r="F243" s="57" t="e">
        <f t="shared" si="188"/>
        <v>#N/A</v>
      </c>
      <c r="G243" t="str">
        <f t="shared" si="189"/>
        <v/>
      </c>
      <c r="I243" t="e">
        <f>VLOOKUP(F243,'1PROJE'!$B$7:$F$26,2,0)</f>
        <v>#N/A</v>
      </c>
      <c r="J243" t="e">
        <f>VLOOKUP(F243,'1PROJE'!$B$7:$F$26,4,0)</f>
        <v>#N/A</v>
      </c>
      <c r="K243" t="e">
        <f>VLOOKUP(F243,'1PROJE'!$B$7:$F$26,5,0)</f>
        <v>#N/A</v>
      </c>
    </row>
    <row r="244" spans="2:34">
      <c r="B244">
        <f t="shared" si="190"/>
        <v>0</v>
      </c>
      <c r="F244" s="57" t="e">
        <f t="shared" si="188"/>
        <v>#N/A</v>
      </c>
      <c r="G244" t="str">
        <f t="shared" si="189"/>
        <v/>
      </c>
      <c r="I244" t="e">
        <f>VLOOKUP(F244,'1PROJE'!$B$7:$F$26,2,0)</f>
        <v>#N/A</v>
      </c>
      <c r="J244" t="e">
        <f>VLOOKUP(F244,'1PROJE'!$B$7:$F$26,4,0)</f>
        <v>#N/A</v>
      </c>
      <c r="K244" t="e">
        <f>VLOOKUP(F244,'1PROJE'!$B$7:$F$26,5,0)</f>
        <v>#N/A</v>
      </c>
    </row>
    <row r="245" spans="2:34">
      <c r="B245">
        <f t="shared" si="190"/>
        <v>0</v>
      </c>
      <c r="F245" s="57" t="e">
        <f t="shared" si="188"/>
        <v>#N/A</v>
      </c>
      <c r="G245" t="str">
        <f t="shared" si="189"/>
        <v/>
      </c>
      <c r="I245" t="e">
        <f>VLOOKUP(F245,'1PROJE'!$B$7:$F$26,2,0)</f>
        <v>#N/A</v>
      </c>
      <c r="J245" t="e">
        <f>VLOOKUP(F245,'1PROJE'!$B$7:$F$26,4,0)</f>
        <v>#N/A</v>
      </c>
      <c r="K245" t="e">
        <f>VLOOKUP(F245,'1PROJE'!$B$7:$F$26,5,0)</f>
        <v>#N/A</v>
      </c>
    </row>
    <row r="246" spans="2:34">
      <c r="B246">
        <f t="shared" si="190"/>
        <v>0</v>
      </c>
      <c r="F246" s="57" t="e">
        <f t="shared" si="188"/>
        <v>#N/A</v>
      </c>
      <c r="G246" t="str">
        <f t="shared" si="189"/>
        <v/>
      </c>
      <c r="I246" t="e">
        <f>VLOOKUP(F246,'1PROJE'!$B$7:$F$26,2,0)</f>
        <v>#N/A</v>
      </c>
      <c r="J246" t="e">
        <f>VLOOKUP(F246,'1PROJE'!$B$7:$F$26,4,0)</f>
        <v>#N/A</v>
      </c>
      <c r="K246" t="e">
        <f>VLOOKUP(F246,'1PROJE'!$B$7:$F$26,5,0)</f>
        <v>#N/A</v>
      </c>
    </row>
    <row r="247" spans="2:34">
      <c r="B247">
        <f t="shared" si="190"/>
        <v>0</v>
      </c>
      <c r="F247" s="57" t="e">
        <f t="shared" si="188"/>
        <v>#N/A</v>
      </c>
      <c r="G247" t="str">
        <f t="shared" si="189"/>
        <v/>
      </c>
      <c r="I247" t="e">
        <f>VLOOKUP(F247,'1PROJE'!$B$7:$F$26,2,0)</f>
        <v>#N/A</v>
      </c>
      <c r="J247" t="e">
        <f>VLOOKUP(F247,'1PROJE'!$B$7:$F$26,4,0)</f>
        <v>#N/A</v>
      </c>
      <c r="K247" t="e">
        <f>VLOOKUP(F247,'1PROJE'!$B$7:$F$26,5,0)</f>
        <v>#N/A</v>
      </c>
    </row>
    <row r="248" spans="2:34">
      <c r="B248">
        <f t="shared" si="190"/>
        <v>0</v>
      </c>
      <c r="F248" s="57" t="e">
        <f t="shared" si="188"/>
        <v>#N/A</v>
      </c>
      <c r="G248" t="str">
        <f t="shared" si="189"/>
        <v/>
      </c>
      <c r="I248" t="e">
        <f>VLOOKUP(F248,'1PROJE'!$B$7:$F$26,2,0)</f>
        <v>#N/A</v>
      </c>
      <c r="J248" t="e">
        <f>VLOOKUP(F248,'1PROJE'!$B$7:$F$26,4,0)</f>
        <v>#N/A</v>
      </c>
      <c r="K248" t="e">
        <f>VLOOKUP(F248,'1PROJE'!$B$7:$F$26,5,0)</f>
        <v>#N/A</v>
      </c>
    </row>
    <row r="249" spans="2:34">
      <c r="B249">
        <f t="shared" si="190"/>
        <v>0</v>
      </c>
      <c r="F249" s="57" t="e">
        <f t="shared" si="188"/>
        <v>#N/A</v>
      </c>
      <c r="G249" t="str">
        <f t="shared" si="189"/>
        <v/>
      </c>
      <c r="I249" t="e">
        <f>VLOOKUP(F249,'1PROJE'!$B$7:$F$26,2,0)</f>
        <v>#N/A</v>
      </c>
      <c r="J249" t="e">
        <f>VLOOKUP(F249,'1PROJE'!$B$7:$F$26,4,0)</f>
        <v>#N/A</v>
      </c>
      <c r="K249" t="e">
        <f>VLOOKUP(F249,'1PROJE'!$B$7:$F$26,5,0)</f>
        <v>#N/A</v>
      </c>
    </row>
    <row r="250" spans="2:34">
      <c r="B250">
        <f t="shared" si="190"/>
        <v>0</v>
      </c>
      <c r="F250" s="57" t="e">
        <f t="shared" si="188"/>
        <v>#N/A</v>
      </c>
      <c r="G250" t="str">
        <f t="shared" si="189"/>
        <v/>
      </c>
      <c r="I250" t="e">
        <f>VLOOKUP(F250,'1PROJE'!$B$7:$F$26,2,0)</f>
        <v>#N/A</v>
      </c>
      <c r="J250" t="e">
        <f>VLOOKUP(F250,'1PROJE'!$B$7:$F$26,4,0)</f>
        <v>#N/A</v>
      </c>
      <c r="K250" t="e">
        <f>VLOOKUP(F250,'1PROJE'!$B$7:$F$26,5,0)</f>
        <v>#N/A</v>
      </c>
    </row>
    <row r="251" spans="2:34">
      <c r="B251">
        <f t="shared" si="190"/>
        <v>0</v>
      </c>
      <c r="F251" s="57" t="e">
        <f t="shared" si="188"/>
        <v>#N/A</v>
      </c>
      <c r="G251" t="str">
        <f t="shared" si="189"/>
        <v/>
      </c>
      <c r="I251" t="e">
        <f>VLOOKUP(F251,'1PROJE'!$B$7:$F$26,2,0)</f>
        <v>#N/A</v>
      </c>
      <c r="J251" t="e">
        <f>VLOOKUP(F251,'1PROJE'!$B$7:$F$26,4,0)</f>
        <v>#N/A</v>
      </c>
      <c r="K251" t="e">
        <f>VLOOKUP(F251,'1PROJE'!$B$7:$F$26,5,0)</f>
        <v>#N/A</v>
      </c>
    </row>
    <row r="252" spans="2:34">
      <c r="B252">
        <f t="shared" si="190"/>
        <v>0</v>
      </c>
      <c r="F252" s="57" t="e">
        <f t="shared" si="188"/>
        <v>#N/A</v>
      </c>
      <c r="G252" t="str">
        <f t="shared" si="189"/>
        <v/>
      </c>
      <c r="I252" t="e">
        <f>VLOOKUP(F252,'1PROJE'!$B$7:$F$26,2,0)</f>
        <v>#N/A</v>
      </c>
      <c r="J252" t="e">
        <f>VLOOKUP(F252,'1PROJE'!$B$7:$F$26,4,0)</f>
        <v>#N/A</v>
      </c>
      <c r="K252" t="e">
        <f>VLOOKUP(F252,'1PROJE'!$B$7:$F$26,5,0)</f>
        <v>#N/A</v>
      </c>
    </row>
    <row r="253" spans="2:34">
      <c r="B253">
        <f t="shared" si="190"/>
        <v>0</v>
      </c>
      <c r="F253" s="57" t="e">
        <f t="shared" si="188"/>
        <v>#N/A</v>
      </c>
      <c r="G253" t="str">
        <f t="shared" si="189"/>
        <v/>
      </c>
      <c r="I253" t="e">
        <f>VLOOKUP(F253,'1PROJE'!$B$7:$F$26,2,0)</f>
        <v>#N/A</v>
      </c>
      <c r="J253" t="e">
        <f>VLOOKUP(F253,'1PROJE'!$B$7:$F$26,4,0)</f>
        <v>#N/A</v>
      </c>
      <c r="K253" t="e">
        <f>VLOOKUP(F253,'1PROJE'!$B$7:$F$26,5,0)</f>
        <v>#N/A</v>
      </c>
    </row>
    <row r="254" spans="2:34">
      <c r="B254">
        <f t="shared" si="190"/>
        <v>0</v>
      </c>
      <c r="F254" s="57" t="e">
        <f t="shared" si="188"/>
        <v>#N/A</v>
      </c>
      <c r="G254" t="str">
        <f t="shared" si="189"/>
        <v/>
      </c>
      <c r="I254" t="e">
        <f>VLOOKUP(F254,'1PROJE'!$B$7:$F$26,2,0)</f>
        <v>#N/A</v>
      </c>
      <c r="J254" t="e">
        <f>VLOOKUP(F254,'1PROJE'!$B$7:$F$26,4,0)</f>
        <v>#N/A</v>
      </c>
      <c r="K254" t="e">
        <f>VLOOKUP(F254,'1PROJE'!$B$7:$F$26,5,0)</f>
        <v>#N/A</v>
      </c>
    </row>
    <row r="255" spans="2:34">
      <c r="B255">
        <f t="shared" si="190"/>
        <v>0</v>
      </c>
      <c r="F255" s="57" t="e">
        <f t="shared" si="188"/>
        <v>#N/A</v>
      </c>
      <c r="G255" t="str">
        <f t="shared" si="189"/>
        <v/>
      </c>
      <c r="I255" t="e">
        <f>VLOOKUP(F255,'1PROJE'!$B$7:$F$26,2,0)</f>
        <v>#N/A</v>
      </c>
      <c r="J255" t="e">
        <f>VLOOKUP(F255,'1PROJE'!$B$7:$F$26,4,0)</f>
        <v>#N/A</v>
      </c>
      <c r="K255" t="e">
        <f>VLOOKUP(F255,'1PROJE'!$B$7:$F$26,5,0)</f>
        <v>#N/A</v>
      </c>
    </row>
    <row r="256" spans="2:34">
      <c r="B256">
        <f t="shared" si="190"/>
        <v>0</v>
      </c>
      <c r="F256" s="57" t="e">
        <f t="shared" si="188"/>
        <v>#N/A</v>
      </c>
      <c r="G256" t="str">
        <f t="shared" si="189"/>
        <v/>
      </c>
      <c r="I256" t="e">
        <f>VLOOKUP(F256,'1PROJE'!$B$7:$F$26,2,0)</f>
        <v>#N/A</v>
      </c>
      <c r="J256" t="e">
        <f>VLOOKUP(F256,'1PROJE'!$B$7:$F$26,4,0)</f>
        <v>#N/A</v>
      </c>
      <c r="K256" t="e">
        <f>VLOOKUP(F256,'1PROJE'!$B$7:$F$26,5,0)</f>
        <v>#N/A</v>
      </c>
    </row>
    <row r="257" spans="2:61">
      <c r="B257">
        <f t="shared" si="190"/>
        <v>0</v>
      </c>
      <c r="F257" s="57" t="e">
        <f t="shared" si="188"/>
        <v>#N/A</v>
      </c>
      <c r="G257" t="str">
        <f t="shared" si="189"/>
        <v/>
      </c>
      <c r="I257" t="e">
        <f>VLOOKUP(F257,'1PROJE'!$B$7:$F$26,2,0)</f>
        <v>#N/A</v>
      </c>
      <c r="J257" t="e">
        <f>VLOOKUP(F257,'1PROJE'!$B$7:$F$26,4,0)</f>
        <v>#N/A</v>
      </c>
      <c r="K257" t="e">
        <f>VLOOKUP(F257,'1PROJE'!$B$7:$F$26,5,0)</f>
        <v>#N/A</v>
      </c>
    </row>
    <row r="258" spans="2:61">
      <c r="B258">
        <f t="shared" si="190"/>
        <v>0</v>
      </c>
      <c r="F258" s="57" t="e">
        <f t="shared" si="188"/>
        <v>#N/A</v>
      </c>
      <c r="G258" t="str">
        <f t="shared" si="189"/>
        <v/>
      </c>
      <c r="I258" t="e">
        <f>VLOOKUP(F258,'1PROJE'!$B$7:$F$26,2,0)</f>
        <v>#N/A</v>
      </c>
      <c r="J258" t="e">
        <f>VLOOKUP(F258,'1PROJE'!$B$7:$F$26,4,0)</f>
        <v>#N/A</v>
      </c>
      <c r="K258" t="e">
        <f>VLOOKUP(F258,'1PROJE'!$B$7:$F$26,5,0)</f>
        <v>#N/A</v>
      </c>
    </row>
    <row r="259" spans="2:61">
      <c r="B259">
        <f t="shared" ref="B259:B261" si="191">IF(($C$28-A159)&lt;0,0,"POZ"&amp;" "&amp;$C$61&amp;"."&amp;A159)</f>
        <v>0</v>
      </c>
      <c r="F259" s="57" t="e">
        <f t="shared" si="188"/>
        <v>#N/A</v>
      </c>
      <c r="G259" t="str">
        <f t="shared" si="189"/>
        <v/>
      </c>
      <c r="I259" t="e">
        <f>VLOOKUP(F259,'1PROJE'!$B$7:$F$26,2,0)</f>
        <v>#N/A</v>
      </c>
      <c r="J259" t="e">
        <f>VLOOKUP(F259,'1PROJE'!$B$7:$F$26,4,0)</f>
        <v>#N/A</v>
      </c>
      <c r="K259" t="e">
        <f>VLOOKUP(F259,'1PROJE'!$B$7:$F$26,5,0)</f>
        <v>#N/A</v>
      </c>
      <c r="AG259" s="62" t="s">
        <v>656</v>
      </c>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row>
    <row r="260" spans="2:61">
      <c r="B260">
        <f t="shared" si="191"/>
        <v>0</v>
      </c>
      <c r="F260" s="57" t="e">
        <f t="shared" si="188"/>
        <v>#N/A</v>
      </c>
      <c r="G260" t="str">
        <f t="shared" si="189"/>
        <v/>
      </c>
      <c r="I260" t="e">
        <f>VLOOKUP(F260,'1PROJE'!$B$7:$F$26,2,0)</f>
        <v>#N/A</v>
      </c>
      <c r="J260" t="e">
        <f>VLOOKUP(F260,'1PROJE'!$B$7:$F$26,4,0)</f>
        <v>#N/A</v>
      </c>
      <c r="K260" t="e">
        <f>VLOOKUP(F260,'1PROJE'!$B$7:$F$26,5,0)</f>
        <v>#N/A</v>
      </c>
    </row>
    <row r="261" spans="2:61">
      <c r="B261">
        <f t="shared" si="191"/>
        <v>0</v>
      </c>
      <c r="F261" s="57" t="e">
        <f t="shared" si="188"/>
        <v>#N/A</v>
      </c>
      <c r="G261" t="str">
        <f t="shared" si="189"/>
        <v/>
      </c>
      <c r="I261" t="e">
        <f>VLOOKUP(F261,'1PROJE'!$B$7:$F$26,2,0)</f>
        <v>#N/A</v>
      </c>
      <c r="J261" t="e">
        <f>VLOOKUP(F261,'1PROJE'!$B$7:$F$26,4,0)</f>
        <v>#N/A</v>
      </c>
      <c r="K261" t="e">
        <f>VLOOKUP(F261,'1PROJE'!$B$7:$F$26,5,0)</f>
        <v>#N/A</v>
      </c>
      <c r="AH261" s="37" t="e" cm="1">
        <f t="array" ref="AH261">_xlfn._xlws.FILTER($AH$26:$FH$44,AH44:FH44&gt;0,"")</f>
        <v>#REF!</v>
      </c>
    </row>
    <row r="262" spans="2:61">
      <c r="B262">
        <f>IF(C29=0,0,IF(($C$29-A62)=0,"POZ 3.","POZ"&amp;" "&amp;$D$61&amp;"."&amp;A62))</f>
        <v>0</v>
      </c>
      <c r="F262" s="57" t="e">
        <f t="shared" si="188"/>
        <v>#N/A</v>
      </c>
      <c r="G262" t="str">
        <f t="shared" si="189"/>
        <v/>
      </c>
      <c r="I262" t="e">
        <f>VLOOKUP(F262,'1PROJE'!$B$7:$F$26,2,0)</f>
        <v>#N/A</v>
      </c>
      <c r="J262" t="e">
        <f>VLOOKUP(F262,'1PROJE'!$B$7:$F$26,4,0)</f>
        <v>#N/A</v>
      </c>
      <c r="K262" t="e">
        <f>VLOOKUP(F262,'1PROJE'!$B$7:$F$26,5,0)</f>
        <v>#N/A</v>
      </c>
    </row>
    <row r="263" spans="2:61">
      <c r="B263">
        <f t="shared" ref="B263:B294" si="192">IF(($C$29-A63)&lt;0,0,"POZ"&amp;" "&amp;$D$61&amp;"."&amp;A63)</f>
        <v>0</v>
      </c>
      <c r="F263" s="57" t="e">
        <f t="shared" si="188"/>
        <v>#N/A</v>
      </c>
      <c r="G263" t="str">
        <f t="shared" si="189"/>
        <v/>
      </c>
      <c r="I263" t="e">
        <f>VLOOKUP(F263,'1PROJE'!$B$7:$F$26,2,0)</f>
        <v>#N/A</v>
      </c>
      <c r="J263" t="e">
        <f>VLOOKUP(F263,'1PROJE'!$B$7:$F$26,4,0)</f>
        <v>#N/A</v>
      </c>
      <c r="K263" t="e">
        <f>VLOOKUP(F263,'1PROJE'!$B$7:$F$26,5,0)</f>
        <v>#N/A</v>
      </c>
    </row>
    <row r="264" spans="2:61">
      <c r="B264">
        <f t="shared" si="192"/>
        <v>0</v>
      </c>
      <c r="F264" s="57" t="e">
        <f t="shared" si="188"/>
        <v>#N/A</v>
      </c>
      <c r="G264" t="str">
        <f t="shared" si="189"/>
        <v/>
      </c>
      <c r="I264" t="e">
        <f>VLOOKUP(F264,'1PROJE'!$B$7:$F$26,2,0)</f>
        <v>#N/A</v>
      </c>
      <c r="J264" t="e">
        <f>VLOOKUP(F264,'1PROJE'!$B$7:$F$26,4,0)</f>
        <v>#N/A</v>
      </c>
      <c r="K264" t="e">
        <f>VLOOKUP(F264,'1PROJE'!$B$7:$F$26,5,0)</f>
        <v>#N/A</v>
      </c>
    </row>
    <row r="265" spans="2:61">
      <c r="B265">
        <f t="shared" si="192"/>
        <v>0</v>
      </c>
      <c r="F265" s="57" t="e">
        <f t="shared" si="188"/>
        <v>#N/A</v>
      </c>
      <c r="G265" t="str">
        <f t="shared" si="189"/>
        <v/>
      </c>
      <c r="I265" t="e">
        <f>VLOOKUP(F265,'1PROJE'!$B$7:$F$26,2,0)</f>
        <v>#N/A</v>
      </c>
      <c r="J265" t="e">
        <f>VLOOKUP(F265,'1PROJE'!$B$7:$F$26,4,0)</f>
        <v>#N/A</v>
      </c>
      <c r="K265" t="e">
        <f>VLOOKUP(F265,'1PROJE'!$B$7:$F$26,5,0)</f>
        <v>#N/A</v>
      </c>
    </row>
    <row r="266" spans="2:61">
      <c r="B266">
        <f t="shared" si="192"/>
        <v>0</v>
      </c>
      <c r="F266" s="57" t="e">
        <f t="shared" si="188"/>
        <v>#N/A</v>
      </c>
      <c r="G266" t="str">
        <f t="shared" si="189"/>
        <v/>
      </c>
      <c r="I266" t="e">
        <f>VLOOKUP(F266,'1PROJE'!$B$7:$F$26,2,0)</f>
        <v>#N/A</v>
      </c>
      <c r="J266" t="e">
        <f>VLOOKUP(F266,'1PROJE'!$B$7:$F$26,4,0)</f>
        <v>#N/A</v>
      </c>
      <c r="K266" t="e">
        <f>VLOOKUP(F266,'1PROJE'!$B$7:$F$26,5,0)</f>
        <v>#N/A</v>
      </c>
    </row>
    <row r="267" spans="2:61">
      <c r="B267">
        <f t="shared" si="192"/>
        <v>0</v>
      </c>
      <c r="F267" s="57" t="e">
        <f t="shared" ref="F267:F330" si="193">VLOOKUP(G267,$C$64:$D$83,2,0)</f>
        <v>#N/A</v>
      </c>
      <c r="G267" t="str">
        <f t="shared" ref="G267:G330" si="194">LEFT(H267,6)</f>
        <v/>
      </c>
      <c r="I267" t="e">
        <f>VLOOKUP(F267,'1PROJE'!$B$7:$F$26,2,0)</f>
        <v>#N/A</v>
      </c>
      <c r="J267" t="e">
        <f>VLOOKUP(F267,'1PROJE'!$B$7:$F$26,4,0)</f>
        <v>#N/A</v>
      </c>
      <c r="K267" t="e">
        <f>VLOOKUP(F267,'1PROJE'!$B$7:$F$26,5,0)</f>
        <v>#N/A</v>
      </c>
    </row>
    <row r="268" spans="2:61">
      <c r="B268">
        <f t="shared" si="192"/>
        <v>0</v>
      </c>
      <c r="F268" s="57" t="e">
        <f t="shared" si="193"/>
        <v>#N/A</v>
      </c>
      <c r="G268" t="str">
        <f t="shared" si="194"/>
        <v/>
      </c>
      <c r="I268" t="e">
        <f>VLOOKUP(F268,'1PROJE'!$B$7:$F$26,2,0)</f>
        <v>#N/A</v>
      </c>
      <c r="J268" t="e">
        <f>VLOOKUP(F268,'1PROJE'!$B$7:$F$26,4,0)</f>
        <v>#N/A</v>
      </c>
      <c r="K268" t="e">
        <f>VLOOKUP(F268,'1PROJE'!$B$7:$F$26,5,0)</f>
        <v>#N/A</v>
      </c>
    </row>
    <row r="269" spans="2:61">
      <c r="B269">
        <f t="shared" si="192"/>
        <v>0</v>
      </c>
      <c r="F269" s="57" t="e">
        <f t="shared" si="193"/>
        <v>#N/A</v>
      </c>
      <c r="G269" t="str">
        <f t="shared" si="194"/>
        <v/>
      </c>
      <c r="I269" t="e">
        <f>VLOOKUP(F269,'1PROJE'!$B$7:$F$26,2,0)</f>
        <v>#N/A</v>
      </c>
      <c r="J269" t="e">
        <f>VLOOKUP(F269,'1PROJE'!$B$7:$F$26,4,0)</f>
        <v>#N/A</v>
      </c>
      <c r="K269" t="e">
        <f>VLOOKUP(F269,'1PROJE'!$B$7:$F$26,5,0)</f>
        <v>#N/A</v>
      </c>
    </row>
    <row r="270" spans="2:61">
      <c r="B270">
        <f t="shared" si="192"/>
        <v>0</v>
      </c>
      <c r="F270" s="57" t="e">
        <f t="shared" si="193"/>
        <v>#N/A</v>
      </c>
      <c r="G270" t="str">
        <f t="shared" si="194"/>
        <v/>
      </c>
      <c r="I270" t="e">
        <f>VLOOKUP(F270,'1PROJE'!$B$7:$F$26,2,0)</f>
        <v>#N/A</v>
      </c>
      <c r="J270" t="e">
        <f>VLOOKUP(F270,'1PROJE'!$B$7:$F$26,4,0)</f>
        <v>#N/A</v>
      </c>
      <c r="K270" t="e">
        <f>VLOOKUP(F270,'1PROJE'!$B$7:$F$26,5,0)</f>
        <v>#N/A</v>
      </c>
    </row>
    <row r="271" spans="2:61">
      <c r="B271">
        <f t="shared" si="192"/>
        <v>0</v>
      </c>
      <c r="F271" s="57" t="e">
        <f t="shared" si="193"/>
        <v>#N/A</v>
      </c>
      <c r="G271" t="str">
        <f t="shared" si="194"/>
        <v/>
      </c>
      <c r="I271" t="e">
        <f>VLOOKUP(F271,'1PROJE'!$B$7:$F$26,2,0)</f>
        <v>#N/A</v>
      </c>
      <c r="J271" t="e">
        <f>VLOOKUP(F271,'1PROJE'!$B$7:$F$26,4,0)</f>
        <v>#N/A</v>
      </c>
      <c r="K271" t="e">
        <f>VLOOKUP(F271,'1PROJE'!$B$7:$F$26,5,0)</f>
        <v>#N/A</v>
      </c>
    </row>
    <row r="272" spans="2:61">
      <c r="B272">
        <f t="shared" si="192"/>
        <v>0</v>
      </c>
      <c r="F272" s="57" t="e">
        <f t="shared" si="193"/>
        <v>#N/A</v>
      </c>
      <c r="G272" t="str">
        <f t="shared" si="194"/>
        <v/>
      </c>
      <c r="I272" t="e">
        <f>VLOOKUP(F272,'1PROJE'!$B$7:$F$26,2,0)</f>
        <v>#N/A</v>
      </c>
      <c r="J272" t="e">
        <f>VLOOKUP(F272,'1PROJE'!$B$7:$F$26,4,0)</f>
        <v>#N/A</v>
      </c>
      <c r="K272" t="e">
        <f>VLOOKUP(F272,'1PROJE'!$B$7:$F$26,5,0)</f>
        <v>#N/A</v>
      </c>
    </row>
    <row r="273" spans="2:61">
      <c r="B273">
        <f t="shared" si="192"/>
        <v>0</v>
      </c>
      <c r="F273" s="57" t="e">
        <f t="shared" si="193"/>
        <v>#N/A</v>
      </c>
      <c r="G273" t="str">
        <f t="shared" si="194"/>
        <v/>
      </c>
      <c r="I273" t="e">
        <f>VLOOKUP(F273,'1PROJE'!$B$7:$F$26,2,0)</f>
        <v>#N/A</v>
      </c>
      <c r="J273" t="e">
        <f>VLOOKUP(F273,'1PROJE'!$B$7:$F$26,4,0)</f>
        <v>#N/A</v>
      </c>
      <c r="K273" t="e">
        <f>VLOOKUP(F273,'1PROJE'!$B$7:$F$26,5,0)</f>
        <v>#N/A</v>
      </c>
    </row>
    <row r="274" spans="2:61">
      <c r="B274">
        <f t="shared" si="192"/>
        <v>0</v>
      </c>
      <c r="F274" s="57" t="e">
        <f t="shared" si="193"/>
        <v>#N/A</v>
      </c>
      <c r="G274" t="str">
        <f t="shared" si="194"/>
        <v/>
      </c>
      <c r="I274" t="e">
        <f>VLOOKUP(F274,'1PROJE'!$B$7:$F$26,2,0)</f>
        <v>#N/A</v>
      </c>
      <c r="J274" t="e">
        <f>VLOOKUP(F274,'1PROJE'!$B$7:$F$26,4,0)</f>
        <v>#N/A</v>
      </c>
      <c r="K274" t="e">
        <f>VLOOKUP(F274,'1PROJE'!$B$7:$F$26,5,0)</f>
        <v>#N/A</v>
      </c>
    </row>
    <row r="275" spans="2:61">
      <c r="B275">
        <f t="shared" si="192"/>
        <v>0</v>
      </c>
      <c r="F275" s="57" t="e">
        <f t="shared" si="193"/>
        <v>#N/A</v>
      </c>
      <c r="G275" t="str">
        <f t="shared" si="194"/>
        <v/>
      </c>
      <c r="I275" t="e">
        <f>VLOOKUP(F275,'1PROJE'!$B$7:$F$26,2,0)</f>
        <v>#N/A</v>
      </c>
      <c r="J275" t="e">
        <f>VLOOKUP(F275,'1PROJE'!$B$7:$F$26,4,0)</f>
        <v>#N/A</v>
      </c>
      <c r="K275" t="e">
        <f>VLOOKUP(F275,'1PROJE'!$B$7:$F$26,5,0)</f>
        <v>#N/A</v>
      </c>
    </row>
    <row r="276" spans="2:61">
      <c r="B276">
        <f t="shared" si="192"/>
        <v>0</v>
      </c>
      <c r="F276" s="57" t="e">
        <f t="shared" si="193"/>
        <v>#N/A</v>
      </c>
      <c r="G276" t="str">
        <f t="shared" si="194"/>
        <v/>
      </c>
      <c r="I276" t="e">
        <f>VLOOKUP(F276,'1PROJE'!$B$7:$F$26,2,0)</f>
        <v>#N/A</v>
      </c>
      <c r="J276" t="e">
        <f>VLOOKUP(F276,'1PROJE'!$B$7:$F$26,4,0)</f>
        <v>#N/A</v>
      </c>
      <c r="K276" t="e">
        <f>VLOOKUP(F276,'1PROJE'!$B$7:$F$26,5,0)</f>
        <v>#N/A</v>
      </c>
    </row>
    <row r="277" spans="2:61">
      <c r="B277">
        <f t="shared" si="192"/>
        <v>0</v>
      </c>
      <c r="F277" s="57" t="e">
        <f t="shared" si="193"/>
        <v>#N/A</v>
      </c>
      <c r="G277" t="str">
        <f t="shared" si="194"/>
        <v/>
      </c>
      <c r="I277" t="e">
        <f>VLOOKUP(F277,'1PROJE'!$B$7:$F$26,2,0)</f>
        <v>#N/A</v>
      </c>
      <c r="J277" t="e">
        <f>VLOOKUP(F277,'1PROJE'!$B$7:$F$26,4,0)</f>
        <v>#N/A</v>
      </c>
      <c r="K277" t="e">
        <f>VLOOKUP(F277,'1PROJE'!$B$7:$F$26,5,0)</f>
        <v>#N/A</v>
      </c>
    </row>
    <row r="278" spans="2:61">
      <c r="B278">
        <f t="shared" si="192"/>
        <v>0</v>
      </c>
      <c r="F278" s="57" t="e">
        <f t="shared" si="193"/>
        <v>#N/A</v>
      </c>
      <c r="G278" t="str">
        <f t="shared" si="194"/>
        <v/>
      </c>
      <c r="I278" t="e">
        <f>VLOOKUP(F278,'1PROJE'!$B$7:$F$26,2,0)</f>
        <v>#N/A</v>
      </c>
      <c r="J278" t="e">
        <f>VLOOKUP(F278,'1PROJE'!$B$7:$F$26,4,0)</f>
        <v>#N/A</v>
      </c>
      <c r="K278" t="e">
        <f>VLOOKUP(F278,'1PROJE'!$B$7:$F$26,5,0)</f>
        <v>#N/A</v>
      </c>
    </row>
    <row r="279" spans="2:61">
      <c r="B279">
        <f t="shared" si="192"/>
        <v>0</v>
      </c>
      <c r="F279" s="57" t="e">
        <f t="shared" si="193"/>
        <v>#N/A</v>
      </c>
      <c r="G279" t="str">
        <f t="shared" si="194"/>
        <v/>
      </c>
      <c r="I279" t="e">
        <f>VLOOKUP(F279,'1PROJE'!$B$7:$F$26,2,0)</f>
        <v>#N/A</v>
      </c>
      <c r="J279" t="e">
        <f>VLOOKUP(F279,'1PROJE'!$B$7:$F$26,4,0)</f>
        <v>#N/A</v>
      </c>
      <c r="K279" t="e">
        <f>VLOOKUP(F279,'1PROJE'!$B$7:$F$26,5,0)</f>
        <v>#N/A</v>
      </c>
      <c r="AG279" s="62" t="s">
        <v>657</v>
      </c>
      <c r="AH279" s="62"/>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row>
    <row r="280" spans="2:61">
      <c r="B280">
        <f t="shared" si="192"/>
        <v>0</v>
      </c>
      <c r="F280" s="57" t="e">
        <f t="shared" si="193"/>
        <v>#N/A</v>
      </c>
      <c r="G280" t="str">
        <f t="shared" si="194"/>
        <v/>
      </c>
      <c r="I280" t="e">
        <f>VLOOKUP(F280,'1PROJE'!$B$7:$F$26,2,0)</f>
        <v>#N/A</v>
      </c>
      <c r="J280" t="e">
        <f>VLOOKUP(F280,'1PROJE'!$B$7:$F$26,4,0)</f>
        <v>#N/A</v>
      </c>
      <c r="K280" t="e">
        <f>VLOOKUP(F280,'1PROJE'!$B$7:$F$26,5,0)</f>
        <v>#N/A</v>
      </c>
    </row>
    <row r="281" spans="2:61">
      <c r="B281">
        <f t="shared" si="192"/>
        <v>0</v>
      </c>
      <c r="F281" s="57" t="e">
        <f t="shared" si="193"/>
        <v>#N/A</v>
      </c>
      <c r="G281" t="str">
        <f t="shared" si="194"/>
        <v/>
      </c>
      <c r="I281" t="e">
        <f>VLOOKUP(F281,'1PROJE'!$B$7:$F$26,2,0)</f>
        <v>#N/A</v>
      </c>
      <c r="J281" t="e">
        <f>VLOOKUP(F281,'1PROJE'!$B$7:$F$26,4,0)</f>
        <v>#N/A</v>
      </c>
      <c r="K281" t="e">
        <f>VLOOKUP(F281,'1PROJE'!$B$7:$F$26,5,0)</f>
        <v>#N/A</v>
      </c>
      <c r="AH281" s="37" t="e" cm="1">
        <f t="array" ref="AH281">_xlfn._xlws.FILTER($AH$26:$FH$45,AH45:FH45&gt;0,"")</f>
        <v>#REF!</v>
      </c>
    </row>
    <row r="282" spans="2:61">
      <c r="B282">
        <f t="shared" si="192"/>
        <v>0</v>
      </c>
      <c r="F282" s="57" t="e">
        <f t="shared" si="193"/>
        <v>#N/A</v>
      </c>
      <c r="G282" t="str">
        <f t="shared" si="194"/>
        <v/>
      </c>
      <c r="I282" t="e">
        <f>VLOOKUP(F282,'1PROJE'!$B$7:$F$26,2,0)</f>
        <v>#N/A</v>
      </c>
      <c r="J282" t="e">
        <f>VLOOKUP(F282,'1PROJE'!$B$7:$F$26,4,0)</f>
        <v>#N/A</v>
      </c>
      <c r="K282" t="e">
        <f>VLOOKUP(F282,'1PROJE'!$B$7:$F$26,5,0)</f>
        <v>#N/A</v>
      </c>
    </row>
    <row r="283" spans="2:61">
      <c r="B283">
        <f t="shared" si="192"/>
        <v>0</v>
      </c>
      <c r="F283" s="57" t="e">
        <f t="shared" si="193"/>
        <v>#N/A</v>
      </c>
      <c r="G283" t="str">
        <f t="shared" si="194"/>
        <v/>
      </c>
      <c r="I283" t="e">
        <f>VLOOKUP(F283,'1PROJE'!$B$7:$F$26,2,0)</f>
        <v>#N/A</v>
      </c>
      <c r="J283" t="e">
        <f>VLOOKUP(F283,'1PROJE'!$B$7:$F$26,4,0)</f>
        <v>#N/A</v>
      </c>
      <c r="K283" t="e">
        <f>VLOOKUP(F283,'1PROJE'!$B$7:$F$26,5,0)</f>
        <v>#N/A</v>
      </c>
    </row>
    <row r="284" spans="2:61">
      <c r="B284">
        <f t="shared" si="192"/>
        <v>0</v>
      </c>
      <c r="F284" s="57" t="e">
        <f t="shared" si="193"/>
        <v>#N/A</v>
      </c>
      <c r="G284" t="str">
        <f t="shared" si="194"/>
        <v/>
      </c>
      <c r="I284" t="e">
        <f>VLOOKUP(F284,'1PROJE'!$B$7:$F$26,2,0)</f>
        <v>#N/A</v>
      </c>
      <c r="J284" t="e">
        <f>VLOOKUP(F284,'1PROJE'!$B$7:$F$26,4,0)</f>
        <v>#N/A</v>
      </c>
      <c r="K284" t="e">
        <f>VLOOKUP(F284,'1PROJE'!$B$7:$F$26,5,0)</f>
        <v>#N/A</v>
      </c>
    </row>
    <row r="285" spans="2:61">
      <c r="B285">
        <f t="shared" si="192"/>
        <v>0</v>
      </c>
      <c r="F285" s="57" t="e">
        <f t="shared" si="193"/>
        <v>#N/A</v>
      </c>
      <c r="G285" t="str">
        <f t="shared" si="194"/>
        <v/>
      </c>
      <c r="I285" t="e">
        <f>VLOOKUP(F285,'1PROJE'!$B$7:$F$26,2,0)</f>
        <v>#N/A</v>
      </c>
      <c r="J285" t="e">
        <f>VLOOKUP(F285,'1PROJE'!$B$7:$F$26,4,0)</f>
        <v>#N/A</v>
      </c>
      <c r="K285" t="e">
        <f>VLOOKUP(F285,'1PROJE'!$B$7:$F$26,5,0)</f>
        <v>#N/A</v>
      </c>
    </row>
    <row r="286" spans="2:61">
      <c r="B286">
        <f t="shared" si="192"/>
        <v>0</v>
      </c>
      <c r="F286" s="57" t="e">
        <f t="shared" si="193"/>
        <v>#N/A</v>
      </c>
      <c r="G286" t="str">
        <f t="shared" si="194"/>
        <v/>
      </c>
      <c r="I286" t="e">
        <f>VLOOKUP(F286,'1PROJE'!$B$7:$F$26,2,0)</f>
        <v>#N/A</v>
      </c>
      <c r="J286" t="e">
        <f>VLOOKUP(F286,'1PROJE'!$B$7:$F$26,4,0)</f>
        <v>#N/A</v>
      </c>
      <c r="K286" t="e">
        <f>VLOOKUP(F286,'1PROJE'!$B$7:$F$26,5,0)</f>
        <v>#N/A</v>
      </c>
    </row>
    <row r="287" spans="2:61">
      <c r="B287">
        <f t="shared" si="192"/>
        <v>0</v>
      </c>
      <c r="F287" s="57" t="e">
        <f t="shared" si="193"/>
        <v>#N/A</v>
      </c>
      <c r="G287" t="str">
        <f t="shared" si="194"/>
        <v/>
      </c>
      <c r="I287" t="e">
        <f>VLOOKUP(F287,'1PROJE'!$B$7:$F$26,2,0)</f>
        <v>#N/A</v>
      </c>
      <c r="J287" t="e">
        <f>VLOOKUP(F287,'1PROJE'!$B$7:$F$26,4,0)</f>
        <v>#N/A</v>
      </c>
      <c r="K287" t="e">
        <f>VLOOKUP(F287,'1PROJE'!$B$7:$F$26,5,0)</f>
        <v>#N/A</v>
      </c>
    </row>
    <row r="288" spans="2:61">
      <c r="B288">
        <f t="shared" si="192"/>
        <v>0</v>
      </c>
      <c r="F288" s="57" t="e">
        <f t="shared" si="193"/>
        <v>#N/A</v>
      </c>
      <c r="G288" t="str">
        <f t="shared" si="194"/>
        <v/>
      </c>
      <c r="I288" t="e">
        <f>VLOOKUP(F288,'1PROJE'!$B$7:$F$26,2,0)</f>
        <v>#N/A</v>
      </c>
      <c r="J288" t="e">
        <f>VLOOKUP(F288,'1PROJE'!$B$7:$F$26,4,0)</f>
        <v>#N/A</v>
      </c>
      <c r="K288" t="e">
        <f>VLOOKUP(F288,'1PROJE'!$B$7:$F$26,5,0)</f>
        <v>#N/A</v>
      </c>
    </row>
    <row r="289" spans="2:61">
      <c r="B289">
        <f t="shared" si="192"/>
        <v>0</v>
      </c>
      <c r="F289" s="57" t="e">
        <f t="shared" si="193"/>
        <v>#N/A</v>
      </c>
      <c r="G289" t="str">
        <f t="shared" si="194"/>
        <v/>
      </c>
      <c r="I289" t="e">
        <f>VLOOKUP(F289,'1PROJE'!$B$7:$F$26,2,0)</f>
        <v>#N/A</v>
      </c>
      <c r="J289" t="e">
        <f>VLOOKUP(F289,'1PROJE'!$B$7:$F$26,4,0)</f>
        <v>#N/A</v>
      </c>
      <c r="K289" t="e">
        <f>VLOOKUP(F289,'1PROJE'!$B$7:$F$26,5,0)</f>
        <v>#N/A</v>
      </c>
    </row>
    <row r="290" spans="2:61">
      <c r="B290">
        <f t="shared" si="192"/>
        <v>0</v>
      </c>
      <c r="F290" s="57" t="e">
        <f t="shared" si="193"/>
        <v>#N/A</v>
      </c>
      <c r="G290" t="str">
        <f t="shared" si="194"/>
        <v/>
      </c>
      <c r="I290" t="e">
        <f>VLOOKUP(F290,'1PROJE'!$B$7:$F$26,2,0)</f>
        <v>#N/A</v>
      </c>
      <c r="J290" t="e">
        <f>VLOOKUP(F290,'1PROJE'!$B$7:$F$26,4,0)</f>
        <v>#N/A</v>
      </c>
      <c r="K290" t="e">
        <f>VLOOKUP(F290,'1PROJE'!$B$7:$F$26,5,0)</f>
        <v>#N/A</v>
      </c>
    </row>
    <row r="291" spans="2:61">
      <c r="B291">
        <f t="shared" si="192"/>
        <v>0</v>
      </c>
      <c r="F291" s="57" t="e">
        <f t="shared" si="193"/>
        <v>#N/A</v>
      </c>
      <c r="G291" t="str">
        <f t="shared" si="194"/>
        <v/>
      </c>
      <c r="I291" t="e">
        <f>VLOOKUP(F291,'1PROJE'!$B$7:$F$26,2,0)</f>
        <v>#N/A</v>
      </c>
      <c r="J291" t="e">
        <f>VLOOKUP(F291,'1PROJE'!$B$7:$F$26,4,0)</f>
        <v>#N/A</v>
      </c>
      <c r="K291" t="e">
        <f>VLOOKUP(F291,'1PROJE'!$B$7:$F$26,5,0)</f>
        <v>#N/A</v>
      </c>
    </row>
    <row r="292" spans="2:61">
      <c r="B292">
        <f t="shared" si="192"/>
        <v>0</v>
      </c>
      <c r="F292" s="57" t="e">
        <f t="shared" si="193"/>
        <v>#N/A</v>
      </c>
      <c r="G292" t="str">
        <f t="shared" si="194"/>
        <v/>
      </c>
      <c r="I292" t="e">
        <f>VLOOKUP(F292,'1PROJE'!$B$7:$F$26,2,0)</f>
        <v>#N/A</v>
      </c>
      <c r="J292" t="e">
        <f>VLOOKUP(F292,'1PROJE'!$B$7:$F$26,4,0)</f>
        <v>#N/A</v>
      </c>
      <c r="K292" t="e">
        <f>VLOOKUP(F292,'1PROJE'!$B$7:$F$26,5,0)</f>
        <v>#N/A</v>
      </c>
    </row>
    <row r="293" spans="2:61">
      <c r="B293">
        <f t="shared" si="192"/>
        <v>0</v>
      </c>
      <c r="F293" s="57" t="e">
        <f t="shared" si="193"/>
        <v>#N/A</v>
      </c>
      <c r="G293" t="str">
        <f t="shared" si="194"/>
        <v/>
      </c>
      <c r="I293" t="e">
        <f>VLOOKUP(F293,'1PROJE'!$B$7:$F$26,2,0)</f>
        <v>#N/A</v>
      </c>
      <c r="J293" t="e">
        <f>VLOOKUP(F293,'1PROJE'!$B$7:$F$26,4,0)</f>
        <v>#N/A</v>
      </c>
      <c r="K293" t="e">
        <f>VLOOKUP(F293,'1PROJE'!$B$7:$F$26,5,0)</f>
        <v>#N/A</v>
      </c>
    </row>
    <row r="294" spans="2:61">
      <c r="B294">
        <f t="shared" si="192"/>
        <v>0</v>
      </c>
      <c r="F294" s="57" t="e">
        <f t="shared" si="193"/>
        <v>#N/A</v>
      </c>
      <c r="G294" t="str">
        <f t="shared" si="194"/>
        <v/>
      </c>
      <c r="I294" t="e">
        <f>VLOOKUP(F294,'1PROJE'!$B$7:$F$26,2,0)</f>
        <v>#N/A</v>
      </c>
      <c r="J294" t="e">
        <f>VLOOKUP(F294,'1PROJE'!$B$7:$F$26,4,0)</f>
        <v>#N/A</v>
      </c>
      <c r="K294" t="e">
        <f>VLOOKUP(F294,'1PROJE'!$B$7:$F$26,5,0)</f>
        <v>#N/A</v>
      </c>
    </row>
    <row r="295" spans="2:61">
      <c r="B295">
        <f t="shared" ref="B295:B326" si="195">IF(($C$29-A95)&lt;0,0,"POZ"&amp;" "&amp;$D$61&amp;"."&amp;A95)</f>
        <v>0</v>
      </c>
      <c r="F295" s="57" t="e">
        <f t="shared" si="193"/>
        <v>#N/A</v>
      </c>
      <c r="G295" t="str">
        <f t="shared" si="194"/>
        <v/>
      </c>
      <c r="I295" t="e">
        <f>VLOOKUP(F295,'1PROJE'!$B$7:$F$26,2,0)</f>
        <v>#N/A</v>
      </c>
      <c r="J295" t="e">
        <f>VLOOKUP(F295,'1PROJE'!$B$7:$F$26,4,0)</f>
        <v>#N/A</v>
      </c>
      <c r="K295" t="e">
        <f>VLOOKUP(F295,'1PROJE'!$B$7:$F$26,5,0)</f>
        <v>#N/A</v>
      </c>
    </row>
    <row r="296" spans="2:61">
      <c r="B296">
        <f t="shared" si="195"/>
        <v>0</v>
      </c>
      <c r="F296" s="57" t="e">
        <f t="shared" si="193"/>
        <v>#N/A</v>
      </c>
      <c r="G296" t="str">
        <f t="shared" si="194"/>
        <v/>
      </c>
      <c r="I296" t="e">
        <f>VLOOKUP(F296,'1PROJE'!$B$7:$F$26,2,0)</f>
        <v>#N/A</v>
      </c>
      <c r="J296" t="e">
        <f>VLOOKUP(F296,'1PROJE'!$B$7:$F$26,4,0)</f>
        <v>#N/A</v>
      </c>
      <c r="K296" t="e">
        <f>VLOOKUP(F296,'1PROJE'!$B$7:$F$26,5,0)</f>
        <v>#N/A</v>
      </c>
    </row>
    <row r="297" spans="2:61">
      <c r="B297">
        <f t="shared" si="195"/>
        <v>0</v>
      </c>
      <c r="F297" s="57" t="e">
        <f t="shared" si="193"/>
        <v>#N/A</v>
      </c>
      <c r="G297" t="str">
        <f t="shared" si="194"/>
        <v/>
      </c>
      <c r="I297" t="e">
        <f>VLOOKUP(F297,'1PROJE'!$B$7:$F$26,2,0)</f>
        <v>#N/A</v>
      </c>
      <c r="J297" t="e">
        <f>VLOOKUP(F297,'1PROJE'!$B$7:$F$26,4,0)</f>
        <v>#N/A</v>
      </c>
      <c r="K297" t="e">
        <f>VLOOKUP(F297,'1PROJE'!$B$7:$F$26,5,0)</f>
        <v>#N/A</v>
      </c>
    </row>
    <row r="298" spans="2:61">
      <c r="B298">
        <f t="shared" si="195"/>
        <v>0</v>
      </c>
      <c r="F298" s="57" t="e">
        <f t="shared" si="193"/>
        <v>#N/A</v>
      </c>
      <c r="G298" t="str">
        <f t="shared" si="194"/>
        <v/>
      </c>
      <c r="I298" t="e">
        <f>VLOOKUP(F298,'1PROJE'!$B$7:$F$26,2,0)</f>
        <v>#N/A</v>
      </c>
      <c r="J298" t="e">
        <f>VLOOKUP(F298,'1PROJE'!$B$7:$F$26,4,0)</f>
        <v>#N/A</v>
      </c>
      <c r="K298" t="e">
        <f>VLOOKUP(F298,'1PROJE'!$B$7:$F$26,5,0)</f>
        <v>#N/A</v>
      </c>
    </row>
    <row r="299" spans="2:61">
      <c r="B299">
        <f t="shared" si="195"/>
        <v>0</v>
      </c>
      <c r="F299" s="57" t="e">
        <f t="shared" si="193"/>
        <v>#N/A</v>
      </c>
      <c r="G299" t="str">
        <f t="shared" si="194"/>
        <v/>
      </c>
      <c r="I299" t="e">
        <f>VLOOKUP(F299,'1PROJE'!$B$7:$F$26,2,0)</f>
        <v>#N/A</v>
      </c>
      <c r="J299" t="e">
        <f>VLOOKUP(F299,'1PROJE'!$B$7:$F$26,4,0)</f>
        <v>#N/A</v>
      </c>
      <c r="K299" t="e">
        <f>VLOOKUP(F299,'1PROJE'!$B$7:$F$26,5,0)</f>
        <v>#N/A</v>
      </c>
    </row>
    <row r="300" spans="2:61">
      <c r="B300">
        <f t="shared" si="195"/>
        <v>0</v>
      </c>
      <c r="F300" s="57" t="e">
        <f t="shared" si="193"/>
        <v>#N/A</v>
      </c>
      <c r="G300" t="str">
        <f t="shared" si="194"/>
        <v/>
      </c>
      <c r="I300" t="e">
        <f>VLOOKUP(F300,'1PROJE'!$B$7:$F$26,2,0)</f>
        <v>#N/A</v>
      </c>
      <c r="J300" t="e">
        <f>VLOOKUP(F300,'1PROJE'!$B$7:$F$26,4,0)</f>
        <v>#N/A</v>
      </c>
      <c r="K300" t="e">
        <f>VLOOKUP(F300,'1PROJE'!$B$7:$F$26,5,0)</f>
        <v>#N/A</v>
      </c>
      <c r="AG300" s="62" t="s">
        <v>658</v>
      </c>
      <c r="AH300" s="62"/>
      <c r="AI300" s="62"/>
      <c r="AJ300" s="62"/>
      <c r="AK300" s="62"/>
      <c r="AL300" s="62"/>
      <c r="AM300" s="62"/>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row>
    <row r="301" spans="2:61">
      <c r="B301">
        <f t="shared" si="195"/>
        <v>0</v>
      </c>
      <c r="F301" s="57" t="e">
        <f t="shared" si="193"/>
        <v>#N/A</v>
      </c>
      <c r="G301" t="str">
        <f t="shared" si="194"/>
        <v/>
      </c>
      <c r="I301" t="e">
        <f>VLOOKUP(F301,'1PROJE'!$B$7:$F$26,2,0)</f>
        <v>#N/A</v>
      </c>
      <c r="J301" t="e">
        <f>VLOOKUP(F301,'1PROJE'!$B$7:$F$26,4,0)</f>
        <v>#N/A</v>
      </c>
      <c r="K301" t="e">
        <f>VLOOKUP(F301,'1PROJE'!$B$7:$F$26,5,0)</f>
        <v>#N/A</v>
      </c>
    </row>
    <row r="302" spans="2:61">
      <c r="B302">
        <f t="shared" si="195"/>
        <v>0</v>
      </c>
      <c r="F302" s="57" t="e">
        <f t="shared" si="193"/>
        <v>#N/A</v>
      </c>
      <c r="G302" t="str">
        <f t="shared" si="194"/>
        <v/>
      </c>
      <c r="I302" t="e">
        <f>VLOOKUP(F302,'1PROJE'!$B$7:$F$26,2,0)</f>
        <v>#N/A</v>
      </c>
      <c r="J302" t="e">
        <f>VLOOKUP(F302,'1PROJE'!$B$7:$F$26,4,0)</f>
        <v>#N/A</v>
      </c>
      <c r="K302" t="e">
        <f>VLOOKUP(F302,'1PROJE'!$B$7:$F$26,5,0)</f>
        <v>#N/A</v>
      </c>
      <c r="AH302" s="37" t="e" cm="1">
        <f t="array" ref="AH302">_xlfn._xlws.FILTER($AH$26:$FH$46,AH46:FH46&gt;0,"")</f>
        <v>#REF!</v>
      </c>
    </row>
    <row r="303" spans="2:61">
      <c r="B303">
        <f t="shared" si="195"/>
        <v>0</v>
      </c>
      <c r="F303" s="57" t="e">
        <f t="shared" si="193"/>
        <v>#N/A</v>
      </c>
      <c r="G303" t="str">
        <f t="shared" si="194"/>
        <v/>
      </c>
      <c r="I303" t="e">
        <f>VLOOKUP(F303,'1PROJE'!$B$7:$F$26,2,0)</f>
        <v>#N/A</v>
      </c>
      <c r="J303" t="e">
        <f>VLOOKUP(F303,'1PROJE'!$B$7:$F$26,4,0)</f>
        <v>#N/A</v>
      </c>
      <c r="K303" t="e">
        <f>VLOOKUP(F303,'1PROJE'!$B$7:$F$26,5,0)</f>
        <v>#N/A</v>
      </c>
    </row>
    <row r="304" spans="2:61">
      <c r="B304">
        <f t="shared" si="195"/>
        <v>0</v>
      </c>
      <c r="F304" s="57" t="e">
        <f t="shared" si="193"/>
        <v>#N/A</v>
      </c>
      <c r="G304" t="str">
        <f t="shared" si="194"/>
        <v/>
      </c>
      <c r="I304" t="e">
        <f>VLOOKUP(F304,'1PROJE'!$B$7:$F$26,2,0)</f>
        <v>#N/A</v>
      </c>
      <c r="J304" t="e">
        <f>VLOOKUP(F304,'1PROJE'!$B$7:$F$26,4,0)</f>
        <v>#N/A</v>
      </c>
      <c r="K304" t="e">
        <f>VLOOKUP(F304,'1PROJE'!$B$7:$F$26,5,0)</f>
        <v>#N/A</v>
      </c>
    </row>
    <row r="305" spans="2:11">
      <c r="B305">
        <f t="shared" si="195"/>
        <v>0</v>
      </c>
      <c r="F305" s="57" t="e">
        <f t="shared" si="193"/>
        <v>#N/A</v>
      </c>
      <c r="G305" t="str">
        <f t="shared" si="194"/>
        <v/>
      </c>
      <c r="I305" t="e">
        <f>VLOOKUP(F305,'1PROJE'!$B$7:$F$26,2,0)</f>
        <v>#N/A</v>
      </c>
      <c r="J305" t="e">
        <f>VLOOKUP(F305,'1PROJE'!$B$7:$F$26,4,0)</f>
        <v>#N/A</v>
      </c>
      <c r="K305" t="e">
        <f>VLOOKUP(F305,'1PROJE'!$B$7:$F$26,5,0)</f>
        <v>#N/A</v>
      </c>
    </row>
    <row r="306" spans="2:11">
      <c r="B306">
        <f t="shared" si="195"/>
        <v>0</v>
      </c>
      <c r="F306" s="57" t="e">
        <f t="shared" si="193"/>
        <v>#N/A</v>
      </c>
      <c r="G306" t="str">
        <f t="shared" si="194"/>
        <v/>
      </c>
      <c r="I306" t="e">
        <f>VLOOKUP(F306,'1PROJE'!$B$7:$F$26,2,0)</f>
        <v>#N/A</v>
      </c>
      <c r="J306" t="e">
        <f>VLOOKUP(F306,'1PROJE'!$B$7:$F$26,4,0)</f>
        <v>#N/A</v>
      </c>
      <c r="K306" t="e">
        <f>VLOOKUP(F306,'1PROJE'!$B$7:$F$26,5,0)</f>
        <v>#N/A</v>
      </c>
    </row>
    <row r="307" spans="2:11">
      <c r="B307">
        <f t="shared" si="195"/>
        <v>0</v>
      </c>
      <c r="F307" s="57" t="e">
        <f t="shared" si="193"/>
        <v>#N/A</v>
      </c>
      <c r="G307" t="str">
        <f t="shared" si="194"/>
        <v/>
      </c>
      <c r="I307" t="e">
        <f>VLOOKUP(F307,'1PROJE'!$B$7:$F$26,2,0)</f>
        <v>#N/A</v>
      </c>
      <c r="J307" t="e">
        <f>VLOOKUP(F307,'1PROJE'!$B$7:$F$26,4,0)</f>
        <v>#N/A</v>
      </c>
      <c r="K307" t="e">
        <f>VLOOKUP(F307,'1PROJE'!$B$7:$F$26,5,0)</f>
        <v>#N/A</v>
      </c>
    </row>
    <row r="308" spans="2:11">
      <c r="B308">
        <f t="shared" si="195"/>
        <v>0</v>
      </c>
      <c r="F308" s="57" t="e">
        <f t="shared" si="193"/>
        <v>#N/A</v>
      </c>
      <c r="G308" t="str">
        <f t="shared" si="194"/>
        <v/>
      </c>
      <c r="I308" t="e">
        <f>VLOOKUP(F308,'1PROJE'!$B$7:$F$26,2,0)</f>
        <v>#N/A</v>
      </c>
      <c r="J308" t="e">
        <f>VLOOKUP(F308,'1PROJE'!$B$7:$F$26,4,0)</f>
        <v>#N/A</v>
      </c>
      <c r="K308" t="e">
        <f>VLOOKUP(F308,'1PROJE'!$B$7:$F$26,5,0)</f>
        <v>#N/A</v>
      </c>
    </row>
    <row r="309" spans="2:11">
      <c r="B309">
        <f t="shared" si="195"/>
        <v>0</v>
      </c>
      <c r="F309" s="57" t="e">
        <f t="shared" si="193"/>
        <v>#N/A</v>
      </c>
      <c r="G309" t="str">
        <f t="shared" si="194"/>
        <v/>
      </c>
      <c r="I309" t="e">
        <f>VLOOKUP(F309,'1PROJE'!$B$7:$F$26,2,0)</f>
        <v>#N/A</v>
      </c>
      <c r="J309" t="e">
        <f>VLOOKUP(F309,'1PROJE'!$B$7:$F$26,4,0)</f>
        <v>#N/A</v>
      </c>
      <c r="K309" t="e">
        <f>VLOOKUP(F309,'1PROJE'!$B$7:$F$26,5,0)</f>
        <v>#N/A</v>
      </c>
    </row>
    <row r="310" spans="2:11">
      <c r="B310">
        <f t="shared" si="195"/>
        <v>0</v>
      </c>
      <c r="F310" s="57" t="e">
        <f t="shared" si="193"/>
        <v>#N/A</v>
      </c>
      <c r="G310" t="str">
        <f t="shared" si="194"/>
        <v/>
      </c>
      <c r="I310" t="e">
        <f>VLOOKUP(F310,'1PROJE'!$B$7:$F$26,2,0)</f>
        <v>#N/A</v>
      </c>
      <c r="J310" t="e">
        <f>VLOOKUP(F310,'1PROJE'!$B$7:$F$26,4,0)</f>
        <v>#N/A</v>
      </c>
      <c r="K310" t="e">
        <f>VLOOKUP(F310,'1PROJE'!$B$7:$F$26,5,0)</f>
        <v>#N/A</v>
      </c>
    </row>
    <row r="311" spans="2:11">
      <c r="B311">
        <f t="shared" si="195"/>
        <v>0</v>
      </c>
      <c r="F311" s="57" t="e">
        <f t="shared" si="193"/>
        <v>#N/A</v>
      </c>
      <c r="G311" t="str">
        <f t="shared" si="194"/>
        <v/>
      </c>
      <c r="I311" t="e">
        <f>VLOOKUP(F311,'1PROJE'!$B$7:$F$26,2,0)</f>
        <v>#N/A</v>
      </c>
      <c r="J311" t="e">
        <f>VLOOKUP(F311,'1PROJE'!$B$7:$F$26,4,0)</f>
        <v>#N/A</v>
      </c>
      <c r="K311" t="e">
        <f>VLOOKUP(F311,'1PROJE'!$B$7:$F$26,5,0)</f>
        <v>#N/A</v>
      </c>
    </row>
    <row r="312" spans="2:11">
      <c r="B312">
        <f t="shared" si="195"/>
        <v>0</v>
      </c>
      <c r="F312" s="57" t="e">
        <f t="shared" si="193"/>
        <v>#N/A</v>
      </c>
      <c r="G312" t="str">
        <f t="shared" si="194"/>
        <v/>
      </c>
      <c r="I312" t="e">
        <f>VLOOKUP(F312,'1PROJE'!$B$7:$F$26,2,0)</f>
        <v>#N/A</v>
      </c>
      <c r="J312" t="e">
        <f>VLOOKUP(F312,'1PROJE'!$B$7:$F$26,4,0)</f>
        <v>#N/A</v>
      </c>
      <c r="K312" t="e">
        <f>VLOOKUP(F312,'1PROJE'!$B$7:$F$26,5,0)</f>
        <v>#N/A</v>
      </c>
    </row>
    <row r="313" spans="2:11">
      <c r="B313">
        <f t="shared" si="195"/>
        <v>0</v>
      </c>
      <c r="F313" s="57" t="e">
        <f t="shared" si="193"/>
        <v>#N/A</v>
      </c>
      <c r="G313" t="str">
        <f t="shared" si="194"/>
        <v/>
      </c>
      <c r="I313" t="e">
        <f>VLOOKUP(F313,'1PROJE'!$B$7:$F$26,2,0)</f>
        <v>#N/A</v>
      </c>
      <c r="J313" t="e">
        <f>VLOOKUP(F313,'1PROJE'!$B$7:$F$26,4,0)</f>
        <v>#N/A</v>
      </c>
      <c r="K313" t="e">
        <f>VLOOKUP(F313,'1PROJE'!$B$7:$F$26,5,0)</f>
        <v>#N/A</v>
      </c>
    </row>
    <row r="314" spans="2:11">
      <c r="B314">
        <f t="shared" si="195"/>
        <v>0</v>
      </c>
      <c r="F314" s="57" t="e">
        <f t="shared" si="193"/>
        <v>#N/A</v>
      </c>
      <c r="G314" t="str">
        <f t="shared" si="194"/>
        <v/>
      </c>
      <c r="I314" t="e">
        <f>VLOOKUP(F314,'1PROJE'!$B$7:$F$26,2,0)</f>
        <v>#N/A</v>
      </c>
      <c r="J314" t="e">
        <f>VLOOKUP(F314,'1PROJE'!$B$7:$F$26,4,0)</f>
        <v>#N/A</v>
      </c>
      <c r="K314" t="e">
        <f>VLOOKUP(F314,'1PROJE'!$B$7:$F$26,5,0)</f>
        <v>#N/A</v>
      </c>
    </row>
    <row r="315" spans="2:11">
      <c r="B315">
        <f t="shared" si="195"/>
        <v>0</v>
      </c>
      <c r="F315" s="57" t="e">
        <f t="shared" si="193"/>
        <v>#N/A</v>
      </c>
      <c r="G315" t="str">
        <f t="shared" si="194"/>
        <v/>
      </c>
      <c r="I315" t="e">
        <f>VLOOKUP(F315,'1PROJE'!$B$7:$F$26,2,0)</f>
        <v>#N/A</v>
      </c>
      <c r="J315" t="e">
        <f>VLOOKUP(F315,'1PROJE'!$B$7:$F$26,4,0)</f>
        <v>#N/A</v>
      </c>
      <c r="K315" t="e">
        <f>VLOOKUP(F315,'1PROJE'!$B$7:$F$26,5,0)</f>
        <v>#N/A</v>
      </c>
    </row>
    <row r="316" spans="2:11">
      <c r="B316">
        <f t="shared" si="195"/>
        <v>0</v>
      </c>
      <c r="F316" s="57" t="e">
        <f t="shared" si="193"/>
        <v>#N/A</v>
      </c>
      <c r="G316" t="str">
        <f t="shared" si="194"/>
        <v/>
      </c>
      <c r="I316" t="e">
        <f>VLOOKUP(F316,'1PROJE'!$B$7:$F$26,2,0)</f>
        <v>#N/A</v>
      </c>
      <c r="J316" t="e">
        <f>VLOOKUP(F316,'1PROJE'!$B$7:$F$26,4,0)</f>
        <v>#N/A</v>
      </c>
      <c r="K316" t="e">
        <f>VLOOKUP(F316,'1PROJE'!$B$7:$F$26,5,0)</f>
        <v>#N/A</v>
      </c>
    </row>
    <row r="317" spans="2:11">
      <c r="B317">
        <f t="shared" si="195"/>
        <v>0</v>
      </c>
      <c r="F317" s="57" t="e">
        <f t="shared" si="193"/>
        <v>#N/A</v>
      </c>
      <c r="G317" t="str">
        <f t="shared" si="194"/>
        <v/>
      </c>
      <c r="I317" t="e">
        <f>VLOOKUP(F317,'1PROJE'!$B$7:$F$26,2,0)</f>
        <v>#N/A</v>
      </c>
      <c r="J317" t="e">
        <f>VLOOKUP(F317,'1PROJE'!$B$7:$F$26,4,0)</f>
        <v>#N/A</v>
      </c>
      <c r="K317" t="e">
        <f>VLOOKUP(F317,'1PROJE'!$B$7:$F$26,5,0)</f>
        <v>#N/A</v>
      </c>
    </row>
    <row r="318" spans="2:11">
      <c r="B318">
        <f t="shared" si="195"/>
        <v>0</v>
      </c>
      <c r="F318" s="57" t="e">
        <f t="shared" si="193"/>
        <v>#N/A</v>
      </c>
      <c r="G318" t="str">
        <f t="shared" si="194"/>
        <v/>
      </c>
      <c r="I318" t="e">
        <f>VLOOKUP(F318,'1PROJE'!$B$7:$F$26,2,0)</f>
        <v>#N/A</v>
      </c>
      <c r="J318" t="e">
        <f>VLOOKUP(F318,'1PROJE'!$B$7:$F$26,4,0)</f>
        <v>#N/A</v>
      </c>
      <c r="K318" t="e">
        <f>VLOOKUP(F318,'1PROJE'!$B$7:$F$26,5,0)</f>
        <v>#N/A</v>
      </c>
    </row>
    <row r="319" spans="2:11">
      <c r="B319">
        <f t="shared" si="195"/>
        <v>0</v>
      </c>
      <c r="F319" s="57" t="e">
        <f t="shared" si="193"/>
        <v>#N/A</v>
      </c>
      <c r="G319" t="str">
        <f t="shared" si="194"/>
        <v/>
      </c>
      <c r="I319" t="e">
        <f>VLOOKUP(F319,'1PROJE'!$B$7:$F$26,2,0)</f>
        <v>#N/A</v>
      </c>
      <c r="J319" t="e">
        <f>VLOOKUP(F319,'1PROJE'!$B$7:$F$26,4,0)</f>
        <v>#N/A</v>
      </c>
      <c r="K319" t="e">
        <f>VLOOKUP(F319,'1PROJE'!$B$7:$F$26,5,0)</f>
        <v>#N/A</v>
      </c>
    </row>
    <row r="320" spans="2:11">
      <c r="B320">
        <f t="shared" si="195"/>
        <v>0</v>
      </c>
      <c r="F320" s="57" t="e">
        <f t="shared" si="193"/>
        <v>#N/A</v>
      </c>
      <c r="G320" t="str">
        <f t="shared" si="194"/>
        <v/>
      </c>
      <c r="I320" t="e">
        <f>VLOOKUP(F320,'1PROJE'!$B$7:$F$26,2,0)</f>
        <v>#N/A</v>
      </c>
      <c r="J320" t="e">
        <f>VLOOKUP(F320,'1PROJE'!$B$7:$F$26,4,0)</f>
        <v>#N/A</v>
      </c>
      <c r="K320" t="e">
        <f>VLOOKUP(F320,'1PROJE'!$B$7:$F$26,5,0)</f>
        <v>#N/A</v>
      </c>
    </row>
    <row r="321" spans="2:61">
      <c r="B321">
        <f t="shared" si="195"/>
        <v>0</v>
      </c>
      <c r="F321" s="57" t="e">
        <f t="shared" si="193"/>
        <v>#N/A</v>
      </c>
      <c r="G321" t="str">
        <f t="shared" si="194"/>
        <v/>
      </c>
      <c r="I321" t="e">
        <f>VLOOKUP(F321,'1PROJE'!$B$7:$F$26,2,0)</f>
        <v>#N/A</v>
      </c>
      <c r="J321" t="e">
        <f>VLOOKUP(F321,'1PROJE'!$B$7:$F$26,4,0)</f>
        <v>#N/A</v>
      </c>
      <c r="K321" t="e">
        <f>VLOOKUP(F321,'1PROJE'!$B$7:$F$26,5,0)</f>
        <v>#N/A</v>
      </c>
    </row>
    <row r="322" spans="2:61">
      <c r="B322">
        <f t="shared" si="195"/>
        <v>0</v>
      </c>
      <c r="F322" s="57" t="e">
        <f t="shared" si="193"/>
        <v>#N/A</v>
      </c>
      <c r="G322" t="str">
        <f t="shared" si="194"/>
        <v/>
      </c>
      <c r="I322" t="e">
        <f>VLOOKUP(F322,'1PROJE'!$B$7:$F$26,2,0)</f>
        <v>#N/A</v>
      </c>
      <c r="J322" t="e">
        <f>VLOOKUP(F322,'1PROJE'!$B$7:$F$26,4,0)</f>
        <v>#N/A</v>
      </c>
      <c r="K322" t="e">
        <f>VLOOKUP(F322,'1PROJE'!$B$7:$F$26,5,0)</f>
        <v>#N/A</v>
      </c>
      <c r="AG322" s="62" t="s">
        <v>659</v>
      </c>
      <c r="AH322" s="62"/>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row>
    <row r="323" spans="2:61">
      <c r="B323">
        <f t="shared" si="195"/>
        <v>0</v>
      </c>
      <c r="F323" s="57" t="e">
        <f t="shared" si="193"/>
        <v>#N/A</v>
      </c>
      <c r="G323" t="str">
        <f t="shared" si="194"/>
        <v/>
      </c>
      <c r="I323" t="e">
        <f>VLOOKUP(F323,'1PROJE'!$B$7:$F$26,2,0)</f>
        <v>#N/A</v>
      </c>
      <c r="J323" t="e">
        <f>VLOOKUP(F323,'1PROJE'!$B$7:$F$26,4,0)</f>
        <v>#N/A</v>
      </c>
      <c r="K323" t="e">
        <f>VLOOKUP(F323,'1PROJE'!$B$7:$F$26,5,0)</f>
        <v>#N/A</v>
      </c>
    </row>
    <row r="324" spans="2:61">
      <c r="B324">
        <f t="shared" si="195"/>
        <v>0</v>
      </c>
      <c r="F324" s="57" t="e">
        <f t="shared" si="193"/>
        <v>#N/A</v>
      </c>
      <c r="G324" t="str">
        <f t="shared" si="194"/>
        <v/>
      </c>
      <c r="I324" t="e">
        <f>VLOOKUP(F324,'1PROJE'!$B$7:$F$26,2,0)</f>
        <v>#N/A</v>
      </c>
      <c r="J324" t="e">
        <f>VLOOKUP(F324,'1PROJE'!$B$7:$F$26,4,0)</f>
        <v>#N/A</v>
      </c>
      <c r="K324" t="e">
        <f>VLOOKUP(F324,'1PROJE'!$B$7:$F$26,5,0)</f>
        <v>#N/A</v>
      </c>
    </row>
    <row r="325" spans="2:61">
      <c r="B325">
        <f t="shared" si="195"/>
        <v>0</v>
      </c>
      <c r="F325" s="57" t="e">
        <f t="shared" si="193"/>
        <v>#N/A</v>
      </c>
      <c r="G325" t="str">
        <f t="shared" si="194"/>
        <v/>
      </c>
      <c r="I325" t="e">
        <f>VLOOKUP(F325,'1PROJE'!$B$7:$F$26,2,0)</f>
        <v>#N/A</v>
      </c>
      <c r="J325" t="e">
        <f>VLOOKUP(F325,'1PROJE'!$B$7:$F$26,4,0)</f>
        <v>#N/A</v>
      </c>
      <c r="K325" t="e">
        <f>VLOOKUP(F325,'1PROJE'!$B$7:$F$26,5,0)</f>
        <v>#N/A</v>
      </c>
    </row>
    <row r="326" spans="2:61">
      <c r="B326">
        <f t="shared" si="195"/>
        <v>0</v>
      </c>
      <c r="F326" s="57" t="e">
        <f t="shared" si="193"/>
        <v>#N/A</v>
      </c>
      <c r="G326" t="str">
        <f t="shared" si="194"/>
        <v/>
      </c>
      <c r="I326" t="e">
        <f>VLOOKUP(F326,'1PROJE'!$B$7:$F$26,2,0)</f>
        <v>#N/A</v>
      </c>
      <c r="J326" t="e">
        <f>VLOOKUP(F326,'1PROJE'!$B$7:$F$26,4,0)</f>
        <v>#N/A</v>
      </c>
      <c r="K326" t="e">
        <f>VLOOKUP(F326,'1PROJE'!$B$7:$F$26,5,0)</f>
        <v>#N/A</v>
      </c>
    </row>
    <row r="327" spans="2:61">
      <c r="B327">
        <f t="shared" ref="B327:B358" si="196">IF(($C$29-A127)&lt;0,0,"POZ"&amp;" "&amp;$D$61&amp;"."&amp;A127)</f>
        <v>0</v>
      </c>
      <c r="F327" s="57" t="e">
        <f t="shared" si="193"/>
        <v>#N/A</v>
      </c>
      <c r="G327" t="str">
        <f t="shared" si="194"/>
        <v/>
      </c>
      <c r="I327" t="e">
        <f>VLOOKUP(F327,'1PROJE'!$B$7:$F$26,2,0)</f>
        <v>#N/A</v>
      </c>
      <c r="J327" t="e">
        <f>VLOOKUP(F327,'1PROJE'!$B$7:$F$26,4,0)</f>
        <v>#N/A</v>
      </c>
      <c r="K327" t="e">
        <f>VLOOKUP(F327,'1PROJE'!$B$7:$F$26,5,0)</f>
        <v>#N/A</v>
      </c>
    </row>
    <row r="328" spans="2:61">
      <c r="B328">
        <f t="shared" si="196"/>
        <v>0</v>
      </c>
      <c r="F328" s="57" t="e">
        <f t="shared" si="193"/>
        <v>#N/A</v>
      </c>
      <c r="G328" t="str">
        <f t="shared" si="194"/>
        <v/>
      </c>
      <c r="I328" t="e">
        <f>VLOOKUP(F328,'1PROJE'!$B$7:$F$26,2,0)</f>
        <v>#N/A</v>
      </c>
      <c r="J328" t="e">
        <f>VLOOKUP(F328,'1PROJE'!$B$7:$F$26,4,0)</f>
        <v>#N/A</v>
      </c>
      <c r="K328" t="e">
        <f>VLOOKUP(F328,'1PROJE'!$B$7:$F$26,5,0)</f>
        <v>#N/A</v>
      </c>
    </row>
    <row r="329" spans="2:61">
      <c r="B329">
        <f t="shared" si="196"/>
        <v>0</v>
      </c>
      <c r="F329" s="57" t="e">
        <f t="shared" si="193"/>
        <v>#N/A</v>
      </c>
      <c r="G329" t="str">
        <f t="shared" si="194"/>
        <v/>
      </c>
      <c r="I329" t="e">
        <f>VLOOKUP(F329,'1PROJE'!$B$7:$F$26,2,0)</f>
        <v>#N/A</v>
      </c>
      <c r="J329" t="e">
        <f>VLOOKUP(F329,'1PROJE'!$B$7:$F$26,4,0)</f>
        <v>#N/A</v>
      </c>
      <c r="K329" t="e">
        <f>VLOOKUP(F329,'1PROJE'!$B$7:$F$26,5,0)</f>
        <v>#N/A</v>
      </c>
    </row>
    <row r="330" spans="2:61">
      <c r="B330">
        <f t="shared" si="196"/>
        <v>0</v>
      </c>
      <c r="F330" s="57" t="e">
        <f t="shared" si="193"/>
        <v>#N/A</v>
      </c>
      <c r="G330" t="str">
        <f t="shared" si="194"/>
        <v/>
      </c>
      <c r="I330" t="e">
        <f>VLOOKUP(F330,'1PROJE'!$B$7:$F$26,2,0)</f>
        <v>#N/A</v>
      </c>
      <c r="J330" t="e">
        <f>VLOOKUP(F330,'1PROJE'!$B$7:$F$26,4,0)</f>
        <v>#N/A</v>
      </c>
      <c r="K330" t="e">
        <f>VLOOKUP(F330,'1PROJE'!$B$7:$F$26,5,0)</f>
        <v>#N/A</v>
      </c>
    </row>
    <row r="331" spans="2:61">
      <c r="B331">
        <f t="shared" si="196"/>
        <v>0</v>
      </c>
      <c r="F331" s="57" t="e">
        <f t="shared" ref="F331:F394" si="197">VLOOKUP(G331,$C$64:$D$83,2,0)</f>
        <v>#N/A</v>
      </c>
      <c r="G331" t="str">
        <f t="shared" ref="G331:G394" si="198">LEFT(H331,6)</f>
        <v/>
      </c>
      <c r="I331" t="e">
        <f>VLOOKUP(F331,'1PROJE'!$B$7:$F$26,2,0)</f>
        <v>#N/A</v>
      </c>
      <c r="J331" t="e">
        <f>VLOOKUP(F331,'1PROJE'!$B$7:$F$26,4,0)</f>
        <v>#N/A</v>
      </c>
      <c r="K331" t="e">
        <f>VLOOKUP(F331,'1PROJE'!$B$7:$F$26,5,0)</f>
        <v>#N/A</v>
      </c>
    </row>
    <row r="332" spans="2:61">
      <c r="B332">
        <f t="shared" si="196"/>
        <v>0</v>
      </c>
      <c r="F332" s="57" t="e">
        <f t="shared" si="197"/>
        <v>#N/A</v>
      </c>
      <c r="G332" t="str">
        <f t="shared" si="198"/>
        <v/>
      </c>
      <c r="I332" t="e">
        <f>VLOOKUP(F332,'1PROJE'!$B$7:$F$26,2,0)</f>
        <v>#N/A</v>
      </c>
      <c r="J332" t="e">
        <f>VLOOKUP(F332,'1PROJE'!$B$7:$F$26,4,0)</f>
        <v>#N/A</v>
      </c>
      <c r="K332" t="e">
        <f>VLOOKUP(F332,'1PROJE'!$B$7:$F$26,5,0)</f>
        <v>#N/A</v>
      </c>
    </row>
    <row r="333" spans="2:61">
      <c r="B333">
        <f t="shared" si="196"/>
        <v>0</v>
      </c>
      <c r="F333" s="57" t="e">
        <f t="shared" si="197"/>
        <v>#N/A</v>
      </c>
      <c r="G333" t="str">
        <f t="shared" si="198"/>
        <v/>
      </c>
      <c r="I333" t="e">
        <f>VLOOKUP(F333,'1PROJE'!$B$7:$F$26,2,0)</f>
        <v>#N/A</v>
      </c>
      <c r="J333" t="e">
        <f>VLOOKUP(F333,'1PROJE'!$B$7:$F$26,4,0)</f>
        <v>#N/A</v>
      </c>
      <c r="K333" t="e">
        <f>VLOOKUP(F333,'1PROJE'!$B$7:$F$26,5,0)</f>
        <v>#N/A</v>
      </c>
    </row>
    <row r="334" spans="2:61">
      <c r="B334">
        <f t="shared" si="196"/>
        <v>0</v>
      </c>
      <c r="F334" s="57" t="e">
        <f t="shared" si="197"/>
        <v>#N/A</v>
      </c>
      <c r="G334" t="str">
        <f t="shared" si="198"/>
        <v/>
      </c>
      <c r="I334" t="e">
        <f>VLOOKUP(F334,'1PROJE'!$B$7:$F$26,2,0)</f>
        <v>#N/A</v>
      </c>
      <c r="J334" t="e">
        <f>VLOOKUP(F334,'1PROJE'!$B$7:$F$26,4,0)</f>
        <v>#N/A</v>
      </c>
      <c r="K334" t="e">
        <f>VLOOKUP(F334,'1PROJE'!$B$7:$F$26,5,0)</f>
        <v>#N/A</v>
      </c>
    </row>
    <row r="335" spans="2:61">
      <c r="B335">
        <f t="shared" si="196"/>
        <v>0</v>
      </c>
      <c r="F335" s="57" t="e">
        <f t="shared" si="197"/>
        <v>#N/A</v>
      </c>
      <c r="G335" t="str">
        <f t="shared" si="198"/>
        <v/>
      </c>
      <c r="I335" t="e">
        <f>VLOOKUP(F335,'1PROJE'!$B$7:$F$26,2,0)</f>
        <v>#N/A</v>
      </c>
      <c r="J335" t="e">
        <f>VLOOKUP(F335,'1PROJE'!$B$7:$F$26,4,0)</f>
        <v>#N/A</v>
      </c>
      <c r="K335" t="e">
        <f>VLOOKUP(F335,'1PROJE'!$B$7:$F$26,5,0)</f>
        <v>#N/A</v>
      </c>
    </row>
    <row r="336" spans="2:61">
      <c r="B336">
        <f t="shared" si="196"/>
        <v>0</v>
      </c>
      <c r="F336" s="57" t="e">
        <f t="shared" si="197"/>
        <v>#N/A</v>
      </c>
      <c r="G336" t="str">
        <f t="shared" si="198"/>
        <v/>
      </c>
      <c r="I336" t="e">
        <f>VLOOKUP(F336,'1PROJE'!$B$7:$F$26,2,0)</f>
        <v>#N/A</v>
      </c>
      <c r="J336" t="e">
        <f>VLOOKUP(F336,'1PROJE'!$B$7:$F$26,4,0)</f>
        <v>#N/A</v>
      </c>
      <c r="K336" t="e">
        <f>VLOOKUP(F336,'1PROJE'!$B$7:$F$26,5,0)</f>
        <v>#N/A</v>
      </c>
    </row>
    <row r="337" spans="2:11">
      <c r="B337">
        <f t="shared" si="196"/>
        <v>0</v>
      </c>
      <c r="F337" s="57" t="e">
        <f t="shared" si="197"/>
        <v>#N/A</v>
      </c>
      <c r="G337" t="str">
        <f t="shared" si="198"/>
        <v/>
      </c>
      <c r="I337" t="e">
        <f>VLOOKUP(F337,'1PROJE'!$B$7:$F$26,2,0)</f>
        <v>#N/A</v>
      </c>
      <c r="J337" t="e">
        <f>VLOOKUP(F337,'1PROJE'!$B$7:$F$26,4,0)</f>
        <v>#N/A</v>
      </c>
      <c r="K337" t="e">
        <f>VLOOKUP(F337,'1PROJE'!$B$7:$F$26,5,0)</f>
        <v>#N/A</v>
      </c>
    </row>
    <row r="338" spans="2:11">
      <c r="B338">
        <f t="shared" si="196"/>
        <v>0</v>
      </c>
      <c r="F338" s="57" t="e">
        <f t="shared" si="197"/>
        <v>#N/A</v>
      </c>
      <c r="G338" t="str">
        <f t="shared" si="198"/>
        <v/>
      </c>
      <c r="I338" t="e">
        <f>VLOOKUP(F338,'1PROJE'!$B$7:$F$26,2,0)</f>
        <v>#N/A</v>
      </c>
      <c r="J338" t="e">
        <f>VLOOKUP(F338,'1PROJE'!$B$7:$F$26,4,0)</f>
        <v>#N/A</v>
      </c>
      <c r="K338" t="e">
        <f>VLOOKUP(F338,'1PROJE'!$B$7:$F$26,5,0)</f>
        <v>#N/A</v>
      </c>
    </row>
    <row r="339" spans="2:11">
      <c r="B339">
        <f t="shared" si="196"/>
        <v>0</v>
      </c>
      <c r="F339" s="57" t="e">
        <f t="shared" si="197"/>
        <v>#N/A</v>
      </c>
      <c r="G339" t="str">
        <f t="shared" si="198"/>
        <v/>
      </c>
      <c r="I339" t="e">
        <f>VLOOKUP(F339,'1PROJE'!$B$7:$F$26,2,0)</f>
        <v>#N/A</v>
      </c>
      <c r="J339" t="e">
        <f>VLOOKUP(F339,'1PROJE'!$B$7:$F$26,4,0)</f>
        <v>#N/A</v>
      </c>
      <c r="K339" t="e">
        <f>VLOOKUP(F339,'1PROJE'!$B$7:$F$26,5,0)</f>
        <v>#N/A</v>
      </c>
    </row>
    <row r="340" spans="2:11">
      <c r="B340">
        <f t="shared" si="196"/>
        <v>0</v>
      </c>
      <c r="F340" s="57" t="e">
        <f t="shared" si="197"/>
        <v>#N/A</v>
      </c>
      <c r="G340" t="str">
        <f t="shared" si="198"/>
        <v/>
      </c>
      <c r="I340" t="e">
        <f>VLOOKUP(F340,'1PROJE'!$B$7:$F$26,2,0)</f>
        <v>#N/A</v>
      </c>
      <c r="J340" t="e">
        <f>VLOOKUP(F340,'1PROJE'!$B$7:$F$26,4,0)</f>
        <v>#N/A</v>
      </c>
      <c r="K340" t="e">
        <f>VLOOKUP(F340,'1PROJE'!$B$7:$F$26,5,0)</f>
        <v>#N/A</v>
      </c>
    </row>
    <row r="341" spans="2:11">
      <c r="B341">
        <f t="shared" si="196"/>
        <v>0</v>
      </c>
      <c r="F341" s="57" t="e">
        <f t="shared" si="197"/>
        <v>#N/A</v>
      </c>
      <c r="G341" t="str">
        <f t="shared" si="198"/>
        <v/>
      </c>
      <c r="I341" t="e">
        <f>VLOOKUP(F341,'1PROJE'!$B$7:$F$26,2,0)</f>
        <v>#N/A</v>
      </c>
      <c r="J341" t="e">
        <f>VLOOKUP(F341,'1PROJE'!$B$7:$F$26,4,0)</f>
        <v>#N/A</v>
      </c>
      <c r="K341" t="e">
        <f>VLOOKUP(F341,'1PROJE'!$B$7:$F$26,5,0)</f>
        <v>#N/A</v>
      </c>
    </row>
    <row r="342" spans="2:11">
      <c r="B342">
        <f t="shared" si="196"/>
        <v>0</v>
      </c>
      <c r="F342" s="57" t="e">
        <f t="shared" si="197"/>
        <v>#N/A</v>
      </c>
      <c r="G342" t="str">
        <f t="shared" si="198"/>
        <v/>
      </c>
      <c r="I342" t="e">
        <f>VLOOKUP(F342,'1PROJE'!$B$7:$F$26,2,0)</f>
        <v>#N/A</v>
      </c>
      <c r="J342" t="e">
        <f>VLOOKUP(F342,'1PROJE'!$B$7:$F$26,4,0)</f>
        <v>#N/A</v>
      </c>
      <c r="K342" t="e">
        <f>VLOOKUP(F342,'1PROJE'!$B$7:$F$26,5,0)</f>
        <v>#N/A</v>
      </c>
    </row>
    <row r="343" spans="2:11">
      <c r="B343">
        <f t="shared" si="196"/>
        <v>0</v>
      </c>
      <c r="F343" s="57" t="e">
        <f t="shared" si="197"/>
        <v>#N/A</v>
      </c>
      <c r="G343" t="str">
        <f t="shared" si="198"/>
        <v/>
      </c>
      <c r="I343" t="e">
        <f>VLOOKUP(F343,'1PROJE'!$B$7:$F$26,2,0)</f>
        <v>#N/A</v>
      </c>
      <c r="J343" t="e">
        <f>VLOOKUP(F343,'1PROJE'!$B$7:$F$26,4,0)</f>
        <v>#N/A</v>
      </c>
      <c r="K343" t="e">
        <f>VLOOKUP(F343,'1PROJE'!$B$7:$F$26,5,0)</f>
        <v>#N/A</v>
      </c>
    </row>
    <row r="344" spans="2:11">
      <c r="B344">
        <f t="shared" si="196"/>
        <v>0</v>
      </c>
      <c r="F344" s="57" t="e">
        <f t="shared" si="197"/>
        <v>#N/A</v>
      </c>
      <c r="G344" t="str">
        <f t="shared" si="198"/>
        <v/>
      </c>
      <c r="I344" t="e">
        <f>VLOOKUP(F344,'1PROJE'!$B$7:$F$26,2,0)</f>
        <v>#N/A</v>
      </c>
      <c r="J344" t="e">
        <f>VLOOKUP(F344,'1PROJE'!$B$7:$F$26,4,0)</f>
        <v>#N/A</v>
      </c>
      <c r="K344" t="e">
        <f>VLOOKUP(F344,'1PROJE'!$B$7:$F$26,5,0)</f>
        <v>#N/A</v>
      </c>
    </row>
    <row r="345" spans="2:11">
      <c r="B345">
        <f t="shared" si="196"/>
        <v>0</v>
      </c>
      <c r="F345" s="57" t="e">
        <f t="shared" si="197"/>
        <v>#N/A</v>
      </c>
      <c r="G345" t="str">
        <f t="shared" si="198"/>
        <v/>
      </c>
      <c r="I345" t="e">
        <f>VLOOKUP(F345,'1PROJE'!$B$7:$F$26,2,0)</f>
        <v>#N/A</v>
      </c>
      <c r="J345" t="e">
        <f>VLOOKUP(F345,'1PROJE'!$B$7:$F$26,4,0)</f>
        <v>#N/A</v>
      </c>
      <c r="K345" t="e">
        <f>VLOOKUP(F345,'1PROJE'!$B$7:$F$26,5,0)</f>
        <v>#N/A</v>
      </c>
    </row>
    <row r="346" spans="2:11">
      <c r="B346">
        <f t="shared" si="196"/>
        <v>0</v>
      </c>
      <c r="F346" s="57" t="e">
        <f t="shared" si="197"/>
        <v>#N/A</v>
      </c>
      <c r="G346" t="str">
        <f t="shared" si="198"/>
        <v/>
      </c>
      <c r="I346" t="e">
        <f>VLOOKUP(F346,'1PROJE'!$B$7:$F$26,2,0)</f>
        <v>#N/A</v>
      </c>
      <c r="J346" t="e">
        <f>VLOOKUP(F346,'1PROJE'!$B$7:$F$26,4,0)</f>
        <v>#N/A</v>
      </c>
      <c r="K346" t="e">
        <f>VLOOKUP(F346,'1PROJE'!$B$7:$F$26,5,0)</f>
        <v>#N/A</v>
      </c>
    </row>
    <row r="347" spans="2:11">
      <c r="B347">
        <f t="shared" si="196"/>
        <v>0</v>
      </c>
      <c r="F347" s="57" t="e">
        <f t="shared" si="197"/>
        <v>#N/A</v>
      </c>
      <c r="G347" t="str">
        <f t="shared" si="198"/>
        <v/>
      </c>
      <c r="I347" t="e">
        <f>VLOOKUP(F347,'1PROJE'!$B$7:$F$26,2,0)</f>
        <v>#N/A</v>
      </c>
      <c r="J347" t="e">
        <f>VLOOKUP(F347,'1PROJE'!$B$7:$F$26,4,0)</f>
        <v>#N/A</v>
      </c>
      <c r="K347" t="e">
        <f>VLOOKUP(F347,'1PROJE'!$B$7:$F$26,5,0)</f>
        <v>#N/A</v>
      </c>
    </row>
    <row r="348" spans="2:11">
      <c r="B348">
        <f t="shared" si="196"/>
        <v>0</v>
      </c>
      <c r="F348" s="57" t="e">
        <f t="shared" si="197"/>
        <v>#N/A</v>
      </c>
      <c r="G348" t="str">
        <f t="shared" si="198"/>
        <v/>
      </c>
      <c r="I348" t="e">
        <f>VLOOKUP(F348,'1PROJE'!$B$7:$F$26,2,0)</f>
        <v>#N/A</v>
      </c>
      <c r="J348" t="e">
        <f>VLOOKUP(F348,'1PROJE'!$B$7:$F$26,4,0)</f>
        <v>#N/A</v>
      </c>
      <c r="K348" t="e">
        <f>VLOOKUP(F348,'1PROJE'!$B$7:$F$26,5,0)</f>
        <v>#N/A</v>
      </c>
    </row>
    <row r="349" spans="2:11">
      <c r="B349">
        <f t="shared" si="196"/>
        <v>0</v>
      </c>
      <c r="F349" s="57" t="e">
        <f t="shared" si="197"/>
        <v>#N/A</v>
      </c>
      <c r="G349" t="str">
        <f t="shared" si="198"/>
        <v/>
      </c>
      <c r="I349" t="e">
        <f>VLOOKUP(F349,'1PROJE'!$B$7:$F$26,2,0)</f>
        <v>#N/A</v>
      </c>
      <c r="J349" t="e">
        <f>VLOOKUP(F349,'1PROJE'!$B$7:$F$26,4,0)</f>
        <v>#N/A</v>
      </c>
      <c r="K349" t="e">
        <f>VLOOKUP(F349,'1PROJE'!$B$7:$F$26,5,0)</f>
        <v>#N/A</v>
      </c>
    </row>
    <row r="350" spans="2:11">
      <c r="B350">
        <f t="shared" si="196"/>
        <v>0</v>
      </c>
      <c r="F350" s="57" t="e">
        <f t="shared" si="197"/>
        <v>#N/A</v>
      </c>
      <c r="G350" t="str">
        <f t="shared" si="198"/>
        <v/>
      </c>
      <c r="I350" t="e">
        <f>VLOOKUP(F350,'1PROJE'!$B$7:$F$26,2,0)</f>
        <v>#N/A</v>
      </c>
      <c r="J350" t="e">
        <f>VLOOKUP(F350,'1PROJE'!$B$7:$F$26,4,0)</f>
        <v>#N/A</v>
      </c>
      <c r="K350" t="e">
        <f>VLOOKUP(F350,'1PROJE'!$B$7:$F$26,5,0)</f>
        <v>#N/A</v>
      </c>
    </row>
    <row r="351" spans="2:11">
      <c r="B351">
        <f t="shared" si="196"/>
        <v>0</v>
      </c>
      <c r="F351" s="57" t="e">
        <f t="shared" si="197"/>
        <v>#N/A</v>
      </c>
      <c r="G351" t="str">
        <f t="shared" si="198"/>
        <v/>
      </c>
      <c r="I351" t="e">
        <f>VLOOKUP(F351,'1PROJE'!$B$7:$F$26,2,0)</f>
        <v>#N/A</v>
      </c>
      <c r="J351" t="e">
        <f>VLOOKUP(F351,'1PROJE'!$B$7:$F$26,4,0)</f>
        <v>#N/A</v>
      </c>
      <c r="K351" t="e">
        <f>VLOOKUP(F351,'1PROJE'!$B$7:$F$26,5,0)</f>
        <v>#N/A</v>
      </c>
    </row>
    <row r="352" spans="2:11">
      <c r="B352">
        <f t="shared" si="196"/>
        <v>0</v>
      </c>
      <c r="F352" s="57" t="e">
        <f t="shared" si="197"/>
        <v>#N/A</v>
      </c>
      <c r="G352" t="str">
        <f t="shared" si="198"/>
        <v/>
      </c>
      <c r="I352" t="e">
        <f>VLOOKUP(F352,'1PROJE'!$B$7:$F$26,2,0)</f>
        <v>#N/A</v>
      </c>
      <c r="J352" t="e">
        <f>VLOOKUP(F352,'1PROJE'!$B$7:$F$26,4,0)</f>
        <v>#N/A</v>
      </c>
      <c r="K352" t="e">
        <f>VLOOKUP(F352,'1PROJE'!$B$7:$F$26,5,0)</f>
        <v>#N/A</v>
      </c>
    </row>
    <row r="353" spans="2:11">
      <c r="B353">
        <f t="shared" si="196"/>
        <v>0</v>
      </c>
      <c r="F353" s="57" t="e">
        <f t="shared" si="197"/>
        <v>#N/A</v>
      </c>
      <c r="G353" t="str">
        <f t="shared" si="198"/>
        <v/>
      </c>
      <c r="I353" t="e">
        <f>VLOOKUP(F353,'1PROJE'!$B$7:$F$26,2,0)</f>
        <v>#N/A</v>
      </c>
      <c r="J353" t="e">
        <f>VLOOKUP(F353,'1PROJE'!$B$7:$F$26,4,0)</f>
        <v>#N/A</v>
      </c>
      <c r="K353" t="e">
        <f>VLOOKUP(F353,'1PROJE'!$B$7:$F$26,5,0)</f>
        <v>#N/A</v>
      </c>
    </row>
    <row r="354" spans="2:11">
      <c r="B354">
        <f t="shared" si="196"/>
        <v>0</v>
      </c>
      <c r="F354" s="57" t="e">
        <f t="shared" si="197"/>
        <v>#N/A</v>
      </c>
      <c r="G354" t="str">
        <f t="shared" si="198"/>
        <v/>
      </c>
      <c r="I354" t="e">
        <f>VLOOKUP(F354,'1PROJE'!$B$7:$F$26,2,0)</f>
        <v>#N/A</v>
      </c>
      <c r="J354" t="e">
        <f>VLOOKUP(F354,'1PROJE'!$B$7:$F$26,4,0)</f>
        <v>#N/A</v>
      </c>
      <c r="K354" t="e">
        <f>VLOOKUP(F354,'1PROJE'!$B$7:$F$26,5,0)</f>
        <v>#N/A</v>
      </c>
    </row>
    <row r="355" spans="2:11">
      <c r="B355">
        <f t="shared" si="196"/>
        <v>0</v>
      </c>
      <c r="F355" s="57" t="e">
        <f t="shared" si="197"/>
        <v>#N/A</v>
      </c>
      <c r="G355" t="str">
        <f t="shared" si="198"/>
        <v/>
      </c>
      <c r="I355" t="e">
        <f>VLOOKUP(F355,'1PROJE'!$B$7:$F$26,2,0)</f>
        <v>#N/A</v>
      </c>
      <c r="J355" t="e">
        <f>VLOOKUP(F355,'1PROJE'!$B$7:$F$26,4,0)</f>
        <v>#N/A</v>
      </c>
      <c r="K355" t="e">
        <f>VLOOKUP(F355,'1PROJE'!$B$7:$F$26,5,0)</f>
        <v>#N/A</v>
      </c>
    </row>
    <row r="356" spans="2:11">
      <c r="B356">
        <f t="shared" si="196"/>
        <v>0</v>
      </c>
      <c r="F356" s="57" t="e">
        <f t="shared" si="197"/>
        <v>#N/A</v>
      </c>
      <c r="G356" t="str">
        <f t="shared" si="198"/>
        <v/>
      </c>
      <c r="I356" t="e">
        <f>VLOOKUP(F356,'1PROJE'!$B$7:$F$26,2,0)</f>
        <v>#N/A</v>
      </c>
      <c r="J356" t="e">
        <f>VLOOKUP(F356,'1PROJE'!$B$7:$F$26,4,0)</f>
        <v>#N/A</v>
      </c>
      <c r="K356" t="e">
        <f>VLOOKUP(F356,'1PROJE'!$B$7:$F$26,5,0)</f>
        <v>#N/A</v>
      </c>
    </row>
    <row r="357" spans="2:11">
      <c r="B357">
        <f t="shared" si="196"/>
        <v>0</v>
      </c>
      <c r="F357" s="57" t="e">
        <f t="shared" si="197"/>
        <v>#N/A</v>
      </c>
      <c r="G357" t="str">
        <f t="shared" si="198"/>
        <v/>
      </c>
      <c r="I357" t="e">
        <f>VLOOKUP(F357,'1PROJE'!$B$7:$F$26,2,0)</f>
        <v>#N/A</v>
      </c>
      <c r="J357" t="e">
        <f>VLOOKUP(F357,'1PROJE'!$B$7:$F$26,4,0)</f>
        <v>#N/A</v>
      </c>
      <c r="K357" t="e">
        <f>VLOOKUP(F357,'1PROJE'!$B$7:$F$26,5,0)</f>
        <v>#N/A</v>
      </c>
    </row>
    <row r="358" spans="2:11">
      <c r="B358">
        <f t="shared" si="196"/>
        <v>0</v>
      </c>
      <c r="F358" s="57" t="e">
        <f t="shared" si="197"/>
        <v>#N/A</v>
      </c>
      <c r="G358" t="str">
        <f t="shared" si="198"/>
        <v/>
      </c>
      <c r="I358" t="e">
        <f>VLOOKUP(F358,'1PROJE'!$B$7:$F$26,2,0)</f>
        <v>#N/A</v>
      </c>
      <c r="J358" t="e">
        <f>VLOOKUP(F358,'1PROJE'!$B$7:$F$26,4,0)</f>
        <v>#N/A</v>
      </c>
      <c r="K358" t="e">
        <f>VLOOKUP(F358,'1PROJE'!$B$7:$F$26,5,0)</f>
        <v>#N/A</v>
      </c>
    </row>
    <row r="359" spans="2:11">
      <c r="B359">
        <f t="shared" ref="B359:B361" si="199">IF(($C$29-A159)&lt;0,0,"POZ"&amp;" "&amp;$D$61&amp;"."&amp;A159)</f>
        <v>0</v>
      </c>
      <c r="F359" s="57" t="e">
        <f t="shared" si="197"/>
        <v>#N/A</v>
      </c>
      <c r="G359" t="str">
        <f t="shared" si="198"/>
        <v/>
      </c>
      <c r="I359" t="e">
        <f>VLOOKUP(F359,'1PROJE'!$B$7:$F$26,2,0)</f>
        <v>#N/A</v>
      </c>
      <c r="J359" t="e">
        <f>VLOOKUP(F359,'1PROJE'!$B$7:$F$26,4,0)</f>
        <v>#N/A</v>
      </c>
      <c r="K359" t="e">
        <f>VLOOKUP(F359,'1PROJE'!$B$7:$F$26,5,0)</f>
        <v>#N/A</v>
      </c>
    </row>
    <row r="360" spans="2:11">
      <c r="B360">
        <f t="shared" si="199"/>
        <v>0</v>
      </c>
      <c r="F360" s="57" t="e">
        <f t="shared" si="197"/>
        <v>#N/A</v>
      </c>
      <c r="G360" t="str">
        <f t="shared" si="198"/>
        <v/>
      </c>
      <c r="I360" t="e">
        <f>VLOOKUP(F360,'1PROJE'!$B$7:$F$26,2,0)</f>
        <v>#N/A</v>
      </c>
      <c r="J360" t="e">
        <f>VLOOKUP(F360,'1PROJE'!$B$7:$F$26,4,0)</f>
        <v>#N/A</v>
      </c>
      <c r="K360" t="e">
        <f>VLOOKUP(F360,'1PROJE'!$B$7:$F$26,5,0)</f>
        <v>#N/A</v>
      </c>
    </row>
    <row r="361" spans="2:11">
      <c r="B361">
        <f t="shared" si="199"/>
        <v>0</v>
      </c>
      <c r="F361" s="57" t="e">
        <f t="shared" si="197"/>
        <v>#N/A</v>
      </c>
      <c r="G361" t="str">
        <f t="shared" si="198"/>
        <v/>
      </c>
      <c r="I361" t="e">
        <f>VLOOKUP(F361,'1PROJE'!$B$7:$F$26,2,0)</f>
        <v>#N/A</v>
      </c>
      <c r="J361" t="e">
        <f>VLOOKUP(F361,'1PROJE'!$B$7:$F$26,4,0)</f>
        <v>#N/A</v>
      </c>
      <c r="K361" t="e">
        <f>VLOOKUP(F361,'1PROJE'!$B$7:$F$26,5,0)</f>
        <v>#N/A</v>
      </c>
    </row>
    <row r="362" spans="2:11">
      <c r="B362">
        <f>IF(C30=0,0,IF(($C$30-A62)=0,"POZ 4.","POZ"&amp;" "&amp;$E$61&amp;"."&amp;A62))</f>
        <v>0</v>
      </c>
      <c r="F362" s="57" t="e">
        <f t="shared" si="197"/>
        <v>#N/A</v>
      </c>
      <c r="G362" t="str">
        <f t="shared" si="198"/>
        <v/>
      </c>
      <c r="I362" t="e">
        <f>VLOOKUP(F362,'1PROJE'!$B$7:$F$26,2,0)</f>
        <v>#N/A</v>
      </c>
      <c r="J362" t="e">
        <f>VLOOKUP(F362,'1PROJE'!$B$7:$F$26,4,0)</f>
        <v>#N/A</v>
      </c>
      <c r="K362" t="e">
        <f>VLOOKUP(F362,'1PROJE'!$B$7:$F$26,5,0)</f>
        <v>#N/A</v>
      </c>
    </row>
    <row r="363" spans="2:11">
      <c r="B363">
        <f t="shared" ref="B363:B394" si="200">IF(($C$30-A63)&lt;0,0,"POZ"&amp;" "&amp;$E$61&amp;"."&amp;A63)</f>
        <v>0</v>
      </c>
      <c r="F363" s="57" t="e">
        <f t="shared" si="197"/>
        <v>#N/A</v>
      </c>
      <c r="G363" t="str">
        <f t="shared" si="198"/>
        <v/>
      </c>
      <c r="I363" t="e">
        <f>VLOOKUP(F363,'1PROJE'!$B$7:$F$26,2,0)</f>
        <v>#N/A</v>
      </c>
      <c r="J363" t="e">
        <f>VLOOKUP(F363,'1PROJE'!$B$7:$F$26,4,0)</f>
        <v>#N/A</v>
      </c>
      <c r="K363" t="e">
        <f>VLOOKUP(F363,'1PROJE'!$B$7:$F$26,5,0)</f>
        <v>#N/A</v>
      </c>
    </row>
    <row r="364" spans="2:11">
      <c r="B364">
        <f t="shared" si="200"/>
        <v>0</v>
      </c>
      <c r="F364" s="57" t="e">
        <f t="shared" si="197"/>
        <v>#N/A</v>
      </c>
      <c r="G364" t="str">
        <f t="shared" si="198"/>
        <v/>
      </c>
      <c r="I364" t="e">
        <f>VLOOKUP(F364,'1PROJE'!$B$7:$F$26,2,0)</f>
        <v>#N/A</v>
      </c>
      <c r="J364" t="e">
        <f>VLOOKUP(F364,'1PROJE'!$B$7:$F$26,4,0)</f>
        <v>#N/A</v>
      </c>
      <c r="K364" t="e">
        <f>VLOOKUP(F364,'1PROJE'!$B$7:$F$26,5,0)</f>
        <v>#N/A</v>
      </c>
    </row>
    <row r="365" spans="2:11">
      <c r="B365">
        <f t="shared" si="200"/>
        <v>0</v>
      </c>
      <c r="F365" s="57" t="e">
        <f t="shared" si="197"/>
        <v>#N/A</v>
      </c>
      <c r="G365" t="str">
        <f t="shared" si="198"/>
        <v/>
      </c>
      <c r="I365" t="e">
        <f>VLOOKUP(F365,'1PROJE'!$B$7:$F$26,2,0)</f>
        <v>#N/A</v>
      </c>
      <c r="J365" t="e">
        <f>VLOOKUP(F365,'1PROJE'!$B$7:$F$26,4,0)</f>
        <v>#N/A</v>
      </c>
      <c r="K365" t="e">
        <f>VLOOKUP(F365,'1PROJE'!$B$7:$F$26,5,0)</f>
        <v>#N/A</v>
      </c>
    </row>
    <row r="366" spans="2:11">
      <c r="B366">
        <f t="shared" si="200"/>
        <v>0</v>
      </c>
      <c r="F366" s="57" t="e">
        <f t="shared" si="197"/>
        <v>#N/A</v>
      </c>
      <c r="G366" t="str">
        <f t="shared" si="198"/>
        <v/>
      </c>
      <c r="I366" t="e">
        <f>VLOOKUP(F366,'1PROJE'!$B$7:$F$26,2,0)</f>
        <v>#N/A</v>
      </c>
      <c r="J366" t="e">
        <f>VLOOKUP(F366,'1PROJE'!$B$7:$F$26,4,0)</f>
        <v>#N/A</v>
      </c>
      <c r="K366" t="e">
        <f>VLOOKUP(F366,'1PROJE'!$B$7:$F$26,5,0)</f>
        <v>#N/A</v>
      </c>
    </row>
    <row r="367" spans="2:11">
      <c r="B367">
        <f t="shared" si="200"/>
        <v>0</v>
      </c>
      <c r="F367" s="57" t="e">
        <f t="shared" si="197"/>
        <v>#N/A</v>
      </c>
      <c r="G367" t="str">
        <f t="shared" si="198"/>
        <v/>
      </c>
      <c r="I367" t="e">
        <f>VLOOKUP(F367,'1PROJE'!$B$7:$F$26,2,0)</f>
        <v>#N/A</v>
      </c>
      <c r="J367" t="e">
        <f>VLOOKUP(F367,'1PROJE'!$B$7:$F$26,4,0)</f>
        <v>#N/A</v>
      </c>
      <c r="K367" t="e">
        <f>VLOOKUP(F367,'1PROJE'!$B$7:$F$26,5,0)</f>
        <v>#N/A</v>
      </c>
    </row>
    <row r="368" spans="2:11">
      <c r="B368">
        <f t="shared" si="200"/>
        <v>0</v>
      </c>
      <c r="F368" s="57" t="e">
        <f t="shared" si="197"/>
        <v>#N/A</v>
      </c>
      <c r="G368" t="str">
        <f t="shared" si="198"/>
        <v/>
      </c>
      <c r="I368" t="e">
        <f>VLOOKUP(F368,'1PROJE'!$B$7:$F$26,2,0)</f>
        <v>#N/A</v>
      </c>
      <c r="J368" t="e">
        <f>VLOOKUP(F368,'1PROJE'!$B$7:$F$26,4,0)</f>
        <v>#N/A</v>
      </c>
      <c r="K368" t="e">
        <f>VLOOKUP(F368,'1PROJE'!$B$7:$F$26,5,0)</f>
        <v>#N/A</v>
      </c>
    </row>
    <row r="369" spans="2:11">
      <c r="B369">
        <f t="shared" si="200"/>
        <v>0</v>
      </c>
      <c r="F369" s="57" t="e">
        <f t="shared" si="197"/>
        <v>#N/A</v>
      </c>
      <c r="G369" t="str">
        <f t="shared" si="198"/>
        <v/>
      </c>
      <c r="I369" t="e">
        <f>VLOOKUP(F369,'1PROJE'!$B$7:$F$26,2,0)</f>
        <v>#N/A</v>
      </c>
      <c r="J369" t="e">
        <f>VLOOKUP(F369,'1PROJE'!$B$7:$F$26,4,0)</f>
        <v>#N/A</v>
      </c>
      <c r="K369" t="e">
        <f>VLOOKUP(F369,'1PROJE'!$B$7:$F$26,5,0)</f>
        <v>#N/A</v>
      </c>
    </row>
    <row r="370" spans="2:11">
      <c r="B370">
        <f t="shared" si="200"/>
        <v>0</v>
      </c>
      <c r="F370" s="57" t="e">
        <f t="shared" si="197"/>
        <v>#N/A</v>
      </c>
      <c r="G370" t="str">
        <f t="shared" si="198"/>
        <v/>
      </c>
      <c r="I370" t="e">
        <f>VLOOKUP(F370,'1PROJE'!$B$7:$F$26,2,0)</f>
        <v>#N/A</v>
      </c>
      <c r="J370" t="e">
        <f>VLOOKUP(F370,'1PROJE'!$B$7:$F$26,4,0)</f>
        <v>#N/A</v>
      </c>
      <c r="K370" t="e">
        <f>VLOOKUP(F370,'1PROJE'!$B$7:$F$26,5,0)</f>
        <v>#N/A</v>
      </c>
    </row>
    <row r="371" spans="2:11">
      <c r="B371">
        <f t="shared" si="200"/>
        <v>0</v>
      </c>
      <c r="F371" s="57" t="e">
        <f t="shared" si="197"/>
        <v>#N/A</v>
      </c>
      <c r="G371" t="str">
        <f t="shared" si="198"/>
        <v/>
      </c>
      <c r="I371" t="e">
        <f>VLOOKUP(F371,'1PROJE'!$B$7:$F$26,2,0)</f>
        <v>#N/A</v>
      </c>
      <c r="J371" t="e">
        <f>VLOOKUP(F371,'1PROJE'!$B$7:$F$26,4,0)</f>
        <v>#N/A</v>
      </c>
      <c r="K371" t="e">
        <f>VLOOKUP(F371,'1PROJE'!$B$7:$F$26,5,0)</f>
        <v>#N/A</v>
      </c>
    </row>
    <row r="372" spans="2:11">
      <c r="B372">
        <f t="shared" si="200"/>
        <v>0</v>
      </c>
      <c r="F372" s="57" t="e">
        <f t="shared" si="197"/>
        <v>#N/A</v>
      </c>
      <c r="G372" t="str">
        <f t="shared" si="198"/>
        <v/>
      </c>
      <c r="I372" t="e">
        <f>VLOOKUP(F372,'1PROJE'!$B$7:$F$26,2,0)</f>
        <v>#N/A</v>
      </c>
      <c r="J372" t="e">
        <f>VLOOKUP(F372,'1PROJE'!$B$7:$F$26,4,0)</f>
        <v>#N/A</v>
      </c>
      <c r="K372" t="e">
        <f>VLOOKUP(F372,'1PROJE'!$B$7:$F$26,5,0)</f>
        <v>#N/A</v>
      </c>
    </row>
    <row r="373" spans="2:11">
      <c r="B373">
        <f t="shared" si="200"/>
        <v>0</v>
      </c>
      <c r="F373" s="57" t="e">
        <f t="shared" si="197"/>
        <v>#N/A</v>
      </c>
      <c r="G373" t="str">
        <f t="shared" si="198"/>
        <v/>
      </c>
      <c r="I373" t="e">
        <f>VLOOKUP(F373,'1PROJE'!$B$7:$F$26,2,0)</f>
        <v>#N/A</v>
      </c>
      <c r="J373" t="e">
        <f>VLOOKUP(F373,'1PROJE'!$B$7:$F$26,4,0)</f>
        <v>#N/A</v>
      </c>
      <c r="K373" t="e">
        <f>VLOOKUP(F373,'1PROJE'!$B$7:$F$26,5,0)</f>
        <v>#N/A</v>
      </c>
    </row>
    <row r="374" spans="2:11">
      <c r="B374">
        <f t="shared" si="200"/>
        <v>0</v>
      </c>
      <c r="F374" s="57" t="e">
        <f t="shared" si="197"/>
        <v>#N/A</v>
      </c>
      <c r="G374" t="str">
        <f t="shared" si="198"/>
        <v/>
      </c>
      <c r="I374" t="e">
        <f>VLOOKUP(F374,'1PROJE'!$B$7:$F$26,2,0)</f>
        <v>#N/A</v>
      </c>
      <c r="J374" t="e">
        <f>VLOOKUP(F374,'1PROJE'!$B$7:$F$26,4,0)</f>
        <v>#N/A</v>
      </c>
      <c r="K374" t="e">
        <f>VLOOKUP(F374,'1PROJE'!$B$7:$F$26,5,0)</f>
        <v>#N/A</v>
      </c>
    </row>
    <row r="375" spans="2:11">
      <c r="B375">
        <f t="shared" si="200"/>
        <v>0</v>
      </c>
      <c r="F375" s="57" t="e">
        <f t="shared" si="197"/>
        <v>#N/A</v>
      </c>
      <c r="G375" t="str">
        <f t="shared" si="198"/>
        <v/>
      </c>
      <c r="I375" t="e">
        <f>VLOOKUP(F375,'1PROJE'!$B$7:$F$26,2,0)</f>
        <v>#N/A</v>
      </c>
      <c r="J375" t="e">
        <f>VLOOKUP(F375,'1PROJE'!$B$7:$F$26,4,0)</f>
        <v>#N/A</v>
      </c>
      <c r="K375" t="e">
        <f>VLOOKUP(F375,'1PROJE'!$B$7:$F$26,5,0)</f>
        <v>#N/A</v>
      </c>
    </row>
    <row r="376" spans="2:11">
      <c r="B376">
        <f t="shared" si="200"/>
        <v>0</v>
      </c>
      <c r="F376" s="57" t="e">
        <f t="shared" si="197"/>
        <v>#N/A</v>
      </c>
      <c r="G376" t="str">
        <f t="shared" si="198"/>
        <v/>
      </c>
      <c r="I376" t="e">
        <f>VLOOKUP(F376,'1PROJE'!$B$7:$F$26,2,0)</f>
        <v>#N/A</v>
      </c>
      <c r="J376" t="e">
        <f>VLOOKUP(F376,'1PROJE'!$B$7:$F$26,4,0)</f>
        <v>#N/A</v>
      </c>
      <c r="K376" t="e">
        <f>VLOOKUP(F376,'1PROJE'!$B$7:$F$26,5,0)</f>
        <v>#N/A</v>
      </c>
    </row>
    <row r="377" spans="2:11">
      <c r="B377">
        <f t="shared" si="200"/>
        <v>0</v>
      </c>
      <c r="F377" s="57" t="e">
        <f t="shared" si="197"/>
        <v>#N/A</v>
      </c>
      <c r="G377" t="str">
        <f t="shared" si="198"/>
        <v/>
      </c>
      <c r="I377" t="e">
        <f>VLOOKUP(F377,'1PROJE'!$B$7:$F$26,2,0)</f>
        <v>#N/A</v>
      </c>
      <c r="J377" t="e">
        <f>VLOOKUP(F377,'1PROJE'!$B$7:$F$26,4,0)</f>
        <v>#N/A</v>
      </c>
      <c r="K377" t="e">
        <f>VLOOKUP(F377,'1PROJE'!$B$7:$F$26,5,0)</f>
        <v>#N/A</v>
      </c>
    </row>
    <row r="378" spans="2:11">
      <c r="B378">
        <f t="shared" si="200"/>
        <v>0</v>
      </c>
      <c r="F378" s="57" t="e">
        <f t="shared" si="197"/>
        <v>#N/A</v>
      </c>
      <c r="G378" t="str">
        <f t="shared" si="198"/>
        <v/>
      </c>
      <c r="I378" t="e">
        <f>VLOOKUP(F378,'1PROJE'!$B$7:$F$26,2,0)</f>
        <v>#N/A</v>
      </c>
      <c r="J378" t="e">
        <f>VLOOKUP(F378,'1PROJE'!$B$7:$F$26,4,0)</f>
        <v>#N/A</v>
      </c>
      <c r="K378" t="e">
        <f>VLOOKUP(F378,'1PROJE'!$B$7:$F$26,5,0)</f>
        <v>#N/A</v>
      </c>
    </row>
    <row r="379" spans="2:11">
      <c r="B379">
        <f t="shared" si="200"/>
        <v>0</v>
      </c>
      <c r="F379" s="57" t="e">
        <f t="shared" si="197"/>
        <v>#N/A</v>
      </c>
      <c r="G379" t="str">
        <f t="shared" si="198"/>
        <v/>
      </c>
      <c r="I379" t="e">
        <f>VLOOKUP(F379,'1PROJE'!$B$7:$F$26,2,0)</f>
        <v>#N/A</v>
      </c>
      <c r="J379" t="e">
        <f>VLOOKUP(F379,'1PROJE'!$B$7:$F$26,4,0)</f>
        <v>#N/A</v>
      </c>
      <c r="K379" t="e">
        <f>VLOOKUP(F379,'1PROJE'!$B$7:$F$26,5,0)</f>
        <v>#N/A</v>
      </c>
    </row>
    <row r="380" spans="2:11">
      <c r="B380">
        <f t="shared" si="200"/>
        <v>0</v>
      </c>
      <c r="F380" s="57" t="e">
        <f t="shared" si="197"/>
        <v>#N/A</v>
      </c>
      <c r="G380" t="str">
        <f t="shared" si="198"/>
        <v/>
      </c>
      <c r="I380" t="e">
        <f>VLOOKUP(F380,'1PROJE'!$B$7:$F$26,2,0)</f>
        <v>#N/A</v>
      </c>
      <c r="J380" t="e">
        <f>VLOOKUP(F380,'1PROJE'!$B$7:$F$26,4,0)</f>
        <v>#N/A</v>
      </c>
      <c r="K380" t="e">
        <f>VLOOKUP(F380,'1PROJE'!$B$7:$F$26,5,0)</f>
        <v>#N/A</v>
      </c>
    </row>
    <row r="381" spans="2:11">
      <c r="B381">
        <f t="shared" si="200"/>
        <v>0</v>
      </c>
      <c r="F381" s="57" t="e">
        <f t="shared" si="197"/>
        <v>#N/A</v>
      </c>
      <c r="G381" t="str">
        <f t="shared" si="198"/>
        <v/>
      </c>
      <c r="I381" t="e">
        <f>VLOOKUP(F381,'1PROJE'!$B$7:$F$26,2,0)</f>
        <v>#N/A</v>
      </c>
      <c r="J381" t="e">
        <f>VLOOKUP(F381,'1PROJE'!$B$7:$F$26,4,0)</f>
        <v>#N/A</v>
      </c>
      <c r="K381" t="e">
        <f>VLOOKUP(F381,'1PROJE'!$B$7:$F$26,5,0)</f>
        <v>#N/A</v>
      </c>
    </row>
    <row r="382" spans="2:11">
      <c r="B382">
        <f t="shared" si="200"/>
        <v>0</v>
      </c>
      <c r="F382" s="57" t="e">
        <f t="shared" si="197"/>
        <v>#N/A</v>
      </c>
      <c r="G382" t="str">
        <f t="shared" si="198"/>
        <v/>
      </c>
      <c r="I382" t="e">
        <f>VLOOKUP(F382,'1PROJE'!$B$7:$F$26,2,0)</f>
        <v>#N/A</v>
      </c>
      <c r="J382" t="e">
        <f>VLOOKUP(F382,'1PROJE'!$B$7:$F$26,4,0)</f>
        <v>#N/A</v>
      </c>
      <c r="K382" t="e">
        <f>VLOOKUP(F382,'1PROJE'!$B$7:$F$26,5,0)</f>
        <v>#N/A</v>
      </c>
    </row>
    <row r="383" spans="2:11">
      <c r="B383">
        <f t="shared" si="200"/>
        <v>0</v>
      </c>
      <c r="F383" s="57" t="e">
        <f t="shared" si="197"/>
        <v>#N/A</v>
      </c>
      <c r="G383" t="str">
        <f t="shared" si="198"/>
        <v/>
      </c>
      <c r="I383" t="e">
        <f>VLOOKUP(F383,'1PROJE'!$B$7:$F$26,2,0)</f>
        <v>#N/A</v>
      </c>
      <c r="J383" t="e">
        <f>VLOOKUP(F383,'1PROJE'!$B$7:$F$26,4,0)</f>
        <v>#N/A</v>
      </c>
      <c r="K383" t="e">
        <f>VLOOKUP(F383,'1PROJE'!$B$7:$F$26,5,0)</f>
        <v>#N/A</v>
      </c>
    </row>
    <row r="384" spans="2:11">
      <c r="B384">
        <f t="shared" si="200"/>
        <v>0</v>
      </c>
      <c r="F384" s="57" t="e">
        <f t="shared" si="197"/>
        <v>#N/A</v>
      </c>
      <c r="G384" t="str">
        <f t="shared" si="198"/>
        <v/>
      </c>
      <c r="I384" t="e">
        <f>VLOOKUP(F384,'1PROJE'!$B$7:$F$26,2,0)</f>
        <v>#N/A</v>
      </c>
      <c r="J384" t="e">
        <f>VLOOKUP(F384,'1PROJE'!$B$7:$F$26,4,0)</f>
        <v>#N/A</v>
      </c>
      <c r="K384" t="e">
        <f>VLOOKUP(F384,'1PROJE'!$B$7:$F$26,5,0)</f>
        <v>#N/A</v>
      </c>
    </row>
    <row r="385" spans="2:11">
      <c r="B385">
        <f t="shared" si="200"/>
        <v>0</v>
      </c>
      <c r="F385" s="57" t="e">
        <f t="shared" si="197"/>
        <v>#N/A</v>
      </c>
      <c r="G385" t="str">
        <f t="shared" si="198"/>
        <v/>
      </c>
      <c r="I385" t="e">
        <f>VLOOKUP(F385,'1PROJE'!$B$7:$F$26,2,0)</f>
        <v>#N/A</v>
      </c>
      <c r="J385" t="e">
        <f>VLOOKUP(F385,'1PROJE'!$B$7:$F$26,4,0)</f>
        <v>#N/A</v>
      </c>
      <c r="K385" t="e">
        <f>VLOOKUP(F385,'1PROJE'!$B$7:$F$26,5,0)</f>
        <v>#N/A</v>
      </c>
    </row>
    <row r="386" spans="2:11">
      <c r="B386">
        <f t="shared" si="200"/>
        <v>0</v>
      </c>
      <c r="F386" s="57" t="e">
        <f t="shared" si="197"/>
        <v>#N/A</v>
      </c>
      <c r="G386" t="str">
        <f t="shared" si="198"/>
        <v/>
      </c>
      <c r="I386" t="e">
        <f>VLOOKUP(F386,'1PROJE'!$B$7:$F$26,2,0)</f>
        <v>#N/A</v>
      </c>
      <c r="J386" t="e">
        <f>VLOOKUP(F386,'1PROJE'!$B$7:$F$26,4,0)</f>
        <v>#N/A</v>
      </c>
      <c r="K386" t="e">
        <f>VLOOKUP(F386,'1PROJE'!$B$7:$F$26,5,0)</f>
        <v>#N/A</v>
      </c>
    </row>
    <row r="387" spans="2:11">
      <c r="B387">
        <f t="shared" si="200"/>
        <v>0</v>
      </c>
      <c r="F387" s="57" t="e">
        <f t="shared" si="197"/>
        <v>#N/A</v>
      </c>
      <c r="G387" t="str">
        <f t="shared" si="198"/>
        <v/>
      </c>
      <c r="I387" t="e">
        <f>VLOOKUP(F387,'1PROJE'!$B$7:$F$26,2,0)</f>
        <v>#N/A</v>
      </c>
      <c r="J387" t="e">
        <f>VLOOKUP(F387,'1PROJE'!$B$7:$F$26,4,0)</f>
        <v>#N/A</v>
      </c>
      <c r="K387" t="e">
        <f>VLOOKUP(F387,'1PROJE'!$B$7:$F$26,5,0)</f>
        <v>#N/A</v>
      </c>
    </row>
    <row r="388" spans="2:11">
      <c r="B388">
        <f t="shared" si="200"/>
        <v>0</v>
      </c>
      <c r="F388" s="57" t="e">
        <f t="shared" si="197"/>
        <v>#N/A</v>
      </c>
      <c r="G388" t="str">
        <f t="shared" si="198"/>
        <v/>
      </c>
      <c r="I388" t="e">
        <f>VLOOKUP(F388,'1PROJE'!$B$7:$F$26,2,0)</f>
        <v>#N/A</v>
      </c>
      <c r="J388" t="e">
        <f>VLOOKUP(F388,'1PROJE'!$B$7:$F$26,4,0)</f>
        <v>#N/A</v>
      </c>
      <c r="K388" t="e">
        <f>VLOOKUP(F388,'1PROJE'!$B$7:$F$26,5,0)</f>
        <v>#N/A</v>
      </c>
    </row>
    <row r="389" spans="2:11">
      <c r="B389">
        <f t="shared" si="200"/>
        <v>0</v>
      </c>
      <c r="F389" s="57" t="e">
        <f t="shared" si="197"/>
        <v>#N/A</v>
      </c>
      <c r="G389" t="str">
        <f t="shared" si="198"/>
        <v/>
      </c>
      <c r="I389" t="e">
        <f>VLOOKUP(F389,'1PROJE'!$B$7:$F$26,2,0)</f>
        <v>#N/A</v>
      </c>
      <c r="J389" t="e">
        <f>VLOOKUP(F389,'1PROJE'!$B$7:$F$26,4,0)</f>
        <v>#N/A</v>
      </c>
      <c r="K389" t="e">
        <f>VLOOKUP(F389,'1PROJE'!$B$7:$F$26,5,0)</f>
        <v>#N/A</v>
      </c>
    </row>
    <row r="390" spans="2:11">
      <c r="B390">
        <f t="shared" si="200"/>
        <v>0</v>
      </c>
      <c r="F390" s="57" t="e">
        <f t="shared" si="197"/>
        <v>#N/A</v>
      </c>
      <c r="G390" t="str">
        <f t="shared" si="198"/>
        <v/>
      </c>
      <c r="I390" t="e">
        <f>VLOOKUP(F390,'1PROJE'!$B$7:$F$26,2,0)</f>
        <v>#N/A</v>
      </c>
      <c r="J390" t="e">
        <f>VLOOKUP(F390,'1PROJE'!$B$7:$F$26,4,0)</f>
        <v>#N/A</v>
      </c>
      <c r="K390" t="e">
        <f>VLOOKUP(F390,'1PROJE'!$B$7:$F$26,5,0)</f>
        <v>#N/A</v>
      </c>
    </row>
    <row r="391" spans="2:11">
      <c r="B391">
        <f t="shared" si="200"/>
        <v>0</v>
      </c>
      <c r="F391" s="57" t="e">
        <f t="shared" si="197"/>
        <v>#N/A</v>
      </c>
      <c r="G391" t="str">
        <f t="shared" si="198"/>
        <v/>
      </c>
      <c r="I391" t="e">
        <f>VLOOKUP(F391,'1PROJE'!$B$7:$F$26,2,0)</f>
        <v>#N/A</v>
      </c>
      <c r="J391" t="e">
        <f>VLOOKUP(F391,'1PROJE'!$B$7:$F$26,4,0)</f>
        <v>#N/A</v>
      </c>
      <c r="K391" t="e">
        <f>VLOOKUP(F391,'1PROJE'!$B$7:$F$26,5,0)</f>
        <v>#N/A</v>
      </c>
    </row>
    <row r="392" spans="2:11">
      <c r="B392">
        <f t="shared" si="200"/>
        <v>0</v>
      </c>
      <c r="F392" s="57" t="e">
        <f t="shared" si="197"/>
        <v>#N/A</v>
      </c>
      <c r="G392" t="str">
        <f t="shared" si="198"/>
        <v/>
      </c>
      <c r="I392" t="e">
        <f>VLOOKUP(F392,'1PROJE'!$B$7:$F$26,2,0)</f>
        <v>#N/A</v>
      </c>
      <c r="J392" t="e">
        <f>VLOOKUP(F392,'1PROJE'!$B$7:$F$26,4,0)</f>
        <v>#N/A</v>
      </c>
      <c r="K392" t="e">
        <f>VLOOKUP(F392,'1PROJE'!$B$7:$F$26,5,0)</f>
        <v>#N/A</v>
      </c>
    </row>
    <row r="393" spans="2:11">
      <c r="B393">
        <f t="shared" si="200"/>
        <v>0</v>
      </c>
      <c r="F393" s="57" t="e">
        <f t="shared" si="197"/>
        <v>#N/A</v>
      </c>
      <c r="G393" t="str">
        <f t="shared" si="198"/>
        <v/>
      </c>
      <c r="I393" t="e">
        <f>VLOOKUP(F393,'1PROJE'!$B$7:$F$26,2,0)</f>
        <v>#N/A</v>
      </c>
      <c r="J393" t="e">
        <f>VLOOKUP(F393,'1PROJE'!$B$7:$F$26,4,0)</f>
        <v>#N/A</v>
      </c>
      <c r="K393" t="e">
        <f>VLOOKUP(F393,'1PROJE'!$B$7:$F$26,5,0)</f>
        <v>#N/A</v>
      </c>
    </row>
    <row r="394" spans="2:11">
      <c r="B394">
        <f t="shared" si="200"/>
        <v>0</v>
      </c>
      <c r="F394" s="57" t="e">
        <f t="shared" si="197"/>
        <v>#N/A</v>
      </c>
      <c r="G394" t="str">
        <f t="shared" si="198"/>
        <v/>
      </c>
      <c r="I394" t="e">
        <f>VLOOKUP(F394,'1PROJE'!$B$7:$F$26,2,0)</f>
        <v>#N/A</v>
      </c>
      <c r="J394" t="e">
        <f>VLOOKUP(F394,'1PROJE'!$B$7:$F$26,4,0)</f>
        <v>#N/A</v>
      </c>
      <c r="K394" t="e">
        <f>VLOOKUP(F394,'1PROJE'!$B$7:$F$26,5,0)</f>
        <v>#N/A</v>
      </c>
    </row>
    <row r="395" spans="2:11">
      <c r="B395">
        <f t="shared" ref="B395:B426" si="201">IF(($C$30-A95)&lt;0,0,"POZ"&amp;" "&amp;$E$61&amp;"."&amp;A95)</f>
        <v>0</v>
      </c>
      <c r="F395" s="57" t="e">
        <f t="shared" ref="F395:F458" si="202">VLOOKUP(G395,$C$64:$D$83,2,0)</f>
        <v>#N/A</v>
      </c>
      <c r="G395" t="str">
        <f t="shared" ref="G395:G458" si="203">LEFT(H395,6)</f>
        <v/>
      </c>
      <c r="I395" t="e">
        <f>VLOOKUP(F395,'1PROJE'!$B$7:$F$26,2,0)</f>
        <v>#N/A</v>
      </c>
      <c r="J395" t="e">
        <f>VLOOKUP(F395,'1PROJE'!$B$7:$F$26,4,0)</f>
        <v>#N/A</v>
      </c>
      <c r="K395" t="e">
        <f>VLOOKUP(F395,'1PROJE'!$B$7:$F$26,5,0)</f>
        <v>#N/A</v>
      </c>
    </row>
    <row r="396" spans="2:11">
      <c r="B396">
        <f t="shared" si="201"/>
        <v>0</v>
      </c>
      <c r="F396" s="57" t="e">
        <f t="shared" si="202"/>
        <v>#N/A</v>
      </c>
      <c r="G396" t="str">
        <f t="shared" si="203"/>
        <v/>
      </c>
      <c r="I396" t="e">
        <f>VLOOKUP(F396,'1PROJE'!$B$7:$F$26,2,0)</f>
        <v>#N/A</v>
      </c>
      <c r="J396" t="e">
        <f>VLOOKUP(F396,'1PROJE'!$B$7:$F$26,4,0)</f>
        <v>#N/A</v>
      </c>
      <c r="K396" t="e">
        <f>VLOOKUP(F396,'1PROJE'!$B$7:$F$26,5,0)</f>
        <v>#N/A</v>
      </c>
    </row>
    <row r="397" spans="2:11">
      <c r="B397">
        <f t="shared" si="201"/>
        <v>0</v>
      </c>
      <c r="F397" s="57" t="e">
        <f t="shared" si="202"/>
        <v>#N/A</v>
      </c>
      <c r="G397" t="str">
        <f t="shared" si="203"/>
        <v/>
      </c>
      <c r="I397" t="e">
        <f>VLOOKUP(F397,'1PROJE'!$B$7:$F$26,2,0)</f>
        <v>#N/A</v>
      </c>
      <c r="J397" t="e">
        <f>VLOOKUP(F397,'1PROJE'!$B$7:$F$26,4,0)</f>
        <v>#N/A</v>
      </c>
      <c r="K397" t="e">
        <f>VLOOKUP(F397,'1PROJE'!$B$7:$F$26,5,0)</f>
        <v>#N/A</v>
      </c>
    </row>
    <row r="398" spans="2:11">
      <c r="B398">
        <f t="shared" si="201"/>
        <v>0</v>
      </c>
      <c r="F398" s="57" t="e">
        <f t="shared" si="202"/>
        <v>#N/A</v>
      </c>
      <c r="G398" t="str">
        <f t="shared" si="203"/>
        <v/>
      </c>
      <c r="I398" t="e">
        <f>VLOOKUP(F398,'1PROJE'!$B$7:$F$26,2,0)</f>
        <v>#N/A</v>
      </c>
      <c r="J398" t="e">
        <f>VLOOKUP(F398,'1PROJE'!$B$7:$F$26,4,0)</f>
        <v>#N/A</v>
      </c>
      <c r="K398" t="e">
        <f>VLOOKUP(F398,'1PROJE'!$B$7:$F$26,5,0)</f>
        <v>#N/A</v>
      </c>
    </row>
    <row r="399" spans="2:11">
      <c r="B399">
        <f t="shared" si="201"/>
        <v>0</v>
      </c>
      <c r="F399" s="57" t="e">
        <f t="shared" si="202"/>
        <v>#N/A</v>
      </c>
      <c r="G399" t="str">
        <f t="shared" si="203"/>
        <v/>
      </c>
      <c r="I399" t="e">
        <f>VLOOKUP(F399,'1PROJE'!$B$7:$F$26,2,0)</f>
        <v>#N/A</v>
      </c>
      <c r="J399" t="e">
        <f>VLOOKUP(F399,'1PROJE'!$B$7:$F$26,4,0)</f>
        <v>#N/A</v>
      </c>
      <c r="K399" t="e">
        <f>VLOOKUP(F399,'1PROJE'!$B$7:$F$26,5,0)</f>
        <v>#N/A</v>
      </c>
    </row>
    <row r="400" spans="2:11">
      <c r="B400">
        <f t="shared" si="201"/>
        <v>0</v>
      </c>
      <c r="F400" s="57" t="e">
        <f t="shared" si="202"/>
        <v>#N/A</v>
      </c>
      <c r="G400" t="str">
        <f t="shared" si="203"/>
        <v/>
      </c>
      <c r="I400" t="e">
        <f>VLOOKUP(F400,'1PROJE'!$B$7:$F$26,2,0)</f>
        <v>#N/A</v>
      </c>
      <c r="J400" t="e">
        <f>VLOOKUP(F400,'1PROJE'!$B$7:$F$26,4,0)</f>
        <v>#N/A</v>
      </c>
      <c r="K400" t="e">
        <f>VLOOKUP(F400,'1PROJE'!$B$7:$F$26,5,0)</f>
        <v>#N/A</v>
      </c>
    </row>
    <row r="401" spans="2:11">
      <c r="B401">
        <f t="shared" si="201"/>
        <v>0</v>
      </c>
      <c r="F401" s="57" t="e">
        <f t="shared" si="202"/>
        <v>#N/A</v>
      </c>
      <c r="G401" t="str">
        <f t="shared" si="203"/>
        <v/>
      </c>
      <c r="I401" t="e">
        <f>VLOOKUP(F401,'1PROJE'!$B$7:$F$26,2,0)</f>
        <v>#N/A</v>
      </c>
      <c r="J401" t="e">
        <f>VLOOKUP(F401,'1PROJE'!$B$7:$F$26,4,0)</f>
        <v>#N/A</v>
      </c>
      <c r="K401" t="e">
        <f>VLOOKUP(F401,'1PROJE'!$B$7:$F$26,5,0)</f>
        <v>#N/A</v>
      </c>
    </row>
    <row r="402" spans="2:11">
      <c r="B402">
        <f t="shared" si="201"/>
        <v>0</v>
      </c>
      <c r="F402" s="57" t="e">
        <f t="shared" si="202"/>
        <v>#N/A</v>
      </c>
      <c r="G402" t="str">
        <f t="shared" si="203"/>
        <v/>
      </c>
      <c r="I402" t="e">
        <f>VLOOKUP(F402,'1PROJE'!$B$7:$F$26,2,0)</f>
        <v>#N/A</v>
      </c>
      <c r="J402" t="e">
        <f>VLOOKUP(F402,'1PROJE'!$B$7:$F$26,4,0)</f>
        <v>#N/A</v>
      </c>
      <c r="K402" t="e">
        <f>VLOOKUP(F402,'1PROJE'!$B$7:$F$26,5,0)</f>
        <v>#N/A</v>
      </c>
    </row>
    <row r="403" spans="2:11">
      <c r="B403">
        <f t="shared" si="201"/>
        <v>0</v>
      </c>
      <c r="F403" s="57" t="e">
        <f t="shared" si="202"/>
        <v>#N/A</v>
      </c>
      <c r="G403" t="str">
        <f t="shared" si="203"/>
        <v/>
      </c>
      <c r="I403" t="e">
        <f>VLOOKUP(F403,'1PROJE'!$B$7:$F$26,2,0)</f>
        <v>#N/A</v>
      </c>
      <c r="J403" t="e">
        <f>VLOOKUP(F403,'1PROJE'!$B$7:$F$26,4,0)</f>
        <v>#N/A</v>
      </c>
      <c r="K403" t="e">
        <f>VLOOKUP(F403,'1PROJE'!$B$7:$F$26,5,0)</f>
        <v>#N/A</v>
      </c>
    </row>
    <row r="404" spans="2:11">
      <c r="B404">
        <f t="shared" si="201"/>
        <v>0</v>
      </c>
      <c r="F404" s="57" t="e">
        <f t="shared" si="202"/>
        <v>#N/A</v>
      </c>
      <c r="G404" t="str">
        <f t="shared" si="203"/>
        <v/>
      </c>
      <c r="I404" t="e">
        <f>VLOOKUP(F404,'1PROJE'!$B$7:$F$26,2,0)</f>
        <v>#N/A</v>
      </c>
      <c r="J404" t="e">
        <f>VLOOKUP(F404,'1PROJE'!$B$7:$F$26,4,0)</f>
        <v>#N/A</v>
      </c>
      <c r="K404" t="e">
        <f>VLOOKUP(F404,'1PROJE'!$B$7:$F$26,5,0)</f>
        <v>#N/A</v>
      </c>
    </row>
    <row r="405" spans="2:11">
      <c r="B405">
        <f t="shared" si="201"/>
        <v>0</v>
      </c>
      <c r="F405" s="57" t="e">
        <f t="shared" si="202"/>
        <v>#N/A</v>
      </c>
      <c r="G405" t="str">
        <f t="shared" si="203"/>
        <v/>
      </c>
      <c r="I405" t="e">
        <f>VLOOKUP(F405,'1PROJE'!$B$7:$F$26,2,0)</f>
        <v>#N/A</v>
      </c>
      <c r="J405" t="e">
        <f>VLOOKUP(F405,'1PROJE'!$B$7:$F$26,4,0)</f>
        <v>#N/A</v>
      </c>
      <c r="K405" t="e">
        <f>VLOOKUP(F405,'1PROJE'!$B$7:$F$26,5,0)</f>
        <v>#N/A</v>
      </c>
    </row>
    <row r="406" spans="2:11">
      <c r="B406">
        <f t="shared" si="201"/>
        <v>0</v>
      </c>
      <c r="F406" s="57" t="e">
        <f t="shared" si="202"/>
        <v>#N/A</v>
      </c>
      <c r="G406" t="str">
        <f t="shared" si="203"/>
        <v/>
      </c>
      <c r="I406" t="e">
        <f>VLOOKUP(F406,'1PROJE'!$B$7:$F$26,2,0)</f>
        <v>#N/A</v>
      </c>
      <c r="J406" t="e">
        <f>VLOOKUP(F406,'1PROJE'!$B$7:$F$26,4,0)</f>
        <v>#N/A</v>
      </c>
      <c r="K406" t="e">
        <f>VLOOKUP(F406,'1PROJE'!$B$7:$F$26,5,0)</f>
        <v>#N/A</v>
      </c>
    </row>
    <row r="407" spans="2:11">
      <c r="B407">
        <f t="shared" si="201"/>
        <v>0</v>
      </c>
      <c r="F407" s="57" t="e">
        <f t="shared" si="202"/>
        <v>#N/A</v>
      </c>
      <c r="G407" t="str">
        <f t="shared" si="203"/>
        <v/>
      </c>
      <c r="I407" t="e">
        <f>VLOOKUP(F407,'1PROJE'!$B$7:$F$26,2,0)</f>
        <v>#N/A</v>
      </c>
      <c r="J407" t="e">
        <f>VLOOKUP(F407,'1PROJE'!$B$7:$F$26,4,0)</f>
        <v>#N/A</v>
      </c>
      <c r="K407" t="e">
        <f>VLOOKUP(F407,'1PROJE'!$B$7:$F$26,5,0)</f>
        <v>#N/A</v>
      </c>
    </row>
    <row r="408" spans="2:11">
      <c r="B408">
        <f t="shared" si="201"/>
        <v>0</v>
      </c>
      <c r="F408" s="57" t="e">
        <f t="shared" si="202"/>
        <v>#N/A</v>
      </c>
      <c r="G408" t="str">
        <f t="shared" si="203"/>
        <v/>
      </c>
      <c r="I408" t="e">
        <f>VLOOKUP(F408,'1PROJE'!$B$7:$F$26,2,0)</f>
        <v>#N/A</v>
      </c>
      <c r="J408" t="e">
        <f>VLOOKUP(F408,'1PROJE'!$B$7:$F$26,4,0)</f>
        <v>#N/A</v>
      </c>
      <c r="K408" t="e">
        <f>VLOOKUP(F408,'1PROJE'!$B$7:$F$26,5,0)</f>
        <v>#N/A</v>
      </c>
    </row>
    <row r="409" spans="2:11">
      <c r="B409">
        <f t="shared" si="201"/>
        <v>0</v>
      </c>
      <c r="F409" s="57" t="e">
        <f t="shared" si="202"/>
        <v>#N/A</v>
      </c>
      <c r="G409" t="str">
        <f t="shared" si="203"/>
        <v/>
      </c>
      <c r="I409" t="e">
        <f>VLOOKUP(F409,'1PROJE'!$B$7:$F$26,2,0)</f>
        <v>#N/A</v>
      </c>
      <c r="J409" t="e">
        <f>VLOOKUP(F409,'1PROJE'!$B$7:$F$26,4,0)</f>
        <v>#N/A</v>
      </c>
      <c r="K409" t="e">
        <f>VLOOKUP(F409,'1PROJE'!$B$7:$F$26,5,0)</f>
        <v>#N/A</v>
      </c>
    </row>
    <row r="410" spans="2:11">
      <c r="B410">
        <f t="shared" si="201"/>
        <v>0</v>
      </c>
      <c r="F410" s="57" t="e">
        <f t="shared" si="202"/>
        <v>#N/A</v>
      </c>
      <c r="G410" t="str">
        <f t="shared" si="203"/>
        <v/>
      </c>
      <c r="I410" t="e">
        <f>VLOOKUP(F410,'1PROJE'!$B$7:$F$26,2,0)</f>
        <v>#N/A</v>
      </c>
      <c r="J410" t="e">
        <f>VLOOKUP(F410,'1PROJE'!$B$7:$F$26,4,0)</f>
        <v>#N/A</v>
      </c>
      <c r="K410" t="e">
        <f>VLOOKUP(F410,'1PROJE'!$B$7:$F$26,5,0)</f>
        <v>#N/A</v>
      </c>
    </row>
    <row r="411" spans="2:11">
      <c r="B411">
        <f t="shared" si="201"/>
        <v>0</v>
      </c>
      <c r="F411" s="57" t="e">
        <f t="shared" si="202"/>
        <v>#N/A</v>
      </c>
      <c r="G411" t="str">
        <f t="shared" si="203"/>
        <v/>
      </c>
      <c r="I411" t="e">
        <f>VLOOKUP(F411,'1PROJE'!$B$7:$F$26,2,0)</f>
        <v>#N/A</v>
      </c>
      <c r="J411" t="e">
        <f>VLOOKUP(F411,'1PROJE'!$B$7:$F$26,4,0)</f>
        <v>#N/A</v>
      </c>
      <c r="K411" t="e">
        <f>VLOOKUP(F411,'1PROJE'!$B$7:$F$26,5,0)</f>
        <v>#N/A</v>
      </c>
    </row>
    <row r="412" spans="2:11">
      <c r="B412">
        <f t="shared" si="201"/>
        <v>0</v>
      </c>
      <c r="F412" s="57" t="e">
        <f t="shared" si="202"/>
        <v>#N/A</v>
      </c>
      <c r="G412" t="str">
        <f t="shared" si="203"/>
        <v/>
      </c>
      <c r="I412" t="e">
        <f>VLOOKUP(F412,'1PROJE'!$B$7:$F$26,2,0)</f>
        <v>#N/A</v>
      </c>
      <c r="J412" t="e">
        <f>VLOOKUP(F412,'1PROJE'!$B$7:$F$26,4,0)</f>
        <v>#N/A</v>
      </c>
      <c r="K412" t="e">
        <f>VLOOKUP(F412,'1PROJE'!$B$7:$F$26,5,0)</f>
        <v>#N/A</v>
      </c>
    </row>
    <row r="413" spans="2:11">
      <c r="B413">
        <f t="shared" si="201"/>
        <v>0</v>
      </c>
      <c r="F413" s="57" t="e">
        <f t="shared" si="202"/>
        <v>#N/A</v>
      </c>
      <c r="G413" t="str">
        <f t="shared" si="203"/>
        <v/>
      </c>
      <c r="I413" t="e">
        <f>VLOOKUP(F413,'1PROJE'!$B$7:$F$26,2,0)</f>
        <v>#N/A</v>
      </c>
      <c r="J413" t="e">
        <f>VLOOKUP(F413,'1PROJE'!$B$7:$F$26,4,0)</f>
        <v>#N/A</v>
      </c>
      <c r="K413" t="e">
        <f>VLOOKUP(F413,'1PROJE'!$B$7:$F$26,5,0)</f>
        <v>#N/A</v>
      </c>
    </row>
    <row r="414" spans="2:11">
      <c r="B414">
        <f t="shared" si="201"/>
        <v>0</v>
      </c>
      <c r="F414" s="57" t="e">
        <f t="shared" si="202"/>
        <v>#N/A</v>
      </c>
      <c r="G414" t="str">
        <f t="shared" si="203"/>
        <v/>
      </c>
      <c r="I414" t="e">
        <f>VLOOKUP(F414,'1PROJE'!$B$7:$F$26,2,0)</f>
        <v>#N/A</v>
      </c>
      <c r="J414" t="e">
        <f>VLOOKUP(F414,'1PROJE'!$B$7:$F$26,4,0)</f>
        <v>#N/A</v>
      </c>
      <c r="K414" t="e">
        <f>VLOOKUP(F414,'1PROJE'!$B$7:$F$26,5,0)</f>
        <v>#N/A</v>
      </c>
    </row>
    <row r="415" spans="2:11">
      <c r="B415">
        <f t="shared" si="201"/>
        <v>0</v>
      </c>
      <c r="F415" s="57" t="e">
        <f t="shared" si="202"/>
        <v>#N/A</v>
      </c>
      <c r="G415" t="str">
        <f t="shared" si="203"/>
        <v/>
      </c>
      <c r="I415" t="e">
        <f>VLOOKUP(F415,'1PROJE'!$B$7:$F$26,2,0)</f>
        <v>#N/A</v>
      </c>
      <c r="J415" t="e">
        <f>VLOOKUP(F415,'1PROJE'!$B$7:$F$26,4,0)</f>
        <v>#N/A</v>
      </c>
      <c r="K415" t="e">
        <f>VLOOKUP(F415,'1PROJE'!$B$7:$F$26,5,0)</f>
        <v>#N/A</v>
      </c>
    </row>
    <row r="416" spans="2:11">
      <c r="B416">
        <f t="shared" si="201"/>
        <v>0</v>
      </c>
      <c r="F416" s="57" t="e">
        <f t="shared" si="202"/>
        <v>#N/A</v>
      </c>
      <c r="G416" t="str">
        <f t="shared" si="203"/>
        <v/>
      </c>
      <c r="I416" t="e">
        <f>VLOOKUP(F416,'1PROJE'!$B$7:$F$26,2,0)</f>
        <v>#N/A</v>
      </c>
      <c r="J416" t="e">
        <f>VLOOKUP(F416,'1PROJE'!$B$7:$F$26,4,0)</f>
        <v>#N/A</v>
      </c>
      <c r="K416" t="e">
        <f>VLOOKUP(F416,'1PROJE'!$B$7:$F$26,5,0)</f>
        <v>#N/A</v>
      </c>
    </row>
    <row r="417" spans="2:11">
      <c r="B417">
        <f t="shared" si="201"/>
        <v>0</v>
      </c>
      <c r="F417" s="57" t="e">
        <f t="shared" si="202"/>
        <v>#N/A</v>
      </c>
      <c r="G417" t="str">
        <f t="shared" si="203"/>
        <v/>
      </c>
      <c r="I417" t="e">
        <f>VLOOKUP(F417,'1PROJE'!$B$7:$F$26,2,0)</f>
        <v>#N/A</v>
      </c>
      <c r="J417" t="e">
        <f>VLOOKUP(F417,'1PROJE'!$B$7:$F$26,4,0)</f>
        <v>#N/A</v>
      </c>
      <c r="K417" t="e">
        <f>VLOOKUP(F417,'1PROJE'!$B$7:$F$26,5,0)</f>
        <v>#N/A</v>
      </c>
    </row>
    <row r="418" spans="2:11">
      <c r="B418">
        <f t="shared" si="201"/>
        <v>0</v>
      </c>
      <c r="F418" s="57" t="e">
        <f t="shared" si="202"/>
        <v>#N/A</v>
      </c>
      <c r="G418" t="str">
        <f t="shared" si="203"/>
        <v/>
      </c>
      <c r="I418" t="e">
        <f>VLOOKUP(F418,'1PROJE'!$B$7:$F$26,2,0)</f>
        <v>#N/A</v>
      </c>
      <c r="J418" t="e">
        <f>VLOOKUP(F418,'1PROJE'!$B$7:$F$26,4,0)</f>
        <v>#N/A</v>
      </c>
      <c r="K418" t="e">
        <f>VLOOKUP(F418,'1PROJE'!$B$7:$F$26,5,0)</f>
        <v>#N/A</v>
      </c>
    </row>
    <row r="419" spans="2:11">
      <c r="B419">
        <f t="shared" si="201"/>
        <v>0</v>
      </c>
      <c r="F419" s="57" t="e">
        <f t="shared" si="202"/>
        <v>#N/A</v>
      </c>
      <c r="G419" t="str">
        <f t="shared" si="203"/>
        <v/>
      </c>
      <c r="I419" t="e">
        <f>VLOOKUP(F419,'1PROJE'!$B$7:$F$26,2,0)</f>
        <v>#N/A</v>
      </c>
      <c r="J419" t="e">
        <f>VLOOKUP(F419,'1PROJE'!$B$7:$F$26,4,0)</f>
        <v>#N/A</v>
      </c>
      <c r="K419" t="e">
        <f>VLOOKUP(F419,'1PROJE'!$B$7:$F$26,5,0)</f>
        <v>#N/A</v>
      </c>
    </row>
    <row r="420" spans="2:11">
      <c r="B420">
        <f t="shared" si="201"/>
        <v>0</v>
      </c>
      <c r="F420" s="57" t="e">
        <f t="shared" si="202"/>
        <v>#N/A</v>
      </c>
      <c r="G420" t="str">
        <f t="shared" si="203"/>
        <v/>
      </c>
      <c r="I420" t="e">
        <f>VLOOKUP(F420,'1PROJE'!$B$7:$F$26,2,0)</f>
        <v>#N/A</v>
      </c>
      <c r="J420" t="e">
        <f>VLOOKUP(F420,'1PROJE'!$B$7:$F$26,4,0)</f>
        <v>#N/A</v>
      </c>
      <c r="K420" t="e">
        <f>VLOOKUP(F420,'1PROJE'!$B$7:$F$26,5,0)</f>
        <v>#N/A</v>
      </c>
    </row>
    <row r="421" spans="2:11">
      <c r="B421">
        <f t="shared" si="201"/>
        <v>0</v>
      </c>
      <c r="F421" s="57" t="e">
        <f t="shared" si="202"/>
        <v>#N/A</v>
      </c>
      <c r="G421" t="str">
        <f t="shared" si="203"/>
        <v/>
      </c>
      <c r="I421" t="e">
        <f>VLOOKUP(F421,'1PROJE'!$B$7:$F$26,2,0)</f>
        <v>#N/A</v>
      </c>
      <c r="J421" t="e">
        <f>VLOOKUP(F421,'1PROJE'!$B$7:$F$26,4,0)</f>
        <v>#N/A</v>
      </c>
      <c r="K421" t="e">
        <f>VLOOKUP(F421,'1PROJE'!$B$7:$F$26,5,0)</f>
        <v>#N/A</v>
      </c>
    </row>
    <row r="422" spans="2:11">
      <c r="B422">
        <f t="shared" si="201"/>
        <v>0</v>
      </c>
      <c r="F422" s="57" t="e">
        <f t="shared" si="202"/>
        <v>#N/A</v>
      </c>
      <c r="G422" t="str">
        <f t="shared" si="203"/>
        <v/>
      </c>
      <c r="I422" t="e">
        <f>VLOOKUP(F422,'1PROJE'!$B$7:$F$26,2,0)</f>
        <v>#N/A</v>
      </c>
      <c r="J422" t="e">
        <f>VLOOKUP(F422,'1PROJE'!$B$7:$F$26,4,0)</f>
        <v>#N/A</v>
      </c>
      <c r="K422" t="e">
        <f>VLOOKUP(F422,'1PROJE'!$B$7:$F$26,5,0)</f>
        <v>#N/A</v>
      </c>
    </row>
    <row r="423" spans="2:11">
      <c r="B423">
        <f t="shared" si="201"/>
        <v>0</v>
      </c>
      <c r="F423" s="57" t="e">
        <f t="shared" si="202"/>
        <v>#N/A</v>
      </c>
      <c r="G423" t="str">
        <f t="shared" si="203"/>
        <v/>
      </c>
      <c r="I423" t="e">
        <f>VLOOKUP(F423,'1PROJE'!$B$7:$F$26,2,0)</f>
        <v>#N/A</v>
      </c>
      <c r="J423" t="e">
        <f>VLOOKUP(F423,'1PROJE'!$B$7:$F$26,4,0)</f>
        <v>#N/A</v>
      </c>
      <c r="K423" t="e">
        <f>VLOOKUP(F423,'1PROJE'!$B$7:$F$26,5,0)</f>
        <v>#N/A</v>
      </c>
    </row>
    <row r="424" spans="2:11">
      <c r="B424">
        <f t="shared" si="201"/>
        <v>0</v>
      </c>
      <c r="F424" s="57" t="e">
        <f t="shared" si="202"/>
        <v>#N/A</v>
      </c>
      <c r="G424" t="str">
        <f t="shared" si="203"/>
        <v/>
      </c>
      <c r="I424" t="e">
        <f>VLOOKUP(F424,'1PROJE'!$B$7:$F$26,2,0)</f>
        <v>#N/A</v>
      </c>
      <c r="J424" t="e">
        <f>VLOOKUP(F424,'1PROJE'!$B$7:$F$26,4,0)</f>
        <v>#N/A</v>
      </c>
      <c r="K424" t="e">
        <f>VLOOKUP(F424,'1PROJE'!$B$7:$F$26,5,0)</f>
        <v>#N/A</v>
      </c>
    </row>
    <row r="425" spans="2:11">
      <c r="B425">
        <f t="shared" si="201"/>
        <v>0</v>
      </c>
      <c r="F425" s="57" t="e">
        <f t="shared" si="202"/>
        <v>#N/A</v>
      </c>
      <c r="G425" t="str">
        <f t="shared" si="203"/>
        <v/>
      </c>
      <c r="I425" t="e">
        <f>VLOOKUP(F425,'1PROJE'!$B$7:$F$26,2,0)</f>
        <v>#N/A</v>
      </c>
      <c r="J425" t="e">
        <f>VLOOKUP(F425,'1PROJE'!$B$7:$F$26,4,0)</f>
        <v>#N/A</v>
      </c>
      <c r="K425" t="e">
        <f>VLOOKUP(F425,'1PROJE'!$B$7:$F$26,5,0)</f>
        <v>#N/A</v>
      </c>
    </row>
    <row r="426" spans="2:11">
      <c r="B426">
        <f t="shared" si="201"/>
        <v>0</v>
      </c>
      <c r="F426" s="57" t="e">
        <f t="shared" si="202"/>
        <v>#N/A</v>
      </c>
      <c r="G426" t="str">
        <f t="shared" si="203"/>
        <v/>
      </c>
      <c r="I426" t="e">
        <f>VLOOKUP(F426,'1PROJE'!$B$7:$F$26,2,0)</f>
        <v>#N/A</v>
      </c>
      <c r="J426" t="e">
        <f>VLOOKUP(F426,'1PROJE'!$B$7:$F$26,4,0)</f>
        <v>#N/A</v>
      </c>
      <c r="K426" t="e">
        <f>VLOOKUP(F426,'1PROJE'!$B$7:$F$26,5,0)</f>
        <v>#N/A</v>
      </c>
    </row>
    <row r="427" spans="2:11">
      <c r="B427">
        <f t="shared" ref="B427:B458" si="204">IF(($C$30-A127)&lt;0,0,"POZ"&amp;" "&amp;$E$61&amp;"."&amp;A127)</f>
        <v>0</v>
      </c>
      <c r="F427" s="57" t="e">
        <f t="shared" si="202"/>
        <v>#N/A</v>
      </c>
      <c r="G427" t="str">
        <f t="shared" si="203"/>
        <v/>
      </c>
      <c r="I427" t="e">
        <f>VLOOKUP(F427,'1PROJE'!$B$7:$F$26,2,0)</f>
        <v>#N/A</v>
      </c>
      <c r="J427" t="e">
        <f>VLOOKUP(F427,'1PROJE'!$B$7:$F$26,4,0)</f>
        <v>#N/A</v>
      </c>
      <c r="K427" t="e">
        <f>VLOOKUP(F427,'1PROJE'!$B$7:$F$26,5,0)</f>
        <v>#N/A</v>
      </c>
    </row>
    <row r="428" spans="2:11">
      <c r="B428">
        <f t="shared" si="204"/>
        <v>0</v>
      </c>
      <c r="F428" s="57" t="e">
        <f t="shared" si="202"/>
        <v>#N/A</v>
      </c>
      <c r="G428" t="str">
        <f t="shared" si="203"/>
        <v/>
      </c>
      <c r="I428" t="e">
        <f>VLOOKUP(F428,'1PROJE'!$B$7:$F$26,2,0)</f>
        <v>#N/A</v>
      </c>
      <c r="J428" t="e">
        <f>VLOOKUP(F428,'1PROJE'!$B$7:$F$26,4,0)</f>
        <v>#N/A</v>
      </c>
      <c r="K428" t="e">
        <f>VLOOKUP(F428,'1PROJE'!$B$7:$F$26,5,0)</f>
        <v>#N/A</v>
      </c>
    </row>
    <row r="429" spans="2:11">
      <c r="B429">
        <f t="shared" si="204"/>
        <v>0</v>
      </c>
      <c r="F429" s="57" t="e">
        <f t="shared" si="202"/>
        <v>#N/A</v>
      </c>
      <c r="G429" t="str">
        <f t="shared" si="203"/>
        <v/>
      </c>
      <c r="I429" t="e">
        <f>VLOOKUP(F429,'1PROJE'!$B$7:$F$26,2,0)</f>
        <v>#N/A</v>
      </c>
      <c r="J429" t="e">
        <f>VLOOKUP(F429,'1PROJE'!$B$7:$F$26,4,0)</f>
        <v>#N/A</v>
      </c>
      <c r="K429" t="e">
        <f>VLOOKUP(F429,'1PROJE'!$B$7:$F$26,5,0)</f>
        <v>#N/A</v>
      </c>
    </row>
    <row r="430" spans="2:11">
      <c r="B430">
        <f t="shared" si="204"/>
        <v>0</v>
      </c>
      <c r="F430" s="57" t="e">
        <f t="shared" si="202"/>
        <v>#N/A</v>
      </c>
      <c r="G430" t="str">
        <f t="shared" si="203"/>
        <v/>
      </c>
      <c r="I430" t="e">
        <f>VLOOKUP(F430,'1PROJE'!$B$7:$F$26,2,0)</f>
        <v>#N/A</v>
      </c>
      <c r="J430" t="e">
        <f>VLOOKUP(F430,'1PROJE'!$B$7:$F$26,4,0)</f>
        <v>#N/A</v>
      </c>
      <c r="K430" t="e">
        <f>VLOOKUP(F430,'1PROJE'!$B$7:$F$26,5,0)</f>
        <v>#N/A</v>
      </c>
    </row>
    <row r="431" spans="2:11">
      <c r="B431">
        <f t="shared" si="204"/>
        <v>0</v>
      </c>
      <c r="F431" s="57" t="e">
        <f t="shared" si="202"/>
        <v>#N/A</v>
      </c>
      <c r="G431" t="str">
        <f t="shared" si="203"/>
        <v/>
      </c>
      <c r="I431" t="e">
        <f>VLOOKUP(F431,'1PROJE'!$B$7:$F$26,2,0)</f>
        <v>#N/A</v>
      </c>
      <c r="J431" t="e">
        <f>VLOOKUP(F431,'1PROJE'!$B$7:$F$26,4,0)</f>
        <v>#N/A</v>
      </c>
      <c r="K431" t="e">
        <f>VLOOKUP(F431,'1PROJE'!$B$7:$F$26,5,0)</f>
        <v>#N/A</v>
      </c>
    </row>
    <row r="432" spans="2:11">
      <c r="B432">
        <f t="shared" si="204"/>
        <v>0</v>
      </c>
      <c r="F432" s="57" t="e">
        <f t="shared" si="202"/>
        <v>#N/A</v>
      </c>
      <c r="G432" t="str">
        <f t="shared" si="203"/>
        <v/>
      </c>
      <c r="I432" t="e">
        <f>VLOOKUP(F432,'1PROJE'!$B$7:$F$26,2,0)</f>
        <v>#N/A</v>
      </c>
      <c r="J432" t="e">
        <f>VLOOKUP(F432,'1PROJE'!$B$7:$F$26,4,0)</f>
        <v>#N/A</v>
      </c>
      <c r="K432" t="e">
        <f>VLOOKUP(F432,'1PROJE'!$B$7:$F$26,5,0)</f>
        <v>#N/A</v>
      </c>
    </row>
    <row r="433" spans="2:11">
      <c r="B433">
        <f t="shared" si="204"/>
        <v>0</v>
      </c>
      <c r="F433" s="57" t="e">
        <f t="shared" si="202"/>
        <v>#N/A</v>
      </c>
      <c r="G433" t="str">
        <f t="shared" si="203"/>
        <v/>
      </c>
      <c r="I433" t="e">
        <f>VLOOKUP(F433,'1PROJE'!$B$7:$F$26,2,0)</f>
        <v>#N/A</v>
      </c>
      <c r="J433" t="e">
        <f>VLOOKUP(F433,'1PROJE'!$B$7:$F$26,4,0)</f>
        <v>#N/A</v>
      </c>
      <c r="K433" t="e">
        <f>VLOOKUP(F433,'1PROJE'!$B$7:$F$26,5,0)</f>
        <v>#N/A</v>
      </c>
    </row>
    <row r="434" spans="2:11">
      <c r="B434">
        <f t="shared" si="204"/>
        <v>0</v>
      </c>
      <c r="F434" s="57" t="e">
        <f t="shared" si="202"/>
        <v>#N/A</v>
      </c>
      <c r="G434" t="str">
        <f t="shared" si="203"/>
        <v/>
      </c>
      <c r="I434" t="e">
        <f>VLOOKUP(F434,'1PROJE'!$B$7:$F$26,2,0)</f>
        <v>#N/A</v>
      </c>
      <c r="J434" t="e">
        <f>VLOOKUP(F434,'1PROJE'!$B$7:$F$26,4,0)</f>
        <v>#N/A</v>
      </c>
      <c r="K434" t="e">
        <f>VLOOKUP(F434,'1PROJE'!$B$7:$F$26,5,0)</f>
        <v>#N/A</v>
      </c>
    </row>
    <row r="435" spans="2:11">
      <c r="B435">
        <f t="shared" si="204"/>
        <v>0</v>
      </c>
      <c r="F435" s="57" t="e">
        <f t="shared" si="202"/>
        <v>#N/A</v>
      </c>
      <c r="G435" t="str">
        <f t="shared" si="203"/>
        <v/>
      </c>
      <c r="I435" t="e">
        <f>VLOOKUP(F435,'1PROJE'!$B$7:$F$26,2,0)</f>
        <v>#N/A</v>
      </c>
      <c r="J435" t="e">
        <f>VLOOKUP(F435,'1PROJE'!$B$7:$F$26,4,0)</f>
        <v>#N/A</v>
      </c>
      <c r="K435" t="e">
        <f>VLOOKUP(F435,'1PROJE'!$B$7:$F$26,5,0)</f>
        <v>#N/A</v>
      </c>
    </row>
    <row r="436" spans="2:11">
      <c r="B436">
        <f t="shared" si="204"/>
        <v>0</v>
      </c>
      <c r="F436" s="57" t="e">
        <f t="shared" si="202"/>
        <v>#N/A</v>
      </c>
      <c r="G436" t="str">
        <f t="shared" si="203"/>
        <v/>
      </c>
      <c r="I436" t="e">
        <f>VLOOKUP(F436,'1PROJE'!$B$7:$F$26,2,0)</f>
        <v>#N/A</v>
      </c>
      <c r="J436" t="e">
        <f>VLOOKUP(F436,'1PROJE'!$B$7:$F$26,4,0)</f>
        <v>#N/A</v>
      </c>
      <c r="K436" t="e">
        <f>VLOOKUP(F436,'1PROJE'!$B$7:$F$26,5,0)</f>
        <v>#N/A</v>
      </c>
    </row>
    <row r="437" spans="2:11">
      <c r="B437">
        <f t="shared" si="204"/>
        <v>0</v>
      </c>
      <c r="F437" s="57" t="e">
        <f t="shared" si="202"/>
        <v>#N/A</v>
      </c>
      <c r="G437" t="str">
        <f t="shared" si="203"/>
        <v/>
      </c>
      <c r="I437" t="e">
        <f>VLOOKUP(F437,'1PROJE'!$B$7:$F$26,2,0)</f>
        <v>#N/A</v>
      </c>
      <c r="J437" t="e">
        <f>VLOOKUP(F437,'1PROJE'!$B$7:$F$26,4,0)</f>
        <v>#N/A</v>
      </c>
      <c r="K437" t="e">
        <f>VLOOKUP(F437,'1PROJE'!$B$7:$F$26,5,0)</f>
        <v>#N/A</v>
      </c>
    </row>
    <row r="438" spans="2:11">
      <c r="B438">
        <f t="shared" si="204"/>
        <v>0</v>
      </c>
      <c r="F438" s="57" t="e">
        <f t="shared" si="202"/>
        <v>#N/A</v>
      </c>
      <c r="G438" t="str">
        <f t="shared" si="203"/>
        <v/>
      </c>
      <c r="I438" t="e">
        <f>VLOOKUP(F438,'1PROJE'!$B$7:$F$26,2,0)</f>
        <v>#N/A</v>
      </c>
      <c r="J438" t="e">
        <f>VLOOKUP(F438,'1PROJE'!$B$7:$F$26,4,0)</f>
        <v>#N/A</v>
      </c>
      <c r="K438" t="e">
        <f>VLOOKUP(F438,'1PROJE'!$B$7:$F$26,5,0)</f>
        <v>#N/A</v>
      </c>
    </row>
    <row r="439" spans="2:11">
      <c r="B439">
        <f t="shared" si="204"/>
        <v>0</v>
      </c>
      <c r="F439" s="57" t="e">
        <f t="shared" si="202"/>
        <v>#N/A</v>
      </c>
      <c r="G439" t="str">
        <f t="shared" si="203"/>
        <v/>
      </c>
      <c r="I439" t="e">
        <f>VLOOKUP(F439,'1PROJE'!$B$7:$F$26,2,0)</f>
        <v>#N/A</v>
      </c>
      <c r="J439" t="e">
        <f>VLOOKUP(F439,'1PROJE'!$B$7:$F$26,4,0)</f>
        <v>#N/A</v>
      </c>
      <c r="K439" t="e">
        <f>VLOOKUP(F439,'1PROJE'!$B$7:$F$26,5,0)</f>
        <v>#N/A</v>
      </c>
    </row>
    <row r="440" spans="2:11">
      <c r="B440">
        <f t="shared" si="204"/>
        <v>0</v>
      </c>
      <c r="F440" s="57" t="e">
        <f t="shared" si="202"/>
        <v>#N/A</v>
      </c>
      <c r="G440" t="str">
        <f t="shared" si="203"/>
        <v/>
      </c>
      <c r="I440" t="e">
        <f>VLOOKUP(F440,'1PROJE'!$B$7:$F$26,2,0)</f>
        <v>#N/A</v>
      </c>
      <c r="J440" t="e">
        <f>VLOOKUP(F440,'1PROJE'!$B$7:$F$26,4,0)</f>
        <v>#N/A</v>
      </c>
      <c r="K440" t="e">
        <f>VLOOKUP(F440,'1PROJE'!$B$7:$F$26,5,0)</f>
        <v>#N/A</v>
      </c>
    </row>
    <row r="441" spans="2:11">
      <c r="B441">
        <f t="shared" si="204"/>
        <v>0</v>
      </c>
      <c r="F441" s="57" t="e">
        <f t="shared" si="202"/>
        <v>#N/A</v>
      </c>
      <c r="G441" t="str">
        <f t="shared" si="203"/>
        <v/>
      </c>
      <c r="I441" t="e">
        <f>VLOOKUP(F441,'1PROJE'!$B$7:$F$26,2,0)</f>
        <v>#N/A</v>
      </c>
      <c r="J441" t="e">
        <f>VLOOKUP(F441,'1PROJE'!$B$7:$F$26,4,0)</f>
        <v>#N/A</v>
      </c>
      <c r="K441" t="e">
        <f>VLOOKUP(F441,'1PROJE'!$B$7:$F$26,5,0)</f>
        <v>#N/A</v>
      </c>
    </row>
    <row r="442" spans="2:11">
      <c r="B442">
        <f t="shared" si="204"/>
        <v>0</v>
      </c>
      <c r="F442" s="57" t="e">
        <f t="shared" si="202"/>
        <v>#N/A</v>
      </c>
      <c r="G442" t="str">
        <f t="shared" si="203"/>
        <v/>
      </c>
      <c r="I442" t="e">
        <f>VLOOKUP(F442,'1PROJE'!$B$7:$F$26,2,0)</f>
        <v>#N/A</v>
      </c>
      <c r="J442" t="e">
        <f>VLOOKUP(F442,'1PROJE'!$B$7:$F$26,4,0)</f>
        <v>#N/A</v>
      </c>
      <c r="K442" t="e">
        <f>VLOOKUP(F442,'1PROJE'!$B$7:$F$26,5,0)</f>
        <v>#N/A</v>
      </c>
    </row>
    <row r="443" spans="2:11">
      <c r="B443">
        <f t="shared" si="204"/>
        <v>0</v>
      </c>
      <c r="F443" s="57" t="e">
        <f t="shared" si="202"/>
        <v>#N/A</v>
      </c>
      <c r="G443" t="str">
        <f t="shared" si="203"/>
        <v/>
      </c>
      <c r="I443" t="e">
        <f>VLOOKUP(F443,'1PROJE'!$B$7:$F$26,2,0)</f>
        <v>#N/A</v>
      </c>
      <c r="J443" t="e">
        <f>VLOOKUP(F443,'1PROJE'!$B$7:$F$26,4,0)</f>
        <v>#N/A</v>
      </c>
      <c r="K443" t="e">
        <f>VLOOKUP(F443,'1PROJE'!$B$7:$F$26,5,0)</f>
        <v>#N/A</v>
      </c>
    </row>
    <row r="444" spans="2:11">
      <c r="B444">
        <f t="shared" si="204"/>
        <v>0</v>
      </c>
      <c r="F444" s="57" t="e">
        <f t="shared" si="202"/>
        <v>#N/A</v>
      </c>
      <c r="G444" t="str">
        <f t="shared" si="203"/>
        <v/>
      </c>
      <c r="I444" t="e">
        <f>VLOOKUP(F444,'1PROJE'!$B$7:$F$26,2,0)</f>
        <v>#N/A</v>
      </c>
      <c r="J444" t="e">
        <f>VLOOKUP(F444,'1PROJE'!$B$7:$F$26,4,0)</f>
        <v>#N/A</v>
      </c>
      <c r="K444" t="e">
        <f>VLOOKUP(F444,'1PROJE'!$B$7:$F$26,5,0)</f>
        <v>#N/A</v>
      </c>
    </row>
    <row r="445" spans="2:11">
      <c r="B445">
        <f t="shared" si="204"/>
        <v>0</v>
      </c>
      <c r="F445" s="57" t="e">
        <f t="shared" si="202"/>
        <v>#N/A</v>
      </c>
      <c r="G445" t="str">
        <f t="shared" si="203"/>
        <v/>
      </c>
      <c r="I445" t="e">
        <f>VLOOKUP(F445,'1PROJE'!$B$7:$F$26,2,0)</f>
        <v>#N/A</v>
      </c>
      <c r="J445" t="e">
        <f>VLOOKUP(F445,'1PROJE'!$B$7:$F$26,4,0)</f>
        <v>#N/A</v>
      </c>
      <c r="K445" t="e">
        <f>VLOOKUP(F445,'1PROJE'!$B$7:$F$26,5,0)</f>
        <v>#N/A</v>
      </c>
    </row>
    <row r="446" spans="2:11">
      <c r="B446">
        <f t="shared" si="204"/>
        <v>0</v>
      </c>
      <c r="F446" s="57" t="e">
        <f t="shared" si="202"/>
        <v>#N/A</v>
      </c>
      <c r="G446" t="str">
        <f t="shared" si="203"/>
        <v/>
      </c>
      <c r="I446" t="e">
        <f>VLOOKUP(F446,'1PROJE'!$B$7:$F$26,2,0)</f>
        <v>#N/A</v>
      </c>
      <c r="J446" t="e">
        <f>VLOOKUP(F446,'1PROJE'!$B$7:$F$26,4,0)</f>
        <v>#N/A</v>
      </c>
      <c r="K446" t="e">
        <f>VLOOKUP(F446,'1PROJE'!$B$7:$F$26,5,0)</f>
        <v>#N/A</v>
      </c>
    </row>
    <row r="447" spans="2:11">
      <c r="B447">
        <f t="shared" si="204"/>
        <v>0</v>
      </c>
      <c r="F447" s="57" t="e">
        <f t="shared" si="202"/>
        <v>#N/A</v>
      </c>
      <c r="G447" t="str">
        <f t="shared" si="203"/>
        <v/>
      </c>
      <c r="I447" t="e">
        <f>VLOOKUP(F447,'1PROJE'!$B$7:$F$26,2,0)</f>
        <v>#N/A</v>
      </c>
      <c r="J447" t="e">
        <f>VLOOKUP(F447,'1PROJE'!$B$7:$F$26,4,0)</f>
        <v>#N/A</v>
      </c>
      <c r="K447" t="e">
        <f>VLOOKUP(F447,'1PROJE'!$B$7:$F$26,5,0)</f>
        <v>#N/A</v>
      </c>
    </row>
    <row r="448" spans="2:11">
      <c r="B448">
        <f t="shared" si="204"/>
        <v>0</v>
      </c>
      <c r="F448" s="57" t="e">
        <f t="shared" si="202"/>
        <v>#N/A</v>
      </c>
      <c r="G448" t="str">
        <f t="shared" si="203"/>
        <v/>
      </c>
      <c r="I448" t="e">
        <f>VLOOKUP(F448,'1PROJE'!$B$7:$F$26,2,0)</f>
        <v>#N/A</v>
      </c>
      <c r="J448" t="e">
        <f>VLOOKUP(F448,'1PROJE'!$B$7:$F$26,4,0)</f>
        <v>#N/A</v>
      </c>
      <c r="K448" t="e">
        <f>VLOOKUP(F448,'1PROJE'!$B$7:$F$26,5,0)</f>
        <v>#N/A</v>
      </c>
    </row>
    <row r="449" spans="2:11">
      <c r="B449">
        <f t="shared" si="204"/>
        <v>0</v>
      </c>
      <c r="F449" s="57" t="e">
        <f t="shared" si="202"/>
        <v>#N/A</v>
      </c>
      <c r="G449" t="str">
        <f t="shared" si="203"/>
        <v/>
      </c>
      <c r="I449" t="e">
        <f>VLOOKUP(F449,'1PROJE'!$B$7:$F$26,2,0)</f>
        <v>#N/A</v>
      </c>
      <c r="J449" t="e">
        <f>VLOOKUP(F449,'1PROJE'!$B$7:$F$26,4,0)</f>
        <v>#N/A</v>
      </c>
      <c r="K449" t="e">
        <f>VLOOKUP(F449,'1PROJE'!$B$7:$F$26,5,0)</f>
        <v>#N/A</v>
      </c>
    </row>
    <row r="450" spans="2:11">
      <c r="B450">
        <f t="shared" si="204"/>
        <v>0</v>
      </c>
      <c r="F450" s="57" t="e">
        <f t="shared" si="202"/>
        <v>#N/A</v>
      </c>
      <c r="G450" t="str">
        <f t="shared" si="203"/>
        <v/>
      </c>
      <c r="I450" t="e">
        <f>VLOOKUP(F450,'1PROJE'!$B$7:$F$26,2,0)</f>
        <v>#N/A</v>
      </c>
      <c r="J450" t="e">
        <f>VLOOKUP(F450,'1PROJE'!$B$7:$F$26,4,0)</f>
        <v>#N/A</v>
      </c>
      <c r="K450" t="e">
        <f>VLOOKUP(F450,'1PROJE'!$B$7:$F$26,5,0)</f>
        <v>#N/A</v>
      </c>
    </row>
    <row r="451" spans="2:11">
      <c r="B451">
        <f t="shared" si="204"/>
        <v>0</v>
      </c>
      <c r="F451" s="57" t="e">
        <f t="shared" si="202"/>
        <v>#N/A</v>
      </c>
      <c r="G451" t="str">
        <f t="shared" si="203"/>
        <v/>
      </c>
      <c r="I451" t="e">
        <f>VLOOKUP(F451,'1PROJE'!$B$7:$F$26,2,0)</f>
        <v>#N/A</v>
      </c>
      <c r="J451" t="e">
        <f>VLOOKUP(F451,'1PROJE'!$B$7:$F$26,4,0)</f>
        <v>#N/A</v>
      </c>
      <c r="K451" t="e">
        <f>VLOOKUP(F451,'1PROJE'!$B$7:$F$26,5,0)</f>
        <v>#N/A</v>
      </c>
    </row>
    <row r="452" spans="2:11">
      <c r="B452">
        <f t="shared" si="204"/>
        <v>0</v>
      </c>
      <c r="F452" s="57" t="e">
        <f t="shared" si="202"/>
        <v>#N/A</v>
      </c>
      <c r="G452" t="str">
        <f t="shared" si="203"/>
        <v/>
      </c>
      <c r="I452" t="e">
        <f>VLOOKUP(F452,'1PROJE'!$B$7:$F$26,2,0)</f>
        <v>#N/A</v>
      </c>
      <c r="J452" t="e">
        <f>VLOOKUP(F452,'1PROJE'!$B$7:$F$26,4,0)</f>
        <v>#N/A</v>
      </c>
      <c r="K452" t="e">
        <f>VLOOKUP(F452,'1PROJE'!$B$7:$F$26,5,0)</f>
        <v>#N/A</v>
      </c>
    </row>
    <row r="453" spans="2:11">
      <c r="B453">
        <f t="shared" si="204"/>
        <v>0</v>
      </c>
      <c r="F453" s="57" t="e">
        <f t="shared" si="202"/>
        <v>#N/A</v>
      </c>
      <c r="G453" t="str">
        <f t="shared" si="203"/>
        <v/>
      </c>
      <c r="I453" t="e">
        <f>VLOOKUP(F453,'1PROJE'!$B$7:$F$26,2,0)</f>
        <v>#N/A</v>
      </c>
      <c r="J453" t="e">
        <f>VLOOKUP(F453,'1PROJE'!$B$7:$F$26,4,0)</f>
        <v>#N/A</v>
      </c>
      <c r="K453" t="e">
        <f>VLOOKUP(F453,'1PROJE'!$B$7:$F$26,5,0)</f>
        <v>#N/A</v>
      </c>
    </row>
    <row r="454" spans="2:11">
      <c r="B454">
        <f t="shared" si="204"/>
        <v>0</v>
      </c>
      <c r="F454" s="57" t="e">
        <f t="shared" si="202"/>
        <v>#N/A</v>
      </c>
      <c r="G454" t="str">
        <f t="shared" si="203"/>
        <v/>
      </c>
      <c r="I454" t="e">
        <f>VLOOKUP(F454,'1PROJE'!$B$7:$F$26,2,0)</f>
        <v>#N/A</v>
      </c>
      <c r="J454" t="e">
        <f>VLOOKUP(F454,'1PROJE'!$B$7:$F$26,4,0)</f>
        <v>#N/A</v>
      </c>
      <c r="K454" t="e">
        <f>VLOOKUP(F454,'1PROJE'!$B$7:$F$26,5,0)</f>
        <v>#N/A</v>
      </c>
    </row>
    <row r="455" spans="2:11">
      <c r="B455">
        <f t="shared" si="204"/>
        <v>0</v>
      </c>
      <c r="F455" s="57" t="e">
        <f t="shared" si="202"/>
        <v>#N/A</v>
      </c>
      <c r="G455" t="str">
        <f t="shared" si="203"/>
        <v/>
      </c>
      <c r="I455" t="e">
        <f>VLOOKUP(F455,'1PROJE'!$B$7:$F$26,2,0)</f>
        <v>#N/A</v>
      </c>
      <c r="J455" t="e">
        <f>VLOOKUP(F455,'1PROJE'!$B$7:$F$26,4,0)</f>
        <v>#N/A</v>
      </c>
      <c r="K455" t="e">
        <f>VLOOKUP(F455,'1PROJE'!$B$7:$F$26,5,0)</f>
        <v>#N/A</v>
      </c>
    </row>
    <row r="456" spans="2:11">
      <c r="B456">
        <f t="shared" si="204"/>
        <v>0</v>
      </c>
      <c r="F456" s="57" t="e">
        <f t="shared" si="202"/>
        <v>#N/A</v>
      </c>
      <c r="G456" t="str">
        <f t="shared" si="203"/>
        <v/>
      </c>
      <c r="I456" t="e">
        <f>VLOOKUP(F456,'1PROJE'!$B$7:$F$26,2,0)</f>
        <v>#N/A</v>
      </c>
      <c r="J456" t="e">
        <f>VLOOKUP(F456,'1PROJE'!$B$7:$F$26,4,0)</f>
        <v>#N/A</v>
      </c>
      <c r="K456" t="e">
        <f>VLOOKUP(F456,'1PROJE'!$B$7:$F$26,5,0)</f>
        <v>#N/A</v>
      </c>
    </row>
    <row r="457" spans="2:11">
      <c r="B457">
        <f t="shared" si="204"/>
        <v>0</v>
      </c>
      <c r="F457" s="57" t="e">
        <f t="shared" si="202"/>
        <v>#N/A</v>
      </c>
      <c r="G457" t="str">
        <f t="shared" si="203"/>
        <v/>
      </c>
      <c r="I457" t="e">
        <f>VLOOKUP(F457,'1PROJE'!$B$7:$F$26,2,0)</f>
        <v>#N/A</v>
      </c>
      <c r="J457" t="e">
        <f>VLOOKUP(F457,'1PROJE'!$B$7:$F$26,4,0)</f>
        <v>#N/A</v>
      </c>
      <c r="K457" t="e">
        <f>VLOOKUP(F457,'1PROJE'!$B$7:$F$26,5,0)</f>
        <v>#N/A</v>
      </c>
    </row>
    <row r="458" spans="2:11">
      <c r="B458">
        <f t="shared" si="204"/>
        <v>0</v>
      </c>
      <c r="F458" s="57" t="e">
        <f t="shared" si="202"/>
        <v>#N/A</v>
      </c>
      <c r="G458" t="str">
        <f t="shared" si="203"/>
        <v/>
      </c>
      <c r="I458" t="e">
        <f>VLOOKUP(F458,'1PROJE'!$B$7:$F$26,2,0)</f>
        <v>#N/A</v>
      </c>
      <c r="J458" t="e">
        <f>VLOOKUP(F458,'1PROJE'!$B$7:$F$26,4,0)</f>
        <v>#N/A</v>
      </c>
      <c r="K458" t="e">
        <f>VLOOKUP(F458,'1PROJE'!$B$7:$F$26,5,0)</f>
        <v>#N/A</v>
      </c>
    </row>
    <row r="459" spans="2:11">
      <c r="B459">
        <f t="shared" ref="B459:B461" si="205">IF(($C$30-A159)&lt;0,0,"POZ"&amp;" "&amp;$E$61&amp;"."&amp;A159)</f>
        <v>0</v>
      </c>
      <c r="F459" s="57" t="e">
        <f t="shared" ref="F459:F522" si="206">VLOOKUP(G459,$C$64:$D$83,2,0)</f>
        <v>#N/A</v>
      </c>
      <c r="G459" t="str">
        <f t="shared" ref="G459:G522" si="207">LEFT(H459,6)</f>
        <v/>
      </c>
      <c r="I459" t="e">
        <f>VLOOKUP(F459,'1PROJE'!$B$7:$F$26,2,0)</f>
        <v>#N/A</v>
      </c>
      <c r="J459" t="e">
        <f>VLOOKUP(F459,'1PROJE'!$B$7:$F$26,4,0)</f>
        <v>#N/A</v>
      </c>
      <c r="K459" t="e">
        <f>VLOOKUP(F459,'1PROJE'!$B$7:$F$26,5,0)</f>
        <v>#N/A</v>
      </c>
    </row>
    <row r="460" spans="2:11">
      <c r="B460">
        <f t="shared" si="205"/>
        <v>0</v>
      </c>
      <c r="F460" s="57" t="e">
        <f t="shared" si="206"/>
        <v>#N/A</v>
      </c>
      <c r="G460" t="str">
        <f t="shared" si="207"/>
        <v/>
      </c>
      <c r="I460" t="e">
        <f>VLOOKUP(F460,'1PROJE'!$B$7:$F$26,2,0)</f>
        <v>#N/A</v>
      </c>
      <c r="J460" t="e">
        <f>VLOOKUP(F460,'1PROJE'!$B$7:$F$26,4,0)</f>
        <v>#N/A</v>
      </c>
      <c r="K460" t="e">
        <f>VLOOKUP(F460,'1PROJE'!$B$7:$F$26,5,0)</f>
        <v>#N/A</v>
      </c>
    </row>
    <row r="461" spans="2:11">
      <c r="B461">
        <f t="shared" si="205"/>
        <v>0</v>
      </c>
      <c r="F461" s="57" t="e">
        <f t="shared" si="206"/>
        <v>#N/A</v>
      </c>
      <c r="G461" t="str">
        <f t="shared" si="207"/>
        <v/>
      </c>
      <c r="I461" t="e">
        <f>VLOOKUP(F461,'1PROJE'!$B$7:$F$26,2,0)</f>
        <v>#N/A</v>
      </c>
      <c r="J461" t="e">
        <f>VLOOKUP(F461,'1PROJE'!$B$7:$F$26,4,0)</f>
        <v>#N/A</v>
      </c>
      <c r="K461" t="e">
        <f>VLOOKUP(F461,'1PROJE'!$B$7:$F$26,5,0)</f>
        <v>#N/A</v>
      </c>
    </row>
    <row r="462" spans="2:11">
      <c r="B462">
        <f>IF(C31=0,0,IF(($C$31-A62)=0,"POZ 5.","POZ"&amp;" "&amp;$F$61&amp;"."&amp;A62))</f>
        <v>0</v>
      </c>
      <c r="F462" s="57" t="e">
        <f t="shared" si="206"/>
        <v>#N/A</v>
      </c>
      <c r="G462" t="str">
        <f t="shared" si="207"/>
        <v/>
      </c>
      <c r="I462" t="e">
        <f>VLOOKUP(F462,'1PROJE'!$B$7:$F$26,2,0)</f>
        <v>#N/A</v>
      </c>
      <c r="J462" t="e">
        <f>VLOOKUP(F462,'1PROJE'!$B$7:$F$26,4,0)</f>
        <v>#N/A</v>
      </c>
      <c r="K462" t="e">
        <f>VLOOKUP(F462,'1PROJE'!$B$7:$F$26,5,0)</f>
        <v>#N/A</v>
      </c>
    </row>
    <row r="463" spans="2:11">
      <c r="B463">
        <f t="shared" ref="B463:B494" si="208">IF(($C$31-A63)&lt;0,0,"POZ"&amp;" "&amp;$F$61&amp;"."&amp;A63)</f>
        <v>0</v>
      </c>
      <c r="F463" s="57" t="e">
        <f t="shared" si="206"/>
        <v>#N/A</v>
      </c>
      <c r="G463" t="str">
        <f t="shared" si="207"/>
        <v/>
      </c>
      <c r="I463" t="e">
        <f>VLOOKUP(F463,'1PROJE'!$B$7:$F$26,2,0)</f>
        <v>#N/A</v>
      </c>
      <c r="J463" t="e">
        <f>VLOOKUP(F463,'1PROJE'!$B$7:$F$26,4,0)</f>
        <v>#N/A</v>
      </c>
      <c r="K463" t="e">
        <f>VLOOKUP(F463,'1PROJE'!$B$7:$F$26,5,0)</f>
        <v>#N/A</v>
      </c>
    </row>
    <row r="464" spans="2:11">
      <c r="B464">
        <f t="shared" si="208"/>
        <v>0</v>
      </c>
      <c r="F464" s="57" t="e">
        <f t="shared" si="206"/>
        <v>#N/A</v>
      </c>
      <c r="G464" t="str">
        <f t="shared" si="207"/>
        <v/>
      </c>
      <c r="I464" t="e">
        <f>VLOOKUP(F464,'1PROJE'!$B$7:$F$26,2,0)</f>
        <v>#N/A</v>
      </c>
      <c r="J464" t="e">
        <f>VLOOKUP(F464,'1PROJE'!$B$7:$F$26,4,0)</f>
        <v>#N/A</v>
      </c>
      <c r="K464" t="e">
        <f>VLOOKUP(F464,'1PROJE'!$B$7:$F$26,5,0)</f>
        <v>#N/A</v>
      </c>
    </row>
    <row r="465" spans="2:11">
      <c r="B465">
        <f t="shared" si="208"/>
        <v>0</v>
      </c>
      <c r="F465" s="57" t="e">
        <f t="shared" si="206"/>
        <v>#N/A</v>
      </c>
      <c r="G465" t="str">
        <f t="shared" si="207"/>
        <v/>
      </c>
      <c r="I465" t="e">
        <f>VLOOKUP(F465,'1PROJE'!$B$7:$F$26,2,0)</f>
        <v>#N/A</v>
      </c>
      <c r="J465" t="e">
        <f>VLOOKUP(F465,'1PROJE'!$B$7:$F$26,4,0)</f>
        <v>#N/A</v>
      </c>
      <c r="K465" t="e">
        <f>VLOOKUP(F465,'1PROJE'!$B$7:$F$26,5,0)</f>
        <v>#N/A</v>
      </c>
    </row>
    <row r="466" spans="2:11">
      <c r="B466">
        <f t="shared" si="208"/>
        <v>0</v>
      </c>
      <c r="F466" s="57" t="e">
        <f t="shared" si="206"/>
        <v>#N/A</v>
      </c>
      <c r="G466" t="str">
        <f t="shared" si="207"/>
        <v/>
      </c>
      <c r="I466" t="e">
        <f>VLOOKUP(F466,'1PROJE'!$B$7:$F$26,2,0)</f>
        <v>#N/A</v>
      </c>
      <c r="J466" t="e">
        <f>VLOOKUP(F466,'1PROJE'!$B$7:$F$26,4,0)</f>
        <v>#N/A</v>
      </c>
      <c r="K466" t="e">
        <f>VLOOKUP(F466,'1PROJE'!$B$7:$F$26,5,0)</f>
        <v>#N/A</v>
      </c>
    </row>
    <row r="467" spans="2:11">
      <c r="B467">
        <f t="shared" si="208"/>
        <v>0</v>
      </c>
      <c r="F467" s="57" t="e">
        <f t="shared" si="206"/>
        <v>#N/A</v>
      </c>
      <c r="G467" t="str">
        <f t="shared" si="207"/>
        <v/>
      </c>
      <c r="I467" t="e">
        <f>VLOOKUP(F467,'1PROJE'!$B$7:$F$26,2,0)</f>
        <v>#N/A</v>
      </c>
      <c r="J467" t="e">
        <f>VLOOKUP(F467,'1PROJE'!$B$7:$F$26,4,0)</f>
        <v>#N/A</v>
      </c>
      <c r="K467" t="e">
        <f>VLOOKUP(F467,'1PROJE'!$B$7:$F$26,5,0)</f>
        <v>#N/A</v>
      </c>
    </row>
    <row r="468" spans="2:11">
      <c r="B468">
        <f t="shared" si="208"/>
        <v>0</v>
      </c>
      <c r="F468" s="57" t="e">
        <f t="shared" si="206"/>
        <v>#N/A</v>
      </c>
      <c r="G468" t="str">
        <f t="shared" si="207"/>
        <v/>
      </c>
      <c r="I468" t="e">
        <f>VLOOKUP(F468,'1PROJE'!$B$7:$F$26,2,0)</f>
        <v>#N/A</v>
      </c>
      <c r="J468" t="e">
        <f>VLOOKUP(F468,'1PROJE'!$B$7:$F$26,4,0)</f>
        <v>#N/A</v>
      </c>
      <c r="K468" t="e">
        <f>VLOOKUP(F468,'1PROJE'!$B$7:$F$26,5,0)</f>
        <v>#N/A</v>
      </c>
    </row>
    <row r="469" spans="2:11">
      <c r="B469">
        <f t="shared" si="208"/>
        <v>0</v>
      </c>
      <c r="F469" s="57" t="e">
        <f t="shared" si="206"/>
        <v>#N/A</v>
      </c>
      <c r="G469" t="str">
        <f t="shared" si="207"/>
        <v/>
      </c>
      <c r="I469" t="e">
        <f>VLOOKUP(F469,'1PROJE'!$B$7:$F$26,2,0)</f>
        <v>#N/A</v>
      </c>
      <c r="J469" t="e">
        <f>VLOOKUP(F469,'1PROJE'!$B$7:$F$26,4,0)</f>
        <v>#N/A</v>
      </c>
      <c r="K469" t="e">
        <f>VLOOKUP(F469,'1PROJE'!$B$7:$F$26,5,0)</f>
        <v>#N/A</v>
      </c>
    </row>
    <row r="470" spans="2:11">
      <c r="B470">
        <f t="shared" si="208"/>
        <v>0</v>
      </c>
      <c r="F470" s="57" t="e">
        <f t="shared" si="206"/>
        <v>#N/A</v>
      </c>
      <c r="G470" t="str">
        <f t="shared" si="207"/>
        <v/>
      </c>
      <c r="I470" t="e">
        <f>VLOOKUP(F470,'1PROJE'!$B$7:$F$26,2,0)</f>
        <v>#N/A</v>
      </c>
      <c r="J470" t="e">
        <f>VLOOKUP(F470,'1PROJE'!$B$7:$F$26,4,0)</f>
        <v>#N/A</v>
      </c>
      <c r="K470" t="e">
        <f>VLOOKUP(F470,'1PROJE'!$B$7:$F$26,5,0)</f>
        <v>#N/A</v>
      </c>
    </row>
    <row r="471" spans="2:11">
      <c r="B471">
        <f t="shared" si="208"/>
        <v>0</v>
      </c>
      <c r="F471" s="57" t="e">
        <f t="shared" si="206"/>
        <v>#N/A</v>
      </c>
      <c r="G471" t="str">
        <f t="shared" si="207"/>
        <v/>
      </c>
      <c r="I471" t="e">
        <f>VLOOKUP(F471,'1PROJE'!$B$7:$F$26,2,0)</f>
        <v>#N/A</v>
      </c>
      <c r="J471" t="e">
        <f>VLOOKUP(F471,'1PROJE'!$B$7:$F$26,4,0)</f>
        <v>#N/A</v>
      </c>
      <c r="K471" t="e">
        <f>VLOOKUP(F471,'1PROJE'!$B$7:$F$26,5,0)</f>
        <v>#N/A</v>
      </c>
    </row>
    <row r="472" spans="2:11">
      <c r="B472">
        <f t="shared" si="208"/>
        <v>0</v>
      </c>
      <c r="F472" s="57" t="e">
        <f t="shared" si="206"/>
        <v>#N/A</v>
      </c>
      <c r="G472" t="str">
        <f t="shared" si="207"/>
        <v/>
      </c>
      <c r="I472" t="e">
        <f>VLOOKUP(F472,'1PROJE'!$B$7:$F$26,2,0)</f>
        <v>#N/A</v>
      </c>
      <c r="J472" t="e">
        <f>VLOOKUP(F472,'1PROJE'!$B$7:$F$26,4,0)</f>
        <v>#N/A</v>
      </c>
      <c r="K472" t="e">
        <f>VLOOKUP(F472,'1PROJE'!$B$7:$F$26,5,0)</f>
        <v>#N/A</v>
      </c>
    </row>
    <row r="473" spans="2:11">
      <c r="B473">
        <f t="shared" si="208"/>
        <v>0</v>
      </c>
      <c r="F473" s="57" t="e">
        <f t="shared" si="206"/>
        <v>#N/A</v>
      </c>
      <c r="G473" t="str">
        <f t="shared" si="207"/>
        <v/>
      </c>
      <c r="I473" t="e">
        <f>VLOOKUP(F473,'1PROJE'!$B$7:$F$26,2,0)</f>
        <v>#N/A</v>
      </c>
      <c r="J473" t="e">
        <f>VLOOKUP(F473,'1PROJE'!$B$7:$F$26,4,0)</f>
        <v>#N/A</v>
      </c>
      <c r="K473" t="e">
        <f>VLOOKUP(F473,'1PROJE'!$B$7:$F$26,5,0)</f>
        <v>#N/A</v>
      </c>
    </row>
    <row r="474" spans="2:11">
      <c r="B474">
        <f t="shared" si="208"/>
        <v>0</v>
      </c>
      <c r="F474" s="57" t="e">
        <f t="shared" si="206"/>
        <v>#N/A</v>
      </c>
      <c r="G474" t="str">
        <f t="shared" si="207"/>
        <v/>
      </c>
      <c r="I474" t="e">
        <f>VLOOKUP(F474,'1PROJE'!$B$7:$F$26,2,0)</f>
        <v>#N/A</v>
      </c>
      <c r="J474" t="e">
        <f>VLOOKUP(F474,'1PROJE'!$B$7:$F$26,4,0)</f>
        <v>#N/A</v>
      </c>
      <c r="K474" t="e">
        <f>VLOOKUP(F474,'1PROJE'!$B$7:$F$26,5,0)</f>
        <v>#N/A</v>
      </c>
    </row>
    <row r="475" spans="2:11">
      <c r="B475">
        <f t="shared" si="208"/>
        <v>0</v>
      </c>
      <c r="F475" s="57" t="e">
        <f t="shared" si="206"/>
        <v>#N/A</v>
      </c>
      <c r="G475" t="str">
        <f t="shared" si="207"/>
        <v/>
      </c>
      <c r="I475" t="e">
        <f>VLOOKUP(F475,'1PROJE'!$B$7:$F$26,2,0)</f>
        <v>#N/A</v>
      </c>
      <c r="J475" t="e">
        <f>VLOOKUP(F475,'1PROJE'!$B$7:$F$26,4,0)</f>
        <v>#N/A</v>
      </c>
      <c r="K475" t="e">
        <f>VLOOKUP(F475,'1PROJE'!$B$7:$F$26,5,0)</f>
        <v>#N/A</v>
      </c>
    </row>
    <row r="476" spans="2:11">
      <c r="B476">
        <f t="shared" si="208"/>
        <v>0</v>
      </c>
      <c r="F476" s="57" t="e">
        <f t="shared" si="206"/>
        <v>#N/A</v>
      </c>
      <c r="G476" t="str">
        <f t="shared" si="207"/>
        <v/>
      </c>
      <c r="I476" t="e">
        <f>VLOOKUP(F476,'1PROJE'!$B$7:$F$26,2,0)</f>
        <v>#N/A</v>
      </c>
      <c r="J476" t="e">
        <f>VLOOKUP(F476,'1PROJE'!$B$7:$F$26,4,0)</f>
        <v>#N/A</v>
      </c>
      <c r="K476" t="e">
        <f>VLOOKUP(F476,'1PROJE'!$B$7:$F$26,5,0)</f>
        <v>#N/A</v>
      </c>
    </row>
    <row r="477" spans="2:11">
      <c r="B477">
        <f t="shared" si="208"/>
        <v>0</v>
      </c>
      <c r="F477" s="57" t="e">
        <f t="shared" si="206"/>
        <v>#N/A</v>
      </c>
      <c r="G477" t="str">
        <f t="shared" si="207"/>
        <v/>
      </c>
      <c r="I477" t="e">
        <f>VLOOKUP(F477,'1PROJE'!$B$7:$F$26,2,0)</f>
        <v>#N/A</v>
      </c>
      <c r="J477" t="e">
        <f>VLOOKUP(F477,'1PROJE'!$B$7:$F$26,4,0)</f>
        <v>#N/A</v>
      </c>
      <c r="K477" t="e">
        <f>VLOOKUP(F477,'1PROJE'!$B$7:$F$26,5,0)</f>
        <v>#N/A</v>
      </c>
    </row>
    <row r="478" spans="2:11">
      <c r="B478">
        <f t="shared" si="208"/>
        <v>0</v>
      </c>
      <c r="F478" s="57" t="e">
        <f t="shared" si="206"/>
        <v>#N/A</v>
      </c>
      <c r="G478" t="str">
        <f t="shared" si="207"/>
        <v/>
      </c>
      <c r="I478" t="e">
        <f>VLOOKUP(F478,'1PROJE'!$B$7:$F$26,2,0)</f>
        <v>#N/A</v>
      </c>
      <c r="J478" t="e">
        <f>VLOOKUP(F478,'1PROJE'!$B$7:$F$26,4,0)</f>
        <v>#N/A</v>
      </c>
      <c r="K478" t="e">
        <f>VLOOKUP(F478,'1PROJE'!$B$7:$F$26,5,0)</f>
        <v>#N/A</v>
      </c>
    </row>
    <row r="479" spans="2:11">
      <c r="B479">
        <f t="shared" si="208"/>
        <v>0</v>
      </c>
      <c r="F479" s="57" t="e">
        <f t="shared" si="206"/>
        <v>#N/A</v>
      </c>
      <c r="G479" t="str">
        <f t="shared" si="207"/>
        <v/>
      </c>
      <c r="I479" t="e">
        <f>VLOOKUP(F479,'1PROJE'!$B$7:$F$26,2,0)</f>
        <v>#N/A</v>
      </c>
      <c r="J479" t="e">
        <f>VLOOKUP(F479,'1PROJE'!$B$7:$F$26,4,0)</f>
        <v>#N/A</v>
      </c>
      <c r="K479" t="e">
        <f>VLOOKUP(F479,'1PROJE'!$B$7:$F$26,5,0)</f>
        <v>#N/A</v>
      </c>
    </row>
    <row r="480" spans="2:11">
      <c r="B480">
        <f t="shared" si="208"/>
        <v>0</v>
      </c>
      <c r="F480" s="57" t="e">
        <f t="shared" si="206"/>
        <v>#N/A</v>
      </c>
      <c r="G480" t="str">
        <f t="shared" si="207"/>
        <v/>
      </c>
      <c r="I480" t="e">
        <f>VLOOKUP(F480,'1PROJE'!$B$7:$F$26,2,0)</f>
        <v>#N/A</v>
      </c>
      <c r="J480" t="e">
        <f>VLOOKUP(F480,'1PROJE'!$B$7:$F$26,4,0)</f>
        <v>#N/A</v>
      </c>
      <c r="K480" t="e">
        <f>VLOOKUP(F480,'1PROJE'!$B$7:$F$26,5,0)</f>
        <v>#N/A</v>
      </c>
    </row>
    <row r="481" spans="2:11">
      <c r="B481">
        <f t="shared" si="208"/>
        <v>0</v>
      </c>
      <c r="F481" s="57" t="e">
        <f t="shared" si="206"/>
        <v>#N/A</v>
      </c>
      <c r="G481" t="str">
        <f t="shared" si="207"/>
        <v/>
      </c>
      <c r="I481" t="e">
        <f>VLOOKUP(F481,'1PROJE'!$B$7:$F$26,2,0)</f>
        <v>#N/A</v>
      </c>
      <c r="J481" t="e">
        <f>VLOOKUP(F481,'1PROJE'!$B$7:$F$26,4,0)</f>
        <v>#N/A</v>
      </c>
      <c r="K481" t="e">
        <f>VLOOKUP(F481,'1PROJE'!$B$7:$F$26,5,0)</f>
        <v>#N/A</v>
      </c>
    </row>
    <row r="482" spans="2:11">
      <c r="B482">
        <f t="shared" si="208"/>
        <v>0</v>
      </c>
      <c r="F482" s="57" t="e">
        <f t="shared" si="206"/>
        <v>#N/A</v>
      </c>
      <c r="G482" t="str">
        <f t="shared" si="207"/>
        <v/>
      </c>
      <c r="I482" t="e">
        <f>VLOOKUP(F482,'1PROJE'!$B$7:$F$26,2,0)</f>
        <v>#N/A</v>
      </c>
      <c r="J482" t="e">
        <f>VLOOKUP(F482,'1PROJE'!$B$7:$F$26,4,0)</f>
        <v>#N/A</v>
      </c>
      <c r="K482" t="e">
        <f>VLOOKUP(F482,'1PROJE'!$B$7:$F$26,5,0)</f>
        <v>#N/A</v>
      </c>
    </row>
    <row r="483" spans="2:11">
      <c r="B483">
        <f t="shared" si="208"/>
        <v>0</v>
      </c>
      <c r="F483" s="57" t="e">
        <f t="shared" si="206"/>
        <v>#N/A</v>
      </c>
      <c r="G483" t="str">
        <f t="shared" si="207"/>
        <v/>
      </c>
      <c r="I483" t="e">
        <f>VLOOKUP(F483,'1PROJE'!$B$7:$F$26,2,0)</f>
        <v>#N/A</v>
      </c>
      <c r="J483" t="e">
        <f>VLOOKUP(F483,'1PROJE'!$B$7:$F$26,4,0)</f>
        <v>#N/A</v>
      </c>
      <c r="K483" t="e">
        <f>VLOOKUP(F483,'1PROJE'!$B$7:$F$26,5,0)</f>
        <v>#N/A</v>
      </c>
    </row>
    <row r="484" spans="2:11">
      <c r="B484">
        <f t="shared" si="208"/>
        <v>0</v>
      </c>
      <c r="F484" s="57" t="e">
        <f t="shared" si="206"/>
        <v>#N/A</v>
      </c>
      <c r="G484" t="str">
        <f t="shared" si="207"/>
        <v/>
      </c>
      <c r="I484" t="e">
        <f>VLOOKUP(F484,'1PROJE'!$B$7:$F$26,2,0)</f>
        <v>#N/A</v>
      </c>
      <c r="J484" t="e">
        <f>VLOOKUP(F484,'1PROJE'!$B$7:$F$26,4,0)</f>
        <v>#N/A</v>
      </c>
      <c r="K484" t="e">
        <f>VLOOKUP(F484,'1PROJE'!$B$7:$F$26,5,0)</f>
        <v>#N/A</v>
      </c>
    </row>
    <row r="485" spans="2:11">
      <c r="B485">
        <f t="shared" si="208"/>
        <v>0</v>
      </c>
      <c r="F485" s="57" t="e">
        <f t="shared" si="206"/>
        <v>#N/A</v>
      </c>
      <c r="G485" t="str">
        <f t="shared" si="207"/>
        <v/>
      </c>
      <c r="I485" t="e">
        <f>VLOOKUP(F485,'1PROJE'!$B$7:$F$26,2,0)</f>
        <v>#N/A</v>
      </c>
      <c r="J485" t="e">
        <f>VLOOKUP(F485,'1PROJE'!$B$7:$F$26,4,0)</f>
        <v>#N/A</v>
      </c>
      <c r="K485" t="e">
        <f>VLOOKUP(F485,'1PROJE'!$B$7:$F$26,5,0)</f>
        <v>#N/A</v>
      </c>
    </row>
    <row r="486" spans="2:11">
      <c r="B486">
        <f t="shared" si="208"/>
        <v>0</v>
      </c>
      <c r="F486" s="57" t="e">
        <f t="shared" si="206"/>
        <v>#N/A</v>
      </c>
      <c r="G486" t="str">
        <f t="shared" si="207"/>
        <v/>
      </c>
      <c r="I486" t="e">
        <f>VLOOKUP(F486,'1PROJE'!$B$7:$F$26,2,0)</f>
        <v>#N/A</v>
      </c>
      <c r="J486" t="e">
        <f>VLOOKUP(F486,'1PROJE'!$B$7:$F$26,4,0)</f>
        <v>#N/A</v>
      </c>
      <c r="K486" t="e">
        <f>VLOOKUP(F486,'1PROJE'!$B$7:$F$26,5,0)</f>
        <v>#N/A</v>
      </c>
    </row>
    <row r="487" spans="2:11">
      <c r="B487">
        <f t="shared" si="208"/>
        <v>0</v>
      </c>
      <c r="F487" s="57" t="e">
        <f t="shared" si="206"/>
        <v>#N/A</v>
      </c>
      <c r="G487" t="str">
        <f t="shared" si="207"/>
        <v/>
      </c>
      <c r="I487" t="e">
        <f>VLOOKUP(F487,'1PROJE'!$B$7:$F$26,2,0)</f>
        <v>#N/A</v>
      </c>
      <c r="J487" t="e">
        <f>VLOOKUP(F487,'1PROJE'!$B$7:$F$26,4,0)</f>
        <v>#N/A</v>
      </c>
      <c r="K487" t="e">
        <f>VLOOKUP(F487,'1PROJE'!$B$7:$F$26,5,0)</f>
        <v>#N/A</v>
      </c>
    </row>
    <row r="488" spans="2:11">
      <c r="B488">
        <f t="shared" si="208"/>
        <v>0</v>
      </c>
      <c r="F488" s="57" t="e">
        <f t="shared" si="206"/>
        <v>#N/A</v>
      </c>
      <c r="G488" t="str">
        <f t="shared" si="207"/>
        <v/>
      </c>
      <c r="I488" t="e">
        <f>VLOOKUP(F488,'1PROJE'!$B$7:$F$26,2,0)</f>
        <v>#N/A</v>
      </c>
      <c r="J488" t="e">
        <f>VLOOKUP(F488,'1PROJE'!$B$7:$F$26,4,0)</f>
        <v>#N/A</v>
      </c>
      <c r="K488" t="e">
        <f>VLOOKUP(F488,'1PROJE'!$B$7:$F$26,5,0)</f>
        <v>#N/A</v>
      </c>
    </row>
    <row r="489" spans="2:11">
      <c r="B489">
        <f t="shared" si="208"/>
        <v>0</v>
      </c>
      <c r="F489" s="57" t="e">
        <f t="shared" si="206"/>
        <v>#N/A</v>
      </c>
      <c r="G489" t="str">
        <f t="shared" si="207"/>
        <v/>
      </c>
      <c r="I489" t="e">
        <f>VLOOKUP(F489,'1PROJE'!$B$7:$F$26,2,0)</f>
        <v>#N/A</v>
      </c>
      <c r="J489" t="e">
        <f>VLOOKUP(F489,'1PROJE'!$B$7:$F$26,4,0)</f>
        <v>#N/A</v>
      </c>
      <c r="K489" t="e">
        <f>VLOOKUP(F489,'1PROJE'!$B$7:$F$26,5,0)</f>
        <v>#N/A</v>
      </c>
    </row>
    <row r="490" spans="2:11">
      <c r="B490">
        <f t="shared" si="208"/>
        <v>0</v>
      </c>
      <c r="F490" s="57" t="e">
        <f t="shared" si="206"/>
        <v>#N/A</v>
      </c>
      <c r="G490" t="str">
        <f t="shared" si="207"/>
        <v/>
      </c>
      <c r="I490" t="e">
        <f>VLOOKUP(F490,'1PROJE'!$B$7:$F$26,2,0)</f>
        <v>#N/A</v>
      </c>
      <c r="J490" t="e">
        <f>VLOOKUP(F490,'1PROJE'!$B$7:$F$26,4,0)</f>
        <v>#N/A</v>
      </c>
      <c r="K490" t="e">
        <f>VLOOKUP(F490,'1PROJE'!$B$7:$F$26,5,0)</f>
        <v>#N/A</v>
      </c>
    </row>
    <row r="491" spans="2:11">
      <c r="B491">
        <f t="shared" si="208"/>
        <v>0</v>
      </c>
      <c r="F491" s="57" t="e">
        <f t="shared" si="206"/>
        <v>#N/A</v>
      </c>
      <c r="G491" t="str">
        <f t="shared" si="207"/>
        <v/>
      </c>
      <c r="I491" t="e">
        <f>VLOOKUP(F491,'1PROJE'!$B$7:$F$26,2,0)</f>
        <v>#N/A</v>
      </c>
      <c r="J491" t="e">
        <f>VLOOKUP(F491,'1PROJE'!$B$7:$F$26,4,0)</f>
        <v>#N/A</v>
      </c>
      <c r="K491" t="e">
        <f>VLOOKUP(F491,'1PROJE'!$B$7:$F$26,5,0)</f>
        <v>#N/A</v>
      </c>
    </row>
    <row r="492" spans="2:11">
      <c r="B492">
        <f t="shared" si="208"/>
        <v>0</v>
      </c>
      <c r="F492" s="57" t="e">
        <f t="shared" si="206"/>
        <v>#N/A</v>
      </c>
      <c r="G492" t="str">
        <f t="shared" si="207"/>
        <v/>
      </c>
      <c r="I492" t="e">
        <f>VLOOKUP(F492,'1PROJE'!$B$7:$F$26,2,0)</f>
        <v>#N/A</v>
      </c>
      <c r="J492" t="e">
        <f>VLOOKUP(F492,'1PROJE'!$B$7:$F$26,4,0)</f>
        <v>#N/A</v>
      </c>
      <c r="K492" t="e">
        <f>VLOOKUP(F492,'1PROJE'!$B$7:$F$26,5,0)</f>
        <v>#N/A</v>
      </c>
    </row>
    <row r="493" spans="2:11">
      <c r="B493">
        <f t="shared" si="208"/>
        <v>0</v>
      </c>
      <c r="F493" s="57" t="e">
        <f t="shared" si="206"/>
        <v>#N/A</v>
      </c>
      <c r="G493" t="str">
        <f t="shared" si="207"/>
        <v/>
      </c>
      <c r="I493" t="e">
        <f>VLOOKUP(F493,'1PROJE'!$B$7:$F$26,2,0)</f>
        <v>#N/A</v>
      </c>
      <c r="J493" t="e">
        <f>VLOOKUP(F493,'1PROJE'!$B$7:$F$26,4,0)</f>
        <v>#N/A</v>
      </c>
      <c r="K493" t="e">
        <f>VLOOKUP(F493,'1PROJE'!$B$7:$F$26,5,0)</f>
        <v>#N/A</v>
      </c>
    </row>
    <row r="494" spans="2:11">
      <c r="B494">
        <f t="shared" si="208"/>
        <v>0</v>
      </c>
      <c r="F494" s="57" t="e">
        <f t="shared" si="206"/>
        <v>#N/A</v>
      </c>
      <c r="G494" t="str">
        <f t="shared" si="207"/>
        <v/>
      </c>
      <c r="I494" t="e">
        <f>VLOOKUP(F494,'1PROJE'!$B$7:$F$26,2,0)</f>
        <v>#N/A</v>
      </c>
      <c r="J494" t="e">
        <f>VLOOKUP(F494,'1PROJE'!$B$7:$F$26,4,0)</f>
        <v>#N/A</v>
      </c>
      <c r="K494" t="e">
        <f>VLOOKUP(F494,'1PROJE'!$B$7:$F$26,5,0)</f>
        <v>#N/A</v>
      </c>
    </row>
    <row r="495" spans="2:11">
      <c r="B495">
        <f t="shared" ref="B495:B526" si="209">IF(($C$31-A95)&lt;0,0,"POZ"&amp;" "&amp;$F$61&amp;"."&amp;A95)</f>
        <v>0</v>
      </c>
      <c r="F495" s="57" t="e">
        <f t="shared" si="206"/>
        <v>#N/A</v>
      </c>
      <c r="G495" t="str">
        <f t="shared" si="207"/>
        <v/>
      </c>
      <c r="I495" t="e">
        <f>VLOOKUP(F495,'1PROJE'!$B$7:$F$26,2,0)</f>
        <v>#N/A</v>
      </c>
      <c r="J495" t="e">
        <f>VLOOKUP(F495,'1PROJE'!$B$7:$F$26,4,0)</f>
        <v>#N/A</v>
      </c>
      <c r="K495" t="e">
        <f>VLOOKUP(F495,'1PROJE'!$B$7:$F$26,5,0)</f>
        <v>#N/A</v>
      </c>
    </row>
    <row r="496" spans="2:11">
      <c r="B496">
        <f t="shared" si="209"/>
        <v>0</v>
      </c>
      <c r="F496" s="57" t="e">
        <f t="shared" si="206"/>
        <v>#N/A</v>
      </c>
      <c r="G496" t="str">
        <f t="shared" si="207"/>
        <v/>
      </c>
      <c r="I496" t="e">
        <f>VLOOKUP(F496,'1PROJE'!$B$7:$F$26,2,0)</f>
        <v>#N/A</v>
      </c>
      <c r="J496" t="e">
        <f>VLOOKUP(F496,'1PROJE'!$B$7:$F$26,4,0)</f>
        <v>#N/A</v>
      </c>
      <c r="K496" t="e">
        <f>VLOOKUP(F496,'1PROJE'!$B$7:$F$26,5,0)</f>
        <v>#N/A</v>
      </c>
    </row>
    <row r="497" spans="2:11">
      <c r="B497">
        <f t="shared" si="209"/>
        <v>0</v>
      </c>
      <c r="F497" s="57" t="e">
        <f t="shared" si="206"/>
        <v>#N/A</v>
      </c>
      <c r="G497" t="str">
        <f t="shared" si="207"/>
        <v/>
      </c>
      <c r="I497" t="e">
        <f>VLOOKUP(F497,'1PROJE'!$B$7:$F$26,2,0)</f>
        <v>#N/A</v>
      </c>
      <c r="J497" t="e">
        <f>VLOOKUP(F497,'1PROJE'!$B$7:$F$26,4,0)</f>
        <v>#N/A</v>
      </c>
      <c r="K497" t="e">
        <f>VLOOKUP(F497,'1PROJE'!$B$7:$F$26,5,0)</f>
        <v>#N/A</v>
      </c>
    </row>
    <row r="498" spans="2:11">
      <c r="B498">
        <f t="shared" si="209"/>
        <v>0</v>
      </c>
      <c r="F498" s="57" t="e">
        <f t="shared" si="206"/>
        <v>#N/A</v>
      </c>
      <c r="G498" t="str">
        <f t="shared" si="207"/>
        <v/>
      </c>
      <c r="I498" t="e">
        <f>VLOOKUP(F498,'1PROJE'!$B$7:$F$26,2,0)</f>
        <v>#N/A</v>
      </c>
      <c r="J498" t="e">
        <f>VLOOKUP(F498,'1PROJE'!$B$7:$F$26,4,0)</f>
        <v>#N/A</v>
      </c>
      <c r="K498" t="e">
        <f>VLOOKUP(F498,'1PROJE'!$B$7:$F$26,5,0)</f>
        <v>#N/A</v>
      </c>
    </row>
    <row r="499" spans="2:11">
      <c r="B499">
        <f t="shared" si="209"/>
        <v>0</v>
      </c>
      <c r="F499" s="57" t="e">
        <f t="shared" si="206"/>
        <v>#N/A</v>
      </c>
      <c r="G499" t="str">
        <f t="shared" si="207"/>
        <v/>
      </c>
      <c r="I499" t="e">
        <f>VLOOKUP(F499,'1PROJE'!$B$7:$F$26,2,0)</f>
        <v>#N/A</v>
      </c>
      <c r="J499" t="e">
        <f>VLOOKUP(F499,'1PROJE'!$B$7:$F$26,4,0)</f>
        <v>#N/A</v>
      </c>
      <c r="K499" t="e">
        <f>VLOOKUP(F499,'1PROJE'!$B$7:$F$26,5,0)</f>
        <v>#N/A</v>
      </c>
    </row>
    <row r="500" spans="2:11">
      <c r="B500">
        <f t="shared" si="209"/>
        <v>0</v>
      </c>
      <c r="F500" s="57" t="e">
        <f t="shared" si="206"/>
        <v>#N/A</v>
      </c>
      <c r="G500" t="str">
        <f t="shared" si="207"/>
        <v/>
      </c>
      <c r="I500" t="e">
        <f>VLOOKUP(F500,'1PROJE'!$B$7:$F$26,2,0)</f>
        <v>#N/A</v>
      </c>
      <c r="J500" t="e">
        <f>VLOOKUP(F500,'1PROJE'!$B$7:$F$26,4,0)</f>
        <v>#N/A</v>
      </c>
      <c r="K500" t="e">
        <f>VLOOKUP(F500,'1PROJE'!$B$7:$F$26,5,0)</f>
        <v>#N/A</v>
      </c>
    </row>
    <row r="501" spans="2:11">
      <c r="B501">
        <f t="shared" si="209"/>
        <v>0</v>
      </c>
      <c r="F501" s="57" t="e">
        <f t="shared" si="206"/>
        <v>#N/A</v>
      </c>
      <c r="G501" t="str">
        <f t="shared" si="207"/>
        <v/>
      </c>
      <c r="I501" t="e">
        <f>VLOOKUP(F501,'1PROJE'!$B$7:$F$26,2,0)</f>
        <v>#N/A</v>
      </c>
      <c r="J501" t="e">
        <f>VLOOKUP(F501,'1PROJE'!$B$7:$F$26,4,0)</f>
        <v>#N/A</v>
      </c>
      <c r="K501" t="e">
        <f>VLOOKUP(F501,'1PROJE'!$B$7:$F$26,5,0)</f>
        <v>#N/A</v>
      </c>
    </row>
    <row r="502" spans="2:11">
      <c r="B502">
        <f t="shared" si="209"/>
        <v>0</v>
      </c>
      <c r="F502" s="57" t="e">
        <f t="shared" si="206"/>
        <v>#N/A</v>
      </c>
      <c r="G502" t="str">
        <f t="shared" si="207"/>
        <v/>
      </c>
      <c r="I502" t="e">
        <f>VLOOKUP(F502,'1PROJE'!$B$7:$F$26,2,0)</f>
        <v>#N/A</v>
      </c>
      <c r="J502" t="e">
        <f>VLOOKUP(F502,'1PROJE'!$B$7:$F$26,4,0)</f>
        <v>#N/A</v>
      </c>
      <c r="K502" t="e">
        <f>VLOOKUP(F502,'1PROJE'!$B$7:$F$26,5,0)</f>
        <v>#N/A</v>
      </c>
    </row>
    <row r="503" spans="2:11">
      <c r="B503">
        <f t="shared" si="209"/>
        <v>0</v>
      </c>
      <c r="F503" s="57" t="e">
        <f t="shared" si="206"/>
        <v>#N/A</v>
      </c>
      <c r="G503" t="str">
        <f t="shared" si="207"/>
        <v/>
      </c>
      <c r="I503" t="e">
        <f>VLOOKUP(F503,'1PROJE'!$B$7:$F$26,2,0)</f>
        <v>#N/A</v>
      </c>
      <c r="J503" t="e">
        <f>VLOOKUP(F503,'1PROJE'!$B$7:$F$26,4,0)</f>
        <v>#N/A</v>
      </c>
      <c r="K503" t="e">
        <f>VLOOKUP(F503,'1PROJE'!$B$7:$F$26,5,0)</f>
        <v>#N/A</v>
      </c>
    </row>
    <row r="504" spans="2:11">
      <c r="B504">
        <f t="shared" si="209"/>
        <v>0</v>
      </c>
      <c r="F504" s="57" t="e">
        <f t="shared" si="206"/>
        <v>#N/A</v>
      </c>
      <c r="G504" t="str">
        <f t="shared" si="207"/>
        <v/>
      </c>
      <c r="I504" t="e">
        <f>VLOOKUP(F504,'1PROJE'!$B$7:$F$26,2,0)</f>
        <v>#N/A</v>
      </c>
      <c r="J504" t="e">
        <f>VLOOKUP(F504,'1PROJE'!$B$7:$F$26,4,0)</f>
        <v>#N/A</v>
      </c>
      <c r="K504" t="e">
        <f>VLOOKUP(F504,'1PROJE'!$B$7:$F$26,5,0)</f>
        <v>#N/A</v>
      </c>
    </row>
    <row r="505" spans="2:11">
      <c r="B505">
        <f t="shared" si="209"/>
        <v>0</v>
      </c>
      <c r="F505" s="57" t="e">
        <f t="shared" si="206"/>
        <v>#N/A</v>
      </c>
      <c r="G505" t="str">
        <f t="shared" si="207"/>
        <v/>
      </c>
      <c r="I505" t="e">
        <f>VLOOKUP(F505,'1PROJE'!$B$7:$F$26,2,0)</f>
        <v>#N/A</v>
      </c>
      <c r="J505" t="e">
        <f>VLOOKUP(F505,'1PROJE'!$B$7:$F$26,4,0)</f>
        <v>#N/A</v>
      </c>
      <c r="K505" t="e">
        <f>VLOOKUP(F505,'1PROJE'!$B$7:$F$26,5,0)</f>
        <v>#N/A</v>
      </c>
    </row>
    <row r="506" spans="2:11">
      <c r="B506">
        <f t="shared" si="209"/>
        <v>0</v>
      </c>
      <c r="F506" s="57" t="e">
        <f t="shared" si="206"/>
        <v>#N/A</v>
      </c>
      <c r="G506" t="str">
        <f t="shared" si="207"/>
        <v/>
      </c>
      <c r="I506" t="e">
        <f>VLOOKUP(F506,'1PROJE'!$B$7:$F$26,2,0)</f>
        <v>#N/A</v>
      </c>
      <c r="J506" t="e">
        <f>VLOOKUP(F506,'1PROJE'!$B$7:$F$26,4,0)</f>
        <v>#N/A</v>
      </c>
      <c r="K506" t="e">
        <f>VLOOKUP(F506,'1PROJE'!$B$7:$F$26,5,0)</f>
        <v>#N/A</v>
      </c>
    </row>
    <row r="507" spans="2:11">
      <c r="B507">
        <f t="shared" si="209"/>
        <v>0</v>
      </c>
      <c r="F507" s="57" t="e">
        <f t="shared" si="206"/>
        <v>#N/A</v>
      </c>
      <c r="G507" t="str">
        <f t="shared" si="207"/>
        <v/>
      </c>
      <c r="I507" t="e">
        <f>VLOOKUP(F507,'1PROJE'!$B$7:$F$26,2,0)</f>
        <v>#N/A</v>
      </c>
      <c r="J507" t="e">
        <f>VLOOKUP(F507,'1PROJE'!$B$7:$F$26,4,0)</f>
        <v>#N/A</v>
      </c>
      <c r="K507" t="e">
        <f>VLOOKUP(F507,'1PROJE'!$B$7:$F$26,5,0)</f>
        <v>#N/A</v>
      </c>
    </row>
    <row r="508" spans="2:11">
      <c r="B508">
        <f t="shared" si="209"/>
        <v>0</v>
      </c>
      <c r="F508" s="57" t="e">
        <f t="shared" si="206"/>
        <v>#N/A</v>
      </c>
      <c r="G508" t="str">
        <f t="shared" si="207"/>
        <v/>
      </c>
      <c r="I508" t="e">
        <f>VLOOKUP(F508,'1PROJE'!$B$7:$F$26,2,0)</f>
        <v>#N/A</v>
      </c>
      <c r="J508" t="e">
        <f>VLOOKUP(F508,'1PROJE'!$B$7:$F$26,4,0)</f>
        <v>#N/A</v>
      </c>
      <c r="K508" t="e">
        <f>VLOOKUP(F508,'1PROJE'!$B$7:$F$26,5,0)</f>
        <v>#N/A</v>
      </c>
    </row>
    <row r="509" spans="2:11">
      <c r="B509">
        <f t="shared" si="209"/>
        <v>0</v>
      </c>
      <c r="F509" s="57" t="e">
        <f t="shared" si="206"/>
        <v>#N/A</v>
      </c>
      <c r="G509" t="str">
        <f t="shared" si="207"/>
        <v/>
      </c>
      <c r="I509" t="e">
        <f>VLOOKUP(F509,'1PROJE'!$B$7:$F$26,2,0)</f>
        <v>#N/A</v>
      </c>
      <c r="J509" t="e">
        <f>VLOOKUP(F509,'1PROJE'!$B$7:$F$26,4,0)</f>
        <v>#N/A</v>
      </c>
      <c r="K509" t="e">
        <f>VLOOKUP(F509,'1PROJE'!$B$7:$F$26,5,0)</f>
        <v>#N/A</v>
      </c>
    </row>
    <row r="510" spans="2:11">
      <c r="B510">
        <f t="shared" si="209"/>
        <v>0</v>
      </c>
      <c r="F510" s="57" t="e">
        <f t="shared" si="206"/>
        <v>#N/A</v>
      </c>
      <c r="G510" t="str">
        <f t="shared" si="207"/>
        <v/>
      </c>
      <c r="I510" t="e">
        <f>VLOOKUP(F510,'1PROJE'!$B$7:$F$26,2,0)</f>
        <v>#N/A</v>
      </c>
      <c r="J510" t="e">
        <f>VLOOKUP(F510,'1PROJE'!$B$7:$F$26,4,0)</f>
        <v>#N/A</v>
      </c>
      <c r="K510" t="e">
        <f>VLOOKUP(F510,'1PROJE'!$B$7:$F$26,5,0)</f>
        <v>#N/A</v>
      </c>
    </row>
    <row r="511" spans="2:11">
      <c r="B511">
        <f t="shared" si="209"/>
        <v>0</v>
      </c>
      <c r="F511" s="57" t="e">
        <f t="shared" si="206"/>
        <v>#N/A</v>
      </c>
      <c r="G511" t="str">
        <f t="shared" si="207"/>
        <v/>
      </c>
      <c r="I511" t="e">
        <f>VLOOKUP(F511,'1PROJE'!$B$7:$F$26,2,0)</f>
        <v>#N/A</v>
      </c>
      <c r="J511" t="e">
        <f>VLOOKUP(F511,'1PROJE'!$B$7:$F$26,4,0)</f>
        <v>#N/A</v>
      </c>
      <c r="K511" t="e">
        <f>VLOOKUP(F511,'1PROJE'!$B$7:$F$26,5,0)</f>
        <v>#N/A</v>
      </c>
    </row>
    <row r="512" spans="2:11">
      <c r="B512">
        <f t="shared" si="209"/>
        <v>0</v>
      </c>
      <c r="F512" s="57" t="e">
        <f t="shared" si="206"/>
        <v>#N/A</v>
      </c>
      <c r="G512" t="str">
        <f t="shared" si="207"/>
        <v/>
      </c>
      <c r="I512" t="e">
        <f>VLOOKUP(F512,'1PROJE'!$B$7:$F$26,2,0)</f>
        <v>#N/A</v>
      </c>
      <c r="J512" t="e">
        <f>VLOOKUP(F512,'1PROJE'!$B$7:$F$26,4,0)</f>
        <v>#N/A</v>
      </c>
      <c r="K512" t="e">
        <f>VLOOKUP(F512,'1PROJE'!$B$7:$F$26,5,0)</f>
        <v>#N/A</v>
      </c>
    </row>
    <row r="513" spans="2:11">
      <c r="B513">
        <f t="shared" si="209"/>
        <v>0</v>
      </c>
      <c r="F513" s="57" t="e">
        <f t="shared" si="206"/>
        <v>#N/A</v>
      </c>
      <c r="G513" t="str">
        <f t="shared" si="207"/>
        <v/>
      </c>
      <c r="I513" t="e">
        <f>VLOOKUP(F513,'1PROJE'!$B$7:$F$26,2,0)</f>
        <v>#N/A</v>
      </c>
      <c r="J513" t="e">
        <f>VLOOKUP(F513,'1PROJE'!$B$7:$F$26,4,0)</f>
        <v>#N/A</v>
      </c>
      <c r="K513" t="e">
        <f>VLOOKUP(F513,'1PROJE'!$B$7:$F$26,5,0)</f>
        <v>#N/A</v>
      </c>
    </row>
    <row r="514" spans="2:11">
      <c r="B514">
        <f t="shared" si="209"/>
        <v>0</v>
      </c>
      <c r="F514" s="57" t="e">
        <f t="shared" si="206"/>
        <v>#N/A</v>
      </c>
      <c r="G514" t="str">
        <f t="shared" si="207"/>
        <v/>
      </c>
      <c r="I514" t="e">
        <f>VLOOKUP(F514,'1PROJE'!$B$7:$F$26,2,0)</f>
        <v>#N/A</v>
      </c>
      <c r="J514" t="e">
        <f>VLOOKUP(F514,'1PROJE'!$B$7:$F$26,4,0)</f>
        <v>#N/A</v>
      </c>
      <c r="K514" t="e">
        <f>VLOOKUP(F514,'1PROJE'!$B$7:$F$26,5,0)</f>
        <v>#N/A</v>
      </c>
    </row>
    <row r="515" spans="2:11">
      <c r="B515">
        <f t="shared" si="209"/>
        <v>0</v>
      </c>
      <c r="F515" s="57" t="e">
        <f t="shared" si="206"/>
        <v>#N/A</v>
      </c>
      <c r="G515" t="str">
        <f t="shared" si="207"/>
        <v/>
      </c>
      <c r="I515" t="e">
        <f>VLOOKUP(F515,'1PROJE'!$B$7:$F$26,2,0)</f>
        <v>#N/A</v>
      </c>
      <c r="J515" t="e">
        <f>VLOOKUP(F515,'1PROJE'!$B$7:$F$26,4,0)</f>
        <v>#N/A</v>
      </c>
      <c r="K515" t="e">
        <f>VLOOKUP(F515,'1PROJE'!$B$7:$F$26,5,0)</f>
        <v>#N/A</v>
      </c>
    </row>
    <row r="516" spans="2:11">
      <c r="B516">
        <f t="shared" si="209"/>
        <v>0</v>
      </c>
      <c r="F516" s="57" t="e">
        <f t="shared" si="206"/>
        <v>#N/A</v>
      </c>
      <c r="G516" t="str">
        <f t="shared" si="207"/>
        <v/>
      </c>
      <c r="I516" t="e">
        <f>VLOOKUP(F516,'1PROJE'!$B$7:$F$26,2,0)</f>
        <v>#N/A</v>
      </c>
      <c r="J516" t="e">
        <f>VLOOKUP(F516,'1PROJE'!$B$7:$F$26,4,0)</f>
        <v>#N/A</v>
      </c>
      <c r="K516" t="e">
        <f>VLOOKUP(F516,'1PROJE'!$B$7:$F$26,5,0)</f>
        <v>#N/A</v>
      </c>
    </row>
    <row r="517" spans="2:11">
      <c r="B517">
        <f t="shared" si="209"/>
        <v>0</v>
      </c>
      <c r="F517" s="57" t="e">
        <f t="shared" si="206"/>
        <v>#N/A</v>
      </c>
      <c r="G517" t="str">
        <f t="shared" si="207"/>
        <v/>
      </c>
      <c r="I517" t="e">
        <f>VLOOKUP(F517,'1PROJE'!$B$7:$F$26,2,0)</f>
        <v>#N/A</v>
      </c>
      <c r="J517" t="e">
        <f>VLOOKUP(F517,'1PROJE'!$B$7:$F$26,4,0)</f>
        <v>#N/A</v>
      </c>
      <c r="K517" t="e">
        <f>VLOOKUP(F517,'1PROJE'!$B$7:$F$26,5,0)</f>
        <v>#N/A</v>
      </c>
    </row>
    <row r="518" spans="2:11">
      <c r="B518">
        <f t="shared" si="209"/>
        <v>0</v>
      </c>
      <c r="F518" s="57" t="e">
        <f t="shared" si="206"/>
        <v>#N/A</v>
      </c>
      <c r="G518" t="str">
        <f t="shared" si="207"/>
        <v/>
      </c>
      <c r="I518" t="e">
        <f>VLOOKUP(F518,'1PROJE'!$B$7:$F$26,2,0)</f>
        <v>#N/A</v>
      </c>
      <c r="J518" t="e">
        <f>VLOOKUP(F518,'1PROJE'!$B$7:$F$26,4,0)</f>
        <v>#N/A</v>
      </c>
      <c r="K518" t="e">
        <f>VLOOKUP(F518,'1PROJE'!$B$7:$F$26,5,0)</f>
        <v>#N/A</v>
      </c>
    </row>
    <row r="519" spans="2:11">
      <c r="B519">
        <f t="shared" si="209"/>
        <v>0</v>
      </c>
      <c r="F519" s="57" t="e">
        <f t="shared" si="206"/>
        <v>#N/A</v>
      </c>
      <c r="G519" t="str">
        <f t="shared" si="207"/>
        <v/>
      </c>
      <c r="I519" t="e">
        <f>VLOOKUP(F519,'1PROJE'!$B$7:$F$26,2,0)</f>
        <v>#N/A</v>
      </c>
      <c r="J519" t="e">
        <f>VLOOKUP(F519,'1PROJE'!$B$7:$F$26,4,0)</f>
        <v>#N/A</v>
      </c>
      <c r="K519" t="e">
        <f>VLOOKUP(F519,'1PROJE'!$B$7:$F$26,5,0)</f>
        <v>#N/A</v>
      </c>
    </row>
    <row r="520" spans="2:11">
      <c r="B520">
        <f t="shared" si="209"/>
        <v>0</v>
      </c>
      <c r="F520" s="57" t="e">
        <f t="shared" si="206"/>
        <v>#N/A</v>
      </c>
      <c r="G520" t="str">
        <f t="shared" si="207"/>
        <v/>
      </c>
      <c r="I520" t="e">
        <f>VLOOKUP(F520,'1PROJE'!$B$7:$F$26,2,0)</f>
        <v>#N/A</v>
      </c>
      <c r="J520" t="e">
        <f>VLOOKUP(F520,'1PROJE'!$B$7:$F$26,4,0)</f>
        <v>#N/A</v>
      </c>
      <c r="K520" t="e">
        <f>VLOOKUP(F520,'1PROJE'!$B$7:$F$26,5,0)</f>
        <v>#N/A</v>
      </c>
    </row>
    <row r="521" spans="2:11">
      <c r="B521">
        <f t="shared" si="209"/>
        <v>0</v>
      </c>
      <c r="F521" s="57" t="e">
        <f t="shared" si="206"/>
        <v>#N/A</v>
      </c>
      <c r="G521" t="str">
        <f t="shared" si="207"/>
        <v/>
      </c>
      <c r="I521" t="e">
        <f>VLOOKUP(F521,'1PROJE'!$B$7:$F$26,2,0)</f>
        <v>#N/A</v>
      </c>
      <c r="J521" t="e">
        <f>VLOOKUP(F521,'1PROJE'!$B$7:$F$26,4,0)</f>
        <v>#N/A</v>
      </c>
      <c r="K521" t="e">
        <f>VLOOKUP(F521,'1PROJE'!$B$7:$F$26,5,0)</f>
        <v>#N/A</v>
      </c>
    </row>
    <row r="522" spans="2:11">
      <c r="B522">
        <f t="shared" si="209"/>
        <v>0</v>
      </c>
      <c r="F522" s="57" t="e">
        <f t="shared" si="206"/>
        <v>#N/A</v>
      </c>
      <c r="G522" t="str">
        <f t="shared" si="207"/>
        <v/>
      </c>
      <c r="I522" t="e">
        <f>VLOOKUP(F522,'1PROJE'!$B$7:$F$26,2,0)</f>
        <v>#N/A</v>
      </c>
      <c r="J522" t="e">
        <f>VLOOKUP(F522,'1PROJE'!$B$7:$F$26,4,0)</f>
        <v>#N/A</v>
      </c>
      <c r="K522" t="e">
        <f>VLOOKUP(F522,'1PROJE'!$B$7:$F$26,5,0)</f>
        <v>#N/A</v>
      </c>
    </row>
    <row r="523" spans="2:11">
      <c r="B523">
        <f t="shared" si="209"/>
        <v>0</v>
      </c>
      <c r="F523" s="57" t="e">
        <f t="shared" ref="F523:F586" si="210">VLOOKUP(G523,$C$64:$D$83,2,0)</f>
        <v>#N/A</v>
      </c>
      <c r="G523" t="str">
        <f t="shared" ref="G523:G586" si="211">LEFT(H523,6)</f>
        <v/>
      </c>
      <c r="I523" t="e">
        <f>VLOOKUP(F523,'1PROJE'!$B$7:$F$26,2,0)</f>
        <v>#N/A</v>
      </c>
      <c r="J523" t="e">
        <f>VLOOKUP(F523,'1PROJE'!$B$7:$F$26,4,0)</f>
        <v>#N/A</v>
      </c>
      <c r="K523" t="e">
        <f>VLOOKUP(F523,'1PROJE'!$B$7:$F$26,5,0)</f>
        <v>#N/A</v>
      </c>
    </row>
    <row r="524" spans="2:11">
      <c r="B524">
        <f t="shared" si="209"/>
        <v>0</v>
      </c>
      <c r="F524" s="57" t="e">
        <f t="shared" si="210"/>
        <v>#N/A</v>
      </c>
      <c r="G524" t="str">
        <f t="shared" si="211"/>
        <v/>
      </c>
      <c r="I524" t="e">
        <f>VLOOKUP(F524,'1PROJE'!$B$7:$F$26,2,0)</f>
        <v>#N/A</v>
      </c>
      <c r="J524" t="e">
        <f>VLOOKUP(F524,'1PROJE'!$B$7:$F$26,4,0)</f>
        <v>#N/A</v>
      </c>
      <c r="K524" t="e">
        <f>VLOOKUP(F524,'1PROJE'!$B$7:$F$26,5,0)</f>
        <v>#N/A</v>
      </c>
    </row>
    <row r="525" spans="2:11">
      <c r="B525">
        <f t="shared" si="209"/>
        <v>0</v>
      </c>
      <c r="F525" s="57" t="e">
        <f t="shared" si="210"/>
        <v>#N/A</v>
      </c>
      <c r="G525" t="str">
        <f t="shared" si="211"/>
        <v/>
      </c>
      <c r="I525" t="e">
        <f>VLOOKUP(F525,'1PROJE'!$B$7:$F$26,2,0)</f>
        <v>#N/A</v>
      </c>
      <c r="J525" t="e">
        <f>VLOOKUP(F525,'1PROJE'!$B$7:$F$26,4,0)</f>
        <v>#N/A</v>
      </c>
      <c r="K525" t="e">
        <f>VLOOKUP(F525,'1PROJE'!$B$7:$F$26,5,0)</f>
        <v>#N/A</v>
      </c>
    </row>
    <row r="526" spans="2:11">
      <c r="B526">
        <f t="shared" si="209"/>
        <v>0</v>
      </c>
      <c r="F526" s="57" t="e">
        <f t="shared" si="210"/>
        <v>#N/A</v>
      </c>
      <c r="G526" t="str">
        <f t="shared" si="211"/>
        <v/>
      </c>
      <c r="I526" t="e">
        <f>VLOOKUP(F526,'1PROJE'!$B$7:$F$26,2,0)</f>
        <v>#N/A</v>
      </c>
      <c r="J526" t="e">
        <f>VLOOKUP(F526,'1PROJE'!$B$7:$F$26,4,0)</f>
        <v>#N/A</v>
      </c>
      <c r="K526" t="e">
        <f>VLOOKUP(F526,'1PROJE'!$B$7:$F$26,5,0)</f>
        <v>#N/A</v>
      </c>
    </row>
    <row r="527" spans="2:11">
      <c r="B527">
        <f t="shared" ref="B527:B558" si="212">IF(($C$31-A127)&lt;0,0,"POZ"&amp;" "&amp;$F$61&amp;"."&amp;A127)</f>
        <v>0</v>
      </c>
      <c r="F527" s="57" t="e">
        <f t="shared" si="210"/>
        <v>#N/A</v>
      </c>
      <c r="G527" t="str">
        <f t="shared" si="211"/>
        <v/>
      </c>
      <c r="I527" t="e">
        <f>VLOOKUP(F527,'1PROJE'!$B$7:$F$26,2,0)</f>
        <v>#N/A</v>
      </c>
      <c r="J527" t="e">
        <f>VLOOKUP(F527,'1PROJE'!$B$7:$F$26,4,0)</f>
        <v>#N/A</v>
      </c>
      <c r="K527" t="e">
        <f>VLOOKUP(F527,'1PROJE'!$B$7:$F$26,5,0)</f>
        <v>#N/A</v>
      </c>
    </row>
    <row r="528" spans="2:11">
      <c r="B528">
        <f t="shared" si="212"/>
        <v>0</v>
      </c>
      <c r="F528" s="57" t="e">
        <f t="shared" si="210"/>
        <v>#N/A</v>
      </c>
      <c r="G528" t="str">
        <f t="shared" si="211"/>
        <v/>
      </c>
      <c r="I528" t="e">
        <f>VLOOKUP(F528,'1PROJE'!$B$7:$F$26,2,0)</f>
        <v>#N/A</v>
      </c>
      <c r="J528" t="e">
        <f>VLOOKUP(F528,'1PROJE'!$B$7:$F$26,4,0)</f>
        <v>#N/A</v>
      </c>
      <c r="K528" t="e">
        <f>VLOOKUP(F528,'1PROJE'!$B$7:$F$26,5,0)</f>
        <v>#N/A</v>
      </c>
    </row>
    <row r="529" spans="2:11">
      <c r="B529">
        <f t="shared" si="212"/>
        <v>0</v>
      </c>
      <c r="F529" s="57" t="e">
        <f t="shared" si="210"/>
        <v>#N/A</v>
      </c>
      <c r="G529" t="str">
        <f t="shared" si="211"/>
        <v/>
      </c>
      <c r="I529" t="e">
        <f>VLOOKUP(F529,'1PROJE'!$B$7:$F$26,2,0)</f>
        <v>#N/A</v>
      </c>
      <c r="J529" t="e">
        <f>VLOOKUP(F529,'1PROJE'!$B$7:$F$26,4,0)</f>
        <v>#N/A</v>
      </c>
      <c r="K529" t="e">
        <f>VLOOKUP(F529,'1PROJE'!$B$7:$F$26,5,0)</f>
        <v>#N/A</v>
      </c>
    </row>
    <row r="530" spans="2:11">
      <c r="B530">
        <f t="shared" si="212"/>
        <v>0</v>
      </c>
      <c r="F530" s="57" t="e">
        <f t="shared" si="210"/>
        <v>#N/A</v>
      </c>
      <c r="G530" t="str">
        <f t="shared" si="211"/>
        <v/>
      </c>
      <c r="I530" t="e">
        <f>VLOOKUP(F530,'1PROJE'!$B$7:$F$26,2,0)</f>
        <v>#N/A</v>
      </c>
      <c r="J530" t="e">
        <f>VLOOKUP(F530,'1PROJE'!$B$7:$F$26,4,0)</f>
        <v>#N/A</v>
      </c>
      <c r="K530" t="e">
        <f>VLOOKUP(F530,'1PROJE'!$B$7:$F$26,5,0)</f>
        <v>#N/A</v>
      </c>
    </row>
    <row r="531" spans="2:11">
      <c r="B531">
        <f t="shared" si="212"/>
        <v>0</v>
      </c>
      <c r="F531" s="57" t="e">
        <f t="shared" si="210"/>
        <v>#N/A</v>
      </c>
      <c r="G531" t="str">
        <f t="shared" si="211"/>
        <v/>
      </c>
      <c r="I531" t="e">
        <f>VLOOKUP(F531,'1PROJE'!$B$7:$F$26,2,0)</f>
        <v>#N/A</v>
      </c>
      <c r="J531" t="e">
        <f>VLOOKUP(F531,'1PROJE'!$B$7:$F$26,4,0)</f>
        <v>#N/A</v>
      </c>
      <c r="K531" t="e">
        <f>VLOOKUP(F531,'1PROJE'!$B$7:$F$26,5,0)</f>
        <v>#N/A</v>
      </c>
    </row>
    <row r="532" spans="2:11">
      <c r="B532">
        <f t="shared" si="212"/>
        <v>0</v>
      </c>
      <c r="F532" s="57" t="e">
        <f t="shared" si="210"/>
        <v>#N/A</v>
      </c>
      <c r="G532" t="str">
        <f t="shared" si="211"/>
        <v/>
      </c>
      <c r="I532" t="e">
        <f>VLOOKUP(F532,'1PROJE'!$B$7:$F$26,2,0)</f>
        <v>#N/A</v>
      </c>
      <c r="J532" t="e">
        <f>VLOOKUP(F532,'1PROJE'!$B$7:$F$26,4,0)</f>
        <v>#N/A</v>
      </c>
      <c r="K532" t="e">
        <f>VLOOKUP(F532,'1PROJE'!$B$7:$F$26,5,0)</f>
        <v>#N/A</v>
      </c>
    </row>
    <row r="533" spans="2:11">
      <c r="B533">
        <f t="shared" si="212"/>
        <v>0</v>
      </c>
      <c r="F533" s="57" t="e">
        <f t="shared" si="210"/>
        <v>#N/A</v>
      </c>
      <c r="G533" t="str">
        <f t="shared" si="211"/>
        <v/>
      </c>
      <c r="I533" t="e">
        <f>VLOOKUP(F533,'1PROJE'!$B$7:$F$26,2,0)</f>
        <v>#N/A</v>
      </c>
      <c r="J533" t="e">
        <f>VLOOKUP(F533,'1PROJE'!$B$7:$F$26,4,0)</f>
        <v>#N/A</v>
      </c>
      <c r="K533" t="e">
        <f>VLOOKUP(F533,'1PROJE'!$B$7:$F$26,5,0)</f>
        <v>#N/A</v>
      </c>
    </row>
    <row r="534" spans="2:11">
      <c r="B534">
        <f t="shared" si="212"/>
        <v>0</v>
      </c>
      <c r="F534" s="57" t="e">
        <f t="shared" si="210"/>
        <v>#N/A</v>
      </c>
      <c r="G534" t="str">
        <f t="shared" si="211"/>
        <v/>
      </c>
      <c r="I534" t="e">
        <f>VLOOKUP(F534,'1PROJE'!$B$7:$F$26,2,0)</f>
        <v>#N/A</v>
      </c>
      <c r="J534" t="e">
        <f>VLOOKUP(F534,'1PROJE'!$B$7:$F$26,4,0)</f>
        <v>#N/A</v>
      </c>
      <c r="K534" t="e">
        <f>VLOOKUP(F534,'1PROJE'!$B$7:$F$26,5,0)</f>
        <v>#N/A</v>
      </c>
    </row>
    <row r="535" spans="2:11">
      <c r="B535">
        <f t="shared" si="212"/>
        <v>0</v>
      </c>
      <c r="F535" s="57" t="e">
        <f t="shared" si="210"/>
        <v>#N/A</v>
      </c>
      <c r="G535" t="str">
        <f t="shared" si="211"/>
        <v/>
      </c>
      <c r="I535" t="e">
        <f>VLOOKUP(F535,'1PROJE'!$B$7:$F$26,2,0)</f>
        <v>#N/A</v>
      </c>
      <c r="J535" t="e">
        <f>VLOOKUP(F535,'1PROJE'!$B$7:$F$26,4,0)</f>
        <v>#N/A</v>
      </c>
      <c r="K535" t="e">
        <f>VLOOKUP(F535,'1PROJE'!$B$7:$F$26,5,0)</f>
        <v>#N/A</v>
      </c>
    </row>
    <row r="536" spans="2:11">
      <c r="B536">
        <f t="shared" si="212"/>
        <v>0</v>
      </c>
      <c r="F536" s="57" t="e">
        <f t="shared" si="210"/>
        <v>#N/A</v>
      </c>
      <c r="G536" t="str">
        <f t="shared" si="211"/>
        <v/>
      </c>
      <c r="I536" t="e">
        <f>VLOOKUP(F536,'1PROJE'!$B$7:$F$26,2,0)</f>
        <v>#N/A</v>
      </c>
      <c r="J536" t="e">
        <f>VLOOKUP(F536,'1PROJE'!$B$7:$F$26,4,0)</f>
        <v>#N/A</v>
      </c>
      <c r="K536" t="e">
        <f>VLOOKUP(F536,'1PROJE'!$B$7:$F$26,5,0)</f>
        <v>#N/A</v>
      </c>
    </row>
    <row r="537" spans="2:11">
      <c r="B537">
        <f t="shared" si="212"/>
        <v>0</v>
      </c>
      <c r="F537" s="57" t="e">
        <f t="shared" si="210"/>
        <v>#N/A</v>
      </c>
      <c r="G537" t="str">
        <f t="shared" si="211"/>
        <v/>
      </c>
      <c r="I537" t="e">
        <f>VLOOKUP(F537,'1PROJE'!$B$7:$F$26,2,0)</f>
        <v>#N/A</v>
      </c>
      <c r="J537" t="e">
        <f>VLOOKUP(F537,'1PROJE'!$B$7:$F$26,4,0)</f>
        <v>#N/A</v>
      </c>
      <c r="K537" t="e">
        <f>VLOOKUP(F537,'1PROJE'!$B$7:$F$26,5,0)</f>
        <v>#N/A</v>
      </c>
    </row>
    <row r="538" spans="2:11">
      <c r="B538">
        <f t="shared" si="212"/>
        <v>0</v>
      </c>
      <c r="F538" s="57" t="e">
        <f t="shared" si="210"/>
        <v>#N/A</v>
      </c>
      <c r="G538" t="str">
        <f t="shared" si="211"/>
        <v/>
      </c>
      <c r="I538" t="e">
        <f>VLOOKUP(F538,'1PROJE'!$B$7:$F$26,2,0)</f>
        <v>#N/A</v>
      </c>
      <c r="J538" t="e">
        <f>VLOOKUP(F538,'1PROJE'!$B$7:$F$26,4,0)</f>
        <v>#N/A</v>
      </c>
      <c r="K538" t="e">
        <f>VLOOKUP(F538,'1PROJE'!$B$7:$F$26,5,0)</f>
        <v>#N/A</v>
      </c>
    </row>
    <row r="539" spans="2:11">
      <c r="B539">
        <f t="shared" si="212"/>
        <v>0</v>
      </c>
      <c r="F539" s="57" t="e">
        <f t="shared" si="210"/>
        <v>#N/A</v>
      </c>
      <c r="G539" t="str">
        <f t="shared" si="211"/>
        <v/>
      </c>
      <c r="I539" t="e">
        <f>VLOOKUP(F539,'1PROJE'!$B$7:$F$26,2,0)</f>
        <v>#N/A</v>
      </c>
      <c r="J539" t="e">
        <f>VLOOKUP(F539,'1PROJE'!$B$7:$F$26,4,0)</f>
        <v>#N/A</v>
      </c>
      <c r="K539" t="e">
        <f>VLOOKUP(F539,'1PROJE'!$B$7:$F$26,5,0)</f>
        <v>#N/A</v>
      </c>
    </row>
    <row r="540" spans="2:11">
      <c r="B540">
        <f t="shared" si="212"/>
        <v>0</v>
      </c>
      <c r="F540" s="57" t="e">
        <f t="shared" si="210"/>
        <v>#N/A</v>
      </c>
      <c r="G540" t="str">
        <f t="shared" si="211"/>
        <v/>
      </c>
      <c r="I540" t="e">
        <f>VLOOKUP(F540,'1PROJE'!$B$7:$F$26,2,0)</f>
        <v>#N/A</v>
      </c>
      <c r="J540" t="e">
        <f>VLOOKUP(F540,'1PROJE'!$B$7:$F$26,4,0)</f>
        <v>#N/A</v>
      </c>
      <c r="K540" t="e">
        <f>VLOOKUP(F540,'1PROJE'!$B$7:$F$26,5,0)</f>
        <v>#N/A</v>
      </c>
    </row>
    <row r="541" spans="2:11">
      <c r="B541">
        <f t="shared" si="212"/>
        <v>0</v>
      </c>
      <c r="F541" s="57" t="e">
        <f t="shared" si="210"/>
        <v>#N/A</v>
      </c>
      <c r="G541" t="str">
        <f t="shared" si="211"/>
        <v/>
      </c>
      <c r="I541" t="e">
        <f>VLOOKUP(F541,'1PROJE'!$B$7:$F$26,2,0)</f>
        <v>#N/A</v>
      </c>
      <c r="J541" t="e">
        <f>VLOOKUP(F541,'1PROJE'!$B$7:$F$26,4,0)</f>
        <v>#N/A</v>
      </c>
      <c r="K541" t="e">
        <f>VLOOKUP(F541,'1PROJE'!$B$7:$F$26,5,0)</f>
        <v>#N/A</v>
      </c>
    </row>
    <row r="542" spans="2:11">
      <c r="B542">
        <f t="shared" si="212"/>
        <v>0</v>
      </c>
      <c r="F542" s="57" t="e">
        <f t="shared" si="210"/>
        <v>#N/A</v>
      </c>
      <c r="G542" t="str">
        <f t="shared" si="211"/>
        <v/>
      </c>
      <c r="I542" t="e">
        <f>VLOOKUP(F542,'1PROJE'!$B$7:$F$26,2,0)</f>
        <v>#N/A</v>
      </c>
      <c r="J542" t="e">
        <f>VLOOKUP(F542,'1PROJE'!$B$7:$F$26,4,0)</f>
        <v>#N/A</v>
      </c>
      <c r="K542" t="e">
        <f>VLOOKUP(F542,'1PROJE'!$B$7:$F$26,5,0)</f>
        <v>#N/A</v>
      </c>
    </row>
    <row r="543" spans="2:11">
      <c r="B543">
        <f t="shared" si="212"/>
        <v>0</v>
      </c>
      <c r="F543" s="57" t="e">
        <f t="shared" si="210"/>
        <v>#N/A</v>
      </c>
      <c r="G543" t="str">
        <f t="shared" si="211"/>
        <v/>
      </c>
      <c r="I543" t="e">
        <f>VLOOKUP(F543,'1PROJE'!$B$7:$F$26,2,0)</f>
        <v>#N/A</v>
      </c>
      <c r="J543" t="e">
        <f>VLOOKUP(F543,'1PROJE'!$B$7:$F$26,4,0)</f>
        <v>#N/A</v>
      </c>
      <c r="K543" t="e">
        <f>VLOOKUP(F543,'1PROJE'!$B$7:$F$26,5,0)</f>
        <v>#N/A</v>
      </c>
    </row>
    <row r="544" spans="2:11">
      <c r="B544">
        <f t="shared" si="212"/>
        <v>0</v>
      </c>
      <c r="F544" s="57" t="e">
        <f t="shared" si="210"/>
        <v>#N/A</v>
      </c>
      <c r="G544" t="str">
        <f t="shared" si="211"/>
        <v/>
      </c>
      <c r="I544" t="e">
        <f>VLOOKUP(F544,'1PROJE'!$B$7:$F$26,2,0)</f>
        <v>#N/A</v>
      </c>
      <c r="J544" t="e">
        <f>VLOOKUP(F544,'1PROJE'!$B$7:$F$26,4,0)</f>
        <v>#N/A</v>
      </c>
      <c r="K544" t="e">
        <f>VLOOKUP(F544,'1PROJE'!$B$7:$F$26,5,0)</f>
        <v>#N/A</v>
      </c>
    </row>
    <row r="545" spans="2:11">
      <c r="B545">
        <f t="shared" si="212"/>
        <v>0</v>
      </c>
      <c r="F545" s="57" t="e">
        <f t="shared" si="210"/>
        <v>#N/A</v>
      </c>
      <c r="G545" t="str">
        <f t="shared" si="211"/>
        <v/>
      </c>
      <c r="I545" t="e">
        <f>VLOOKUP(F545,'1PROJE'!$B$7:$F$26,2,0)</f>
        <v>#N/A</v>
      </c>
      <c r="J545" t="e">
        <f>VLOOKUP(F545,'1PROJE'!$B$7:$F$26,4,0)</f>
        <v>#N/A</v>
      </c>
      <c r="K545" t="e">
        <f>VLOOKUP(F545,'1PROJE'!$B$7:$F$26,5,0)</f>
        <v>#N/A</v>
      </c>
    </row>
    <row r="546" spans="2:11">
      <c r="B546">
        <f t="shared" si="212"/>
        <v>0</v>
      </c>
      <c r="F546" s="57" t="e">
        <f t="shared" si="210"/>
        <v>#N/A</v>
      </c>
      <c r="G546" t="str">
        <f t="shared" si="211"/>
        <v/>
      </c>
      <c r="I546" t="e">
        <f>VLOOKUP(F546,'1PROJE'!$B$7:$F$26,2,0)</f>
        <v>#N/A</v>
      </c>
      <c r="J546" t="e">
        <f>VLOOKUP(F546,'1PROJE'!$B$7:$F$26,4,0)</f>
        <v>#N/A</v>
      </c>
      <c r="K546" t="e">
        <f>VLOOKUP(F546,'1PROJE'!$B$7:$F$26,5,0)</f>
        <v>#N/A</v>
      </c>
    </row>
    <row r="547" spans="2:11">
      <c r="B547">
        <f t="shared" si="212"/>
        <v>0</v>
      </c>
      <c r="F547" s="57" t="e">
        <f t="shared" si="210"/>
        <v>#N/A</v>
      </c>
      <c r="G547" t="str">
        <f t="shared" si="211"/>
        <v/>
      </c>
      <c r="I547" t="e">
        <f>VLOOKUP(F547,'1PROJE'!$B$7:$F$26,2,0)</f>
        <v>#N/A</v>
      </c>
      <c r="J547" t="e">
        <f>VLOOKUP(F547,'1PROJE'!$B$7:$F$26,4,0)</f>
        <v>#N/A</v>
      </c>
      <c r="K547" t="e">
        <f>VLOOKUP(F547,'1PROJE'!$B$7:$F$26,5,0)</f>
        <v>#N/A</v>
      </c>
    </row>
    <row r="548" spans="2:11">
      <c r="B548">
        <f t="shared" si="212"/>
        <v>0</v>
      </c>
      <c r="F548" s="57" t="e">
        <f t="shared" si="210"/>
        <v>#N/A</v>
      </c>
      <c r="G548" t="str">
        <f t="shared" si="211"/>
        <v/>
      </c>
      <c r="I548" t="e">
        <f>VLOOKUP(F548,'1PROJE'!$B$7:$F$26,2,0)</f>
        <v>#N/A</v>
      </c>
      <c r="J548" t="e">
        <f>VLOOKUP(F548,'1PROJE'!$B$7:$F$26,4,0)</f>
        <v>#N/A</v>
      </c>
      <c r="K548" t="e">
        <f>VLOOKUP(F548,'1PROJE'!$B$7:$F$26,5,0)</f>
        <v>#N/A</v>
      </c>
    </row>
    <row r="549" spans="2:11">
      <c r="B549">
        <f t="shared" si="212"/>
        <v>0</v>
      </c>
      <c r="F549" s="57" t="e">
        <f t="shared" si="210"/>
        <v>#N/A</v>
      </c>
      <c r="G549" t="str">
        <f t="shared" si="211"/>
        <v/>
      </c>
      <c r="I549" t="e">
        <f>VLOOKUP(F549,'1PROJE'!$B$7:$F$26,2,0)</f>
        <v>#N/A</v>
      </c>
      <c r="J549" t="e">
        <f>VLOOKUP(F549,'1PROJE'!$B$7:$F$26,4,0)</f>
        <v>#N/A</v>
      </c>
      <c r="K549" t="e">
        <f>VLOOKUP(F549,'1PROJE'!$B$7:$F$26,5,0)</f>
        <v>#N/A</v>
      </c>
    </row>
    <row r="550" spans="2:11">
      <c r="B550">
        <f t="shared" si="212"/>
        <v>0</v>
      </c>
      <c r="F550" s="57" t="e">
        <f t="shared" si="210"/>
        <v>#N/A</v>
      </c>
      <c r="G550" t="str">
        <f t="shared" si="211"/>
        <v/>
      </c>
      <c r="I550" t="e">
        <f>VLOOKUP(F550,'1PROJE'!$B$7:$F$26,2,0)</f>
        <v>#N/A</v>
      </c>
      <c r="J550" t="e">
        <f>VLOOKUP(F550,'1PROJE'!$B$7:$F$26,4,0)</f>
        <v>#N/A</v>
      </c>
      <c r="K550" t="e">
        <f>VLOOKUP(F550,'1PROJE'!$B$7:$F$26,5,0)</f>
        <v>#N/A</v>
      </c>
    </row>
    <row r="551" spans="2:11">
      <c r="B551">
        <f t="shared" si="212"/>
        <v>0</v>
      </c>
      <c r="F551" s="57" t="e">
        <f t="shared" si="210"/>
        <v>#N/A</v>
      </c>
      <c r="G551" t="str">
        <f t="shared" si="211"/>
        <v/>
      </c>
      <c r="I551" t="e">
        <f>VLOOKUP(F551,'1PROJE'!$B$7:$F$26,2,0)</f>
        <v>#N/A</v>
      </c>
      <c r="J551" t="e">
        <f>VLOOKUP(F551,'1PROJE'!$B$7:$F$26,4,0)</f>
        <v>#N/A</v>
      </c>
      <c r="K551" t="e">
        <f>VLOOKUP(F551,'1PROJE'!$B$7:$F$26,5,0)</f>
        <v>#N/A</v>
      </c>
    </row>
    <row r="552" spans="2:11">
      <c r="B552">
        <f t="shared" si="212"/>
        <v>0</v>
      </c>
      <c r="F552" s="57" t="e">
        <f t="shared" si="210"/>
        <v>#N/A</v>
      </c>
      <c r="G552" t="str">
        <f t="shared" si="211"/>
        <v/>
      </c>
      <c r="I552" t="e">
        <f>VLOOKUP(F552,'1PROJE'!$B$7:$F$26,2,0)</f>
        <v>#N/A</v>
      </c>
      <c r="J552" t="e">
        <f>VLOOKUP(F552,'1PROJE'!$B$7:$F$26,4,0)</f>
        <v>#N/A</v>
      </c>
      <c r="K552" t="e">
        <f>VLOOKUP(F552,'1PROJE'!$B$7:$F$26,5,0)</f>
        <v>#N/A</v>
      </c>
    </row>
    <row r="553" spans="2:11">
      <c r="B553">
        <f t="shared" si="212"/>
        <v>0</v>
      </c>
      <c r="F553" s="57" t="e">
        <f t="shared" si="210"/>
        <v>#N/A</v>
      </c>
      <c r="G553" t="str">
        <f t="shared" si="211"/>
        <v/>
      </c>
      <c r="I553" t="e">
        <f>VLOOKUP(F553,'1PROJE'!$B$7:$F$26,2,0)</f>
        <v>#N/A</v>
      </c>
      <c r="J553" t="e">
        <f>VLOOKUP(F553,'1PROJE'!$B$7:$F$26,4,0)</f>
        <v>#N/A</v>
      </c>
      <c r="K553" t="e">
        <f>VLOOKUP(F553,'1PROJE'!$B$7:$F$26,5,0)</f>
        <v>#N/A</v>
      </c>
    </row>
    <row r="554" spans="2:11">
      <c r="B554">
        <f t="shared" si="212"/>
        <v>0</v>
      </c>
      <c r="F554" s="57" t="e">
        <f t="shared" si="210"/>
        <v>#N/A</v>
      </c>
      <c r="G554" t="str">
        <f t="shared" si="211"/>
        <v/>
      </c>
      <c r="I554" t="e">
        <f>VLOOKUP(F554,'1PROJE'!$B$7:$F$26,2,0)</f>
        <v>#N/A</v>
      </c>
      <c r="J554" t="e">
        <f>VLOOKUP(F554,'1PROJE'!$B$7:$F$26,4,0)</f>
        <v>#N/A</v>
      </c>
      <c r="K554" t="e">
        <f>VLOOKUP(F554,'1PROJE'!$B$7:$F$26,5,0)</f>
        <v>#N/A</v>
      </c>
    </row>
    <row r="555" spans="2:11">
      <c r="B555">
        <f t="shared" si="212"/>
        <v>0</v>
      </c>
      <c r="F555" s="57" t="e">
        <f t="shared" si="210"/>
        <v>#N/A</v>
      </c>
      <c r="G555" t="str">
        <f t="shared" si="211"/>
        <v/>
      </c>
      <c r="I555" t="e">
        <f>VLOOKUP(F555,'1PROJE'!$B$7:$F$26,2,0)</f>
        <v>#N/A</v>
      </c>
      <c r="J555" t="e">
        <f>VLOOKUP(F555,'1PROJE'!$B$7:$F$26,4,0)</f>
        <v>#N/A</v>
      </c>
      <c r="K555" t="e">
        <f>VLOOKUP(F555,'1PROJE'!$B$7:$F$26,5,0)</f>
        <v>#N/A</v>
      </c>
    </row>
    <row r="556" spans="2:11">
      <c r="B556">
        <f t="shared" si="212"/>
        <v>0</v>
      </c>
      <c r="F556" s="57" t="e">
        <f t="shared" si="210"/>
        <v>#N/A</v>
      </c>
      <c r="G556" t="str">
        <f t="shared" si="211"/>
        <v/>
      </c>
      <c r="I556" t="e">
        <f>VLOOKUP(F556,'1PROJE'!$B$7:$F$26,2,0)</f>
        <v>#N/A</v>
      </c>
      <c r="J556" t="e">
        <f>VLOOKUP(F556,'1PROJE'!$B$7:$F$26,4,0)</f>
        <v>#N/A</v>
      </c>
      <c r="K556" t="e">
        <f>VLOOKUP(F556,'1PROJE'!$B$7:$F$26,5,0)</f>
        <v>#N/A</v>
      </c>
    </row>
    <row r="557" spans="2:11">
      <c r="B557">
        <f t="shared" si="212"/>
        <v>0</v>
      </c>
      <c r="F557" s="57" t="e">
        <f t="shared" si="210"/>
        <v>#N/A</v>
      </c>
      <c r="G557" t="str">
        <f t="shared" si="211"/>
        <v/>
      </c>
      <c r="I557" t="e">
        <f>VLOOKUP(F557,'1PROJE'!$B$7:$F$26,2,0)</f>
        <v>#N/A</v>
      </c>
      <c r="J557" t="e">
        <f>VLOOKUP(F557,'1PROJE'!$B$7:$F$26,4,0)</f>
        <v>#N/A</v>
      </c>
      <c r="K557" t="e">
        <f>VLOOKUP(F557,'1PROJE'!$B$7:$F$26,5,0)</f>
        <v>#N/A</v>
      </c>
    </row>
    <row r="558" spans="2:11">
      <c r="B558">
        <f t="shared" si="212"/>
        <v>0</v>
      </c>
      <c r="F558" s="57" t="e">
        <f t="shared" si="210"/>
        <v>#N/A</v>
      </c>
      <c r="G558" t="str">
        <f t="shared" si="211"/>
        <v/>
      </c>
      <c r="I558" t="e">
        <f>VLOOKUP(F558,'1PROJE'!$B$7:$F$26,2,0)</f>
        <v>#N/A</v>
      </c>
      <c r="J558" t="e">
        <f>VLOOKUP(F558,'1PROJE'!$B$7:$F$26,4,0)</f>
        <v>#N/A</v>
      </c>
      <c r="K558" t="e">
        <f>VLOOKUP(F558,'1PROJE'!$B$7:$F$26,5,0)</f>
        <v>#N/A</v>
      </c>
    </row>
    <row r="559" spans="2:11">
      <c r="B559">
        <f t="shared" ref="B559:B561" si="213">IF(($C$31-A159)&lt;0,0,"POZ"&amp;" "&amp;$F$61&amp;"."&amp;A159)</f>
        <v>0</v>
      </c>
      <c r="F559" s="57" t="e">
        <f t="shared" si="210"/>
        <v>#N/A</v>
      </c>
      <c r="G559" t="str">
        <f t="shared" si="211"/>
        <v/>
      </c>
      <c r="I559" t="e">
        <f>VLOOKUP(F559,'1PROJE'!$B$7:$F$26,2,0)</f>
        <v>#N/A</v>
      </c>
      <c r="J559" t="e">
        <f>VLOOKUP(F559,'1PROJE'!$B$7:$F$26,4,0)</f>
        <v>#N/A</v>
      </c>
      <c r="K559" t="e">
        <f>VLOOKUP(F559,'1PROJE'!$B$7:$F$26,5,0)</f>
        <v>#N/A</v>
      </c>
    </row>
    <row r="560" spans="2:11">
      <c r="B560">
        <f t="shared" si="213"/>
        <v>0</v>
      </c>
      <c r="F560" s="57" t="e">
        <f t="shared" si="210"/>
        <v>#N/A</v>
      </c>
      <c r="G560" t="str">
        <f t="shared" si="211"/>
        <v/>
      </c>
      <c r="I560" t="e">
        <f>VLOOKUP(F560,'1PROJE'!$B$7:$F$26,2,0)</f>
        <v>#N/A</v>
      </c>
      <c r="J560" t="e">
        <f>VLOOKUP(F560,'1PROJE'!$B$7:$F$26,4,0)</f>
        <v>#N/A</v>
      </c>
      <c r="K560" t="e">
        <f>VLOOKUP(F560,'1PROJE'!$B$7:$F$26,5,0)</f>
        <v>#N/A</v>
      </c>
    </row>
    <row r="561" spans="2:11">
      <c r="B561">
        <f t="shared" si="213"/>
        <v>0</v>
      </c>
      <c r="F561" s="57" t="e">
        <f t="shared" si="210"/>
        <v>#N/A</v>
      </c>
      <c r="G561" t="str">
        <f t="shared" si="211"/>
        <v/>
      </c>
      <c r="I561" t="e">
        <f>VLOOKUP(F561,'1PROJE'!$B$7:$F$26,2,0)</f>
        <v>#N/A</v>
      </c>
      <c r="J561" t="e">
        <f>VLOOKUP(F561,'1PROJE'!$B$7:$F$26,4,0)</f>
        <v>#N/A</v>
      </c>
      <c r="K561" t="e">
        <f>VLOOKUP(F561,'1PROJE'!$B$7:$F$26,5,0)</f>
        <v>#N/A</v>
      </c>
    </row>
    <row r="562" spans="2:11">
      <c r="B562">
        <f>IF(C32=0,0,IF(($C$32-A62)=0,"POZ 6.","POZ"&amp;" "&amp;$G$61&amp;"."&amp;A62))</f>
        <v>0</v>
      </c>
      <c r="F562" s="57" t="e">
        <f t="shared" si="210"/>
        <v>#N/A</v>
      </c>
      <c r="G562" t="str">
        <f t="shared" si="211"/>
        <v/>
      </c>
      <c r="I562" t="e">
        <f>VLOOKUP(F562,'1PROJE'!$B$7:$F$26,2,0)</f>
        <v>#N/A</v>
      </c>
      <c r="J562" t="e">
        <f>VLOOKUP(F562,'1PROJE'!$B$7:$F$26,4,0)</f>
        <v>#N/A</v>
      </c>
      <c r="K562" t="e">
        <f>VLOOKUP(F562,'1PROJE'!$B$7:$F$26,5,0)</f>
        <v>#N/A</v>
      </c>
    </row>
    <row r="563" spans="2:11">
      <c r="B563">
        <f t="shared" ref="B563:B594" si="214">IF(($C$32-A63)&lt;0,0,"POZ"&amp;" "&amp;$G$61&amp;"."&amp;A63)</f>
        <v>0</v>
      </c>
      <c r="F563" s="57" t="e">
        <f t="shared" si="210"/>
        <v>#N/A</v>
      </c>
      <c r="G563" t="str">
        <f t="shared" si="211"/>
        <v/>
      </c>
      <c r="I563" t="e">
        <f>VLOOKUP(F563,'1PROJE'!$B$7:$F$26,2,0)</f>
        <v>#N/A</v>
      </c>
      <c r="J563" t="e">
        <f>VLOOKUP(F563,'1PROJE'!$B$7:$F$26,4,0)</f>
        <v>#N/A</v>
      </c>
      <c r="K563" t="e">
        <f>VLOOKUP(F563,'1PROJE'!$B$7:$F$26,5,0)</f>
        <v>#N/A</v>
      </c>
    </row>
    <row r="564" spans="2:11">
      <c r="B564">
        <f t="shared" si="214"/>
        <v>0</v>
      </c>
      <c r="F564" s="57" t="e">
        <f t="shared" si="210"/>
        <v>#N/A</v>
      </c>
      <c r="G564" t="str">
        <f t="shared" si="211"/>
        <v/>
      </c>
      <c r="I564" t="e">
        <f>VLOOKUP(F564,'1PROJE'!$B$7:$F$26,2,0)</f>
        <v>#N/A</v>
      </c>
      <c r="J564" t="e">
        <f>VLOOKUP(F564,'1PROJE'!$B$7:$F$26,4,0)</f>
        <v>#N/A</v>
      </c>
      <c r="K564" t="e">
        <f>VLOOKUP(F564,'1PROJE'!$B$7:$F$26,5,0)</f>
        <v>#N/A</v>
      </c>
    </row>
    <row r="565" spans="2:11">
      <c r="B565">
        <f t="shared" si="214"/>
        <v>0</v>
      </c>
      <c r="F565" s="57" t="e">
        <f t="shared" si="210"/>
        <v>#N/A</v>
      </c>
      <c r="G565" t="str">
        <f t="shared" si="211"/>
        <v/>
      </c>
      <c r="I565" t="e">
        <f>VLOOKUP(F565,'1PROJE'!$B$7:$F$26,2,0)</f>
        <v>#N/A</v>
      </c>
      <c r="J565" t="e">
        <f>VLOOKUP(F565,'1PROJE'!$B$7:$F$26,4,0)</f>
        <v>#N/A</v>
      </c>
      <c r="K565" t="e">
        <f>VLOOKUP(F565,'1PROJE'!$B$7:$F$26,5,0)</f>
        <v>#N/A</v>
      </c>
    </row>
    <row r="566" spans="2:11">
      <c r="B566">
        <f t="shared" si="214"/>
        <v>0</v>
      </c>
      <c r="F566" s="57" t="e">
        <f t="shared" si="210"/>
        <v>#N/A</v>
      </c>
      <c r="G566" t="str">
        <f t="shared" si="211"/>
        <v/>
      </c>
      <c r="I566" t="e">
        <f>VLOOKUP(F566,'1PROJE'!$B$7:$F$26,2,0)</f>
        <v>#N/A</v>
      </c>
      <c r="J566" t="e">
        <f>VLOOKUP(F566,'1PROJE'!$B$7:$F$26,4,0)</f>
        <v>#N/A</v>
      </c>
      <c r="K566" t="e">
        <f>VLOOKUP(F566,'1PROJE'!$B$7:$F$26,5,0)</f>
        <v>#N/A</v>
      </c>
    </row>
    <row r="567" spans="2:11">
      <c r="B567">
        <f t="shared" si="214"/>
        <v>0</v>
      </c>
      <c r="F567" s="57" t="e">
        <f t="shared" si="210"/>
        <v>#N/A</v>
      </c>
      <c r="G567" t="str">
        <f t="shared" si="211"/>
        <v/>
      </c>
      <c r="I567" t="e">
        <f>VLOOKUP(F567,'1PROJE'!$B$7:$F$26,2,0)</f>
        <v>#N/A</v>
      </c>
      <c r="J567" t="e">
        <f>VLOOKUP(F567,'1PROJE'!$B$7:$F$26,4,0)</f>
        <v>#N/A</v>
      </c>
      <c r="K567" t="e">
        <f>VLOOKUP(F567,'1PROJE'!$B$7:$F$26,5,0)</f>
        <v>#N/A</v>
      </c>
    </row>
    <row r="568" spans="2:11">
      <c r="B568">
        <f t="shared" si="214"/>
        <v>0</v>
      </c>
      <c r="F568" s="57" t="e">
        <f t="shared" si="210"/>
        <v>#N/A</v>
      </c>
      <c r="G568" t="str">
        <f t="shared" si="211"/>
        <v/>
      </c>
      <c r="I568" t="e">
        <f>VLOOKUP(F568,'1PROJE'!$B$7:$F$26,2,0)</f>
        <v>#N/A</v>
      </c>
      <c r="J568" t="e">
        <f>VLOOKUP(F568,'1PROJE'!$B$7:$F$26,4,0)</f>
        <v>#N/A</v>
      </c>
      <c r="K568" t="e">
        <f>VLOOKUP(F568,'1PROJE'!$B$7:$F$26,5,0)</f>
        <v>#N/A</v>
      </c>
    </row>
    <row r="569" spans="2:11">
      <c r="B569">
        <f t="shared" si="214"/>
        <v>0</v>
      </c>
      <c r="F569" s="57" t="e">
        <f t="shared" si="210"/>
        <v>#N/A</v>
      </c>
      <c r="G569" t="str">
        <f t="shared" si="211"/>
        <v/>
      </c>
      <c r="I569" t="e">
        <f>VLOOKUP(F569,'1PROJE'!$B$7:$F$26,2,0)</f>
        <v>#N/A</v>
      </c>
      <c r="J569" t="e">
        <f>VLOOKUP(F569,'1PROJE'!$B$7:$F$26,4,0)</f>
        <v>#N/A</v>
      </c>
      <c r="K569" t="e">
        <f>VLOOKUP(F569,'1PROJE'!$B$7:$F$26,5,0)</f>
        <v>#N/A</v>
      </c>
    </row>
    <row r="570" spans="2:11">
      <c r="B570">
        <f t="shared" si="214"/>
        <v>0</v>
      </c>
      <c r="F570" s="57" t="e">
        <f t="shared" si="210"/>
        <v>#N/A</v>
      </c>
      <c r="G570" t="str">
        <f t="shared" si="211"/>
        <v/>
      </c>
      <c r="I570" t="e">
        <f>VLOOKUP(F570,'1PROJE'!$B$7:$F$26,2,0)</f>
        <v>#N/A</v>
      </c>
      <c r="J570" t="e">
        <f>VLOOKUP(F570,'1PROJE'!$B$7:$F$26,4,0)</f>
        <v>#N/A</v>
      </c>
      <c r="K570" t="e">
        <f>VLOOKUP(F570,'1PROJE'!$B$7:$F$26,5,0)</f>
        <v>#N/A</v>
      </c>
    </row>
    <row r="571" spans="2:11">
      <c r="B571">
        <f t="shared" si="214"/>
        <v>0</v>
      </c>
      <c r="F571" s="57" t="e">
        <f t="shared" si="210"/>
        <v>#N/A</v>
      </c>
      <c r="G571" t="str">
        <f t="shared" si="211"/>
        <v/>
      </c>
      <c r="I571" t="e">
        <f>VLOOKUP(F571,'1PROJE'!$B$7:$F$26,2,0)</f>
        <v>#N/A</v>
      </c>
      <c r="J571" t="e">
        <f>VLOOKUP(F571,'1PROJE'!$B$7:$F$26,4,0)</f>
        <v>#N/A</v>
      </c>
      <c r="K571" t="e">
        <f>VLOOKUP(F571,'1PROJE'!$B$7:$F$26,5,0)</f>
        <v>#N/A</v>
      </c>
    </row>
    <row r="572" spans="2:11">
      <c r="B572">
        <f t="shared" si="214"/>
        <v>0</v>
      </c>
      <c r="F572" s="57" t="e">
        <f t="shared" si="210"/>
        <v>#N/A</v>
      </c>
      <c r="G572" t="str">
        <f t="shared" si="211"/>
        <v/>
      </c>
      <c r="I572" t="e">
        <f>VLOOKUP(F572,'1PROJE'!$B$7:$F$26,2,0)</f>
        <v>#N/A</v>
      </c>
      <c r="J572" t="e">
        <f>VLOOKUP(F572,'1PROJE'!$B$7:$F$26,4,0)</f>
        <v>#N/A</v>
      </c>
      <c r="K572" t="e">
        <f>VLOOKUP(F572,'1PROJE'!$B$7:$F$26,5,0)</f>
        <v>#N/A</v>
      </c>
    </row>
    <row r="573" spans="2:11">
      <c r="B573">
        <f t="shared" si="214"/>
        <v>0</v>
      </c>
      <c r="F573" s="57" t="e">
        <f t="shared" si="210"/>
        <v>#N/A</v>
      </c>
      <c r="G573" t="str">
        <f t="shared" si="211"/>
        <v/>
      </c>
      <c r="I573" t="e">
        <f>VLOOKUP(F573,'1PROJE'!$B$7:$F$26,2,0)</f>
        <v>#N/A</v>
      </c>
      <c r="J573" t="e">
        <f>VLOOKUP(F573,'1PROJE'!$B$7:$F$26,4,0)</f>
        <v>#N/A</v>
      </c>
      <c r="K573" t="e">
        <f>VLOOKUP(F573,'1PROJE'!$B$7:$F$26,5,0)</f>
        <v>#N/A</v>
      </c>
    </row>
    <row r="574" spans="2:11">
      <c r="B574">
        <f t="shared" si="214"/>
        <v>0</v>
      </c>
      <c r="F574" s="57" t="e">
        <f t="shared" si="210"/>
        <v>#N/A</v>
      </c>
      <c r="G574" t="str">
        <f t="shared" si="211"/>
        <v/>
      </c>
      <c r="I574" t="e">
        <f>VLOOKUP(F574,'1PROJE'!$B$7:$F$26,2,0)</f>
        <v>#N/A</v>
      </c>
      <c r="J574" t="e">
        <f>VLOOKUP(F574,'1PROJE'!$B$7:$F$26,4,0)</f>
        <v>#N/A</v>
      </c>
      <c r="K574" t="e">
        <f>VLOOKUP(F574,'1PROJE'!$B$7:$F$26,5,0)</f>
        <v>#N/A</v>
      </c>
    </row>
    <row r="575" spans="2:11">
      <c r="B575">
        <f t="shared" si="214"/>
        <v>0</v>
      </c>
      <c r="F575" s="57" t="e">
        <f t="shared" si="210"/>
        <v>#N/A</v>
      </c>
      <c r="G575" t="str">
        <f t="shared" si="211"/>
        <v/>
      </c>
      <c r="I575" t="e">
        <f>VLOOKUP(F575,'1PROJE'!$B$7:$F$26,2,0)</f>
        <v>#N/A</v>
      </c>
      <c r="J575" t="e">
        <f>VLOOKUP(F575,'1PROJE'!$B$7:$F$26,4,0)</f>
        <v>#N/A</v>
      </c>
      <c r="K575" t="e">
        <f>VLOOKUP(F575,'1PROJE'!$B$7:$F$26,5,0)</f>
        <v>#N/A</v>
      </c>
    </row>
    <row r="576" spans="2:11">
      <c r="B576">
        <f t="shared" si="214"/>
        <v>0</v>
      </c>
      <c r="F576" s="57" t="e">
        <f t="shared" si="210"/>
        <v>#N/A</v>
      </c>
      <c r="G576" t="str">
        <f t="shared" si="211"/>
        <v/>
      </c>
      <c r="I576" t="e">
        <f>VLOOKUP(F576,'1PROJE'!$B$7:$F$26,2,0)</f>
        <v>#N/A</v>
      </c>
      <c r="J576" t="e">
        <f>VLOOKUP(F576,'1PROJE'!$B$7:$F$26,4,0)</f>
        <v>#N/A</v>
      </c>
      <c r="K576" t="e">
        <f>VLOOKUP(F576,'1PROJE'!$B$7:$F$26,5,0)</f>
        <v>#N/A</v>
      </c>
    </row>
    <row r="577" spans="2:11">
      <c r="B577">
        <f t="shared" si="214"/>
        <v>0</v>
      </c>
      <c r="F577" s="57" t="e">
        <f t="shared" si="210"/>
        <v>#N/A</v>
      </c>
      <c r="G577" t="str">
        <f t="shared" si="211"/>
        <v/>
      </c>
      <c r="I577" t="e">
        <f>VLOOKUP(F577,'1PROJE'!$B$7:$F$26,2,0)</f>
        <v>#N/A</v>
      </c>
      <c r="J577" t="e">
        <f>VLOOKUP(F577,'1PROJE'!$B$7:$F$26,4,0)</f>
        <v>#N/A</v>
      </c>
      <c r="K577" t="e">
        <f>VLOOKUP(F577,'1PROJE'!$B$7:$F$26,5,0)</f>
        <v>#N/A</v>
      </c>
    </row>
    <row r="578" spans="2:11">
      <c r="B578">
        <f t="shared" si="214"/>
        <v>0</v>
      </c>
      <c r="F578" s="57" t="e">
        <f t="shared" si="210"/>
        <v>#N/A</v>
      </c>
      <c r="G578" t="str">
        <f t="shared" si="211"/>
        <v/>
      </c>
      <c r="I578" t="e">
        <f>VLOOKUP(F578,'1PROJE'!$B$7:$F$26,2,0)</f>
        <v>#N/A</v>
      </c>
      <c r="J578" t="e">
        <f>VLOOKUP(F578,'1PROJE'!$B$7:$F$26,4,0)</f>
        <v>#N/A</v>
      </c>
      <c r="K578" t="e">
        <f>VLOOKUP(F578,'1PROJE'!$B$7:$F$26,5,0)</f>
        <v>#N/A</v>
      </c>
    </row>
    <row r="579" spans="2:11">
      <c r="B579">
        <f t="shared" si="214"/>
        <v>0</v>
      </c>
      <c r="F579" s="57" t="e">
        <f t="shared" si="210"/>
        <v>#N/A</v>
      </c>
      <c r="G579" t="str">
        <f t="shared" si="211"/>
        <v/>
      </c>
      <c r="I579" t="e">
        <f>VLOOKUP(F579,'1PROJE'!$B$7:$F$26,2,0)</f>
        <v>#N/A</v>
      </c>
      <c r="J579" t="e">
        <f>VLOOKUP(F579,'1PROJE'!$B$7:$F$26,4,0)</f>
        <v>#N/A</v>
      </c>
      <c r="K579" t="e">
        <f>VLOOKUP(F579,'1PROJE'!$B$7:$F$26,5,0)</f>
        <v>#N/A</v>
      </c>
    </row>
    <row r="580" spans="2:11">
      <c r="B580">
        <f t="shared" si="214"/>
        <v>0</v>
      </c>
      <c r="F580" s="57" t="e">
        <f t="shared" si="210"/>
        <v>#N/A</v>
      </c>
      <c r="G580" t="str">
        <f t="shared" si="211"/>
        <v/>
      </c>
      <c r="I580" t="e">
        <f>VLOOKUP(F580,'1PROJE'!$B$7:$F$26,2,0)</f>
        <v>#N/A</v>
      </c>
      <c r="J580" t="e">
        <f>VLOOKUP(F580,'1PROJE'!$B$7:$F$26,4,0)</f>
        <v>#N/A</v>
      </c>
      <c r="K580" t="e">
        <f>VLOOKUP(F580,'1PROJE'!$B$7:$F$26,5,0)</f>
        <v>#N/A</v>
      </c>
    </row>
    <row r="581" spans="2:11">
      <c r="B581">
        <f t="shared" si="214"/>
        <v>0</v>
      </c>
      <c r="F581" s="57" t="e">
        <f t="shared" si="210"/>
        <v>#N/A</v>
      </c>
      <c r="G581" t="str">
        <f t="shared" si="211"/>
        <v/>
      </c>
      <c r="I581" t="e">
        <f>VLOOKUP(F581,'1PROJE'!$B$7:$F$26,2,0)</f>
        <v>#N/A</v>
      </c>
      <c r="J581" t="e">
        <f>VLOOKUP(F581,'1PROJE'!$B$7:$F$26,4,0)</f>
        <v>#N/A</v>
      </c>
      <c r="K581" t="e">
        <f>VLOOKUP(F581,'1PROJE'!$B$7:$F$26,5,0)</f>
        <v>#N/A</v>
      </c>
    </row>
    <row r="582" spans="2:11">
      <c r="B582">
        <f t="shared" si="214"/>
        <v>0</v>
      </c>
      <c r="F582" s="57" t="e">
        <f t="shared" si="210"/>
        <v>#N/A</v>
      </c>
      <c r="G582" t="str">
        <f t="shared" si="211"/>
        <v/>
      </c>
      <c r="I582" t="e">
        <f>VLOOKUP(F582,'1PROJE'!$B$7:$F$26,2,0)</f>
        <v>#N/A</v>
      </c>
      <c r="J582" t="e">
        <f>VLOOKUP(F582,'1PROJE'!$B$7:$F$26,4,0)</f>
        <v>#N/A</v>
      </c>
      <c r="K582" t="e">
        <f>VLOOKUP(F582,'1PROJE'!$B$7:$F$26,5,0)</f>
        <v>#N/A</v>
      </c>
    </row>
    <row r="583" spans="2:11">
      <c r="B583">
        <f t="shared" si="214"/>
        <v>0</v>
      </c>
      <c r="F583" s="57" t="e">
        <f t="shared" si="210"/>
        <v>#N/A</v>
      </c>
      <c r="G583" t="str">
        <f t="shared" si="211"/>
        <v/>
      </c>
      <c r="I583" t="e">
        <f>VLOOKUP(F583,'1PROJE'!$B$7:$F$26,2,0)</f>
        <v>#N/A</v>
      </c>
      <c r="J583" t="e">
        <f>VLOOKUP(F583,'1PROJE'!$B$7:$F$26,4,0)</f>
        <v>#N/A</v>
      </c>
      <c r="K583" t="e">
        <f>VLOOKUP(F583,'1PROJE'!$B$7:$F$26,5,0)</f>
        <v>#N/A</v>
      </c>
    </row>
    <row r="584" spans="2:11">
      <c r="B584">
        <f t="shared" si="214"/>
        <v>0</v>
      </c>
      <c r="F584" s="57" t="e">
        <f t="shared" si="210"/>
        <v>#N/A</v>
      </c>
      <c r="G584" t="str">
        <f t="shared" si="211"/>
        <v/>
      </c>
      <c r="I584" t="e">
        <f>VLOOKUP(F584,'1PROJE'!$B$7:$F$26,2,0)</f>
        <v>#N/A</v>
      </c>
      <c r="J584" t="e">
        <f>VLOOKUP(F584,'1PROJE'!$B$7:$F$26,4,0)</f>
        <v>#N/A</v>
      </c>
      <c r="K584" t="e">
        <f>VLOOKUP(F584,'1PROJE'!$B$7:$F$26,5,0)</f>
        <v>#N/A</v>
      </c>
    </row>
    <row r="585" spans="2:11">
      <c r="B585">
        <f t="shared" si="214"/>
        <v>0</v>
      </c>
      <c r="F585" s="57" t="e">
        <f t="shared" si="210"/>
        <v>#N/A</v>
      </c>
      <c r="G585" t="str">
        <f t="shared" si="211"/>
        <v/>
      </c>
      <c r="I585" t="e">
        <f>VLOOKUP(F585,'1PROJE'!$B$7:$F$26,2,0)</f>
        <v>#N/A</v>
      </c>
      <c r="J585" t="e">
        <f>VLOOKUP(F585,'1PROJE'!$B$7:$F$26,4,0)</f>
        <v>#N/A</v>
      </c>
      <c r="K585" t="e">
        <f>VLOOKUP(F585,'1PROJE'!$B$7:$F$26,5,0)</f>
        <v>#N/A</v>
      </c>
    </row>
    <row r="586" spans="2:11">
      <c r="B586">
        <f t="shared" si="214"/>
        <v>0</v>
      </c>
      <c r="F586" s="57" t="e">
        <f t="shared" si="210"/>
        <v>#N/A</v>
      </c>
      <c r="G586" t="str">
        <f t="shared" si="211"/>
        <v/>
      </c>
      <c r="I586" t="e">
        <f>VLOOKUP(F586,'1PROJE'!$B$7:$F$26,2,0)</f>
        <v>#N/A</v>
      </c>
      <c r="J586" t="e">
        <f>VLOOKUP(F586,'1PROJE'!$B$7:$F$26,4,0)</f>
        <v>#N/A</v>
      </c>
      <c r="K586" t="e">
        <f>VLOOKUP(F586,'1PROJE'!$B$7:$F$26,5,0)</f>
        <v>#N/A</v>
      </c>
    </row>
    <row r="587" spans="2:11">
      <c r="B587">
        <f t="shared" si="214"/>
        <v>0</v>
      </c>
      <c r="F587" s="57" t="e">
        <f t="shared" ref="F587:F650" si="215">VLOOKUP(G587,$C$64:$D$83,2,0)</f>
        <v>#N/A</v>
      </c>
      <c r="G587" t="str">
        <f t="shared" ref="G587:G650" si="216">LEFT(H587,6)</f>
        <v/>
      </c>
      <c r="I587" t="e">
        <f>VLOOKUP(F587,'1PROJE'!$B$7:$F$26,2,0)</f>
        <v>#N/A</v>
      </c>
      <c r="J587" t="e">
        <f>VLOOKUP(F587,'1PROJE'!$B$7:$F$26,4,0)</f>
        <v>#N/A</v>
      </c>
      <c r="K587" t="e">
        <f>VLOOKUP(F587,'1PROJE'!$B$7:$F$26,5,0)</f>
        <v>#N/A</v>
      </c>
    </row>
    <row r="588" spans="2:11">
      <c r="B588">
        <f t="shared" si="214"/>
        <v>0</v>
      </c>
      <c r="F588" s="57" t="e">
        <f t="shared" si="215"/>
        <v>#N/A</v>
      </c>
      <c r="G588" t="str">
        <f t="shared" si="216"/>
        <v/>
      </c>
      <c r="I588" t="e">
        <f>VLOOKUP(F588,'1PROJE'!$B$7:$F$26,2,0)</f>
        <v>#N/A</v>
      </c>
      <c r="J588" t="e">
        <f>VLOOKUP(F588,'1PROJE'!$B$7:$F$26,4,0)</f>
        <v>#N/A</v>
      </c>
      <c r="K588" t="e">
        <f>VLOOKUP(F588,'1PROJE'!$B$7:$F$26,5,0)</f>
        <v>#N/A</v>
      </c>
    </row>
    <row r="589" spans="2:11">
      <c r="B589">
        <f t="shared" si="214"/>
        <v>0</v>
      </c>
      <c r="F589" s="57" t="e">
        <f t="shared" si="215"/>
        <v>#N/A</v>
      </c>
      <c r="G589" t="str">
        <f t="shared" si="216"/>
        <v/>
      </c>
      <c r="I589" t="e">
        <f>VLOOKUP(F589,'1PROJE'!$B$7:$F$26,2,0)</f>
        <v>#N/A</v>
      </c>
      <c r="J589" t="e">
        <f>VLOOKUP(F589,'1PROJE'!$B$7:$F$26,4,0)</f>
        <v>#N/A</v>
      </c>
      <c r="K589" t="e">
        <f>VLOOKUP(F589,'1PROJE'!$B$7:$F$26,5,0)</f>
        <v>#N/A</v>
      </c>
    </row>
    <row r="590" spans="2:11">
      <c r="B590">
        <f t="shared" si="214"/>
        <v>0</v>
      </c>
      <c r="F590" s="57" t="e">
        <f t="shared" si="215"/>
        <v>#N/A</v>
      </c>
      <c r="G590" t="str">
        <f t="shared" si="216"/>
        <v/>
      </c>
      <c r="I590" t="e">
        <f>VLOOKUP(F590,'1PROJE'!$B$7:$F$26,2,0)</f>
        <v>#N/A</v>
      </c>
      <c r="J590" t="e">
        <f>VLOOKUP(F590,'1PROJE'!$B$7:$F$26,4,0)</f>
        <v>#N/A</v>
      </c>
      <c r="K590" t="e">
        <f>VLOOKUP(F590,'1PROJE'!$B$7:$F$26,5,0)</f>
        <v>#N/A</v>
      </c>
    </row>
    <row r="591" spans="2:11">
      <c r="B591">
        <f t="shared" si="214"/>
        <v>0</v>
      </c>
      <c r="F591" s="57" t="e">
        <f t="shared" si="215"/>
        <v>#N/A</v>
      </c>
      <c r="G591" t="str">
        <f t="shared" si="216"/>
        <v/>
      </c>
      <c r="I591" t="e">
        <f>VLOOKUP(F591,'1PROJE'!$B$7:$F$26,2,0)</f>
        <v>#N/A</v>
      </c>
      <c r="J591" t="e">
        <f>VLOOKUP(F591,'1PROJE'!$B$7:$F$26,4,0)</f>
        <v>#N/A</v>
      </c>
      <c r="K591" t="e">
        <f>VLOOKUP(F591,'1PROJE'!$B$7:$F$26,5,0)</f>
        <v>#N/A</v>
      </c>
    </row>
    <row r="592" spans="2:11">
      <c r="B592">
        <f t="shared" si="214"/>
        <v>0</v>
      </c>
      <c r="F592" s="57" t="e">
        <f t="shared" si="215"/>
        <v>#N/A</v>
      </c>
      <c r="G592" t="str">
        <f t="shared" si="216"/>
        <v/>
      </c>
      <c r="I592" t="e">
        <f>VLOOKUP(F592,'1PROJE'!$B$7:$F$26,2,0)</f>
        <v>#N/A</v>
      </c>
      <c r="J592" t="e">
        <f>VLOOKUP(F592,'1PROJE'!$B$7:$F$26,4,0)</f>
        <v>#N/A</v>
      </c>
      <c r="K592" t="e">
        <f>VLOOKUP(F592,'1PROJE'!$B$7:$F$26,5,0)</f>
        <v>#N/A</v>
      </c>
    </row>
    <row r="593" spans="2:11">
      <c r="B593">
        <f t="shared" si="214"/>
        <v>0</v>
      </c>
      <c r="F593" s="57" t="e">
        <f t="shared" si="215"/>
        <v>#N/A</v>
      </c>
      <c r="G593" t="str">
        <f t="shared" si="216"/>
        <v/>
      </c>
      <c r="I593" t="e">
        <f>VLOOKUP(F593,'1PROJE'!$B$7:$F$26,2,0)</f>
        <v>#N/A</v>
      </c>
      <c r="J593" t="e">
        <f>VLOOKUP(F593,'1PROJE'!$B$7:$F$26,4,0)</f>
        <v>#N/A</v>
      </c>
      <c r="K593" t="e">
        <f>VLOOKUP(F593,'1PROJE'!$B$7:$F$26,5,0)</f>
        <v>#N/A</v>
      </c>
    </row>
    <row r="594" spans="2:11">
      <c r="B594">
        <f t="shared" si="214"/>
        <v>0</v>
      </c>
      <c r="F594" s="57" t="e">
        <f t="shared" si="215"/>
        <v>#N/A</v>
      </c>
      <c r="G594" t="str">
        <f t="shared" si="216"/>
        <v/>
      </c>
      <c r="I594" t="e">
        <f>VLOOKUP(F594,'1PROJE'!$B$7:$F$26,2,0)</f>
        <v>#N/A</v>
      </c>
      <c r="J594" t="e">
        <f>VLOOKUP(F594,'1PROJE'!$B$7:$F$26,4,0)</f>
        <v>#N/A</v>
      </c>
      <c r="K594" t="e">
        <f>VLOOKUP(F594,'1PROJE'!$B$7:$F$26,5,0)</f>
        <v>#N/A</v>
      </c>
    </row>
    <row r="595" spans="2:11">
      <c r="B595">
        <f t="shared" ref="B595:B626" si="217">IF(($C$32-A95)&lt;0,0,"POZ"&amp;" "&amp;$G$61&amp;"."&amp;A95)</f>
        <v>0</v>
      </c>
      <c r="F595" s="57" t="e">
        <f t="shared" si="215"/>
        <v>#N/A</v>
      </c>
      <c r="G595" t="str">
        <f t="shared" si="216"/>
        <v/>
      </c>
      <c r="I595" t="e">
        <f>VLOOKUP(F595,'1PROJE'!$B$7:$F$26,2,0)</f>
        <v>#N/A</v>
      </c>
      <c r="J595" t="e">
        <f>VLOOKUP(F595,'1PROJE'!$B$7:$F$26,4,0)</f>
        <v>#N/A</v>
      </c>
      <c r="K595" t="e">
        <f>VLOOKUP(F595,'1PROJE'!$B$7:$F$26,5,0)</f>
        <v>#N/A</v>
      </c>
    </row>
    <row r="596" spans="2:11">
      <c r="B596">
        <f t="shared" si="217"/>
        <v>0</v>
      </c>
      <c r="F596" s="57" t="e">
        <f t="shared" si="215"/>
        <v>#N/A</v>
      </c>
      <c r="G596" t="str">
        <f t="shared" si="216"/>
        <v/>
      </c>
      <c r="I596" t="e">
        <f>VLOOKUP(F596,'1PROJE'!$B$7:$F$26,2,0)</f>
        <v>#N/A</v>
      </c>
      <c r="J596" t="e">
        <f>VLOOKUP(F596,'1PROJE'!$B$7:$F$26,4,0)</f>
        <v>#N/A</v>
      </c>
      <c r="K596" t="e">
        <f>VLOOKUP(F596,'1PROJE'!$B$7:$F$26,5,0)</f>
        <v>#N/A</v>
      </c>
    </row>
    <row r="597" spans="2:11">
      <c r="B597">
        <f t="shared" si="217"/>
        <v>0</v>
      </c>
      <c r="F597" s="57" t="e">
        <f t="shared" si="215"/>
        <v>#N/A</v>
      </c>
      <c r="G597" t="str">
        <f t="shared" si="216"/>
        <v/>
      </c>
      <c r="I597" t="e">
        <f>VLOOKUP(F597,'1PROJE'!$B$7:$F$26,2,0)</f>
        <v>#N/A</v>
      </c>
      <c r="J597" t="e">
        <f>VLOOKUP(F597,'1PROJE'!$B$7:$F$26,4,0)</f>
        <v>#N/A</v>
      </c>
      <c r="K597" t="e">
        <f>VLOOKUP(F597,'1PROJE'!$B$7:$F$26,5,0)</f>
        <v>#N/A</v>
      </c>
    </row>
    <row r="598" spans="2:11">
      <c r="B598">
        <f t="shared" si="217"/>
        <v>0</v>
      </c>
      <c r="F598" s="57" t="e">
        <f t="shared" si="215"/>
        <v>#N/A</v>
      </c>
      <c r="G598" t="str">
        <f t="shared" si="216"/>
        <v/>
      </c>
      <c r="I598" t="e">
        <f>VLOOKUP(F598,'1PROJE'!$B$7:$F$26,2,0)</f>
        <v>#N/A</v>
      </c>
      <c r="J598" t="e">
        <f>VLOOKUP(F598,'1PROJE'!$B$7:$F$26,4,0)</f>
        <v>#N/A</v>
      </c>
      <c r="K598" t="e">
        <f>VLOOKUP(F598,'1PROJE'!$B$7:$F$26,5,0)</f>
        <v>#N/A</v>
      </c>
    </row>
    <row r="599" spans="2:11">
      <c r="B599">
        <f t="shared" si="217"/>
        <v>0</v>
      </c>
      <c r="F599" s="57" t="e">
        <f t="shared" si="215"/>
        <v>#N/A</v>
      </c>
      <c r="G599" t="str">
        <f t="shared" si="216"/>
        <v/>
      </c>
      <c r="I599" t="e">
        <f>VLOOKUP(F599,'1PROJE'!$B$7:$F$26,2,0)</f>
        <v>#N/A</v>
      </c>
      <c r="J599" t="e">
        <f>VLOOKUP(F599,'1PROJE'!$B$7:$F$26,4,0)</f>
        <v>#N/A</v>
      </c>
      <c r="K599" t="e">
        <f>VLOOKUP(F599,'1PROJE'!$B$7:$F$26,5,0)</f>
        <v>#N/A</v>
      </c>
    </row>
    <row r="600" spans="2:11">
      <c r="B600">
        <f t="shared" si="217"/>
        <v>0</v>
      </c>
      <c r="F600" s="57" t="e">
        <f t="shared" si="215"/>
        <v>#N/A</v>
      </c>
      <c r="G600" t="str">
        <f t="shared" si="216"/>
        <v/>
      </c>
      <c r="I600" t="e">
        <f>VLOOKUP(F600,'1PROJE'!$B$7:$F$26,2,0)</f>
        <v>#N/A</v>
      </c>
      <c r="J600" t="e">
        <f>VLOOKUP(F600,'1PROJE'!$B$7:$F$26,4,0)</f>
        <v>#N/A</v>
      </c>
      <c r="K600" t="e">
        <f>VLOOKUP(F600,'1PROJE'!$B$7:$F$26,5,0)</f>
        <v>#N/A</v>
      </c>
    </row>
    <row r="601" spans="2:11">
      <c r="B601">
        <f t="shared" si="217"/>
        <v>0</v>
      </c>
      <c r="F601" s="57" t="e">
        <f t="shared" si="215"/>
        <v>#N/A</v>
      </c>
      <c r="G601" t="str">
        <f t="shared" si="216"/>
        <v/>
      </c>
      <c r="I601" t="e">
        <f>VLOOKUP(F601,'1PROJE'!$B$7:$F$26,2,0)</f>
        <v>#N/A</v>
      </c>
      <c r="J601" t="e">
        <f>VLOOKUP(F601,'1PROJE'!$B$7:$F$26,4,0)</f>
        <v>#N/A</v>
      </c>
      <c r="K601" t="e">
        <f>VLOOKUP(F601,'1PROJE'!$B$7:$F$26,5,0)</f>
        <v>#N/A</v>
      </c>
    </row>
    <row r="602" spans="2:11">
      <c r="B602">
        <f t="shared" si="217"/>
        <v>0</v>
      </c>
      <c r="F602" s="57" t="e">
        <f t="shared" si="215"/>
        <v>#N/A</v>
      </c>
      <c r="G602" t="str">
        <f t="shared" si="216"/>
        <v/>
      </c>
      <c r="I602" t="e">
        <f>VLOOKUP(F602,'1PROJE'!$B$7:$F$26,2,0)</f>
        <v>#N/A</v>
      </c>
      <c r="J602" t="e">
        <f>VLOOKUP(F602,'1PROJE'!$B$7:$F$26,4,0)</f>
        <v>#N/A</v>
      </c>
      <c r="K602" t="e">
        <f>VLOOKUP(F602,'1PROJE'!$B$7:$F$26,5,0)</f>
        <v>#N/A</v>
      </c>
    </row>
    <row r="603" spans="2:11">
      <c r="B603">
        <f t="shared" si="217"/>
        <v>0</v>
      </c>
      <c r="F603" s="57" t="e">
        <f t="shared" si="215"/>
        <v>#N/A</v>
      </c>
      <c r="G603" t="str">
        <f t="shared" si="216"/>
        <v/>
      </c>
      <c r="I603" t="e">
        <f>VLOOKUP(F603,'1PROJE'!$B$7:$F$26,2,0)</f>
        <v>#N/A</v>
      </c>
      <c r="J603" t="e">
        <f>VLOOKUP(F603,'1PROJE'!$B$7:$F$26,4,0)</f>
        <v>#N/A</v>
      </c>
      <c r="K603" t="e">
        <f>VLOOKUP(F603,'1PROJE'!$B$7:$F$26,5,0)</f>
        <v>#N/A</v>
      </c>
    </row>
    <row r="604" spans="2:11">
      <c r="B604">
        <f t="shared" si="217"/>
        <v>0</v>
      </c>
      <c r="F604" s="57" t="e">
        <f t="shared" si="215"/>
        <v>#N/A</v>
      </c>
      <c r="G604" t="str">
        <f t="shared" si="216"/>
        <v/>
      </c>
      <c r="I604" t="e">
        <f>VLOOKUP(F604,'1PROJE'!$B$7:$F$26,2,0)</f>
        <v>#N/A</v>
      </c>
      <c r="J604" t="e">
        <f>VLOOKUP(F604,'1PROJE'!$B$7:$F$26,4,0)</f>
        <v>#N/A</v>
      </c>
      <c r="K604" t="e">
        <f>VLOOKUP(F604,'1PROJE'!$B$7:$F$26,5,0)</f>
        <v>#N/A</v>
      </c>
    </row>
    <row r="605" spans="2:11">
      <c r="B605">
        <f t="shared" si="217"/>
        <v>0</v>
      </c>
      <c r="F605" s="57" t="e">
        <f t="shared" si="215"/>
        <v>#N/A</v>
      </c>
      <c r="G605" t="str">
        <f t="shared" si="216"/>
        <v/>
      </c>
      <c r="I605" t="e">
        <f>VLOOKUP(F605,'1PROJE'!$B$7:$F$26,2,0)</f>
        <v>#N/A</v>
      </c>
      <c r="J605" t="e">
        <f>VLOOKUP(F605,'1PROJE'!$B$7:$F$26,4,0)</f>
        <v>#N/A</v>
      </c>
      <c r="K605" t="e">
        <f>VLOOKUP(F605,'1PROJE'!$B$7:$F$26,5,0)</f>
        <v>#N/A</v>
      </c>
    </row>
    <row r="606" spans="2:11">
      <c r="B606">
        <f t="shared" si="217"/>
        <v>0</v>
      </c>
      <c r="F606" s="57" t="e">
        <f t="shared" si="215"/>
        <v>#N/A</v>
      </c>
      <c r="G606" t="str">
        <f t="shared" si="216"/>
        <v/>
      </c>
      <c r="I606" t="e">
        <f>VLOOKUP(F606,'1PROJE'!$B$7:$F$26,2,0)</f>
        <v>#N/A</v>
      </c>
      <c r="J606" t="e">
        <f>VLOOKUP(F606,'1PROJE'!$B$7:$F$26,4,0)</f>
        <v>#N/A</v>
      </c>
      <c r="K606" t="e">
        <f>VLOOKUP(F606,'1PROJE'!$B$7:$F$26,5,0)</f>
        <v>#N/A</v>
      </c>
    </row>
    <row r="607" spans="2:11">
      <c r="B607">
        <f t="shared" si="217"/>
        <v>0</v>
      </c>
      <c r="F607" s="57" t="e">
        <f t="shared" si="215"/>
        <v>#N/A</v>
      </c>
      <c r="G607" t="str">
        <f t="shared" si="216"/>
        <v/>
      </c>
      <c r="I607" t="e">
        <f>VLOOKUP(F607,'1PROJE'!$B$7:$F$26,2,0)</f>
        <v>#N/A</v>
      </c>
      <c r="J607" t="e">
        <f>VLOOKUP(F607,'1PROJE'!$B$7:$F$26,4,0)</f>
        <v>#N/A</v>
      </c>
      <c r="K607" t="e">
        <f>VLOOKUP(F607,'1PROJE'!$B$7:$F$26,5,0)</f>
        <v>#N/A</v>
      </c>
    </row>
    <row r="608" spans="2:11">
      <c r="B608">
        <f t="shared" si="217"/>
        <v>0</v>
      </c>
      <c r="F608" s="57" t="e">
        <f t="shared" si="215"/>
        <v>#N/A</v>
      </c>
      <c r="G608" t="str">
        <f t="shared" si="216"/>
        <v/>
      </c>
      <c r="I608" t="e">
        <f>VLOOKUP(F608,'1PROJE'!$B$7:$F$26,2,0)</f>
        <v>#N/A</v>
      </c>
      <c r="J608" t="e">
        <f>VLOOKUP(F608,'1PROJE'!$B$7:$F$26,4,0)</f>
        <v>#N/A</v>
      </c>
      <c r="K608" t="e">
        <f>VLOOKUP(F608,'1PROJE'!$B$7:$F$26,5,0)</f>
        <v>#N/A</v>
      </c>
    </row>
    <row r="609" spans="2:11">
      <c r="B609">
        <f t="shared" si="217"/>
        <v>0</v>
      </c>
      <c r="F609" s="57" t="e">
        <f t="shared" si="215"/>
        <v>#N/A</v>
      </c>
      <c r="G609" t="str">
        <f t="shared" si="216"/>
        <v/>
      </c>
      <c r="I609" t="e">
        <f>VLOOKUP(F609,'1PROJE'!$B$7:$F$26,2,0)</f>
        <v>#N/A</v>
      </c>
      <c r="J609" t="e">
        <f>VLOOKUP(F609,'1PROJE'!$B$7:$F$26,4,0)</f>
        <v>#N/A</v>
      </c>
      <c r="K609" t="e">
        <f>VLOOKUP(F609,'1PROJE'!$B$7:$F$26,5,0)</f>
        <v>#N/A</v>
      </c>
    </row>
    <row r="610" spans="2:11">
      <c r="B610">
        <f t="shared" si="217"/>
        <v>0</v>
      </c>
      <c r="F610" s="57" t="e">
        <f t="shared" si="215"/>
        <v>#N/A</v>
      </c>
      <c r="G610" t="str">
        <f t="shared" si="216"/>
        <v/>
      </c>
      <c r="I610" t="e">
        <f>VLOOKUP(F610,'1PROJE'!$B$7:$F$26,2,0)</f>
        <v>#N/A</v>
      </c>
      <c r="J610" t="e">
        <f>VLOOKUP(F610,'1PROJE'!$B$7:$F$26,4,0)</f>
        <v>#N/A</v>
      </c>
      <c r="K610" t="e">
        <f>VLOOKUP(F610,'1PROJE'!$B$7:$F$26,5,0)</f>
        <v>#N/A</v>
      </c>
    </row>
    <row r="611" spans="2:11">
      <c r="B611">
        <f t="shared" si="217"/>
        <v>0</v>
      </c>
      <c r="F611" s="57" t="e">
        <f t="shared" si="215"/>
        <v>#N/A</v>
      </c>
      <c r="G611" t="str">
        <f t="shared" si="216"/>
        <v/>
      </c>
      <c r="I611" t="e">
        <f>VLOOKUP(F611,'1PROJE'!$B$7:$F$26,2,0)</f>
        <v>#N/A</v>
      </c>
      <c r="J611" t="e">
        <f>VLOOKUP(F611,'1PROJE'!$B$7:$F$26,4,0)</f>
        <v>#N/A</v>
      </c>
      <c r="K611" t="e">
        <f>VLOOKUP(F611,'1PROJE'!$B$7:$F$26,5,0)</f>
        <v>#N/A</v>
      </c>
    </row>
    <row r="612" spans="2:11">
      <c r="B612">
        <f t="shared" si="217"/>
        <v>0</v>
      </c>
      <c r="F612" s="57" t="e">
        <f t="shared" si="215"/>
        <v>#N/A</v>
      </c>
      <c r="G612" t="str">
        <f t="shared" si="216"/>
        <v/>
      </c>
      <c r="I612" t="e">
        <f>VLOOKUP(F612,'1PROJE'!$B$7:$F$26,2,0)</f>
        <v>#N/A</v>
      </c>
      <c r="J612" t="e">
        <f>VLOOKUP(F612,'1PROJE'!$B$7:$F$26,4,0)</f>
        <v>#N/A</v>
      </c>
      <c r="K612" t="e">
        <f>VLOOKUP(F612,'1PROJE'!$B$7:$F$26,5,0)</f>
        <v>#N/A</v>
      </c>
    </row>
    <row r="613" spans="2:11">
      <c r="B613">
        <f t="shared" si="217"/>
        <v>0</v>
      </c>
      <c r="F613" s="57" t="e">
        <f t="shared" si="215"/>
        <v>#N/A</v>
      </c>
      <c r="G613" t="str">
        <f t="shared" si="216"/>
        <v/>
      </c>
      <c r="I613" t="e">
        <f>VLOOKUP(F613,'1PROJE'!$B$7:$F$26,2,0)</f>
        <v>#N/A</v>
      </c>
      <c r="J613" t="e">
        <f>VLOOKUP(F613,'1PROJE'!$B$7:$F$26,4,0)</f>
        <v>#N/A</v>
      </c>
      <c r="K613" t="e">
        <f>VLOOKUP(F613,'1PROJE'!$B$7:$F$26,5,0)</f>
        <v>#N/A</v>
      </c>
    </row>
    <row r="614" spans="2:11">
      <c r="B614">
        <f t="shared" si="217"/>
        <v>0</v>
      </c>
      <c r="F614" s="57" t="e">
        <f t="shared" si="215"/>
        <v>#N/A</v>
      </c>
      <c r="G614" t="str">
        <f t="shared" si="216"/>
        <v/>
      </c>
      <c r="I614" t="e">
        <f>VLOOKUP(F614,'1PROJE'!$B$7:$F$26,2,0)</f>
        <v>#N/A</v>
      </c>
      <c r="J614" t="e">
        <f>VLOOKUP(F614,'1PROJE'!$B$7:$F$26,4,0)</f>
        <v>#N/A</v>
      </c>
      <c r="K614" t="e">
        <f>VLOOKUP(F614,'1PROJE'!$B$7:$F$26,5,0)</f>
        <v>#N/A</v>
      </c>
    </row>
    <row r="615" spans="2:11">
      <c r="B615">
        <f t="shared" si="217"/>
        <v>0</v>
      </c>
      <c r="F615" s="57" t="e">
        <f t="shared" si="215"/>
        <v>#N/A</v>
      </c>
      <c r="G615" t="str">
        <f t="shared" si="216"/>
        <v/>
      </c>
      <c r="I615" t="e">
        <f>VLOOKUP(F615,'1PROJE'!$B$7:$F$26,2,0)</f>
        <v>#N/A</v>
      </c>
      <c r="J615" t="e">
        <f>VLOOKUP(F615,'1PROJE'!$B$7:$F$26,4,0)</f>
        <v>#N/A</v>
      </c>
      <c r="K615" t="e">
        <f>VLOOKUP(F615,'1PROJE'!$B$7:$F$26,5,0)</f>
        <v>#N/A</v>
      </c>
    </row>
    <row r="616" spans="2:11">
      <c r="B616">
        <f t="shared" si="217"/>
        <v>0</v>
      </c>
      <c r="F616" s="57" t="e">
        <f t="shared" si="215"/>
        <v>#N/A</v>
      </c>
      <c r="G616" t="str">
        <f t="shared" si="216"/>
        <v/>
      </c>
      <c r="I616" t="e">
        <f>VLOOKUP(F616,'1PROJE'!$B$7:$F$26,2,0)</f>
        <v>#N/A</v>
      </c>
      <c r="J616" t="e">
        <f>VLOOKUP(F616,'1PROJE'!$B$7:$F$26,4,0)</f>
        <v>#N/A</v>
      </c>
      <c r="K616" t="e">
        <f>VLOOKUP(F616,'1PROJE'!$B$7:$F$26,5,0)</f>
        <v>#N/A</v>
      </c>
    </row>
    <row r="617" spans="2:11">
      <c r="B617">
        <f t="shared" si="217"/>
        <v>0</v>
      </c>
      <c r="F617" s="57" t="e">
        <f t="shared" si="215"/>
        <v>#N/A</v>
      </c>
      <c r="G617" t="str">
        <f t="shared" si="216"/>
        <v/>
      </c>
      <c r="I617" t="e">
        <f>VLOOKUP(F617,'1PROJE'!$B$7:$F$26,2,0)</f>
        <v>#N/A</v>
      </c>
      <c r="J617" t="e">
        <f>VLOOKUP(F617,'1PROJE'!$B$7:$F$26,4,0)</f>
        <v>#N/A</v>
      </c>
      <c r="K617" t="e">
        <f>VLOOKUP(F617,'1PROJE'!$B$7:$F$26,5,0)</f>
        <v>#N/A</v>
      </c>
    </row>
    <row r="618" spans="2:11">
      <c r="B618">
        <f t="shared" si="217"/>
        <v>0</v>
      </c>
      <c r="F618" s="57" t="e">
        <f t="shared" si="215"/>
        <v>#N/A</v>
      </c>
      <c r="G618" t="str">
        <f t="shared" si="216"/>
        <v/>
      </c>
      <c r="I618" t="e">
        <f>VLOOKUP(F618,'1PROJE'!$B$7:$F$26,2,0)</f>
        <v>#N/A</v>
      </c>
      <c r="J618" t="e">
        <f>VLOOKUP(F618,'1PROJE'!$B$7:$F$26,4,0)</f>
        <v>#N/A</v>
      </c>
      <c r="K618" t="e">
        <f>VLOOKUP(F618,'1PROJE'!$B$7:$F$26,5,0)</f>
        <v>#N/A</v>
      </c>
    </row>
    <row r="619" spans="2:11">
      <c r="B619">
        <f t="shared" si="217"/>
        <v>0</v>
      </c>
      <c r="F619" s="57" t="e">
        <f t="shared" si="215"/>
        <v>#N/A</v>
      </c>
      <c r="G619" t="str">
        <f t="shared" si="216"/>
        <v/>
      </c>
      <c r="I619" t="e">
        <f>VLOOKUP(F619,'1PROJE'!$B$7:$F$26,2,0)</f>
        <v>#N/A</v>
      </c>
      <c r="J619" t="e">
        <f>VLOOKUP(F619,'1PROJE'!$B$7:$F$26,4,0)</f>
        <v>#N/A</v>
      </c>
      <c r="K619" t="e">
        <f>VLOOKUP(F619,'1PROJE'!$B$7:$F$26,5,0)</f>
        <v>#N/A</v>
      </c>
    </row>
    <row r="620" spans="2:11">
      <c r="B620">
        <f t="shared" si="217"/>
        <v>0</v>
      </c>
      <c r="F620" s="57" t="e">
        <f t="shared" si="215"/>
        <v>#N/A</v>
      </c>
      <c r="G620" t="str">
        <f t="shared" si="216"/>
        <v/>
      </c>
      <c r="I620" t="e">
        <f>VLOOKUP(F620,'1PROJE'!$B$7:$F$26,2,0)</f>
        <v>#N/A</v>
      </c>
      <c r="J620" t="e">
        <f>VLOOKUP(F620,'1PROJE'!$B$7:$F$26,4,0)</f>
        <v>#N/A</v>
      </c>
      <c r="K620" t="e">
        <f>VLOOKUP(F620,'1PROJE'!$B$7:$F$26,5,0)</f>
        <v>#N/A</v>
      </c>
    </row>
    <row r="621" spans="2:11">
      <c r="B621">
        <f t="shared" si="217"/>
        <v>0</v>
      </c>
      <c r="F621" s="57" t="e">
        <f t="shared" si="215"/>
        <v>#N/A</v>
      </c>
      <c r="G621" t="str">
        <f t="shared" si="216"/>
        <v/>
      </c>
      <c r="I621" t="e">
        <f>VLOOKUP(F621,'1PROJE'!$B$7:$F$26,2,0)</f>
        <v>#N/A</v>
      </c>
      <c r="J621" t="e">
        <f>VLOOKUP(F621,'1PROJE'!$B$7:$F$26,4,0)</f>
        <v>#N/A</v>
      </c>
      <c r="K621" t="e">
        <f>VLOOKUP(F621,'1PROJE'!$B$7:$F$26,5,0)</f>
        <v>#N/A</v>
      </c>
    </row>
    <row r="622" spans="2:11">
      <c r="B622">
        <f t="shared" si="217"/>
        <v>0</v>
      </c>
      <c r="F622" s="57" t="e">
        <f t="shared" si="215"/>
        <v>#N/A</v>
      </c>
      <c r="G622" t="str">
        <f t="shared" si="216"/>
        <v/>
      </c>
      <c r="I622" t="e">
        <f>VLOOKUP(F622,'1PROJE'!$B$7:$F$26,2,0)</f>
        <v>#N/A</v>
      </c>
      <c r="J622" t="e">
        <f>VLOOKUP(F622,'1PROJE'!$B$7:$F$26,4,0)</f>
        <v>#N/A</v>
      </c>
      <c r="K622" t="e">
        <f>VLOOKUP(F622,'1PROJE'!$B$7:$F$26,5,0)</f>
        <v>#N/A</v>
      </c>
    </row>
    <row r="623" spans="2:11">
      <c r="B623">
        <f t="shared" si="217"/>
        <v>0</v>
      </c>
      <c r="F623" s="57" t="e">
        <f t="shared" si="215"/>
        <v>#N/A</v>
      </c>
      <c r="G623" t="str">
        <f t="shared" si="216"/>
        <v/>
      </c>
      <c r="I623" t="e">
        <f>VLOOKUP(F623,'1PROJE'!$B$7:$F$26,2,0)</f>
        <v>#N/A</v>
      </c>
      <c r="J623" t="e">
        <f>VLOOKUP(F623,'1PROJE'!$B$7:$F$26,4,0)</f>
        <v>#N/A</v>
      </c>
      <c r="K623" t="e">
        <f>VLOOKUP(F623,'1PROJE'!$B$7:$F$26,5,0)</f>
        <v>#N/A</v>
      </c>
    </row>
    <row r="624" spans="2:11">
      <c r="B624">
        <f t="shared" si="217"/>
        <v>0</v>
      </c>
      <c r="F624" s="57" t="e">
        <f t="shared" si="215"/>
        <v>#N/A</v>
      </c>
      <c r="G624" t="str">
        <f t="shared" si="216"/>
        <v/>
      </c>
      <c r="I624" t="e">
        <f>VLOOKUP(F624,'1PROJE'!$B$7:$F$26,2,0)</f>
        <v>#N/A</v>
      </c>
      <c r="J624" t="e">
        <f>VLOOKUP(F624,'1PROJE'!$B$7:$F$26,4,0)</f>
        <v>#N/A</v>
      </c>
      <c r="K624" t="e">
        <f>VLOOKUP(F624,'1PROJE'!$B$7:$F$26,5,0)</f>
        <v>#N/A</v>
      </c>
    </row>
    <row r="625" spans="2:11">
      <c r="B625">
        <f t="shared" si="217"/>
        <v>0</v>
      </c>
      <c r="F625" s="57" t="e">
        <f t="shared" si="215"/>
        <v>#N/A</v>
      </c>
      <c r="G625" t="str">
        <f t="shared" si="216"/>
        <v/>
      </c>
      <c r="I625" t="e">
        <f>VLOOKUP(F625,'1PROJE'!$B$7:$F$26,2,0)</f>
        <v>#N/A</v>
      </c>
      <c r="J625" t="e">
        <f>VLOOKUP(F625,'1PROJE'!$B$7:$F$26,4,0)</f>
        <v>#N/A</v>
      </c>
      <c r="K625" t="e">
        <f>VLOOKUP(F625,'1PROJE'!$B$7:$F$26,5,0)</f>
        <v>#N/A</v>
      </c>
    </row>
    <row r="626" spans="2:11">
      <c r="B626">
        <f t="shared" si="217"/>
        <v>0</v>
      </c>
      <c r="F626" s="57" t="e">
        <f t="shared" si="215"/>
        <v>#N/A</v>
      </c>
      <c r="G626" t="str">
        <f t="shared" si="216"/>
        <v/>
      </c>
      <c r="I626" t="e">
        <f>VLOOKUP(F626,'1PROJE'!$B$7:$F$26,2,0)</f>
        <v>#N/A</v>
      </c>
      <c r="J626" t="e">
        <f>VLOOKUP(F626,'1PROJE'!$B$7:$F$26,4,0)</f>
        <v>#N/A</v>
      </c>
      <c r="K626" t="e">
        <f>VLOOKUP(F626,'1PROJE'!$B$7:$F$26,5,0)</f>
        <v>#N/A</v>
      </c>
    </row>
    <row r="627" spans="2:11">
      <c r="B627">
        <f t="shared" ref="B627:B658" si="218">IF(($C$32-A127)&lt;0,0,"POZ"&amp;" "&amp;$G$61&amp;"."&amp;A127)</f>
        <v>0</v>
      </c>
      <c r="F627" s="57" t="e">
        <f t="shared" si="215"/>
        <v>#N/A</v>
      </c>
      <c r="G627" t="str">
        <f t="shared" si="216"/>
        <v/>
      </c>
      <c r="I627" t="e">
        <f>VLOOKUP(F627,'1PROJE'!$B$7:$F$26,2,0)</f>
        <v>#N/A</v>
      </c>
      <c r="J627" t="e">
        <f>VLOOKUP(F627,'1PROJE'!$B$7:$F$26,4,0)</f>
        <v>#N/A</v>
      </c>
      <c r="K627" t="e">
        <f>VLOOKUP(F627,'1PROJE'!$B$7:$F$26,5,0)</f>
        <v>#N/A</v>
      </c>
    </row>
    <row r="628" spans="2:11">
      <c r="B628">
        <f t="shared" si="218"/>
        <v>0</v>
      </c>
      <c r="F628" s="57" t="e">
        <f t="shared" si="215"/>
        <v>#N/A</v>
      </c>
      <c r="G628" t="str">
        <f t="shared" si="216"/>
        <v/>
      </c>
      <c r="I628" t="e">
        <f>VLOOKUP(F628,'1PROJE'!$B$7:$F$26,2,0)</f>
        <v>#N/A</v>
      </c>
      <c r="J628" t="e">
        <f>VLOOKUP(F628,'1PROJE'!$B$7:$F$26,4,0)</f>
        <v>#N/A</v>
      </c>
      <c r="K628" t="e">
        <f>VLOOKUP(F628,'1PROJE'!$B$7:$F$26,5,0)</f>
        <v>#N/A</v>
      </c>
    </row>
    <row r="629" spans="2:11">
      <c r="B629">
        <f t="shared" si="218"/>
        <v>0</v>
      </c>
      <c r="F629" s="57" t="e">
        <f t="shared" si="215"/>
        <v>#N/A</v>
      </c>
      <c r="G629" t="str">
        <f t="shared" si="216"/>
        <v/>
      </c>
      <c r="I629" t="e">
        <f>VLOOKUP(F629,'1PROJE'!$B$7:$F$26,2,0)</f>
        <v>#N/A</v>
      </c>
      <c r="J629" t="e">
        <f>VLOOKUP(F629,'1PROJE'!$B$7:$F$26,4,0)</f>
        <v>#N/A</v>
      </c>
      <c r="K629" t="e">
        <f>VLOOKUP(F629,'1PROJE'!$B$7:$F$26,5,0)</f>
        <v>#N/A</v>
      </c>
    </row>
    <row r="630" spans="2:11">
      <c r="B630">
        <f t="shared" si="218"/>
        <v>0</v>
      </c>
      <c r="F630" s="57" t="e">
        <f t="shared" si="215"/>
        <v>#N/A</v>
      </c>
      <c r="G630" t="str">
        <f t="shared" si="216"/>
        <v/>
      </c>
      <c r="I630" t="e">
        <f>VLOOKUP(F630,'1PROJE'!$B$7:$F$26,2,0)</f>
        <v>#N/A</v>
      </c>
      <c r="J630" t="e">
        <f>VLOOKUP(F630,'1PROJE'!$B$7:$F$26,4,0)</f>
        <v>#N/A</v>
      </c>
      <c r="K630" t="e">
        <f>VLOOKUP(F630,'1PROJE'!$B$7:$F$26,5,0)</f>
        <v>#N/A</v>
      </c>
    </row>
    <row r="631" spans="2:11">
      <c r="B631">
        <f t="shared" si="218"/>
        <v>0</v>
      </c>
      <c r="F631" s="57" t="e">
        <f t="shared" si="215"/>
        <v>#N/A</v>
      </c>
      <c r="G631" t="str">
        <f t="shared" si="216"/>
        <v/>
      </c>
      <c r="I631" t="e">
        <f>VLOOKUP(F631,'1PROJE'!$B$7:$F$26,2,0)</f>
        <v>#N/A</v>
      </c>
      <c r="J631" t="e">
        <f>VLOOKUP(F631,'1PROJE'!$B$7:$F$26,4,0)</f>
        <v>#N/A</v>
      </c>
      <c r="K631" t="e">
        <f>VLOOKUP(F631,'1PROJE'!$B$7:$F$26,5,0)</f>
        <v>#N/A</v>
      </c>
    </row>
    <row r="632" spans="2:11">
      <c r="B632">
        <f t="shared" si="218"/>
        <v>0</v>
      </c>
      <c r="F632" s="57" t="e">
        <f t="shared" si="215"/>
        <v>#N/A</v>
      </c>
      <c r="G632" t="str">
        <f t="shared" si="216"/>
        <v/>
      </c>
      <c r="I632" t="e">
        <f>VLOOKUP(F632,'1PROJE'!$B$7:$F$26,2,0)</f>
        <v>#N/A</v>
      </c>
      <c r="J632" t="e">
        <f>VLOOKUP(F632,'1PROJE'!$B$7:$F$26,4,0)</f>
        <v>#N/A</v>
      </c>
      <c r="K632" t="e">
        <f>VLOOKUP(F632,'1PROJE'!$B$7:$F$26,5,0)</f>
        <v>#N/A</v>
      </c>
    </row>
    <row r="633" spans="2:11">
      <c r="B633">
        <f t="shared" si="218"/>
        <v>0</v>
      </c>
      <c r="F633" s="57" t="e">
        <f t="shared" si="215"/>
        <v>#N/A</v>
      </c>
      <c r="G633" t="str">
        <f t="shared" si="216"/>
        <v/>
      </c>
      <c r="I633" t="e">
        <f>VLOOKUP(F633,'1PROJE'!$B$7:$F$26,2,0)</f>
        <v>#N/A</v>
      </c>
      <c r="J633" t="e">
        <f>VLOOKUP(F633,'1PROJE'!$B$7:$F$26,4,0)</f>
        <v>#N/A</v>
      </c>
      <c r="K633" t="e">
        <f>VLOOKUP(F633,'1PROJE'!$B$7:$F$26,5,0)</f>
        <v>#N/A</v>
      </c>
    </row>
    <row r="634" spans="2:11">
      <c r="B634">
        <f t="shared" si="218"/>
        <v>0</v>
      </c>
      <c r="F634" s="57" t="e">
        <f t="shared" si="215"/>
        <v>#N/A</v>
      </c>
      <c r="G634" t="str">
        <f t="shared" si="216"/>
        <v/>
      </c>
      <c r="I634" t="e">
        <f>VLOOKUP(F634,'1PROJE'!$B$7:$F$26,2,0)</f>
        <v>#N/A</v>
      </c>
      <c r="J634" t="e">
        <f>VLOOKUP(F634,'1PROJE'!$B$7:$F$26,4,0)</f>
        <v>#N/A</v>
      </c>
      <c r="K634" t="e">
        <f>VLOOKUP(F634,'1PROJE'!$B$7:$F$26,5,0)</f>
        <v>#N/A</v>
      </c>
    </row>
    <row r="635" spans="2:11">
      <c r="B635">
        <f t="shared" si="218"/>
        <v>0</v>
      </c>
      <c r="F635" s="57" t="e">
        <f t="shared" si="215"/>
        <v>#N/A</v>
      </c>
      <c r="G635" t="str">
        <f t="shared" si="216"/>
        <v/>
      </c>
      <c r="I635" t="e">
        <f>VLOOKUP(F635,'1PROJE'!$B$7:$F$26,2,0)</f>
        <v>#N/A</v>
      </c>
      <c r="J635" t="e">
        <f>VLOOKUP(F635,'1PROJE'!$B$7:$F$26,4,0)</f>
        <v>#N/A</v>
      </c>
      <c r="K635" t="e">
        <f>VLOOKUP(F635,'1PROJE'!$B$7:$F$26,5,0)</f>
        <v>#N/A</v>
      </c>
    </row>
    <row r="636" spans="2:11">
      <c r="B636">
        <f t="shared" si="218"/>
        <v>0</v>
      </c>
      <c r="F636" s="57" t="e">
        <f t="shared" si="215"/>
        <v>#N/A</v>
      </c>
      <c r="G636" t="str">
        <f t="shared" si="216"/>
        <v/>
      </c>
      <c r="I636" t="e">
        <f>VLOOKUP(F636,'1PROJE'!$B$7:$F$26,2,0)</f>
        <v>#N/A</v>
      </c>
      <c r="J636" t="e">
        <f>VLOOKUP(F636,'1PROJE'!$B$7:$F$26,4,0)</f>
        <v>#N/A</v>
      </c>
      <c r="K636" t="e">
        <f>VLOOKUP(F636,'1PROJE'!$B$7:$F$26,5,0)</f>
        <v>#N/A</v>
      </c>
    </row>
    <row r="637" spans="2:11">
      <c r="B637">
        <f t="shared" si="218"/>
        <v>0</v>
      </c>
      <c r="F637" s="57" t="e">
        <f t="shared" si="215"/>
        <v>#N/A</v>
      </c>
      <c r="G637" t="str">
        <f t="shared" si="216"/>
        <v/>
      </c>
      <c r="I637" t="e">
        <f>VLOOKUP(F637,'1PROJE'!$B$7:$F$26,2,0)</f>
        <v>#N/A</v>
      </c>
      <c r="J637" t="e">
        <f>VLOOKUP(F637,'1PROJE'!$B$7:$F$26,4,0)</f>
        <v>#N/A</v>
      </c>
      <c r="K637" t="e">
        <f>VLOOKUP(F637,'1PROJE'!$B$7:$F$26,5,0)</f>
        <v>#N/A</v>
      </c>
    </row>
    <row r="638" spans="2:11">
      <c r="B638">
        <f t="shared" si="218"/>
        <v>0</v>
      </c>
      <c r="F638" s="57" t="e">
        <f t="shared" si="215"/>
        <v>#N/A</v>
      </c>
      <c r="G638" t="str">
        <f t="shared" si="216"/>
        <v/>
      </c>
      <c r="I638" t="e">
        <f>VLOOKUP(F638,'1PROJE'!$B$7:$F$26,2,0)</f>
        <v>#N/A</v>
      </c>
      <c r="J638" t="e">
        <f>VLOOKUP(F638,'1PROJE'!$B$7:$F$26,4,0)</f>
        <v>#N/A</v>
      </c>
      <c r="K638" t="e">
        <f>VLOOKUP(F638,'1PROJE'!$B$7:$F$26,5,0)</f>
        <v>#N/A</v>
      </c>
    </row>
    <row r="639" spans="2:11">
      <c r="B639">
        <f t="shared" si="218"/>
        <v>0</v>
      </c>
      <c r="F639" s="57" t="e">
        <f t="shared" si="215"/>
        <v>#N/A</v>
      </c>
      <c r="G639" t="str">
        <f t="shared" si="216"/>
        <v/>
      </c>
      <c r="I639" t="e">
        <f>VLOOKUP(F639,'1PROJE'!$B$7:$F$26,2,0)</f>
        <v>#N/A</v>
      </c>
      <c r="J639" t="e">
        <f>VLOOKUP(F639,'1PROJE'!$B$7:$F$26,4,0)</f>
        <v>#N/A</v>
      </c>
      <c r="K639" t="e">
        <f>VLOOKUP(F639,'1PROJE'!$B$7:$F$26,5,0)</f>
        <v>#N/A</v>
      </c>
    </row>
    <row r="640" spans="2:11">
      <c r="B640">
        <f t="shared" si="218"/>
        <v>0</v>
      </c>
      <c r="F640" s="57" t="e">
        <f t="shared" si="215"/>
        <v>#N/A</v>
      </c>
      <c r="G640" t="str">
        <f t="shared" si="216"/>
        <v/>
      </c>
      <c r="I640" t="e">
        <f>VLOOKUP(F640,'1PROJE'!$B$7:$F$26,2,0)</f>
        <v>#N/A</v>
      </c>
      <c r="J640" t="e">
        <f>VLOOKUP(F640,'1PROJE'!$B$7:$F$26,4,0)</f>
        <v>#N/A</v>
      </c>
      <c r="K640" t="e">
        <f>VLOOKUP(F640,'1PROJE'!$B$7:$F$26,5,0)</f>
        <v>#N/A</v>
      </c>
    </row>
    <row r="641" spans="2:11">
      <c r="B641">
        <f t="shared" si="218"/>
        <v>0</v>
      </c>
      <c r="F641" s="57" t="e">
        <f t="shared" si="215"/>
        <v>#N/A</v>
      </c>
      <c r="G641" t="str">
        <f t="shared" si="216"/>
        <v/>
      </c>
      <c r="I641" t="e">
        <f>VLOOKUP(F641,'1PROJE'!$B$7:$F$26,2,0)</f>
        <v>#N/A</v>
      </c>
      <c r="J641" t="e">
        <f>VLOOKUP(F641,'1PROJE'!$B$7:$F$26,4,0)</f>
        <v>#N/A</v>
      </c>
      <c r="K641" t="e">
        <f>VLOOKUP(F641,'1PROJE'!$B$7:$F$26,5,0)</f>
        <v>#N/A</v>
      </c>
    </row>
    <row r="642" spans="2:11">
      <c r="B642">
        <f t="shared" si="218"/>
        <v>0</v>
      </c>
      <c r="F642" s="57" t="e">
        <f t="shared" si="215"/>
        <v>#N/A</v>
      </c>
      <c r="G642" t="str">
        <f t="shared" si="216"/>
        <v/>
      </c>
      <c r="I642" t="e">
        <f>VLOOKUP(F642,'1PROJE'!$B$7:$F$26,2,0)</f>
        <v>#N/A</v>
      </c>
      <c r="J642" t="e">
        <f>VLOOKUP(F642,'1PROJE'!$B$7:$F$26,4,0)</f>
        <v>#N/A</v>
      </c>
      <c r="K642" t="e">
        <f>VLOOKUP(F642,'1PROJE'!$B$7:$F$26,5,0)</f>
        <v>#N/A</v>
      </c>
    </row>
    <row r="643" spans="2:11">
      <c r="B643">
        <f t="shared" si="218"/>
        <v>0</v>
      </c>
      <c r="F643" s="57" t="e">
        <f t="shared" si="215"/>
        <v>#N/A</v>
      </c>
      <c r="G643" t="str">
        <f t="shared" si="216"/>
        <v/>
      </c>
      <c r="I643" t="e">
        <f>VLOOKUP(F643,'1PROJE'!$B$7:$F$26,2,0)</f>
        <v>#N/A</v>
      </c>
      <c r="J643" t="e">
        <f>VLOOKUP(F643,'1PROJE'!$B$7:$F$26,4,0)</f>
        <v>#N/A</v>
      </c>
      <c r="K643" t="e">
        <f>VLOOKUP(F643,'1PROJE'!$B$7:$F$26,5,0)</f>
        <v>#N/A</v>
      </c>
    </row>
    <row r="644" spans="2:11">
      <c r="B644">
        <f t="shared" si="218"/>
        <v>0</v>
      </c>
      <c r="F644" s="57" t="e">
        <f t="shared" si="215"/>
        <v>#N/A</v>
      </c>
      <c r="G644" t="str">
        <f t="shared" si="216"/>
        <v/>
      </c>
      <c r="I644" t="e">
        <f>VLOOKUP(F644,'1PROJE'!$B$7:$F$26,2,0)</f>
        <v>#N/A</v>
      </c>
      <c r="J644" t="e">
        <f>VLOOKUP(F644,'1PROJE'!$B$7:$F$26,4,0)</f>
        <v>#N/A</v>
      </c>
      <c r="K644" t="e">
        <f>VLOOKUP(F644,'1PROJE'!$B$7:$F$26,5,0)</f>
        <v>#N/A</v>
      </c>
    </row>
    <row r="645" spans="2:11">
      <c r="B645">
        <f t="shared" si="218"/>
        <v>0</v>
      </c>
      <c r="F645" s="57" t="e">
        <f t="shared" si="215"/>
        <v>#N/A</v>
      </c>
      <c r="G645" t="str">
        <f t="shared" si="216"/>
        <v/>
      </c>
      <c r="I645" t="e">
        <f>VLOOKUP(F645,'1PROJE'!$B$7:$F$26,2,0)</f>
        <v>#N/A</v>
      </c>
      <c r="J645" t="e">
        <f>VLOOKUP(F645,'1PROJE'!$B$7:$F$26,4,0)</f>
        <v>#N/A</v>
      </c>
      <c r="K645" t="e">
        <f>VLOOKUP(F645,'1PROJE'!$B$7:$F$26,5,0)</f>
        <v>#N/A</v>
      </c>
    </row>
    <row r="646" spans="2:11">
      <c r="B646">
        <f t="shared" si="218"/>
        <v>0</v>
      </c>
      <c r="F646" s="57" t="e">
        <f t="shared" si="215"/>
        <v>#N/A</v>
      </c>
      <c r="G646" t="str">
        <f t="shared" si="216"/>
        <v/>
      </c>
      <c r="I646" t="e">
        <f>VLOOKUP(F646,'1PROJE'!$B$7:$F$26,2,0)</f>
        <v>#N/A</v>
      </c>
      <c r="J646" t="e">
        <f>VLOOKUP(F646,'1PROJE'!$B$7:$F$26,4,0)</f>
        <v>#N/A</v>
      </c>
      <c r="K646" t="e">
        <f>VLOOKUP(F646,'1PROJE'!$B$7:$F$26,5,0)</f>
        <v>#N/A</v>
      </c>
    </row>
    <row r="647" spans="2:11">
      <c r="B647">
        <f t="shared" si="218"/>
        <v>0</v>
      </c>
      <c r="F647" s="57" t="e">
        <f t="shared" si="215"/>
        <v>#N/A</v>
      </c>
      <c r="G647" t="str">
        <f t="shared" si="216"/>
        <v/>
      </c>
      <c r="I647" t="e">
        <f>VLOOKUP(F647,'1PROJE'!$B$7:$F$26,2,0)</f>
        <v>#N/A</v>
      </c>
      <c r="J647" t="e">
        <f>VLOOKUP(F647,'1PROJE'!$B$7:$F$26,4,0)</f>
        <v>#N/A</v>
      </c>
      <c r="K647" t="e">
        <f>VLOOKUP(F647,'1PROJE'!$B$7:$F$26,5,0)</f>
        <v>#N/A</v>
      </c>
    </row>
    <row r="648" spans="2:11">
      <c r="B648">
        <f t="shared" si="218"/>
        <v>0</v>
      </c>
      <c r="F648" s="57" t="e">
        <f t="shared" si="215"/>
        <v>#N/A</v>
      </c>
      <c r="G648" t="str">
        <f t="shared" si="216"/>
        <v/>
      </c>
      <c r="I648" t="e">
        <f>VLOOKUP(F648,'1PROJE'!$B$7:$F$26,2,0)</f>
        <v>#N/A</v>
      </c>
      <c r="J648" t="e">
        <f>VLOOKUP(F648,'1PROJE'!$B$7:$F$26,4,0)</f>
        <v>#N/A</v>
      </c>
      <c r="K648" t="e">
        <f>VLOOKUP(F648,'1PROJE'!$B$7:$F$26,5,0)</f>
        <v>#N/A</v>
      </c>
    </row>
    <row r="649" spans="2:11">
      <c r="B649">
        <f t="shared" si="218"/>
        <v>0</v>
      </c>
      <c r="F649" s="57" t="e">
        <f t="shared" si="215"/>
        <v>#N/A</v>
      </c>
      <c r="G649" t="str">
        <f t="shared" si="216"/>
        <v/>
      </c>
      <c r="I649" t="e">
        <f>VLOOKUP(F649,'1PROJE'!$B$7:$F$26,2,0)</f>
        <v>#N/A</v>
      </c>
      <c r="J649" t="e">
        <f>VLOOKUP(F649,'1PROJE'!$B$7:$F$26,4,0)</f>
        <v>#N/A</v>
      </c>
      <c r="K649" t="e">
        <f>VLOOKUP(F649,'1PROJE'!$B$7:$F$26,5,0)</f>
        <v>#N/A</v>
      </c>
    </row>
    <row r="650" spans="2:11">
      <c r="B650">
        <f t="shared" si="218"/>
        <v>0</v>
      </c>
      <c r="F650" s="57" t="e">
        <f t="shared" si="215"/>
        <v>#N/A</v>
      </c>
      <c r="G650" t="str">
        <f t="shared" si="216"/>
        <v/>
      </c>
      <c r="I650" t="e">
        <f>VLOOKUP(F650,'1PROJE'!$B$7:$F$26,2,0)</f>
        <v>#N/A</v>
      </c>
      <c r="J650" t="e">
        <f>VLOOKUP(F650,'1PROJE'!$B$7:$F$26,4,0)</f>
        <v>#N/A</v>
      </c>
      <c r="K650" t="e">
        <f>VLOOKUP(F650,'1PROJE'!$B$7:$F$26,5,0)</f>
        <v>#N/A</v>
      </c>
    </row>
    <row r="651" spans="2:11">
      <c r="B651">
        <f t="shared" si="218"/>
        <v>0</v>
      </c>
      <c r="F651" s="57" t="e">
        <f t="shared" ref="F651:F714" si="219">VLOOKUP(G651,$C$64:$D$83,2,0)</f>
        <v>#N/A</v>
      </c>
      <c r="G651" t="str">
        <f t="shared" ref="G651:G714" si="220">LEFT(H651,6)</f>
        <v/>
      </c>
      <c r="I651" t="e">
        <f>VLOOKUP(F651,'1PROJE'!$B$7:$F$26,2,0)</f>
        <v>#N/A</v>
      </c>
      <c r="J651" t="e">
        <f>VLOOKUP(F651,'1PROJE'!$B$7:$F$26,4,0)</f>
        <v>#N/A</v>
      </c>
      <c r="K651" t="e">
        <f>VLOOKUP(F651,'1PROJE'!$B$7:$F$26,5,0)</f>
        <v>#N/A</v>
      </c>
    </row>
    <row r="652" spans="2:11">
      <c r="B652">
        <f t="shared" si="218"/>
        <v>0</v>
      </c>
      <c r="F652" s="57" t="e">
        <f t="shared" si="219"/>
        <v>#N/A</v>
      </c>
      <c r="G652" t="str">
        <f t="shared" si="220"/>
        <v/>
      </c>
      <c r="I652" t="e">
        <f>VLOOKUP(F652,'1PROJE'!$B$7:$F$26,2,0)</f>
        <v>#N/A</v>
      </c>
      <c r="J652" t="e">
        <f>VLOOKUP(F652,'1PROJE'!$B$7:$F$26,4,0)</f>
        <v>#N/A</v>
      </c>
      <c r="K652" t="e">
        <f>VLOOKUP(F652,'1PROJE'!$B$7:$F$26,5,0)</f>
        <v>#N/A</v>
      </c>
    </row>
    <row r="653" spans="2:11">
      <c r="B653">
        <f t="shared" si="218"/>
        <v>0</v>
      </c>
      <c r="F653" s="57" t="e">
        <f t="shared" si="219"/>
        <v>#N/A</v>
      </c>
      <c r="G653" t="str">
        <f t="shared" si="220"/>
        <v/>
      </c>
      <c r="I653" t="e">
        <f>VLOOKUP(F653,'1PROJE'!$B$7:$F$26,2,0)</f>
        <v>#N/A</v>
      </c>
      <c r="J653" t="e">
        <f>VLOOKUP(F653,'1PROJE'!$B$7:$F$26,4,0)</f>
        <v>#N/A</v>
      </c>
      <c r="K653" t="e">
        <f>VLOOKUP(F653,'1PROJE'!$B$7:$F$26,5,0)</f>
        <v>#N/A</v>
      </c>
    </row>
    <row r="654" spans="2:11">
      <c r="B654">
        <f t="shared" si="218"/>
        <v>0</v>
      </c>
      <c r="F654" s="57" t="e">
        <f t="shared" si="219"/>
        <v>#N/A</v>
      </c>
      <c r="G654" t="str">
        <f t="shared" si="220"/>
        <v/>
      </c>
      <c r="I654" t="e">
        <f>VLOOKUP(F654,'1PROJE'!$B$7:$F$26,2,0)</f>
        <v>#N/A</v>
      </c>
      <c r="J654" t="e">
        <f>VLOOKUP(F654,'1PROJE'!$B$7:$F$26,4,0)</f>
        <v>#N/A</v>
      </c>
      <c r="K654" t="e">
        <f>VLOOKUP(F654,'1PROJE'!$B$7:$F$26,5,0)</f>
        <v>#N/A</v>
      </c>
    </row>
    <row r="655" spans="2:11">
      <c r="B655">
        <f t="shared" si="218"/>
        <v>0</v>
      </c>
      <c r="F655" s="57" t="e">
        <f t="shared" si="219"/>
        <v>#N/A</v>
      </c>
      <c r="G655" t="str">
        <f t="shared" si="220"/>
        <v/>
      </c>
      <c r="I655" t="e">
        <f>VLOOKUP(F655,'1PROJE'!$B$7:$F$26,2,0)</f>
        <v>#N/A</v>
      </c>
      <c r="J655" t="e">
        <f>VLOOKUP(F655,'1PROJE'!$B$7:$F$26,4,0)</f>
        <v>#N/A</v>
      </c>
      <c r="K655" t="e">
        <f>VLOOKUP(F655,'1PROJE'!$B$7:$F$26,5,0)</f>
        <v>#N/A</v>
      </c>
    </row>
    <row r="656" spans="2:11">
      <c r="B656">
        <f t="shared" si="218"/>
        <v>0</v>
      </c>
      <c r="F656" s="57" t="e">
        <f t="shared" si="219"/>
        <v>#N/A</v>
      </c>
      <c r="G656" t="str">
        <f t="shared" si="220"/>
        <v/>
      </c>
      <c r="I656" t="e">
        <f>VLOOKUP(F656,'1PROJE'!$B$7:$F$26,2,0)</f>
        <v>#N/A</v>
      </c>
      <c r="J656" t="e">
        <f>VLOOKUP(F656,'1PROJE'!$B$7:$F$26,4,0)</f>
        <v>#N/A</v>
      </c>
      <c r="K656" t="e">
        <f>VLOOKUP(F656,'1PROJE'!$B$7:$F$26,5,0)</f>
        <v>#N/A</v>
      </c>
    </row>
    <row r="657" spans="2:11">
      <c r="B657">
        <f t="shared" si="218"/>
        <v>0</v>
      </c>
      <c r="F657" s="57" t="e">
        <f t="shared" si="219"/>
        <v>#N/A</v>
      </c>
      <c r="G657" t="str">
        <f t="shared" si="220"/>
        <v/>
      </c>
      <c r="I657" t="e">
        <f>VLOOKUP(F657,'1PROJE'!$B$7:$F$26,2,0)</f>
        <v>#N/A</v>
      </c>
      <c r="J657" t="e">
        <f>VLOOKUP(F657,'1PROJE'!$B$7:$F$26,4,0)</f>
        <v>#N/A</v>
      </c>
      <c r="K657" t="e">
        <f>VLOOKUP(F657,'1PROJE'!$B$7:$F$26,5,0)</f>
        <v>#N/A</v>
      </c>
    </row>
    <row r="658" spans="2:11">
      <c r="B658">
        <f t="shared" si="218"/>
        <v>0</v>
      </c>
      <c r="F658" s="57" t="e">
        <f t="shared" si="219"/>
        <v>#N/A</v>
      </c>
      <c r="G658" t="str">
        <f t="shared" si="220"/>
        <v/>
      </c>
      <c r="I658" t="e">
        <f>VLOOKUP(F658,'1PROJE'!$B$7:$F$26,2,0)</f>
        <v>#N/A</v>
      </c>
      <c r="J658" t="e">
        <f>VLOOKUP(F658,'1PROJE'!$B$7:$F$26,4,0)</f>
        <v>#N/A</v>
      </c>
      <c r="K658" t="e">
        <f>VLOOKUP(F658,'1PROJE'!$B$7:$F$26,5,0)</f>
        <v>#N/A</v>
      </c>
    </row>
    <row r="659" spans="2:11">
      <c r="B659">
        <f t="shared" ref="B659:B661" si="221">IF(($C$32-A159)&lt;0,0,"POZ"&amp;" "&amp;$G$61&amp;"."&amp;A159)</f>
        <v>0</v>
      </c>
      <c r="F659" s="57" t="e">
        <f t="shared" si="219"/>
        <v>#N/A</v>
      </c>
      <c r="G659" t="str">
        <f t="shared" si="220"/>
        <v/>
      </c>
      <c r="I659" t="e">
        <f>VLOOKUP(F659,'1PROJE'!$B$7:$F$26,2,0)</f>
        <v>#N/A</v>
      </c>
      <c r="J659" t="e">
        <f>VLOOKUP(F659,'1PROJE'!$B$7:$F$26,4,0)</f>
        <v>#N/A</v>
      </c>
      <c r="K659" t="e">
        <f>VLOOKUP(F659,'1PROJE'!$B$7:$F$26,5,0)</f>
        <v>#N/A</v>
      </c>
    </row>
    <row r="660" spans="2:11">
      <c r="B660">
        <f t="shared" si="221"/>
        <v>0</v>
      </c>
      <c r="F660" s="57" t="e">
        <f t="shared" si="219"/>
        <v>#N/A</v>
      </c>
      <c r="G660" t="str">
        <f t="shared" si="220"/>
        <v/>
      </c>
      <c r="I660" t="e">
        <f>VLOOKUP(F660,'1PROJE'!$B$7:$F$26,2,0)</f>
        <v>#N/A</v>
      </c>
      <c r="J660" t="e">
        <f>VLOOKUP(F660,'1PROJE'!$B$7:$F$26,4,0)</f>
        <v>#N/A</v>
      </c>
      <c r="K660" t="e">
        <f>VLOOKUP(F660,'1PROJE'!$B$7:$F$26,5,0)</f>
        <v>#N/A</v>
      </c>
    </row>
    <row r="661" spans="2:11">
      <c r="B661">
        <f t="shared" si="221"/>
        <v>0</v>
      </c>
      <c r="F661" s="57" t="e">
        <f t="shared" si="219"/>
        <v>#N/A</v>
      </c>
      <c r="G661" t="str">
        <f t="shared" si="220"/>
        <v/>
      </c>
      <c r="I661" t="e">
        <f>VLOOKUP(F661,'1PROJE'!$B$7:$F$26,2,0)</f>
        <v>#N/A</v>
      </c>
      <c r="J661" t="e">
        <f>VLOOKUP(F661,'1PROJE'!$B$7:$F$26,4,0)</f>
        <v>#N/A</v>
      </c>
      <c r="K661" t="e">
        <f>VLOOKUP(F661,'1PROJE'!$B$7:$F$26,5,0)</f>
        <v>#N/A</v>
      </c>
    </row>
    <row r="662" spans="2:11">
      <c r="B662">
        <f>IF(C33=0,0,IF(($C$33-A62)=0,"POZ 7.","POZ"&amp;" "&amp;$H$61&amp;"."&amp;A62))</f>
        <v>0</v>
      </c>
      <c r="F662" s="57" t="e">
        <f t="shared" si="219"/>
        <v>#N/A</v>
      </c>
      <c r="G662" t="str">
        <f t="shared" si="220"/>
        <v/>
      </c>
      <c r="I662" t="e">
        <f>VLOOKUP(F662,'1PROJE'!$B$7:$F$26,2,0)</f>
        <v>#N/A</v>
      </c>
      <c r="J662" t="e">
        <f>VLOOKUP(F662,'1PROJE'!$B$7:$F$26,4,0)</f>
        <v>#N/A</v>
      </c>
      <c r="K662" t="e">
        <f>VLOOKUP(F662,'1PROJE'!$B$7:$F$26,5,0)</f>
        <v>#N/A</v>
      </c>
    </row>
    <row r="663" spans="2:11">
      <c r="B663">
        <f t="shared" ref="B663:B694" si="222">IF(($C$33-A63)&lt;0,0,"POZ"&amp;" "&amp;$H$61&amp;"."&amp;A63)</f>
        <v>0</v>
      </c>
      <c r="F663" s="57" t="e">
        <f t="shared" si="219"/>
        <v>#N/A</v>
      </c>
      <c r="G663" t="str">
        <f t="shared" si="220"/>
        <v/>
      </c>
      <c r="I663" t="e">
        <f>VLOOKUP(F663,'1PROJE'!$B$7:$F$26,2,0)</f>
        <v>#N/A</v>
      </c>
      <c r="J663" t="e">
        <f>VLOOKUP(F663,'1PROJE'!$B$7:$F$26,4,0)</f>
        <v>#N/A</v>
      </c>
      <c r="K663" t="e">
        <f>VLOOKUP(F663,'1PROJE'!$B$7:$F$26,5,0)</f>
        <v>#N/A</v>
      </c>
    </row>
    <row r="664" spans="2:11">
      <c r="B664">
        <f t="shared" si="222"/>
        <v>0</v>
      </c>
      <c r="F664" s="57" t="e">
        <f t="shared" si="219"/>
        <v>#N/A</v>
      </c>
      <c r="G664" t="str">
        <f t="shared" si="220"/>
        <v/>
      </c>
      <c r="I664" t="e">
        <f>VLOOKUP(F664,'1PROJE'!$B$7:$F$26,2,0)</f>
        <v>#N/A</v>
      </c>
      <c r="J664" t="e">
        <f>VLOOKUP(F664,'1PROJE'!$B$7:$F$26,4,0)</f>
        <v>#N/A</v>
      </c>
      <c r="K664" t="e">
        <f>VLOOKUP(F664,'1PROJE'!$B$7:$F$26,5,0)</f>
        <v>#N/A</v>
      </c>
    </row>
    <row r="665" spans="2:11">
      <c r="B665">
        <f t="shared" si="222"/>
        <v>0</v>
      </c>
      <c r="F665" s="57" t="e">
        <f t="shared" si="219"/>
        <v>#N/A</v>
      </c>
      <c r="G665" t="str">
        <f t="shared" si="220"/>
        <v/>
      </c>
      <c r="I665" t="e">
        <f>VLOOKUP(F665,'1PROJE'!$B$7:$F$26,2,0)</f>
        <v>#N/A</v>
      </c>
      <c r="J665" t="e">
        <f>VLOOKUP(F665,'1PROJE'!$B$7:$F$26,4,0)</f>
        <v>#N/A</v>
      </c>
      <c r="K665" t="e">
        <f>VLOOKUP(F665,'1PROJE'!$B$7:$F$26,5,0)</f>
        <v>#N/A</v>
      </c>
    </row>
    <row r="666" spans="2:11">
      <c r="B666">
        <f t="shared" si="222"/>
        <v>0</v>
      </c>
      <c r="F666" s="57" t="e">
        <f t="shared" si="219"/>
        <v>#N/A</v>
      </c>
      <c r="G666" t="str">
        <f t="shared" si="220"/>
        <v/>
      </c>
      <c r="I666" t="e">
        <f>VLOOKUP(F666,'1PROJE'!$B$7:$F$26,2,0)</f>
        <v>#N/A</v>
      </c>
      <c r="J666" t="e">
        <f>VLOOKUP(F666,'1PROJE'!$B$7:$F$26,4,0)</f>
        <v>#N/A</v>
      </c>
      <c r="K666" t="e">
        <f>VLOOKUP(F666,'1PROJE'!$B$7:$F$26,5,0)</f>
        <v>#N/A</v>
      </c>
    </row>
    <row r="667" spans="2:11">
      <c r="B667">
        <f t="shared" si="222"/>
        <v>0</v>
      </c>
      <c r="F667" s="57" t="e">
        <f t="shared" si="219"/>
        <v>#N/A</v>
      </c>
      <c r="G667" t="str">
        <f t="shared" si="220"/>
        <v/>
      </c>
      <c r="I667" t="e">
        <f>VLOOKUP(F667,'1PROJE'!$B$7:$F$26,2,0)</f>
        <v>#N/A</v>
      </c>
      <c r="J667" t="e">
        <f>VLOOKUP(F667,'1PROJE'!$B$7:$F$26,4,0)</f>
        <v>#N/A</v>
      </c>
      <c r="K667" t="e">
        <f>VLOOKUP(F667,'1PROJE'!$B$7:$F$26,5,0)</f>
        <v>#N/A</v>
      </c>
    </row>
    <row r="668" spans="2:11">
      <c r="B668">
        <f t="shared" si="222"/>
        <v>0</v>
      </c>
      <c r="F668" s="57" t="e">
        <f t="shared" si="219"/>
        <v>#N/A</v>
      </c>
      <c r="G668" t="str">
        <f t="shared" si="220"/>
        <v/>
      </c>
      <c r="I668" t="e">
        <f>VLOOKUP(F668,'1PROJE'!$B$7:$F$26,2,0)</f>
        <v>#N/A</v>
      </c>
      <c r="J668" t="e">
        <f>VLOOKUP(F668,'1PROJE'!$B$7:$F$26,4,0)</f>
        <v>#N/A</v>
      </c>
      <c r="K668" t="e">
        <f>VLOOKUP(F668,'1PROJE'!$B$7:$F$26,5,0)</f>
        <v>#N/A</v>
      </c>
    </row>
    <row r="669" spans="2:11">
      <c r="B669">
        <f t="shared" si="222"/>
        <v>0</v>
      </c>
      <c r="F669" s="57" t="e">
        <f t="shared" si="219"/>
        <v>#N/A</v>
      </c>
      <c r="G669" t="str">
        <f t="shared" si="220"/>
        <v/>
      </c>
      <c r="I669" t="e">
        <f>VLOOKUP(F669,'1PROJE'!$B$7:$F$26,2,0)</f>
        <v>#N/A</v>
      </c>
      <c r="J669" t="e">
        <f>VLOOKUP(F669,'1PROJE'!$B$7:$F$26,4,0)</f>
        <v>#N/A</v>
      </c>
      <c r="K669" t="e">
        <f>VLOOKUP(F669,'1PROJE'!$B$7:$F$26,5,0)</f>
        <v>#N/A</v>
      </c>
    </row>
    <row r="670" spans="2:11">
      <c r="B670">
        <f t="shared" si="222"/>
        <v>0</v>
      </c>
      <c r="F670" s="57" t="e">
        <f t="shared" si="219"/>
        <v>#N/A</v>
      </c>
      <c r="G670" t="str">
        <f t="shared" si="220"/>
        <v/>
      </c>
      <c r="I670" t="e">
        <f>VLOOKUP(F670,'1PROJE'!$B$7:$F$26,2,0)</f>
        <v>#N/A</v>
      </c>
      <c r="J670" t="e">
        <f>VLOOKUP(F670,'1PROJE'!$B$7:$F$26,4,0)</f>
        <v>#N/A</v>
      </c>
      <c r="K670" t="e">
        <f>VLOOKUP(F670,'1PROJE'!$B$7:$F$26,5,0)</f>
        <v>#N/A</v>
      </c>
    </row>
    <row r="671" spans="2:11">
      <c r="B671">
        <f t="shared" si="222"/>
        <v>0</v>
      </c>
      <c r="F671" s="57" t="e">
        <f t="shared" si="219"/>
        <v>#N/A</v>
      </c>
      <c r="G671" t="str">
        <f t="shared" si="220"/>
        <v/>
      </c>
      <c r="I671" t="e">
        <f>VLOOKUP(F671,'1PROJE'!$B$7:$F$26,2,0)</f>
        <v>#N/A</v>
      </c>
      <c r="J671" t="e">
        <f>VLOOKUP(F671,'1PROJE'!$B$7:$F$26,4,0)</f>
        <v>#N/A</v>
      </c>
      <c r="K671" t="e">
        <f>VLOOKUP(F671,'1PROJE'!$B$7:$F$26,5,0)</f>
        <v>#N/A</v>
      </c>
    </row>
    <row r="672" spans="2:11">
      <c r="B672">
        <f t="shared" si="222"/>
        <v>0</v>
      </c>
      <c r="F672" s="57" t="e">
        <f t="shared" si="219"/>
        <v>#N/A</v>
      </c>
      <c r="G672" t="str">
        <f t="shared" si="220"/>
        <v/>
      </c>
      <c r="I672" t="e">
        <f>VLOOKUP(F672,'1PROJE'!$B$7:$F$26,2,0)</f>
        <v>#N/A</v>
      </c>
      <c r="J672" t="e">
        <f>VLOOKUP(F672,'1PROJE'!$B$7:$F$26,4,0)</f>
        <v>#N/A</v>
      </c>
      <c r="K672" t="e">
        <f>VLOOKUP(F672,'1PROJE'!$B$7:$F$26,5,0)</f>
        <v>#N/A</v>
      </c>
    </row>
    <row r="673" spans="2:11">
      <c r="B673">
        <f t="shared" si="222"/>
        <v>0</v>
      </c>
      <c r="F673" s="57" t="e">
        <f t="shared" si="219"/>
        <v>#N/A</v>
      </c>
      <c r="G673" t="str">
        <f t="shared" si="220"/>
        <v/>
      </c>
      <c r="I673" t="e">
        <f>VLOOKUP(F673,'1PROJE'!$B$7:$F$26,2,0)</f>
        <v>#N/A</v>
      </c>
      <c r="J673" t="e">
        <f>VLOOKUP(F673,'1PROJE'!$B$7:$F$26,4,0)</f>
        <v>#N/A</v>
      </c>
      <c r="K673" t="e">
        <f>VLOOKUP(F673,'1PROJE'!$B$7:$F$26,5,0)</f>
        <v>#N/A</v>
      </c>
    </row>
    <row r="674" spans="2:11">
      <c r="B674">
        <f t="shared" si="222"/>
        <v>0</v>
      </c>
      <c r="F674" s="57" t="e">
        <f t="shared" si="219"/>
        <v>#N/A</v>
      </c>
      <c r="G674" t="str">
        <f t="shared" si="220"/>
        <v/>
      </c>
      <c r="I674" t="e">
        <f>VLOOKUP(F674,'1PROJE'!$B$7:$F$26,2,0)</f>
        <v>#N/A</v>
      </c>
      <c r="J674" t="e">
        <f>VLOOKUP(F674,'1PROJE'!$B$7:$F$26,4,0)</f>
        <v>#N/A</v>
      </c>
      <c r="K674" t="e">
        <f>VLOOKUP(F674,'1PROJE'!$B$7:$F$26,5,0)</f>
        <v>#N/A</v>
      </c>
    </row>
    <row r="675" spans="2:11">
      <c r="B675">
        <f t="shared" si="222"/>
        <v>0</v>
      </c>
      <c r="F675" s="57" t="e">
        <f t="shared" si="219"/>
        <v>#N/A</v>
      </c>
      <c r="G675" t="str">
        <f t="shared" si="220"/>
        <v/>
      </c>
      <c r="I675" t="e">
        <f>VLOOKUP(F675,'1PROJE'!$B$7:$F$26,2,0)</f>
        <v>#N/A</v>
      </c>
      <c r="J675" t="e">
        <f>VLOOKUP(F675,'1PROJE'!$B$7:$F$26,4,0)</f>
        <v>#N/A</v>
      </c>
      <c r="K675" t="e">
        <f>VLOOKUP(F675,'1PROJE'!$B$7:$F$26,5,0)</f>
        <v>#N/A</v>
      </c>
    </row>
    <row r="676" spans="2:11">
      <c r="B676">
        <f t="shared" si="222"/>
        <v>0</v>
      </c>
      <c r="F676" s="57" t="e">
        <f t="shared" si="219"/>
        <v>#N/A</v>
      </c>
      <c r="G676" t="str">
        <f t="shared" si="220"/>
        <v/>
      </c>
      <c r="I676" t="e">
        <f>VLOOKUP(F676,'1PROJE'!$B$7:$F$26,2,0)</f>
        <v>#N/A</v>
      </c>
      <c r="J676" t="e">
        <f>VLOOKUP(F676,'1PROJE'!$B$7:$F$26,4,0)</f>
        <v>#N/A</v>
      </c>
      <c r="K676" t="e">
        <f>VLOOKUP(F676,'1PROJE'!$B$7:$F$26,5,0)</f>
        <v>#N/A</v>
      </c>
    </row>
    <row r="677" spans="2:11">
      <c r="B677">
        <f t="shared" si="222"/>
        <v>0</v>
      </c>
      <c r="F677" s="57" t="e">
        <f t="shared" si="219"/>
        <v>#N/A</v>
      </c>
      <c r="G677" t="str">
        <f t="shared" si="220"/>
        <v/>
      </c>
      <c r="I677" t="e">
        <f>VLOOKUP(F677,'1PROJE'!$B$7:$F$26,2,0)</f>
        <v>#N/A</v>
      </c>
      <c r="J677" t="e">
        <f>VLOOKUP(F677,'1PROJE'!$B$7:$F$26,4,0)</f>
        <v>#N/A</v>
      </c>
      <c r="K677" t="e">
        <f>VLOOKUP(F677,'1PROJE'!$B$7:$F$26,5,0)</f>
        <v>#N/A</v>
      </c>
    </row>
    <row r="678" spans="2:11">
      <c r="B678">
        <f t="shared" si="222"/>
        <v>0</v>
      </c>
      <c r="F678" s="57" t="e">
        <f t="shared" si="219"/>
        <v>#N/A</v>
      </c>
      <c r="G678" t="str">
        <f t="shared" si="220"/>
        <v/>
      </c>
      <c r="I678" t="e">
        <f>VLOOKUP(F678,'1PROJE'!$B$7:$F$26,2,0)</f>
        <v>#N/A</v>
      </c>
      <c r="J678" t="e">
        <f>VLOOKUP(F678,'1PROJE'!$B$7:$F$26,4,0)</f>
        <v>#N/A</v>
      </c>
      <c r="K678" t="e">
        <f>VLOOKUP(F678,'1PROJE'!$B$7:$F$26,5,0)</f>
        <v>#N/A</v>
      </c>
    </row>
    <row r="679" spans="2:11">
      <c r="B679">
        <f t="shared" si="222"/>
        <v>0</v>
      </c>
      <c r="F679" s="57" t="e">
        <f t="shared" si="219"/>
        <v>#N/A</v>
      </c>
      <c r="G679" t="str">
        <f t="shared" si="220"/>
        <v/>
      </c>
      <c r="I679" t="e">
        <f>VLOOKUP(F679,'1PROJE'!$B$7:$F$26,2,0)</f>
        <v>#N/A</v>
      </c>
      <c r="J679" t="e">
        <f>VLOOKUP(F679,'1PROJE'!$B$7:$F$26,4,0)</f>
        <v>#N/A</v>
      </c>
      <c r="K679" t="e">
        <f>VLOOKUP(F679,'1PROJE'!$B$7:$F$26,5,0)</f>
        <v>#N/A</v>
      </c>
    </row>
    <row r="680" spans="2:11">
      <c r="B680">
        <f t="shared" si="222"/>
        <v>0</v>
      </c>
      <c r="F680" s="57" t="e">
        <f t="shared" si="219"/>
        <v>#N/A</v>
      </c>
      <c r="G680" t="str">
        <f t="shared" si="220"/>
        <v/>
      </c>
      <c r="I680" t="e">
        <f>VLOOKUP(F680,'1PROJE'!$B$7:$F$26,2,0)</f>
        <v>#N/A</v>
      </c>
      <c r="J680" t="e">
        <f>VLOOKUP(F680,'1PROJE'!$B$7:$F$26,4,0)</f>
        <v>#N/A</v>
      </c>
      <c r="K680" t="e">
        <f>VLOOKUP(F680,'1PROJE'!$B$7:$F$26,5,0)</f>
        <v>#N/A</v>
      </c>
    </row>
    <row r="681" spans="2:11">
      <c r="B681">
        <f t="shared" si="222"/>
        <v>0</v>
      </c>
      <c r="F681" s="57" t="e">
        <f t="shared" si="219"/>
        <v>#N/A</v>
      </c>
      <c r="G681" t="str">
        <f t="shared" si="220"/>
        <v/>
      </c>
      <c r="I681" t="e">
        <f>VLOOKUP(F681,'1PROJE'!$B$7:$F$26,2,0)</f>
        <v>#N/A</v>
      </c>
      <c r="J681" t="e">
        <f>VLOOKUP(F681,'1PROJE'!$B$7:$F$26,4,0)</f>
        <v>#N/A</v>
      </c>
      <c r="K681" t="e">
        <f>VLOOKUP(F681,'1PROJE'!$B$7:$F$26,5,0)</f>
        <v>#N/A</v>
      </c>
    </row>
    <row r="682" spans="2:11">
      <c r="B682">
        <f t="shared" si="222"/>
        <v>0</v>
      </c>
      <c r="F682" s="57" t="e">
        <f t="shared" si="219"/>
        <v>#N/A</v>
      </c>
      <c r="G682" t="str">
        <f t="shared" si="220"/>
        <v/>
      </c>
      <c r="I682" t="e">
        <f>VLOOKUP(F682,'1PROJE'!$B$7:$F$26,2,0)</f>
        <v>#N/A</v>
      </c>
      <c r="J682" t="e">
        <f>VLOOKUP(F682,'1PROJE'!$B$7:$F$26,4,0)</f>
        <v>#N/A</v>
      </c>
      <c r="K682" t="e">
        <f>VLOOKUP(F682,'1PROJE'!$B$7:$F$26,5,0)</f>
        <v>#N/A</v>
      </c>
    </row>
    <row r="683" spans="2:11">
      <c r="B683">
        <f t="shared" si="222"/>
        <v>0</v>
      </c>
      <c r="F683" s="57" t="e">
        <f t="shared" si="219"/>
        <v>#N/A</v>
      </c>
      <c r="G683" t="str">
        <f t="shared" si="220"/>
        <v/>
      </c>
      <c r="I683" t="e">
        <f>VLOOKUP(F683,'1PROJE'!$B$7:$F$26,2,0)</f>
        <v>#N/A</v>
      </c>
      <c r="J683" t="e">
        <f>VLOOKUP(F683,'1PROJE'!$B$7:$F$26,4,0)</f>
        <v>#N/A</v>
      </c>
      <c r="K683" t="e">
        <f>VLOOKUP(F683,'1PROJE'!$B$7:$F$26,5,0)</f>
        <v>#N/A</v>
      </c>
    </row>
    <row r="684" spans="2:11">
      <c r="B684">
        <f t="shared" si="222"/>
        <v>0</v>
      </c>
      <c r="F684" s="57" t="e">
        <f t="shared" si="219"/>
        <v>#N/A</v>
      </c>
      <c r="G684" t="str">
        <f t="shared" si="220"/>
        <v/>
      </c>
      <c r="I684" t="e">
        <f>VLOOKUP(F684,'1PROJE'!$B$7:$F$26,2,0)</f>
        <v>#N/A</v>
      </c>
      <c r="J684" t="e">
        <f>VLOOKUP(F684,'1PROJE'!$B$7:$F$26,4,0)</f>
        <v>#N/A</v>
      </c>
      <c r="K684" t="e">
        <f>VLOOKUP(F684,'1PROJE'!$B$7:$F$26,5,0)</f>
        <v>#N/A</v>
      </c>
    </row>
    <row r="685" spans="2:11">
      <c r="B685">
        <f t="shared" si="222"/>
        <v>0</v>
      </c>
      <c r="F685" s="57" t="e">
        <f t="shared" si="219"/>
        <v>#N/A</v>
      </c>
      <c r="G685" t="str">
        <f t="shared" si="220"/>
        <v/>
      </c>
      <c r="I685" t="e">
        <f>VLOOKUP(F685,'1PROJE'!$B$7:$F$26,2,0)</f>
        <v>#N/A</v>
      </c>
      <c r="J685" t="e">
        <f>VLOOKUP(F685,'1PROJE'!$B$7:$F$26,4,0)</f>
        <v>#N/A</v>
      </c>
      <c r="K685" t="e">
        <f>VLOOKUP(F685,'1PROJE'!$B$7:$F$26,5,0)</f>
        <v>#N/A</v>
      </c>
    </row>
    <row r="686" spans="2:11">
      <c r="B686">
        <f t="shared" si="222"/>
        <v>0</v>
      </c>
      <c r="F686" s="57" t="e">
        <f t="shared" si="219"/>
        <v>#N/A</v>
      </c>
      <c r="G686" t="str">
        <f t="shared" si="220"/>
        <v/>
      </c>
      <c r="I686" t="e">
        <f>VLOOKUP(F686,'1PROJE'!$B$7:$F$26,2,0)</f>
        <v>#N/A</v>
      </c>
      <c r="J686" t="e">
        <f>VLOOKUP(F686,'1PROJE'!$B$7:$F$26,4,0)</f>
        <v>#N/A</v>
      </c>
      <c r="K686" t="e">
        <f>VLOOKUP(F686,'1PROJE'!$B$7:$F$26,5,0)</f>
        <v>#N/A</v>
      </c>
    </row>
    <row r="687" spans="2:11">
      <c r="B687">
        <f t="shared" si="222"/>
        <v>0</v>
      </c>
      <c r="F687" s="57" t="e">
        <f t="shared" si="219"/>
        <v>#N/A</v>
      </c>
      <c r="G687" t="str">
        <f t="shared" si="220"/>
        <v/>
      </c>
      <c r="I687" t="e">
        <f>VLOOKUP(F687,'1PROJE'!$B$7:$F$26,2,0)</f>
        <v>#N/A</v>
      </c>
      <c r="J687" t="e">
        <f>VLOOKUP(F687,'1PROJE'!$B$7:$F$26,4,0)</f>
        <v>#N/A</v>
      </c>
      <c r="K687" t="e">
        <f>VLOOKUP(F687,'1PROJE'!$B$7:$F$26,5,0)</f>
        <v>#N/A</v>
      </c>
    </row>
    <row r="688" spans="2:11">
      <c r="B688">
        <f t="shared" si="222"/>
        <v>0</v>
      </c>
      <c r="F688" s="57" t="e">
        <f t="shared" si="219"/>
        <v>#N/A</v>
      </c>
      <c r="G688" t="str">
        <f t="shared" si="220"/>
        <v/>
      </c>
      <c r="I688" t="e">
        <f>VLOOKUP(F688,'1PROJE'!$B$7:$F$26,2,0)</f>
        <v>#N/A</v>
      </c>
      <c r="J688" t="e">
        <f>VLOOKUP(F688,'1PROJE'!$B$7:$F$26,4,0)</f>
        <v>#N/A</v>
      </c>
      <c r="K688" t="e">
        <f>VLOOKUP(F688,'1PROJE'!$B$7:$F$26,5,0)</f>
        <v>#N/A</v>
      </c>
    </row>
    <row r="689" spans="2:11">
      <c r="B689">
        <f t="shared" si="222"/>
        <v>0</v>
      </c>
      <c r="F689" s="57" t="e">
        <f t="shared" si="219"/>
        <v>#N/A</v>
      </c>
      <c r="G689" t="str">
        <f t="shared" si="220"/>
        <v/>
      </c>
      <c r="I689" t="e">
        <f>VLOOKUP(F689,'1PROJE'!$B$7:$F$26,2,0)</f>
        <v>#N/A</v>
      </c>
      <c r="J689" t="e">
        <f>VLOOKUP(F689,'1PROJE'!$B$7:$F$26,4,0)</f>
        <v>#N/A</v>
      </c>
      <c r="K689" t="e">
        <f>VLOOKUP(F689,'1PROJE'!$B$7:$F$26,5,0)</f>
        <v>#N/A</v>
      </c>
    </row>
    <row r="690" spans="2:11">
      <c r="B690">
        <f t="shared" si="222"/>
        <v>0</v>
      </c>
      <c r="F690" s="57" t="e">
        <f t="shared" si="219"/>
        <v>#N/A</v>
      </c>
      <c r="G690" t="str">
        <f t="shared" si="220"/>
        <v/>
      </c>
      <c r="I690" t="e">
        <f>VLOOKUP(F690,'1PROJE'!$B$7:$F$26,2,0)</f>
        <v>#N/A</v>
      </c>
      <c r="J690" t="e">
        <f>VLOOKUP(F690,'1PROJE'!$B$7:$F$26,4,0)</f>
        <v>#N/A</v>
      </c>
      <c r="K690" t="e">
        <f>VLOOKUP(F690,'1PROJE'!$B$7:$F$26,5,0)</f>
        <v>#N/A</v>
      </c>
    </row>
    <row r="691" spans="2:11">
      <c r="B691">
        <f t="shared" si="222"/>
        <v>0</v>
      </c>
      <c r="F691" s="57" t="e">
        <f t="shared" si="219"/>
        <v>#N/A</v>
      </c>
      <c r="G691" t="str">
        <f t="shared" si="220"/>
        <v/>
      </c>
      <c r="I691" t="e">
        <f>VLOOKUP(F691,'1PROJE'!$B$7:$F$26,2,0)</f>
        <v>#N/A</v>
      </c>
      <c r="J691" t="e">
        <f>VLOOKUP(F691,'1PROJE'!$B$7:$F$26,4,0)</f>
        <v>#N/A</v>
      </c>
      <c r="K691" t="e">
        <f>VLOOKUP(F691,'1PROJE'!$B$7:$F$26,5,0)</f>
        <v>#N/A</v>
      </c>
    </row>
    <row r="692" spans="2:11">
      <c r="B692">
        <f t="shared" si="222"/>
        <v>0</v>
      </c>
      <c r="F692" s="57" t="e">
        <f t="shared" si="219"/>
        <v>#N/A</v>
      </c>
      <c r="G692" t="str">
        <f t="shared" si="220"/>
        <v/>
      </c>
      <c r="I692" t="e">
        <f>VLOOKUP(F692,'1PROJE'!$B$7:$F$26,2,0)</f>
        <v>#N/A</v>
      </c>
      <c r="J692" t="e">
        <f>VLOOKUP(F692,'1PROJE'!$B$7:$F$26,4,0)</f>
        <v>#N/A</v>
      </c>
      <c r="K692" t="e">
        <f>VLOOKUP(F692,'1PROJE'!$B$7:$F$26,5,0)</f>
        <v>#N/A</v>
      </c>
    </row>
    <row r="693" spans="2:11">
      <c r="B693">
        <f t="shared" si="222"/>
        <v>0</v>
      </c>
      <c r="F693" s="57" t="e">
        <f t="shared" si="219"/>
        <v>#N/A</v>
      </c>
      <c r="G693" t="str">
        <f t="shared" si="220"/>
        <v/>
      </c>
      <c r="I693" t="e">
        <f>VLOOKUP(F693,'1PROJE'!$B$7:$F$26,2,0)</f>
        <v>#N/A</v>
      </c>
      <c r="J693" t="e">
        <f>VLOOKUP(F693,'1PROJE'!$B$7:$F$26,4,0)</f>
        <v>#N/A</v>
      </c>
      <c r="K693" t="e">
        <f>VLOOKUP(F693,'1PROJE'!$B$7:$F$26,5,0)</f>
        <v>#N/A</v>
      </c>
    </row>
    <row r="694" spans="2:11">
      <c r="B694">
        <f t="shared" si="222"/>
        <v>0</v>
      </c>
      <c r="F694" s="57" t="e">
        <f t="shared" si="219"/>
        <v>#N/A</v>
      </c>
      <c r="G694" t="str">
        <f t="shared" si="220"/>
        <v/>
      </c>
      <c r="I694" t="e">
        <f>VLOOKUP(F694,'1PROJE'!$B$7:$F$26,2,0)</f>
        <v>#N/A</v>
      </c>
      <c r="J694" t="e">
        <f>VLOOKUP(F694,'1PROJE'!$B$7:$F$26,4,0)</f>
        <v>#N/A</v>
      </c>
      <c r="K694" t="e">
        <f>VLOOKUP(F694,'1PROJE'!$B$7:$F$26,5,0)</f>
        <v>#N/A</v>
      </c>
    </row>
    <row r="695" spans="2:11">
      <c r="B695">
        <f t="shared" ref="B695:B726" si="223">IF(($C$33-A95)&lt;0,0,"POZ"&amp;" "&amp;$H$61&amp;"."&amp;A95)</f>
        <v>0</v>
      </c>
      <c r="F695" s="57" t="e">
        <f t="shared" si="219"/>
        <v>#N/A</v>
      </c>
      <c r="G695" t="str">
        <f t="shared" si="220"/>
        <v/>
      </c>
      <c r="I695" t="e">
        <f>VLOOKUP(F695,'1PROJE'!$B$7:$F$26,2,0)</f>
        <v>#N/A</v>
      </c>
      <c r="J695" t="e">
        <f>VLOOKUP(F695,'1PROJE'!$B$7:$F$26,4,0)</f>
        <v>#N/A</v>
      </c>
      <c r="K695" t="e">
        <f>VLOOKUP(F695,'1PROJE'!$B$7:$F$26,5,0)</f>
        <v>#N/A</v>
      </c>
    </row>
    <row r="696" spans="2:11">
      <c r="B696">
        <f t="shared" si="223"/>
        <v>0</v>
      </c>
      <c r="F696" s="57" t="e">
        <f t="shared" si="219"/>
        <v>#N/A</v>
      </c>
      <c r="G696" t="str">
        <f t="shared" si="220"/>
        <v/>
      </c>
      <c r="I696" t="e">
        <f>VLOOKUP(F696,'1PROJE'!$B$7:$F$26,2,0)</f>
        <v>#N/A</v>
      </c>
      <c r="J696" t="e">
        <f>VLOOKUP(F696,'1PROJE'!$B$7:$F$26,4,0)</f>
        <v>#N/A</v>
      </c>
      <c r="K696" t="e">
        <f>VLOOKUP(F696,'1PROJE'!$B$7:$F$26,5,0)</f>
        <v>#N/A</v>
      </c>
    </row>
    <row r="697" spans="2:11">
      <c r="B697">
        <f t="shared" si="223"/>
        <v>0</v>
      </c>
      <c r="F697" s="57" t="e">
        <f t="shared" si="219"/>
        <v>#N/A</v>
      </c>
      <c r="G697" t="str">
        <f t="shared" si="220"/>
        <v/>
      </c>
      <c r="I697" t="e">
        <f>VLOOKUP(F697,'1PROJE'!$B$7:$F$26,2,0)</f>
        <v>#N/A</v>
      </c>
      <c r="J697" t="e">
        <f>VLOOKUP(F697,'1PROJE'!$B$7:$F$26,4,0)</f>
        <v>#N/A</v>
      </c>
      <c r="K697" t="e">
        <f>VLOOKUP(F697,'1PROJE'!$B$7:$F$26,5,0)</f>
        <v>#N/A</v>
      </c>
    </row>
    <row r="698" spans="2:11">
      <c r="B698">
        <f t="shared" si="223"/>
        <v>0</v>
      </c>
      <c r="F698" s="57" t="e">
        <f t="shared" si="219"/>
        <v>#N/A</v>
      </c>
      <c r="G698" t="str">
        <f t="shared" si="220"/>
        <v/>
      </c>
      <c r="I698" t="e">
        <f>VLOOKUP(F698,'1PROJE'!$B$7:$F$26,2,0)</f>
        <v>#N/A</v>
      </c>
      <c r="J698" t="e">
        <f>VLOOKUP(F698,'1PROJE'!$B$7:$F$26,4,0)</f>
        <v>#N/A</v>
      </c>
      <c r="K698" t="e">
        <f>VLOOKUP(F698,'1PROJE'!$B$7:$F$26,5,0)</f>
        <v>#N/A</v>
      </c>
    </row>
    <row r="699" spans="2:11">
      <c r="B699">
        <f t="shared" si="223"/>
        <v>0</v>
      </c>
      <c r="F699" s="57" t="e">
        <f t="shared" si="219"/>
        <v>#N/A</v>
      </c>
      <c r="G699" t="str">
        <f t="shared" si="220"/>
        <v/>
      </c>
      <c r="I699" t="e">
        <f>VLOOKUP(F699,'1PROJE'!$B$7:$F$26,2,0)</f>
        <v>#N/A</v>
      </c>
      <c r="J699" t="e">
        <f>VLOOKUP(F699,'1PROJE'!$B$7:$F$26,4,0)</f>
        <v>#N/A</v>
      </c>
      <c r="K699" t="e">
        <f>VLOOKUP(F699,'1PROJE'!$B$7:$F$26,5,0)</f>
        <v>#N/A</v>
      </c>
    </row>
    <row r="700" spans="2:11">
      <c r="B700">
        <f t="shared" si="223"/>
        <v>0</v>
      </c>
      <c r="F700" s="57" t="e">
        <f t="shared" si="219"/>
        <v>#N/A</v>
      </c>
      <c r="G700" t="str">
        <f t="shared" si="220"/>
        <v/>
      </c>
      <c r="I700" t="e">
        <f>VLOOKUP(F700,'1PROJE'!$B$7:$F$26,2,0)</f>
        <v>#N/A</v>
      </c>
      <c r="J700" t="e">
        <f>VLOOKUP(F700,'1PROJE'!$B$7:$F$26,4,0)</f>
        <v>#N/A</v>
      </c>
      <c r="K700" t="e">
        <f>VLOOKUP(F700,'1PROJE'!$B$7:$F$26,5,0)</f>
        <v>#N/A</v>
      </c>
    </row>
    <row r="701" spans="2:11">
      <c r="B701">
        <f t="shared" si="223"/>
        <v>0</v>
      </c>
      <c r="F701" s="57" t="e">
        <f t="shared" si="219"/>
        <v>#N/A</v>
      </c>
      <c r="G701" t="str">
        <f t="shared" si="220"/>
        <v/>
      </c>
      <c r="I701" t="e">
        <f>VLOOKUP(F701,'1PROJE'!$B$7:$F$26,2,0)</f>
        <v>#N/A</v>
      </c>
      <c r="J701" t="e">
        <f>VLOOKUP(F701,'1PROJE'!$B$7:$F$26,4,0)</f>
        <v>#N/A</v>
      </c>
      <c r="K701" t="e">
        <f>VLOOKUP(F701,'1PROJE'!$B$7:$F$26,5,0)</f>
        <v>#N/A</v>
      </c>
    </row>
    <row r="702" spans="2:11">
      <c r="B702">
        <f t="shared" si="223"/>
        <v>0</v>
      </c>
      <c r="F702" s="57" t="e">
        <f t="shared" si="219"/>
        <v>#N/A</v>
      </c>
      <c r="G702" t="str">
        <f t="shared" si="220"/>
        <v/>
      </c>
      <c r="I702" t="e">
        <f>VLOOKUP(F702,'1PROJE'!$B$7:$F$26,2,0)</f>
        <v>#N/A</v>
      </c>
      <c r="J702" t="e">
        <f>VLOOKUP(F702,'1PROJE'!$B$7:$F$26,4,0)</f>
        <v>#N/A</v>
      </c>
      <c r="K702" t="e">
        <f>VLOOKUP(F702,'1PROJE'!$B$7:$F$26,5,0)</f>
        <v>#N/A</v>
      </c>
    </row>
    <row r="703" spans="2:11">
      <c r="B703">
        <f t="shared" si="223"/>
        <v>0</v>
      </c>
      <c r="F703" s="57" t="e">
        <f t="shared" si="219"/>
        <v>#N/A</v>
      </c>
      <c r="G703" t="str">
        <f t="shared" si="220"/>
        <v/>
      </c>
      <c r="I703" t="e">
        <f>VLOOKUP(F703,'1PROJE'!$B$7:$F$26,2,0)</f>
        <v>#N/A</v>
      </c>
      <c r="J703" t="e">
        <f>VLOOKUP(F703,'1PROJE'!$B$7:$F$26,4,0)</f>
        <v>#N/A</v>
      </c>
      <c r="K703" t="e">
        <f>VLOOKUP(F703,'1PROJE'!$B$7:$F$26,5,0)</f>
        <v>#N/A</v>
      </c>
    </row>
    <row r="704" spans="2:11">
      <c r="B704">
        <f t="shared" si="223"/>
        <v>0</v>
      </c>
      <c r="F704" s="57" t="e">
        <f t="shared" si="219"/>
        <v>#N/A</v>
      </c>
      <c r="G704" t="str">
        <f t="shared" si="220"/>
        <v/>
      </c>
      <c r="I704" t="e">
        <f>VLOOKUP(F704,'1PROJE'!$B$7:$F$26,2,0)</f>
        <v>#N/A</v>
      </c>
      <c r="J704" t="e">
        <f>VLOOKUP(F704,'1PROJE'!$B$7:$F$26,4,0)</f>
        <v>#N/A</v>
      </c>
      <c r="K704" t="e">
        <f>VLOOKUP(F704,'1PROJE'!$B$7:$F$26,5,0)</f>
        <v>#N/A</v>
      </c>
    </row>
    <row r="705" spans="2:11">
      <c r="B705">
        <f t="shared" si="223"/>
        <v>0</v>
      </c>
      <c r="F705" s="57" t="e">
        <f t="shared" si="219"/>
        <v>#N/A</v>
      </c>
      <c r="G705" t="str">
        <f t="shared" si="220"/>
        <v/>
      </c>
      <c r="I705" t="e">
        <f>VLOOKUP(F705,'1PROJE'!$B$7:$F$26,2,0)</f>
        <v>#N/A</v>
      </c>
      <c r="J705" t="e">
        <f>VLOOKUP(F705,'1PROJE'!$B$7:$F$26,4,0)</f>
        <v>#N/A</v>
      </c>
      <c r="K705" t="e">
        <f>VLOOKUP(F705,'1PROJE'!$B$7:$F$26,5,0)</f>
        <v>#N/A</v>
      </c>
    </row>
    <row r="706" spans="2:11">
      <c r="B706">
        <f t="shared" si="223"/>
        <v>0</v>
      </c>
      <c r="F706" s="57" t="e">
        <f t="shared" si="219"/>
        <v>#N/A</v>
      </c>
      <c r="G706" t="str">
        <f t="shared" si="220"/>
        <v/>
      </c>
      <c r="I706" t="e">
        <f>VLOOKUP(F706,'1PROJE'!$B$7:$F$26,2,0)</f>
        <v>#N/A</v>
      </c>
      <c r="J706" t="e">
        <f>VLOOKUP(F706,'1PROJE'!$B$7:$F$26,4,0)</f>
        <v>#N/A</v>
      </c>
      <c r="K706" t="e">
        <f>VLOOKUP(F706,'1PROJE'!$B$7:$F$26,5,0)</f>
        <v>#N/A</v>
      </c>
    </row>
    <row r="707" spans="2:11">
      <c r="B707">
        <f t="shared" si="223"/>
        <v>0</v>
      </c>
      <c r="F707" s="57" t="e">
        <f t="shared" si="219"/>
        <v>#N/A</v>
      </c>
      <c r="G707" t="str">
        <f t="shared" si="220"/>
        <v/>
      </c>
      <c r="I707" t="e">
        <f>VLOOKUP(F707,'1PROJE'!$B$7:$F$26,2,0)</f>
        <v>#N/A</v>
      </c>
      <c r="J707" t="e">
        <f>VLOOKUP(F707,'1PROJE'!$B$7:$F$26,4,0)</f>
        <v>#N/A</v>
      </c>
      <c r="K707" t="e">
        <f>VLOOKUP(F707,'1PROJE'!$B$7:$F$26,5,0)</f>
        <v>#N/A</v>
      </c>
    </row>
    <row r="708" spans="2:11">
      <c r="B708">
        <f t="shared" si="223"/>
        <v>0</v>
      </c>
      <c r="F708" s="57" t="e">
        <f t="shared" si="219"/>
        <v>#N/A</v>
      </c>
      <c r="G708" t="str">
        <f t="shared" si="220"/>
        <v/>
      </c>
      <c r="I708" t="e">
        <f>VLOOKUP(F708,'1PROJE'!$B$7:$F$26,2,0)</f>
        <v>#N/A</v>
      </c>
      <c r="J708" t="e">
        <f>VLOOKUP(F708,'1PROJE'!$B$7:$F$26,4,0)</f>
        <v>#N/A</v>
      </c>
      <c r="K708" t="e">
        <f>VLOOKUP(F708,'1PROJE'!$B$7:$F$26,5,0)</f>
        <v>#N/A</v>
      </c>
    </row>
    <row r="709" spans="2:11">
      <c r="B709">
        <f t="shared" si="223"/>
        <v>0</v>
      </c>
      <c r="F709" s="57" t="e">
        <f t="shared" si="219"/>
        <v>#N/A</v>
      </c>
      <c r="G709" t="str">
        <f t="shared" si="220"/>
        <v/>
      </c>
      <c r="I709" t="e">
        <f>VLOOKUP(F709,'1PROJE'!$B$7:$F$26,2,0)</f>
        <v>#N/A</v>
      </c>
      <c r="J709" t="e">
        <f>VLOOKUP(F709,'1PROJE'!$B$7:$F$26,4,0)</f>
        <v>#N/A</v>
      </c>
      <c r="K709" t="e">
        <f>VLOOKUP(F709,'1PROJE'!$B$7:$F$26,5,0)</f>
        <v>#N/A</v>
      </c>
    </row>
    <row r="710" spans="2:11">
      <c r="B710">
        <f t="shared" si="223"/>
        <v>0</v>
      </c>
      <c r="F710" s="57" t="e">
        <f t="shared" si="219"/>
        <v>#N/A</v>
      </c>
      <c r="G710" t="str">
        <f t="shared" si="220"/>
        <v/>
      </c>
      <c r="I710" t="e">
        <f>VLOOKUP(F710,'1PROJE'!$B$7:$F$26,2,0)</f>
        <v>#N/A</v>
      </c>
      <c r="J710" t="e">
        <f>VLOOKUP(F710,'1PROJE'!$B$7:$F$26,4,0)</f>
        <v>#N/A</v>
      </c>
      <c r="K710" t="e">
        <f>VLOOKUP(F710,'1PROJE'!$B$7:$F$26,5,0)</f>
        <v>#N/A</v>
      </c>
    </row>
    <row r="711" spans="2:11">
      <c r="B711">
        <f t="shared" si="223"/>
        <v>0</v>
      </c>
      <c r="F711" s="57" t="e">
        <f t="shared" si="219"/>
        <v>#N/A</v>
      </c>
      <c r="G711" t="str">
        <f t="shared" si="220"/>
        <v/>
      </c>
      <c r="I711" t="e">
        <f>VLOOKUP(F711,'1PROJE'!$B$7:$F$26,2,0)</f>
        <v>#N/A</v>
      </c>
      <c r="J711" t="e">
        <f>VLOOKUP(F711,'1PROJE'!$B$7:$F$26,4,0)</f>
        <v>#N/A</v>
      </c>
      <c r="K711" t="e">
        <f>VLOOKUP(F711,'1PROJE'!$B$7:$F$26,5,0)</f>
        <v>#N/A</v>
      </c>
    </row>
    <row r="712" spans="2:11">
      <c r="B712">
        <f t="shared" si="223"/>
        <v>0</v>
      </c>
      <c r="F712" s="57" t="e">
        <f t="shared" si="219"/>
        <v>#N/A</v>
      </c>
      <c r="G712" t="str">
        <f t="shared" si="220"/>
        <v/>
      </c>
      <c r="I712" t="e">
        <f>VLOOKUP(F712,'1PROJE'!$B$7:$F$26,2,0)</f>
        <v>#N/A</v>
      </c>
      <c r="J712" t="e">
        <f>VLOOKUP(F712,'1PROJE'!$B$7:$F$26,4,0)</f>
        <v>#N/A</v>
      </c>
      <c r="K712" t="e">
        <f>VLOOKUP(F712,'1PROJE'!$B$7:$F$26,5,0)</f>
        <v>#N/A</v>
      </c>
    </row>
    <row r="713" spans="2:11">
      <c r="B713">
        <f t="shared" si="223"/>
        <v>0</v>
      </c>
      <c r="F713" s="57" t="e">
        <f t="shared" si="219"/>
        <v>#N/A</v>
      </c>
      <c r="G713" t="str">
        <f t="shared" si="220"/>
        <v/>
      </c>
      <c r="I713" t="e">
        <f>VLOOKUP(F713,'1PROJE'!$B$7:$F$26,2,0)</f>
        <v>#N/A</v>
      </c>
      <c r="J713" t="e">
        <f>VLOOKUP(F713,'1PROJE'!$B$7:$F$26,4,0)</f>
        <v>#N/A</v>
      </c>
      <c r="K713" t="e">
        <f>VLOOKUP(F713,'1PROJE'!$B$7:$F$26,5,0)</f>
        <v>#N/A</v>
      </c>
    </row>
    <row r="714" spans="2:11">
      <c r="B714">
        <f t="shared" si="223"/>
        <v>0</v>
      </c>
      <c r="F714" s="57" t="e">
        <f t="shared" si="219"/>
        <v>#N/A</v>
      </c>
      <c r="G714" t="str">
        <f t="shared" si="220"/>
        <v/>
      </c>
      <c r="I714" t="e">
        <f>VLOOKUP(F714,'1PROJE'!$B$7:$F$26,2,0)</f>
        <v>#N/A</v>
      </c>
      <c r="J714" t="e">
        <f>VLOOKUP(F714,'1PROJE'!$B$7:$F$26,4,0)</f>
        <v>#N/A</v>
      </c>
      <c r="K714" t="e">
        <f>VLOOKUP(F714,'1PROJE'!$B$7:$F$26,5,0)</f>
        <v>#N/A</v>
      </c>
    </row>
    <row r="715" spans="2:11">
      <c r="B715">
        <f t="shared" si="223"/>
        <v>0</v>
      </c>
      <c r="F715" s="57" t="e">
        <f t="shared" ref="F715:F778" si="224">VLOOKUP(G715,$C$64:$D$83,2,0)</f>
        <v>#N/A</v>
      </c>
      <c r="G715" t="str">
        <f t="shared" ref="G715:G778" si="225">LEFT(H715,6)</f>
        <v/>
      </c>
      <c r="I715" t="e">
        <f>VLOOKUP(F715,'1PROJE'!$B$7:$F$26,2,0)</f>
        <v>#N/A</v>
      </c>
      <c r="J715" t="e">
        <f>VLOOKUP(F715,'1PROJE'!$B$7:$F$26,4,0)</f>
        <v>#N/A</v>
      </c>
      <c r="K715" t="e">
        <f>VLOOKUP(F715,'1PROJE'!$B$7:$F$26,5,0)</f>
        <v>#N/A</v>
      </c>
    </row>
    <row r="716" spans="2:11">
      <c r="B716">
        <f t="shared" si="223"/>
        <v>0</v>
      </c>
      <c r="F716" s="57" t="e">
        <f t="shared" si="224"/>
        <v>#N/A</v>
      </c>
      <c r="G716" t="str">
        <f t="shared" si="225"/>
        <v/>
      </c>
      <c r="I716" t="e">
        <f>VLOOKUP(F716,'1PROJE'!$B$7:$F$26,2,0)</f>
        <v>#N/A</v>
      </c>
      <c r="J716" t="e">
        <f>VLOOKUP(F716,'1PROJE'!$B$7:$F$26,4,0)</f>
        <v>#N/A</v>
      </c>
      <c r="K716" t="e">
        <f>VLOOKUP(F716,'1PROJE'!$B$7:$F$26,5,0)</f>
        <v>#N/A</v>
      </c>
    </row>
    <row r="717" spans="2:11">
      <c r="B717">
        <f t="shared" si="223"/>
        <v>0</v>
      </c>
      <c r="F717" s="57" t="e">
        <f t="shared" si="224"/>
        <v>#N/A</v>
      </c>
      <c r="G717" t="str">
        <f t="shared" si="225"/>
        <v/>
      </c>
      <c r="I717" t="e">
        <f>VLOOKUP(F717,'1PROJE'!$B$7:$F$26,2,0)</f>
        <v>#N/A</v>
      </c>
      <c r="J717" t="e">
        <f>VLOOKUP(F717,'1PROJE'!$B$7:$F$26,4,0)</f>
        <v>#N/A</v>
      </c>
      <c r="K717" t="e">
        <f>VLOOKUP(F717,'1PROJE'!$B$7:$F$26,5,0)</f>
        <v>#N/A</v>
      </c>
    </row>
    <row r="718" spans="2:11">
      <c r="B718">
        <f t="shared" si="223"/>
        <v>0</v>
      </c>
      <c r="F718" s="57" t="e">
        <f t="shared" si="224"/>
        <v>#N/A</v>
      </c>
      <c r="G718" t="str">
        <f t="shared" si="225"/>
        <v/>
      </c>
      <c r="I718" t="e">
        <f>VLOOKUP(F718,'1PROJE'!$B$7:$F$26,2,0)</f>
        <v>#N/A</v>
      </c>
      <c r="J718" t="e">
        <f>VLOOKUP(F718,'1PROJE'!$B$7:$F$26,4,0)</f>
        <v>#N/A</v>
      </c>
      <c r="K718" t="e">
        <f>VLOOKUP(F718,'1PROJE'!$B$7:$F$26,5,0)</f>
        <v>#N/A</v>
      </c>
    </row>
    <row r="719" spans="2:11">
      <c r="B719">
        <f t="shared" si="223"/>
        <v>0</v>
      </c>
      <c r="F719" s="57" t="e">
        <f t="shared" si="224"/>
        <v>#N/A</v>
      </c>
      <c r="G719" t="str">
        <f t="shared" si="225"/>
        <v/>
      </c>
      <c r="I719" t="e">
        <f>VLOOKUP(F719,'1PROJE'!$B$7:$F$26,2,0)</f>
        <v>#N/A</v>
      </c>
      <c r="J719" t="e">
        <f>VLOOKUP(F719,'1PROJE'!$B$7:$F$26,4,0)</f>
        <v>#N/A</v>
      </c>
      <c r="K719" t="e">
        <f>VLOOKUP(F719,'1PROJE'!$B$7:$F$26,5,0)</f>
        <v>#N/A</v>
      </c>
    </row>
    <row r="720" spans="2:11">
      <c r="B720">
        <f t="shared" si="223"/>
        <v>0</v>
      </c>
      <c r="F720" s="57" t="e">
        <f t="shared" si="224"/>
        <v>#N/A</v>
      </c>
      <c r="G720" t="str">
        <f t="shared" si="225"/>
        <v/>
      </c>
      <c r="I720" t="e">
        <f>VLOOKUP(F720,'1PROJE'!$B$7:$F$26,2,0)</f>
        <v>#N/A</v>
      </c>
      <c r="J720" t="e">
        <f>VLOOKUP(F720,'1PROJE'!$B$7:$F$26,4,0)</f>
        <v>#N/A</v>
      </c>
      <c r="K720" t="e">
        <f>VLOOKUP(F720,'1PROJE'!$B$7:$F$26,5,0)</f>
        <v>#N/A</v>
      </c>
    </row>
    <row r="721" spans="2:11">
      <c r="B721">
        <f t="shared" si="223"/>
        <v>0</v>
      </c>
      <c r="F721" s="57" t="e">
        <f t="shared" si="224"/>
        <v>#N/A</v>
      </c>
      <c r="G721" t="str">
        <f t="shared" si="225"/>
        <v/>
      </c>
      <c r="I721" t="e">
        <f>VLOOKUP(F721,'1PROJE'!$B$7:$F$26,2,0)</f>
        <v>#N/A</v>
      </c>
      <c r="J721" t="e">
        <f>VLOOKUP(F721,'1PROJE'!$B$7:$F$26,4,0)</f>
        <v>#N/A</v>
      </c>
      <c r="K721" t="e">
        <f>VLOOKUP(F721,'1PROJE'!$B$7:$F$26,5,0)</f>
        <v>#N/A</v>
      </c>
    </row>
    <row r="722" spans="2:11">
      <c r="B722">
        <f t="shared" si="223"/>
        <v>0</v>
      </c>
      <c r="F722" s="57" t="e">
        <f t="shared" si="224"/>
        <v>#N/A</v>
      </c>
      <c r="G722" t="str">
        <f t="shared" si="225"/>
        <v/>
      </c>
      <c r="I722" t="e">
        <f>VLOOKUP(F722,'1PROJE'!$B$7:$F$26,2,0)</f>
        <v>#N/A</v>
      </c>
      <c r="J722" t="e">
        <f>VLOOKUP(F722,'1PROJE'!$B$7:$F$26,4,0)</f>
        <v>#N/A</v>
      </c>
      <c r="K722" t="e">
        <f>VLOOKUP(F722,'1PROJE'!$B$7:$F$26,5,0)</f>
        <v>#N/A</v>
      </c>
    </row>
    <row r="723" spans="2:11">
      <c r="B723">
        <f t="shared" si="223"/>
        <v>0</v>
      </c>
      <c r="F723" s="57" t="e">
        <f t="shared" si="224"/>
        <v>#N/A</v>
      </c>
      <c r="G723" t="str">
        <f t="shared" si="225"/>
        <v/>
      </c>
      <c r="I723" t="e">
        <f>VLOOKUP(F723,'1PROJE'!$B$7:$F$26,2,0)</f>
        <v>#N/A</v>
      </c>
      <c r="J723" t="e">
        <f>VLOOKUP(F723,'1PROJE'!$B$7:$F$26,4,0)</f>
        <v>#N/A</v>
      </c>
      <c r="K723" t="e">
        <f>VLOOKUP(F723,'1PROJE'!$B$7:$F$26,5,0)</f>
        <v>#N/A</v>
      </c>
    </row>
    <row r="724" spans="2:11">
      <c r="B724">
        <f t="shared" si="223"/>
        <v>0</v>
      </c>
      <c r="F724" s="57" t="e">
        <f t="shared" si="224"/>
        <v>#N/A</v>
      </c>
      <c r="G724" t="str">
        <f t="shared" si="225"/>
        <v/>
      </c>
      <c r="I724" t="e">
        <f>VLOOKUP(F724,'1PROJE'!$B$7:$F$26,2,0)</f>
        <v>#N/A</v>
      </c>
      <c r="J724" t="e">
        <f>VLOOKUP(F724,'1PROJE'!$B$7:$F$26,4,0)</f>
        <v>#N/A</v>
      </c>
      <c r="K724" t="e">
        <f>VLOOKUP(F724,'1PROJE'!$B$7:$F$26,5,0)</f>
        <v>#N/A</v>
      </c>
    </row>
    <row r="725" spans="2:11">
      <c r="B725">
        <f t="shared" si="223"/>
        <v>0</v>
      </c>
      <c r="F725" s="57" t="e">
        <f t="shared" si="224"/>
        <v>#N/A</v>
      </c>
      <c r="G725" t="str">
        <f t="shared" si="225"/>
        <v/>
      </c>
      <c r="I725" t="e">
        <f>VLOOKUP(F725,'1PROJE'!$B$7:$F$26,2,0)</f>
        <v>#N/A</v>
      </c>
      <c r="J725" t="e">
        <f>VLOOKUP(F725,'1PROJE'!$B$7:$F$26,4,0)</f>
        <v>#N/A</v>
      </c>
      <c r="K725" t="e">
        <f>VLOOKUP(F725,'1PROJE'!$B$7:$F$26,5,0)</f>
        <v>#N/A</v>
      </c>
    </row>
    <row r="726" spans="2:11">
      <c r="B726">
        <f t="shared" si="223"/>
        <v>0</v>
      </c>
      <c r="F726" s="57" t="e">
        <f t="shared" si="224"/>
        <v>#N/A</v>
      </c>
      <c r="G726" t="str">
        <f t="shared" si="225"/>
        <v/>
      </c>
      <c r="I726" t="e">
        <f>VLOOKUP(F726,'1PROJE'!$B$7:$F$26,2,0)</f>
        <v>#N/A</v>
      </c>
      <c r="J726" t="e">
        <f>VLOOKUP(F726,'1PROJE'!$B$7:$F$26,4,0)</f>
        <v>#N/A</v>
      </c>
      <c r="K726" t="e">
        <f>VLOOKUP(F726,'1PROJE'!$B$7:$F$26,5,0)</f>
        <v>#N/A</v>
      </c>
    </row>
    <row r="727" spans="2:11">
      <c r="B727">
        <f t="shared" ref="B727:B758" si="226">IF(($C$33-A127)&lt;0,0,"POZ"&amp;" "&amp;$H$61&amp;"."&amp;A127)</f>
        <v>0</v>
      </c>
      <c r="F727" s="57" t="e">
        <f t="shared" si="224"/>
        <v>#N/A</v>
      </c>
      <c r="G727" t="str">
        <f t="shared" si="225"/>
        <v/>
      </c>
      <c r="I727" t="e">
        <f>VLOOKUP(F727,'1PROJE'!$B$7:$F$26,2,0)</f>
        <v>#N/A</v>
      </c>
      <c r="J727" t="e">
        <f>VLOOKUP(F727,'1PROJE'!$B$7:$F$26,4,0)</f>
        <v>#N/A</v>
      </c>
      <c r="K727" t="e">
        <f>VLOOKUP(F727,'1PROJE'!$B$7:$F$26,5,0)</f>
        <v>#N/A</v>
      </c>
    </row>
    <row r="728" spans="2:11">
      <c r="B728">
        <f t="shared" si="226"/>
        <v>0</v>
      </c>
      <c r="F728" s="57" t="e">
        <f t="shared" si="224"/>
        <v>#N/A</v>
      </c>
      <c r="G728" t="str">
        <f t="shared" si="225"/>
        <v/>
      </c>
      <c r="I728" t="e">
        <f>VLOOKUP(F728,'1PROJE'!$B$7:$F$26,2,0)</f>
        <v>#N/A</v>
      </c>
      <c r="J728" t="e">
        <f>VLOOKUP(F728,'1PROJE'!$B$7:$F$26,4,0)</f>
        <v>#N/A</v>
      </c>
      <c r="K728" t="e">
        <f>VLOOKUP(F728,'1PROJE'!$B$7:$F$26,5,0)</f>
        <v>#N/A</v>
      </c>
    </row>
    <row r="729" spans="2:11">
      <c r="B729">
        <f t="shared" si="226"/>
        <v>0</v>
      </c>
      <c r="F729" s="57" t="e">
        <f t="shared" si="224"/>
        <v>#N/A</v>
      </c>
      <c r="G729" t="str">
        <f t="shared" si="225"/>
        <v/>
      </c>
      <c r="I729" t="e">
        <f>VLOOKUP(F729,'1PROJE'!$B$7:$F$26,2,0)</f>
        <v>#N/A</v>
      </c>
      <c r="J729" t="e">
        <f>VLOOKUP(F729,'1PROJE'!$B$7:$F$26,4,0)</f>
        <v>#N/A</v>
      </c>
      <c r="K729" t="e">
        <f>VLOOKUP(F729,'1PROJE'!$B$7:$F$26,5,0)</f>
        <v>#N/A</v>
      </c>
    </row>
    <row r="730" spans="2:11">
      <c r="B730">
        <f t="shared" si="226"/>
        <v>0</v>
      </c>
      <c r="F730" s="57" t="e">
        <f t="shared" si="224"/>
        <v>#N/A</v>
      </c>
      <c r="G730" t="str">
        <f t="shared" si="225"/>
        <v/>
      </c>
      <c r="I730" t="e">
        <f>VLOOKUP(F730,'1PROJE'!$B$7:$F$26,2,0)</f>
        <v>#N/A</v>
      </c>
      <c r="J730" t="e">
        <f>VLOOKUP(F730,'1PROJE'!$B$7:$F$26,4,0)</f>
        <v>#N/A</v>
      </c>
      <c r="K730" t="e">
        <f>VLOOKUP(F730,'1PROJE'!$B$7:$F$26,5,0)</f>
        <v>#N/A</v>
      </c>
    </row>
    <row r="731" spans="2:11">
      <c r="B731">
        <f t="shared" si="226"/>
        <v>0</v>
      </c>
      <c r="F731" s="57" t="e">
        <f t="shared" si="224"/>
        <v>#N/A</v>
      </c>
      <c r="G731" t="str">
        <f t="shared" si="225"/>
        <v/>
      </c>
      <c r="I731" t="e">
        <f>VLOOKUP(F731,'1PROJE'!$B$7:$F$26,2,0)</f>
        <v>#N/A</v>
      </c>
      <c r="J731" t="e">
        <f>VLOOKUP(F731,'1PROJE'!$B$7:$F$26,4,0)</f>
        <v>#N/A</v>
      </c>
      <c r="K731" t="e">
        <f>VLOOKUP(F731,'1PROJE'!$B$7:$F$26,5,0)</f>
        <v>#N/A</v>
      </c>
    </row>
    <row r="732" spans="2:11">
      <c r="B732">
        <f t="shared" si="226"/>
        <v>0</v>
      </c>
      <c r="F732" s="57" t="e">
        <f t="shared" si="224"/>
        <v>#N/A</v>
      </c>
      <c r="G732" t="str">
        <f t="shared" si="225"/>
        <v/>
      </c>
      <c r="I732" t="e">
        <f>VLOOKUP(F732,'1PROJE'!$B$7:$F$26,2,0)</f>
        <v>#N/A</v>
      </c>
      <c r="J732" t="e">
        <f>VLOOKUP(F732,'1PROJE'!$B$7:$F$26,4,0)</f>
        <v>#N/A</v>
      </c>
      <c r="K732" t="e">
        <f>VLOOKUP(F732,'1PROJE'!$B$7:$F$26,5,0)</f>
        <v>#N/A</v>
      </c>
    </row>
    <row r="733" spans="2:11">
      <c r="B733">
        <f t="shared" si="226"/>
        <v>0</v>
      </c>
      <c r="F733" s="57" t="e">
        <f t="shared" si="224"/>
        <v>#N/A</v>
      </c>
      <c r="G733" t="str">
        <f t="shared" si="225"/>
        <v/>
      </c>
      <c r="I733" t="e">
        <f>VLOOKUP(F733,'1PROJE'!$B$7:$F$26,2,0)</f>
        <v>#N/A</v>
      </c>
      <c r="J733" t="e">
        <f>VLOOKUP(F733,'1PROJE'!$B$7:$F$26,4,0)</f>
        <v>#N/A</v>
      </c>
      <c r="K733" t="e">
        <f>VLOOKUP(F733,'1PROJE'!$B$7:$F$26,5,0)</f>
        <v>#N/A</v>
      </c>
    </row>
    <row r="734" spans="2:11">
      <c r="B734">
        <f t="shared" si="226"/>
        <v>0</v>
      </c>
      <c r="F734" s="57" t="e">
        <f t="shared" si="224"/>
        <v>#N/A</v>
      </c>
      <c r="G734" t="str">
        <f t="shared" si="225"/>
        <v/>
      </c>
      <c r="I734" t="e">
        <f>VLOOKUP(F734,'1PROJE'!$B$7:$F$26,2,0)</f>
        <v>#N/A</v>
      </c>
      <c r="J734" t="e">
        <f>VLOOKUP(F734,'1PROJE'!$B$7:$F$26,4,0)</f>
        <v>#N/A</v>
      </c>
      <c r="K734" t="e">
        <f>VLOOKUP(F734,'1PROJE'!$B$7:$F$26,5,0)</f>
        <v>#N/A</v>
      </c>
    </row>
    <row r="735" spans="2:11">
      <c r="B735">
        <f t="shared" si="226"/>
        <v>0</v>
      </c>
      <c r="F735" s="57" t="e">
        <f t="shared" si="224"/>
        <v>#N/A</v>
      </c>
      <c r="G735" t="str">
        <f t="shared" si="225"/>
        <v/>
      </c>
      <c r="I735" t="e">
        <f>VLOOKUP(F735,'1PROJE'!$B$7:$F$26,2,0)</f>
        <v>#N/A</v>
      </c>
      <c r="J735" t="e">
        <f>VLOOKUP(F735,'1PROJE'!$B$7:$F$26,4,0)</f>
        <v>#N/A</v>
      </c>
      <c r="K735" t="e">
        <f>VLOOKUP(F735,'1PROJE'!$B$7:$F$26,5,0)</f>
        <v>#N/A</v>
      </c>
    </row>
    <row r="736" spans="2:11">
      <c r="B736">
        <f t="shared" si="226"/>
        <v>0</v>
      </c>
      <c r="F736" s="57" t="e">
        <f t="shared" si="224"/>
        <v>#N/A</v>
      </c>
      <c r="G736" t="str">
        <f t="shared" si="225"/>
        <v/>
      </c>
      <c r="I736" t="e">
        <f>VLOOKUP(F736,'1PROJE'!$B$7:$F$26,2,0)</f>
        <v>#N/A</v>
      </c>
      <c r="J736" t="e">
        <f>VLOOKUP(F736,'1PROJE'!$B$7:$F$26,4,0)</f>
        <v>#N/A</v>
      </c>
      <c r="K736" t="e">
        <f>VLOOKUP(F736,'1PROJE'!$B$7:$F$26,5,0)</f>
        <v>#N/A</v>
      </c>
    </row>
    <row r="737" spans="2:11">
      <c r="B737">
        <f t="shared" si="226"/>
        <v>0</v>
      </c>
      <c r="F737" s="57" t="e">
        <f t="shared" si="224"/>
        <v>#N/A</v>
      </c>
      <c r="G737" t="str">
        <f t="shared" si="225"/>
        <v/>
      </c>
      <c r="I737" t="e">
        <f>VLOOKUP(F737,'1PROJE'!$B$7:$F$26,2,0)</f>
        <v>#N/A</v>
      </c>
      <c r="J737" t="e">
        <f>VLOOKUP(F737,'1PROJE'!$B$7:$F$26,4,0)</f>
        <v>#N/A</v>
      </c>
      <c r="K737" t="e">
        <f>VLOOKUP(F737,'1PROJE'!$B$7:$F$26,5,0)</f>
        <v>#N/A</v>
      </c>
    </row>
    <row r="738" spans="2:11">
      <c r="B738">
        <f t="shared" si="226"/>
        <v>0</v>
      </c>
      <c r="F738" s="57" t="e">
        <f t="shared" si="224"/>
        <v>#N/A</v>
      </c>
      <c r="G738" t="str">
        <f t="shared" si="225"/>
        <v/>
      </c>
      <c r="I738" t="e">
        <f>VLOOKUP(F738,'1PROJE'!$B$7:$F$26,2,0)</f>
        <v>#N/A</v>
      </c>
      <c r="J738" t="e">
        <f>VLOOKUP(F738,'1PROJE'!$B$7:$F$26,4,0)</f>
        <v>#N/A</v>
      </c>
      <c r="K738" t="e">
        <f>VLOOKUP(F738,'1PROJE'!$B$7:$F$26,5,0)</f>
        <v>#N/A</v>
      </c>
    </row>
    <row r="739" spans="2:11">
      <c r="B739">
        <f t="shared" si="226"/>
        <v>0</v>
      </c>
      <c r="F739" s="57" t="e">
        <f t="shared" si="224"/>
        <v>#N/A</v>
      </c>
      <c r="G739" t="str">
        <f t="shared" si="225"/>
        <v/>
      </c>
      <c r="I739" t="e">
        <f>VLOOKUP(F739,'1PROJE'!$B$7:$F$26,2,0)</f>
        <v>#N/A</v>
      </c>
      <c r="J739" t="e">
        <f>VLOOKUP(F739,'1PROJE'!$B$7:$F$26,4,0)</f>
        <v>#N/A</v>
      </c>
      <c r="K739" t="e">
        <f>VLOOKUP(F739,'1PROJE'!$B$7:$F$26,5,0)</f>
        <v>#N/A</v>
      </c>
    </row>
    <row r="740" spans="2:11">
      <c r="B740">
        <f t="shared" si="226"/>
        <v>0</v>
      </c>
      <c r="F740" s="57" t="e">
        <f t="shared" si="224"/>
        <v>#N/A</v>
      </c>
      <c r="G740" t="str">
        <f t="shared" si="225"/>
        <v/>
      </c>
      <c r="I740" t="e">
        <f>VLOOKUP(F740,'1PROJE'!$B$7:$F$26,2,0)</f>
        <v>#N/A</v>
      </c>
      <c r="J740" t="e">
        <f>VLOOKUP(F740,'1PROJE'!$B$7:$F$26,4,0)</f>
        <v>#N/A</v>
      </c>
      <c r="K740" t="e">
        <f>VLOOKUP(F740,'1PROJE'!$B$7:$F$26,5,0)</f>
        <v>#N/A</v>
      </c>
    </row>
    <row r="741" spans="2:11">
      <c r="B741">
        <f t="shared" si="226"/>
        <v>0</v>
      </c>
      <c r="F741" s="57" t="e">
        <f t="shared" si="224"/>
        <v>#N/A</v>
      </c>
      <c r="G741" t="str">
        <f t="shared" si="225"/>
        <v/>
      </c>
      <c r="I741" t="e">
        <f>VLOOKUP(F741,'1PROJE'!$B$7:$F$26,2,0)</f>
        <v>#N/A</v>
      </c>
      <c r="J741" t="e">
        <f>VLOOKUP(F741,'1PROJE'!$B$7:$F$26,4,0)</f>
        <v>#N/A</v>
      </c>
      <c r="K741" t="e">
        <f>VLOOKUP(F741,'1PROJE'!$B$7:$F$26,5,0)</f>
        <v>#N/A</v>
      </c>
    </row>
    <row r="742" spans="2:11">
      <c r="B742">
        <f t="shared" si="226"/>
        <v>0</v>
      </c>
      <c r="F742" s="57" t="e">
        <f t="shared" si="224"/>
        <v>#N/A</v>
      </c>
      <c r="G742" t="str">
        <f t="shared" si="225"/>
        <v/>
      </c>
      <c r="I742" t="e">
        <f>VLOOKUP(F742,'1PROJE'!$B$7:$F$26,2,0)</f>
        <v>#N/A</v>
      </c>
      <c r="J742" t="e">
        <f>VLOOKUP(F742,'1PROJE'!$B$7:$F$26,4,0)</f>
        <v>#N/A</v>
      </c>
      <c r="K742" t="e">
        <f>VLOOKUP(F742,'1PROJE'!$B$7:$F$26,5,0)</f>
        <v>#N/A</v>
      </c>
    </row>
    <row r="743" spans="2:11">
      <c r="B743">
        <f t="shared" si="226"/>
        <v>0</v>
      </c>
      <c r="F743" s="57" t="e">
        <f t="shared" si="224"/>
        <v>#N/A</v>
      </c>
      <c r="G743" t="str">
        <f t="shared" si="225"/>
        <v/>
      </c>
      <c r="I743" t="e">
        <f>VLOOKUP(F743,'1PROJE'!$B$7:$F$26,2,0)</f>
        <v>#N/A</v>
      </c>
      <c r="J743" t="e">
        <f>VLOOKUP(F743,'1PROJE'!$B$7:$F$26,4,0)</f>
        <v>#N/A</v>
      </c>
      <c r="K743" t="e">
        <f>VLOOKUP(F743,'1PROJE'!$B$7:$F$26,5,0)</f>
        <v>#N/A</v>
      </c>
    </row>
    <row r="744" spans="2:11">
      <c r="B744">
        <f t="shared" si="226"/>
        <v>0</v>
      </c>
      <c r="F744" s="57" t="e">
        <f t="shared" si="224"/>
        <v>#N/A</v>
      </c>
      <c r="G744" t="str">
        <f t="shared" si="225"/>
        <v/>
      </c>
      <c r="I744" t="e">
        <f>VLOOKUP(F744,'1PROJE'!$B$7:$F$26,2,0)</f>
        <v>#N/A</v>
      </c>
      <c r="J744" t="e">
        <f>VLOOKUP(F744,'1PROJE'!$B$7:$F$26,4,0)</f>
        <v>#N/A</v>
      </c>
      <c r="K744" t="e">
        <f>VLOOKUP(F744,'1PROJE'!$B$7:$F$26,5,0)</f>
        <v>#N/A</v>
      </c>
    </row>
    <row r="745" spans="2:11">
      <c r="B745">
        <f t="shared" si="226"/>
        <v>0</v>
      </c>
      <c r="F745" s="57" t="e">
        <f t="shared" si="224"/>
        <v>#N/A</v>
      </c>
      <c r="G745" t="str">
        <f t="shared" si="225"/>
        <v/>
      </c>
      <c r="I745" t="e">
        <f>VLOOKUP(F745,'1PROJE'!$B$7:$F$26,2,0)</f>
        <v>#N/A</v>
      </c>
      <c r="J745" t="e">
        <f>VLOOKUP(F745,'1PROJE'!$B$7:$F$26,4,0)</f>
        <v>#N/A</v>
      </c>
      <c r="K745" t="e">
        <f>VLOOKUP(F745,'1PROJE'!$B$7:$F$26,5,0)</f>
        <v>#N/A</v>
      </c>
    </row>
    <row r="746" spans="2:11">
      <c r="B746">
        <f t="shared" si="226"/>
        <v>0</v>
      </c>
      <c r="F746" s="57" t="e">
        <f t="shared" si="224"/>
        <v>#N/A</v>
      </c>
      <c r="G746" t="str">
        <f t="shared" si="225"/>
        <v/>
      </c>
      <c r="I746" t="e">
        <f>VLOOKUP(F746,'1PROJE'!$B$7:$F$26,2,0)</f>
        <v>#N/A</v>
      </c>
      <c r="J746" t="e">
        <f>VLOOKUP(F746,'1PROJE'!$B$7:$F$26,4,0)</f>
        <v>#N/A</v>
      </c>
      <c r="K746" t="e">
        <f>VLOOKUP(F746,'1PROJE'!$B$7:$F$26,5,0)</f>
        <v>#N/A</v>
      </c>
    </row>
    <row r="747" spans="2:11">
      <c r="B747">
        <f t="shared" si="226"/>
        <v>0</v>
      </c>
      <c r="F747" s="57" t="e">
        <f t="shared" si="224"/>
        <v>#N/A</v>
      </c>
      <c r="G747" t="str">
        <f t="shared" si="225"/>
        <v/>
      </c>
      <c r="I747" t="e">
        <f>VLOOKUP(F747,'1PROJE'!$B$7:$F$26,2,0)</f>
        <v>#N/A</v>
      </c>
      <c r="J747" t="e">
        <f>VLOOKUP(F747,'1PROJE'!$B$7:$F$26,4,0)</f>
        <v>#N/A</v>
      </c>
      <c r="K747" t="e">
        <f>VLOOKUP(F747,'1PROJE'!$B$7:$F$26,5,0)</f>
        <v>#N/A</v>
      </c>
    </row>
    <row r="748" spans="2:11">
      <c r="B748">
        <f t="shared" si="226"/>
        <v>0</v>
      </c>
      <c r="F748" s="57" t="e">
        <f t="shared" si="224"/>
        <v>#N/A</v>
      </c>
      <c r="G748" t="str">
        <f t="shared" si="225"/>
        <v/>
      </c>
      <c r="I748" t="e">
        <f>VLOOKUP(F748,'1PROJE'!$B$7:$F$26,2,0)</f>
        <v>#N/A</v>
      </c>
      <c r="J748" t="e">
        <f>VLOOKUP(F748,'1PROJE'!$B$7:$F$26,4,0)</f>
        <v>#N/A</v>
      </c>
      <c r="K748" t="e">
        <f>VLOOKUP(F748,'1PROJE'!$B$7:$F$26,5,0)</f>
        <v>#N/A</v>
      </c>
    </row>
    <row r="749" spans="2:11">
      <c r="B749">
        <f t="shared" si="226"/>
        <v>0</v>
      </c>
      <c r="F749" s="57" t="e">
        <f t="shared" si="224"/>
        <v>#N/A</v>
      </c>
      <c r="G749" t="str">
        <f t="shared" si="225"/>
        <v/>
      </c>
      <c r="I749" t="e">
        <f>VLOOKUP(F749,'1PROJE'!$B$7:$F$26,2,0)</f>
        <v>#N/A</v>
      </c>
      <c r="J749" t="e">
        <f>VLOOKUP(F749,'1PROJE'!$B$7:$F$26,4,0)</f>
        <v>#N/A</v>
      </c>
      <c r="K749" t="e">
        <f>VLOOKUP(F749,'1PROJE'!$B$7:$F$26,5,0)</f>
        <v>#N/A</v>
      </c>
    </row>
    <row r="750" spans="2:11">
      <c r="B750">
        <f t="shared" si="226"/>
        <v>0</v>
      </c>
      <c r="F750" s="57" t="e">
        <f t="shared" si="224"/>
        <v>#N/A</v>
      </c>
      <c r="G750" t="str">
        <f t="shared" si="225"/>
        <v/>
      </c>
      <c r="I750" t="e">
        <f>VLOOKUP(F750,'1PROJE'!$B$7:$F$26,2,0)</f>
        <v>#N/A</v>
      </c>
      <c r="J750" t="e">
        <f>VLOOKUP(F750,'1PROJE'!$B$7:$F$26,4,0)</f>
        <v>#N/A</v>
      </c>
      <c r="K750" t="e">
        <f>VLOOKUP(F750,'1PROJE'!$B$7:$F$26,5,0)</f>
        <v>#N/A</v>
      </c>
    </row>
    <row r="751" spans="2:11">
      <c r="B751">
        <f t="shared" si="226"/>
        <v>0</v>
      </c>
      <c r="F751" s="57" t="e">
        <f t="shared" si="224"/>
        <v>#N/A</v>
      </c>
      <c r="G751" t="str">
        <f t="shared" si="225"/>
        <v/>
      </c>
      <c r="I751" t="e">
        <f>VLOOKUP(F751,'1PROJE'!$B$7:$F$26,2,0)</f>
        <v>#N/A</v>
      </c>
      <c r="J751" t="e">
        <f>VLOOKUP(F751,'1PROJE'!$B$7:$F$26,4,0)</f>
        <v>#N/A</v>
      </c>
      <c r="K751" t="e">
        <f>VLOOKUP(F751,'1PROJE'!$B$7:$F$26,5,0)</f>
        <v>#N/A</v>
      </c>
    </row>
    <row r="752" spans="2:11">
      <c r="B752">
        <f t="shared" si="226"/>
        <v>0</v>
      </c>
      <c r="F752" s="57" t="e">
        <f t="shared" si="224"/>
        <v>#N/A</v>
      </c>
      <c r="G752" t="str">
        <f t="shared" si="225"/>
        <v/>
      </c>
      <c r="I752" t="e">
        <f>VLOOKUP(F752,'1PROJE'!$B$7:$F$26,2,0)</f>
        <v>#N/A</v>
      </c>
      <c r="J752" t="e">
        <f>VLOOKUP(F752,'1PROJE'!$B$7:$F$26,4,0)</f>
        <v>#N/A</v>
      </c>
      <c r="K752" t="e">
        <f>VLOOKUP(F752,'1PROJE'!$B$7:$F$26,5,0)</f>
        <v>#N/A</v>
      </c>
    </row>
    <row r="753" spans="2:11">
      <c r="B753">
        <f t="shared" si="226"/>
        <v>0</v>
      </c>
      <c r="F753" s="57" t="e">
        <f t="shared" si="224"/>
        <v>#N/A</v>
      </c>
      <c r="G753" t="str">
        <f t="shared" si="225"/>
        <v/>
      </c>
      <c r="I753" t="e">
        <f>VLOOKUP(F753,'1PROJE'!$B$7:$F$26,2,0)</f>
        <v>#N/A</v>
      </c>
      <c r="J753" t="e">
        <f>VLOOKUP(F753,'1PROJE'!$B$7:$F$26,4,0)</f>
        <v>#N/A</v>
      </c>
      <c r="K753" t="e">
        <f>VLOOKUP(F753,'1PROJE'!$B$7:$F$26,5,0)</f>
        <v>#N/A</v>
      </c>
    </row>
    <row r="754" spans="2:11">
      <c r="B754">
        <f t="shared" si="226"/>
        <v>0</v>
      </c>
      <c r="F754" s="57" t="e">
        <f t="shared" si="224"/>
        <v>#N/A</v>
      </c>
      <c r="G754" t="str">
        <f t="shared" si="225"/>
        <v/>
      </c>
      <c r="I754" t="e">
        <f>VLOOKUP(F754,'1PROJE'!$B$7:$F$26,2,0)</f>
        <v>#N/A</v>
      </c>
      <c r="J754" t="e">
        <f>VLOOKUP(F754,'1PROJE'!$B$7:$F$26,4,0)</f>
        <v>#N/A</v>
      </c>
      <c r="K754" t="e">
        <f>VLOOKUP(F754,'1PROJE'!$B$7:$F$26,5,0)</f>
        <v>#N/A</v>
      </c>
    </row>
    <row r="755" spans="2:11">
      <c r="B755">
        <f t="shared" si="226"/>
        <v>0</v>
      </c>
      <c r="F755" s="57" t="e">
        <f t="shared" si="224"/>
        <v>#N/A</v>
      </c>
      <c r="G755" t="str">
        <f t="shared" si="225"/>
        <v/>
      </c>
      <c r="I755" t="e">
        <f>VLOOKUP(F755,'1PROJE'!$B$7:$F$26,2,0)</f>
        <v>#N/A</v>
      </c>
      <c r="J755" t="e">
        <f>VLOOKUP(F755,'1PROJE'!$B$7:$F$26,4,0)</f>
        <v>#N/A</v>
      </c>
      <c r="K755" t="e">
        <f>VLOOKUP(F755,'1PROJE'!$B$7:$F$26,5,0)</f>
        <v>#N/A</v>
      </c>
    </row>
    <row r="756" spans="2:11">
      <c r="B756">
        <f t="shared" si="226"/>
        <v>0</v>
      </c>
      <c r="F756" s="57" t="e">
        <f t="shared" si="224"/>
        <v>#N/A</v>
      </c>
      <c r="G756" t="str">
        <f t="shared" si="225"/>
        <v/>
      </c>
      <c r="I756" t="e">
        <f>VLOOKUP(F756,'1PROJE'!$B$7:$F$26,2,0)</f>
        <v>#N/A</v>
      </c>
      <c r="J756" t="e">
        <f>VLOOKUP(F756,'1PROJE'!$B$7:$F$26,4,0)</f>
        <v>#N/A</v>
      </c>
      <c r="K756" t="e">
        <f>VLOOKUP(F756,'1PROJE'!$B$7:$F$26,5,0)</f>
        <v>#N/A</v>
      </c>
    </row>
    <row r="757" spans="2:11">
      <c r="B757">
        <f t="shared" si="226"/>
        <v>0</v>
      </c>
      <c r="F757" s="57" t="e">
        <f t="shared" si="224"/>
        <v>#N/A</v>
      </c>
      <c r="G757" t="str">
        <f t="shared" si="225"/>
        <v/>
      </c>
      <c r="I757" t="e">
        <f>VLOOKUP(F757,'1PROJE'!$B$7:$F$26,2,0)</f>
        <v>#N/A</v>
      </c>
      <c r="J757" t="e">
        <f>VLOOKUP(F757,'1PROJE'!$B$7:$F$26,4,0)</f>
        <v>#N/A</v>
      </c>
      <c r="K757" t="e">
        <f>VLOOKUP(F757,'1PROJE'!$B$7:$F$26,5,0)</f>
        <v>#N/A</v>
      </c>
    </row>
    <row r="758" spans="2:11">
      <c r="B758">
        <f t="shared" si="226"/>
        <v>0</v>
      </c>
      <c r="F758" s="57" t="e">
        <f t="shared" si="224"/>
        <v>#N/A</v>
      </c>
      <c r="G758" t="str">
        <f t="shared" si="225"/>
        <v/>
      </c>
      <c r="I758" t="e">
        <f>VLOOKUP(F758,'1PROJE'!$B$7:$F$26,2,0)</f>
        <v>#N/A</v>
      </c>
      <c r="J758" t="e">
        <f>VLOOKUP(F758,'1PROJE'!$B$7:$F$26,4,0)</f>
        <v>#N/A</v>
      </c>
      <c r="K758" t="e">
        <f>VLOOKUP(F758,'1PROJE'!$B$7:$F$26,5,0)</f>
        <v>#N/A</v>
      </c>
    </row>
    <row r="759" spans="2:11">
      <c r="B759">
        <f t="shared" ref="B759:B761" si="227">IF(($C$33-A159)&lt;0,0,"POZ"&amp;" "&amp;$H$61&amp;"."&amp;A159)</f>
        <v>0</v>
      </c>
      <c r="F759" s="57" t="e">
        <f t="shared" si="224"/>
        <v>#N/A</v>
      </c>
      <c r="G759" t="str">
        <f t="shared" si="225"/>
        <v/>
      </c>
      <c r="I759" t="e">
        <f>VLOOKUP(F759,'1PROJE'!$B$7:$F$26,2,0)</f>
        <v>#N/A</v>
      </c>
      <c r="J759" t="e">
        <f>VLOOKUP(F759,'1PROJE'!$B$7:$F$26,4,0)</f>
        <v>#N/A</v>
      </c>
      <c r="K759" t="e">
        <f>VLOOKUP(F759,'1PROJE'!$B$7:$F$26,5,0)</f>
        <v>#N/A</v>
      </c>
    </row>
    <row r="760" spans="2:11">
      <c r="B760">
        <f t="shared" si="227"/>
        <v>0</v>
      </c>
      <c r="F760" s="57" t="e">
        <f t="shared" si="224"/>
        <v>#N/A</v>
      </c>
      <c r="G760" t="str">
        <f t="shared" si="225"/>
        <v/>
      </c>
      <c r="I760" t="e">
        <f>VLOOKUP(F760,'1PROJE'!$B$7:$F$26,2,0)</f>
        <v>#N/A</v>
      </c>
      <c r="J760" t="e">
        <f>VLOOKUP(F760,'1PROJE'!$B$7:$F$26,4,0)</f>
        <v>#N/A</v>
      </c>
      <c r="K760" t="e">
        <f>VLOOKUP(F760,'1PROJE'!$B$7:$F$26,5,0)</f>
        <v>#N/A</v>
      </c>
    </row>
    <row r="761" spans="2:11">
      <c r="B761">
        <f t="shared" si="227"/>
        <v>0</v>
      </c>
      <c r="F761" s="57" t="e">
        <f t="shared" si="224"/>
        <v>#N/A</v>
      </c>
      <c r="G761" t="str">
        <f t="shared" si="225"/>
        <v/>
      </c>
      <c r="I761" t="e">
        <f>VLOOKUP(F761,'1PROJE'!$B$7:$F$26,2,0)</f>
        <v>#N/A</v>
      </c>
      <c r="J761" t="e">
        <f>VLOOKUP(F761,'1PROJE'!$B$7:$F$26,4,0)</f>
        <v>#N/A</v>
      </c>
      <c r="K761" t="e">
        <f>VLOOKUP(F761,'1PROJE'!$B$7:$F$26,5,0)</f>
        <v>#N/A</v>
      </c>
    </row>
    <row r="762" spans="2:11">
      <c r="B762">
        <f>IF(C34=0,0,IF(($C$34-A62)=0,"POZ 8.","POZ"&amp;" "&amp;$I$61&amp;"."&amp;A62))</f>
        <v>0</v>
      </c>
      <c r="F762" s="57" t="e">
        <f t="shared" si="224"/>
        <v>#N/A</v>
      </c>
      <c r="G762" t="str">
        <f t="shared" si="225"/>
        <v/>
      </c>
      <c r="I762" t="e">
        <f>VLOOKUP(F762,'1PROJE'!$B$7:$F$26,2,0)</f>
        <v>#N/A</v>
      </c>
      <c r="J762" t="e">
        <f>VLOOKUP(F762,'1PROJE'!$B$7:$F$26,4,0)</f>
        <v>#N/A</v>
      </c>
      <c r="K762" t="e">
        <f>VLOOKUP(F762,'1PROJE'!$B$7:$F$26,5,0)</f>
        <v>#N/A</v>
      </c>
    </row>
    <row r="763" spans="2:11">
      <c r="B763">
        <f t="shared" ref="B763:B794" si="228">IF(($C$34-A63)&lt;0,0,"POZ"&amp;" "&amp;$I$61&amp;"."&amp;A63)</f>
        <v>0</v>
      </c>
      <c r="F763" s="57" t="e">
        <f t="shared" si="224"/>
        <v>#N/A</v>
      </c>
      <c r="G763" t="str">
        <f t="shared" si="225"/>
        <v/>
      </c>
      <c r="I763" t="e">
        <f>VLOOKUP(F763,'1PROJE'!$B$7:$F$26,2,0)</f>
        <v>#N/A</v>
      </c>
      <c r="J763" t="e">
        <f>VLOOKUP(F763,'1PROJE'!$B$7:$F$26,4,0)</f>
        <v>#N/A</v>
      </c>
      <c r="K763" t="e">
        <f>VLOOKUP(F763,'1PROJE'!$B$7:$F$26,5,0)</f>
        <v>#N/A</v>
      </c>
    </row>
    <row r="764" spans="2:11">
      <c r="B764">
        <f t="shared" si="228"/>
        <v>0</v>
      </c>
      <c r="F764" s="57" t="e">
        <f t="shared" si="224"/>
        <v>#N/A</v>
      </c>
      <c r="G764" t="str">
        <f t="shared" si="225"/>
        <v/>
      </c>
      <c r="I764" t="e">
        <f>VLOOKUP(F764,'1PROJE'!$B$7:$F$26,2,0)</f>
        <v>#N/A</v>
      </c>
      <c r="J764" t="e">
        <f>VLOOKUP(F764,'1PROJE'!$B$7:$F$26,4,0)</f>
        <v>#N/A</v>
      </c>
      <c r="K764" t="e">
        <f>VLOOKUP(F764,'1PROJE'!$B$7:$F$26,5,0)</f>
        <v>#N/A</v>
      </c>
    </row>
    <row r="765" spans="2:11">
      <c r="B765">
        <f t="shared" si="228"/>
        <v>0</v>
      </c>
      <c r="F765" s="57" t="e">
        <f t="shared" si="224"/>
        <v>#N/A</v>
      </c>
      <c r="G765" t="str">
        <f t="shared" si="225"/>
        <v/>
      </c>
      <c r="I765" t="e">
        <f>VLOOKUP(F765,'1PROJE'!$B$7:$F$26,2,0)</f>
        <v>#N/A</v>
      </c>
      <c r="J765" t="e">
        <f>VLOOKUP(F765,'1PROJE'!$B$7:$F$26,4,0)</f>
        <v>#N/A</v>
      </c>
      <c r="K765" t="e">
        <f>VLOOKUP(F765,'1PROJE'!$B$7:$F$26,5,0)</f>
        <v>#N/A</v>
      </c>
    </row>
    <row r="766" spans="2:11">
      <c r="B766">
        <f t="shared" si="228"/>
        <v>0</v>
      </c>
      <c r="F766" s="57" t="e">
        <f t="shared" si="224"/>
        <v>#N/A</v>
      </c>
      <c r="G766" t="str">
        <f t="shared" si="225"/>
        <v/>
      </c>
      <c r="I766" t="e">
        <f>VLOOKUP(F766,'1PROJE'!$B$7:$F$26,2,0)</f>
        <v>#N/A</v>
      </c>
      <c r="J766" t="e">
        <f>VLOOKUP(F766,'1PROJE'!$B$7:$F$26,4,0)</f>
        <v>#N/A</v>
      </c>
      <c r="K766" t="e">
        <f>VLOOKUP(F766,'1PROJE'!$B$7:$F$26,5,0)</f>
        <v>#N/A</v>
      </c>
    </row>
    <row r="767" spans="2:11">
      <c r="B767">
        <f t="shared" si="228"/>
        <v>0</v>
      </c>
      <c r="F767" s="57" t="e">
        <f t="shared" si="224"/>
        <v>#N/A</v>
      </c>
      <c r="G767" t="str">
        <f t="shared" si="225"/>
        <v/>
      </c>
      <c r="I767" t="e">
        <f>VLOOKUP(F767,'1PROJE'!$B$7:$F$26,2,0)</f>
        <v>#N/A</v>
      </c>
      <c r="J767" t="e">
        <f>VLOOKUP(F767,'1PROJE'!$B$7:$F$26,4,0)</f>
        <v>#N/A</v>
      </c>
      <c r="K767" t="e">
        <f>VLOOKUP(F767,'1PROJE'!$B$7:$F$26,5,0)</f>
        <v>#N/A</v>
      </c>
    </row>
    <row r="768" spans="2:11">
      <c r="B768">
        <f t="shared" si="228"/>
        <v>0</v>
      </c>
      <c r="F768" s="57" t="e">
        <f t="shared" si="224"/>
        <v>#N/A</v>
      </c>
      <c r="G768" t="str">
        <f t="shared" si="225"/>
        <v/>
      </c>
      <c r="I768" t="e">
        <f>VLOOKUP(F768,'1PROJE'!$B$7:$F$26,2,0)</f>
        <v>#N/A</v>
      </c>
      <c r="J768" t="e">
        <f>VLOOKUP(F768,'1PROJE'!$B$7:$F$26,4,0)</f>
        <v>#N/A</v>
      </c>
      <c r="K768" t="e">
        <f>VLOOKUP(F768,'1PROJE'!$B$7:$F$26,5,0)</f>
        <v>#N/A</v>
      </c>
    </row>
    <row r="769" spans="2:11">
      <c r="B769">
        <f t="shared" si="228"/>
        <v>0</v>
      </c>
      <c r="F769" s="57" t="e">
        <f t="shared" si="224"/>
        <v>#N/A</v>
      </c>
      <c r="G769" t="str">
        <f t="shared" si="225"/>
        <v/>
      </c>
      <c r="I769" t="e">
        <f>VLOOKUP(F769,'1PROJE'!$B$7:$F$26,2,0)</f>
        <v>#N/A</v>
      </c>
      <c r="J769" t="e">
        <f>VLOOKUP(F769,'1PROJE'!$B$7:$F$26,4,0)</f>
        <v>#N/A</v>
      </c>
      <c r="K769" t="e">
        <f>VLOOKUP(F769,'1PROJE'!$B$7:$F$26,5,0)</f>
        <v>#N/A</v>
      </c>
    </row>
    <row r="770" spans="2:11">
      <c r="B770">
        <f t="shared" si="228"/>
        <v>0</v>
      </c>
      <c r="F770" s="57" t="e">
        <f t="shared" si="224"/>
        <v>#N/A</v>
      </c>
      <c r="G770" t="str">
        <f t="shared" si="225"/>
        <v/>
      </c>
      <c r="I770" t="e">
        <f>VLOOKUP(F770,'1PROJE'!$B$7:$F$26,2,0)</f>
        <v>#N/A</v>
      </c>
      <c r="J770" t="e">
        <f>VLOOKUP(F770,'1PROJE'!$B$7:$F$26,4,0)</f>
        <v>#N/A</v>
      </c>
      <c r="K770" t="e">
        <f>VLOOKUP(F770,'1PROJE'!$B$7:$F$26,5,0)</f>
        <v>#N/A</v>
      </c>
    </row>
    <row r="771" spans="2:11">
      <c r="B771">
        <f t="shared" si="228"/>
        <v>0</v>
      </c>
      <c r="F771" s="57" t="e">
        <f t="shared" si="224"/>
        <v>#N/A</v>
      </c>
      <c r="G771" t="str">
        <f t="shared" si="225"/>
        <v/>
      </c>
      <c r="I771" t="e">
        <f>VLOOKUP(F771,'1PROJE'!$B$7:$F$26,2,0)</f>
        <v>#N/A</v>
      </c>
      <c r="J771" t="e">
        <f>VLOOKUP(F771,'1PROJE'!$B$7:$F$26,4,0)</f>
        <v>#N/A</v>
      </c>
      <c r="K771" t="e">
        <f>VLOOKUP(F771,'1PROJE'!$B$7:$F$26,5,0)</f>
        <v>#N/A</v>
      </c>
    </row>
    <row r="772" spans="2:11">
      <c r="B772">
        <f t="shared" si="228"/>
        <v>0</v>
      </c>
      <c r="F772" s="57" t="e">
        <f t="shared" si="224"/>
        <v>#N/A</v>
      </c>
      <c r="G772" t="str">
        <f t="shared" si="225"/>
        <v/>
      </c>
      <c r="I772" t="e">
        <f>VLOOKUP(F772,'1PROJE'!$B$7:$F$26,2,0)</f>
        <v>#N/A</v>
      </c>
      <c r="J772" t="e">
        <f>VLOOKUP(F772,'1PROJE'!$B$7:$F$26,4,0)</f>
        <v>#N/A</v>
      </c>
      <c r="K772" t="e">
        <f>VLOOKUP(F772,'1PROJE'!$B$7:$F$26,5,0)</f>
        <v>#N/A</v>
      </c>
    </row>
    <row r="773" spans="2:11">
      <c r="B773">
        <f t="shared" si="228"/>
        <v>0</v>
      </c>
      <c r="F773" s="57" t="e">
        <f t="shared" si="224"/>
        <v>#N/A</v>
      </c>
      <c r="G773" t="str">
        <f t="shared" si="225"/>
        <v/>
      </c>
      <c r="I773" t="e">
        <f>VLOOKUP(F773,'1PROJE'!$B$7:$F$26,2,0)</f>
        <v>#N/A</v>
      </c>
      <c r="J773" t="e">
        <f>VLOOKUP(F773,'1PROJE'!$B$7:$F$26,4,0)</f>
        <v>#N/A</v>
      </c>
      <c r="K773" t="e">
        <f>VLOOKUP(F773,'1PROJE'!$B$7:$F$26,5,0)</f>
        <v>#N/A</v>
      </c>
    </row>
    <row r="774" spans="2:11">
      <c r="B774">
        <f t="shared" si="228"/>
        <v>0</v>
      </c>
      <c r="F774" s="57" t="e">
        <f t="shared" si="224"/>
        <v>#N/A</v>
      </c>
      <c r="G774" t="str">
        <f t="shared" si="225"/>
        <v/>
      </c>
      <c r="I774" t="e">
        <f>VLOOKUP(F774,'1PROJE'!$B$7:$F$26,2,0)</f>
        <v>#N/A</v>
      </c>
      <c r="J774" t="e">
        <f>VLOOKUP(F774,'1PROJE'!$B$7:$F$26,4,0)</f>
        <v>#N/A</v>
      </c>
      <c r="K774" t="e">
        <f>VLOOKUP(F774,'1PROJE'!$B$7:$F$26,5,0)</f>
        <v>#N/A</v>
      </c>
    </row>
    <row r="775" spans="2:11">
      <c r="B775">
        <f t="shared" si="228"/>
        <v>0</v>
      </c>
      <c r="F775" s="57" t="e">
        <f t="shared" si="224"/>
        <v>#N/A</v>
      </c>
      <c r="G775" t="str">
        <f t="shared" si="225"/>
        <v/>
      </c>
      <c r="I775" t="e">
        <f>VLOOKUP(F775,'1PROJE'!$B$7:$F$26,2,0)</f>
        <v>#N/A</v>
      </c>
      <c r="J775" t="e">
        <f>VLOOKUP(F775,'1PROJE'!$B$7:$F$26,4,0)</f>
        <v>#N/A</v>
      </c>
      <c r="K775" t="e">
        <f>VLOOKUP(F775,'1PROJE'!$B$7:$F$26,5,0)</f>
        <v>#N/A</v>
      </c>
    </row>
    <row r="776" spans="2:11">
      <c r="B776">
        <f t="shared" si="228"/>
        <v>0</v>
      </c>
      <c r="F776" s="57" t="e">
        <f t="shared" si="224"/>
        <v>#N/A</v>
      </c>
      <c r="G776" t="str">
        <f t="shared" si="225"/>
        <v/>
      </c>
      <c r="I776" t="e">
        <f>VLOOKUP(F776,'1PROJE'!$B$7:$F$26,2,0)</f>
        <v>#N/A</v>
      </c>
      <c r="J776" t="e">
        <f>VLOOKUP(F776,'1PROJE'!$B$7:$F$26,4,0)</f>
        <v>#N/A</v>
      </c>
      <c r="K776" t="e">
        <f>VLOOKUP(F776,'1PROJE'!$B$7:$F$26,5,0)</f>
        <v>#N/A</v>
      </c>
    </row>
    <row r="777" spans="2:11">
      <c r="B777">
        <f t="shared" si="228"/>
        <v>0</v>
      </c>
      <c r="F777" s="57" t="e">
        <f t="shared" si="224"/>
        <v>#N/A</v>
      </c>
      <c r="G777" t="str">
        <f t="shared" si="225"/>
        <v/>
      </c>
      <c r="I777" t="e">
        <f>VLOOKUP(F777,'1PROJE'!$B$7:$F$26,2,0)</f>
        <v>#N/A</v>
      </c>
      <c r="J777" t="e">
        <f>VLOOKUP(F777,'1PROJE'!$B$7:$F$26,4,0)</f>
        <v>#N/A</v>
      </c>
      <c r="K777" t="e">
        <f>VLOOKUP(F777,'1PROJE'!$B$7:$F$26,5,0)</f>
        <v>#N/A</v>
      </c>
    </row>
    <row r="778" spans="2:11">
      <c r="B778">
        <f t="shared" si="228"/>
        <v>0</v>
      </c>
      <c r="F778" s="57" t="e">
        <f t="shared" si="224"/>
        <v>#N/A</v>
      </c>
      <c r="G778" t="str">
        <f t="shared" si="225"/>
        <v/>
      </c>
      <c r="I778" t="e">
        <f>VLOOKUP(F778,'1PROJE'!$B$7:$F$26,2,0)</f>
        <v>#N/A</v>
      </c>
      <c r="J778" t="e">
        <f>VLOOKUP(F778,'1PROJE'!$B$7:$F$26,4,0)</f>
        <v>#N/A</v>
      </c>
      <c r="K778" t="e">
        <f>VLOOKUP(F778,'1PROJE'!$B$7:$F$26,5,0)</f>
        <v>#N/A</v>
      </c>
    </row>
    <row r="779" spans="2:11">
      <c r="B779">
        <f t="shared" si="228"/>
        <v>0</v>
      </c>
      <c r="F779" s="57" t="e">
        <f t="shared" ref="F779:F842" si="229">VLOOKUP(G779,$C$64:$D$83,2,0)</f>
        <v>#N/A</v>
      </c>
      <c r="G779" t="str">
        <f t="shared" ref="G779:G842" si="230">LEFT(H779,6)</f>
        <v/>
      </c>
      <c r="I779" t="e">
        <f>VLOOKUP(F779,'1PROJE'!$B$7:$F$26,2,0)</f>
        <v>#N/A</v>
      </c>
      <c r="J779" t="e">
        <f>VLOOKUP(F779,'1PROJE'!$B$7:$F$26,4,0)</f>
        <v>#N/A</v>
      </c>
      <c r="K779" t="e">
        <f>VLOOKUP(F779,'1PROJE'!$B$7:$F$26,5,0)</f>
        <v>#N/A</v>
      </c>
    </row>
    <row r="780" spans="2:11">
      <c r="B780">
        <f t="shared" si="228"/>
        <v>0</v>
      </c>
      <c r="F780" s="57" t="e">
        <f t="shared" si="229"/>
        <v>#N/A</v>
      </c>
      <c r="G780" t="str">
        <f t="shared" si="230"/>
        <v/>
      </c>
      <c r="I780" t="e">
        <f>VLOOKUP(F780,'1PROJE'!$B$7:$F$26,2,0)</f>
        <v>#N/A</v>
      </c>
      <c r="J780" t="e">
        <f>VLOOKUP(F780,'1PROJE'!$B$7:$F$26,4,0)</f>
        <v>#N/A</v>
      </c>
      <c r="K780" t="e">
        <f>VLOOKUP(F780,'1PROJE'!$B$7:$F$26,5,0)</f>
        <v>#N/A</v>
      </c>
    </row>
    <row r="781" spans="2:11">
      <c r="B781">
        <f t="shared" si="228"/>
        <v>0</v>
      </c>
      <c r="F781" s="57" t="e">
        <f t="shared" si="229"/>
        <v>#N/A</v>
      </c>
      <c r="G781" t="str">
        <f t="shared" si="230"/>
        <v/>
      </c>
      <c r="I781" t="e">
        <f>VLOOKUP(F781,'1PROJE'!$B$7:$F$26,2,0)</f>
        <v>#N/A</v>
      </c>
      <c r="J781" t="e">
        <f>VLOOKUP(F781,'1PROJE'!$B$7:$F$26,4,0)</f>
        <v>#N/A</v>
      </c>
      <c r="K781" t="e">
        <f>VLOOKUP(F781,'1PROJE'!$B$7:$F$26,5,0)</f>
        <v>#N/A</v>
      </c>
    </row>
    <row r="782" spans="2:11">
      <c r="B782">
        <f t="shared" si="228"/>
        <v>0</v>
      </c>
      <c r="F782" s="57" t="e">
        <f t="shared" si="229"/>
        <v>#N/A</v>
      </c>
      <c r="G782" t="str">
        <f t="shared" si="230"/>
        <v/>
      </c>
      <c r="I782" t="e">
        <f>VLOOKUP(F782,'1PROJE'!$B$7:$F$26,2,0)</f>
        <v>#N/A</v>
      </c>
      <c r="J782" t="e">
        <f>VLOOKUP(F782,'1PROJE'!$B$7:$F$26,4,0)</f>
        <v>#N/A</v>
      </c>
      <c r="K782" t="e">
        <f>VLOOKUP(F782,'1PROJE'!$B$7:$F$26,5,0)</f>
        <v>#N/A</v>
      </c>
    </row>
    <row r="783" spans="2:11">
      <c r="B783">
        <f t="shared" si="228"/>
        <v>0</v>
      </c>
      <c r="F783" s="57" t="e">
        <f t="shared" si="229"/>
        <v>#N/A</v>
      </c>
      <c r="G783" t="str">
        <f t="shared" si="230"/>
        <v/>
      </c>
      <c r="I783" t="e">
        <f>VLOOKUP(F783,'1PROJE'!$B$7:$F$26,2,0)</f>
        <v>#N/A</v>
      </c>
      <c r="J783" t="e">
        <f>VLOOKUP(F783,'1PROJE'!$B$7:$F$26,4,0)</f>
        <v>#N/A</v>
      </c>
      <c r="K783" t="e">
        <f>VLOOKUP(F783,'1PROJE'!$B$7:$F$26,5,0)</f>
        <v>#N/A</v>
      </c>
    </row>
    <row r="784" spans="2:11">
      <c r="B784">
        <f t="shared" si="228"/>
        <v>0</v>
      </c>
      <c r="F784" s="57" t="e">
        <f t="shared" si="229"/>
        <v>#N/A</v>
      </c>
      <c r="G784" t="str">
        <f t="shared" si="230"/>
        <v/>
      </c>
      <c r="I784" t="e">
        <f>VLOOKUP(F784,'1PROJE'!$B$7:$F$26,2,0)</f>
        <v>#N/A</v>
      </c>
      <c r="J784" t="e">
        <f>VLOOKUP(F784,'1PROJE'!$B$7:$F$26,4,0)</f>
        <v>#N/A</v>
      </c>
      <c r="K784" t="e">
        <f>VLOOKUP(F784,'1PROJE'!$B$7:$F$26,5,0)</f>
        <v>#N/A</v>
      </c>
    </row>
    <row r="785" spans="2:11">
      <c r="B785">
        <f t="shared" si="228"/>
        <v>0</v>
      </c>
      <c r="F785" s="57" t="e">
        <f t="shared" si="229"/>
        <v>#N/A</v>
      </c>
      <c r="G785" t="str">
        <f t="shared" si="230"/>
        <v/>
      </c>
      <c r="I785" t="e">
        <f>VLOOKUP(F785,'1PROJE'!$B$7:$F$26,2,0)</f>
        <v>#N/A</v>
      </c>
      <c r="J785" t="e">
        <f>VLOOKUP(F785,'1PROJE'!$B$7:$F$26,4,0)</f>
        <v>#N/A</v>
      </c>
      <c r="K785" t="e">
        <f>VLOOKUP(F785,'1PROJE'!$B$7:$F$26,5,0)</f>
        <v>#N/A</v>
      </c>
    </row>
    <row r="786" spans="2:11">
      <c r="B786">
        <f t="shared" si="228"/>
        <v>0</v>
      </c>
      <c r="F786" s="57" t="e">
        <f t="shared" si="229"/>
        <v>#N/A</v>
      </c>
      <c r="G786" t="str">
        <f t="shared" si="230"/>
        <v/>
      </c>
      <c r="I786" t="e">
        <f>VLOOKUP(F786,'1PROJE'!$B$7:$F$26,2,0)</f>
        <v>#N/A</v>
      </c>
      <c r="J786" t="e">
        <f>VLOOKUP(F786,'1PROJE'!$B$7:$F$26,4,0)</f>
        <v>#N/A</v>
      </c>
      <c r="K786" t="e">
        <f>VLOOKUP(F786,'1PROJE'!$B$7:$F$26,5,0)</f>
        <v>#N/A</v>
      </c>
    </row>
    <row r="787" spans="2:11">
      <c r="B787">
        <f t="shared" si="228"/>
        <v>0</v>
      </c>
      <c r="F787" s="57" t="e">
        <f t="shared" si="229"/>
        <v>#N/A</v>
      </c>
      <c r="G787" t="str">
        <f t="shared" si="230"/>
        <v/>
      </c>
      <c r="I787" t="e">
        <f>VLOOKUP(F787,'1PROJE'!$B$7:$F$26,2,0)</f>
        <v>#N/A</v>
      </c>
      <c r="J787" t="e">
        <f>VLOOKUP(F787,'1PROJE'!$B$7:$F$26,4,0)</f>
        <v>#N/A</v>
      </c>
      <c r="K787" t="e">
        <f>VLOOKUP(F787,'1PROJE'!$B$7:$F$26,5,0)</f>
        <v>#N/A</v>
      </c>
    </row>
    <row r="788" spans="2:11">
      <c r="B788">
        <f t="shared" si="228"/>
        <v>0</v>
      </c>
      <c r="F788" s="57" t="e">
        <f t="shared" si="229"/>
        <v>#N/A</v>
      </c>
      <c r="G788" t="str">
        <f t="shared" si="230"/>
        <v/>
      </c>
      <c r="I788" t="e">
        <f>VLOOKUP(F788,'1PROJE'!$B$7:$F$26,2,0)</f>
        <v>#N/A</v>
      </c>
      <c r="J788" t="e">
        <f>VLOOKUP(F788,'1PROJE'!$B$7:$F$26,4,0)</f>
        <v>#N/A</v>
      </c>
      <c r="K788" t="e">
        <f>VLOOKUP(F788,'1PROJE'!$B$7:$F$26,5,0)</f>
        <v>#N/A</v>
      </c>
    </row>
    <row r="789" spans="2:11">
      <c r="B789">
        <f t="shared" si="228"/>
        <v>0</v>
      </c>
      <c r="F789" s="57" t="e">
        <f t="shared" si="229"/>
        <v>#N/A</v>
      </c>
      <c r="G789" t="str">
        <f t="shared" si="230"/>
        <v/>
      </c>
      <c r="I789" t="e">
        <f>VLOOKUP(F789,'1PROJE'!$B$7:$F$26,2,0)</f>
        <v>#N/A</v>
      </c>
      <c r="J789" t="e">
        <f>VLOOKUP(F789,'1PROJE'!$B$7:$F$26,4,0)</f>
        <v>#N/A</v>
      </c>
      <c r="K789" t="e">
        <f>VLOOKUP(F789,'1PROJE'!$B$7:$F$26,5,0)</f>
        <v>#N/A</v>
      </c>
    </row>
    <row r="790" spans="2:11">
      <c r="B790">
        <f t="shared" si="228"/>
        <v>0</v>
      </c>
      <c r="F790" s="57" t="e">
        <f t="shared" si="229"/>
        <v>#N/A</v>
      </c>
      <c r="G790" t="str">
        <f t="shared" si="230"/>
        <v/>
      </c>
      <c r="I790" t="e">
        <f>VLOOKUP(F790,'1PROJE'!$B$7:$F$26,2,0)</f>
        <v>#N/A</v>
      </c>
      <c r="J790" t="e">
        <f>VLOOKUP(F790,'1PROJE'!$B$7:$F$26,4,0)</f>
        <v>#N/A</v>
      </c>
      <c r="K790" t="e">
        <f>VLOOKUP(F790,'1PROJE'!$B$7:$F$26,5,0)</f>
        <v>#N/A</v>
      </c>
    </row>
    <row r="791" spans="2:11">
      <c r="B791">
        <f t="shared" si="228"/>
        <v>0</v>
      </c>
      <c r="F791" s="57" t="e">
        <f t="shared" si="229"/>
        <v>#N/A</v>
      </c>
      <c r="G791" t="str">
        <f t="shared" si="230"/>
        <v/>
      </c>
      <c r="I791" t="e">
        <f>VLOOKUP(F791,'1PROJE'!$B$7:$F$26,2,0)</f>
        <v>#N/A</v>
      </c>
      <c r="J791" t="e">
        <f>VLOOKUP(F791,'1PROJE'!$B$7:$F$26,4,0)</f>
        <v>#N/A</v>
      </c>
      <c r="K791" t="e">
        <f>VLOOKUP(F791,'1PROJE'!$B$7:$F$26,5,0)</f>
        <v>#N/A</v>
      </c>
    </row>
    <row r="792" spans="2:11">
      <c r="B792">
        <f t="shared" si="228"/>
        <v>0</v>
      </c>
      <c r="F792" s="57" t="e">
        <f t="shared" si="229"/>
        <v>#N/A</v>
      </c>
      <c r="G792" t="str">
        <f t="shared" si="230"/>
        <v/>
      </c>
      <c r="I792" t="e">
        <f>VLOOKUP(F792,'1PROJE'!$B$7:$F$26,2,0)</f>
        <v>#N/A</v>
      </c>
      <c r="J792" t="e">
        <f>VLOOKUP(F792,'1PROJE'!$B$7:$F$26,4,0)</f>
        <v>#N/A</v>
      </c>
      <c r="K792" t="e">
        <f>VLOOKUP(F792,'1PROJE'!$B$7:$F$26,5,0)</f>
        <v>#N/A</v>
      </c>
    </row>
    <row r="793" spans="2:11">
      <c r="B793">
        <f t="shared" si="228"/>
        <v>0</v>
      </c>
      <c r="F793" s="57" t="e">
        <f t="shared" si="229"/>
        <v>#N/A</v>
      </c>
      <c r="G793" t="str">
        <f t="shared" si="230"/>
        <v/>
      </c>
      <c r="I793" t="e">
        <f>VLOOKUP(F793,'1PROJE'!$B$7:$F$26,2,0)</f>
        <v>#N/A</v>
      </c>
      <c r="J793" t="e">
        <f>VLOOKUP(F793,'1PROJE'!$B$7:$F$26,4,0)</f>
        <v>#N/A</v>
      </c>
      <c r="K793" t="e">
        <f>VLOOKUP(F793,'1PROJE'!$B$7:$F$26,5,0)</f>
        <v>#N/A</v>
      </c>
    </row>
    <row r="794" spans="2:11">
      <c r="B794">
        <f t="shared" si="228"/>
        <v>0</v>
      </c>
      <c r="F794" s="57" t="e">
        <f t="shared" si="229"/>
        <v>#N/A</v>
      </c>
      <c r="G794" t="str">
        <f t="shared" si="230"/>
        <v/>
      </c>
      <c r="I794" t="e">
        <f>VLOOKUP(F794,'1PROJE'!$B$7:$F$26,2,0)</f>
        <v>#N/A</v>
      </c>
      <c r="J794" t="e">
        <f>VLOOKUP(F794,'1PROJE'!$B$7:$F$26,4,0)</f>
        <v>#N/A</v>
      </c>
      <c r="K794" t="e">
        <f>VLOOKUP(F794,'1PROJE'!$B$7:$F$26,5,0)</f>
        <v>#N/A</v>
      </c>
    </row>
    <row r="795" spans="2:11">
      <c r="B795">
        <f t="shared" ref="B795:B826" si="231">IF(($C$34-A95)&lt;0,0,"POZ"&amp;" "&amp;$I$61&amp;"."&amp;A95)</f>
        <v>0</v>
      </c>
      <c r="F795" s="57" t="e">
        <f t="shared" si="229"/>
        <v>#N/A</v>
      </c>
      <c r="G795" t="str">
        <f t="shared" si="230"/>
        <v/>
      </c>
      <c r="I795" t="e">
        <f>VLOOKUP(F795,'1PROJE'!$B$7:$F$26,2,0)</f>
        <v>#N/A</v>
      </c>
      <c r="J795" t="e">
        <f>VLOOKUP(F795,'1PROJE'!$B$7:$F$26,4,0)</f>
        <v>#N/A</v>
      </c>
      <c r="K795" t="e">
        <f>VLOOKUP(F795,'1PROJE'!$B$7:$F$26,5,0)</f>
        <v>#N/A</v>
      </c>
    </row>
    <row r="796" spans="2:11">
      <c r="B796">
        <f t="shared" si="231"/>
        <v>0</v>
      </c>
      <c r="F796" s="57" t="e">
        <f t="shared" si="229"/>
        <v>#N/A</v>
      </c>
      <c r="G796" t="str">
        <f t="shared" si="230"/>
        <v/>
      </c>
      <c r="I796" t="e">
        <f>VLOOKUP(F796,'1PROJE'!$B$7:$F$26,2,0)</f>
        <v>#N/A</v>
      </c>
      <c r="J796" t="e">
        <f>VLOOKUP(F796,'1PROJE'!$B$7:$F$26,4,0)</f>
        <v>#N/A</v>
      </c>
      <c r="K796" t="e">
        <f>VLOOKUP(F796,'1PROJE'!$B$7:$F$26,5,0)</f>
        <v>#N/A</v>
      </c>
    </row>
    <row r="797" spans="2:11">
      <c r="B797">
        <f t="shared" si="231"/>
        <v>0</v>
      </c>
      <c r="F797" s="57" t="e">
        <f t="shared" si="229"/>
        <v>#N/A</v>
      </c>
      <c r="G797" t="str">
        <f t="shared" si="230"/>
        <v/>
      </c>
      <c r="I797" t="e">
        <f>VLOOKUP(F797,'1PROJE'!$B$7:$F$26,2,0)</f>
        <v>#N/A</v>
      </c>
      <c r="J797" t="e">
        <f>VLOOKUP(F797,'1PROJE'!$B$7:$F$26,4,0)</f>
        <v>#N/A</v>
      </c>
      <c r="K797" t="e">
        <f>VLOOKUP(F797,'1PROJE'!$B$7:$F$26,5,0)</f>
        <v>#N/A</v>
      </c>
    </row>
    <row r="798" spans="2:11">
      <c r="B798">
        <f t="shared" si="231"/>
        <v>0</v>
      </c>
      <c r="F798" s="57" t="e">
        <f t="shared" si="229"/>
        <v>#N/A</v>
      </c>
      <c r="G798" t="str">
        <f t="shared" si="230"/>
        <v/>
      </c>
      <c r="I798" t="e">
        <f>VLOOKUP(F798,'1PROJE'!$B$7:$F$26,2,0)</f>
        <v>#N/A</v>
      </c>
      <c r="J798" t="e">
        <f>VLOOKUP(F798,'1PROJE'!$B$7:$F$26,4,0)</f>
        <v>#N/A</v>
      </c>
      <c r="K798" t="e">
        <f>VLOOKUP(F798,'1PROJE'!$B$7:$F$26,5,0)</f>
        <v>#N/A</v>
      </c>
    </row>
    <row r="799" spans="2:11">
      <c r="B799">
        <f t="shared" si="231"/>
        <v>0</v>
      </c>
      <c r="F799" s="57" t="e">
        <f t="shared" si="229"/>
        <v>#N/A</v>
      </c>
      <c r="G799" t="str">
        <f t="shared" si="230"/>
        <v/>
      </c>
      <c r="I799" t="e">
        <f>VLOOKUP(F799,'1PROJE'!$B$7:$F$26,2,0)</f>
        <v>#N/A</v>
      </c>
      <c r="J799" t="e">
        <f>VLOOKUP(F799,'1PROJE'!$B$7:$F$26,4,0)</f>
        <v>#N/A</v>
      </c>
      <c r="K799" t="e">
        <f>VLOOKUP(F799,'1PROJE'!$B$7:$F$26,5,0)</f>
        <v>#N/A</v>
      </c>
    </row>
    <row r="800" spans="2:11">
      <c r="B800">
        <f t="shared" si="231"/>
        <v>0</v>
      </c>
      <c r="F800" s="57" t="e">
        <f t="shared" si="229"/>
        <v>#N/A</v>
      </c>
      <c r="G800" t="str">
        <f t="shared" si="230"/>
        <v/>
      </c>
      <c r="I800" t="e">
        <f>VLOOKUP(F800,'1PROJE'!$B$7:$F$26,2,0)</f>
        <v>#N/A</v>
      </c>
      <c r="J800" t="e">
        <f>VLOOKUP(F800,'1PROJE'!$B$7:$F$26,4,0)</f>
        <v>#N/A</v>
      </c>
      <c r="K800" t="e">
        <f>VLOOKUP(F800,'1PROJE'!$B$7:$F$26,5,0)</f>
        <v>#N/A</v>
      </c>
    </row>
    <row r="801" spans="2:11">
      <c r="B801">
        <f t="shared" si="231"/>
        <v>0</v>
      </c>
      <c r="F801" s="57" t="e">
        <f t="shared" si="229"/>
        <v>#N/A</v>
      </c>
      <c r="G801" t="str">
        <f t="shared" si="230"/>
        <v/>
      </c>
      <c r="I801" t="e">
        <f>VLOOKUP(F801,'1PROJE'!$B$7:$F$26,2,0)</f>
        <v>#N/A</v>
      </c>
      <c r="J801" t="e">
        <f>VLOOKUP(F801,'1PROJE'!$B$7:$F$26,4,0)</f>
        <v>#N/A</v>
      </c>
      <c r="K801" t="e">
        <f>VLOOKUP(F801,'1PROJE'!$B$7:$F$26,5,0)</f>
        <v>#N/A</v>
      </c>
    </row>
    <row r="802" spans="2:11">
      <c r="B802">
        <f t="shared" si="231"/>
        <v>0</v>
      </c>
      <c r="F802" s="57" t="e">
        <f t="shared" si="229"/>
        <v>#N/A</v>
      </c>
      <c r="G802" t="str">
        <f t="shared" si="230"/>
        <v/>
      </c>
      <c r="I802" t="e">
        <f>VLOOKUP(F802,'1PROJE'!$B$7:$F$26,2,0)</f>
        <v>#N/A</v>
      </c>
      <c r="J802" t="e">
        <f>VLOOKUP(F802,'1PROJE'!$B$7:$F$26,4,0)</f>
        <v>#N/A</v>
      </c>
      <c r="K802" t="e">
        <f>VLOOKUP(F802,'1PROJE'!$B$7:$F$26,5,0)</f>
        <v>#N/A</v>
      </c>
    </row>
    <row r="803" spans="2:11">
      <c r="B803">
        <f t="shared" si="231"/>
        <v>0</v>
      </c>
      <c r="F803" s="57" t="e">
        <f t="shared" si="229"/>
        <v>#N/A</v>
      </c>
      <c r="G803" t="str">
        <f t="shared" si="230"/>
        <v/>
      </c>
      <c r="I803" t="e">
        <f>VLOOKUP(F803,'1PROJE'!$B$7:$F$26,2,0)</f>
        <v>#N/A</v>
      </c>
      <c r="J803" t="e">
        <f>VLOOKUP(F803,'1PROJE'!$B$7:$F$26,4,0)</f>
        <v>#N/A</v>
      </c>
      <c r="K803" t="e">
        <f>VLOOKUP(F803,'1PROJE'!$B$7:$F$26,5,0)</f>
        <v>#N/A</v>
      </c>
    </row>
    <row r="804" spans="2:11">
      <c r="B804">
        <f t="shared" si="231"/>
        <v>0</v>
      </c>
      <c r="F804" s="57" t="e">
        <f t="shared" si="229"/>
        <v>#N/A</v>
      </c>
      <c r="G804" t="str">
        <f t="shared" si="230"/>
        <v/>
      </c>
      <c r="I804" t="e">
        <f>VLOOKUP(F804,'1PROJE'!$B$7:$F$26,2,0)</f>
        <v>#N/A</v>
      </c>
      <c r="J804" t="e">
        <f>VLOOKUP(F804,'1PROJE'!$B$7:$F$26,4,0)</f>
        <v>#N/A</v>
      </c>
      <c r="K804" t="e">
        <f>VLOOKUP(F804,'1PROJE'!$B$7:$F$26,5,0)</f>
        <v>#N/A</v>
      </c>
    </row>
    <row r="805" spans="2:11">
      <c r="B805">
        <f t="shared" si="231"/>
        <v>0</v>
      </c>
      <c r="F805" s="57" t="e">
        <f t="shared" si="229"/>
        <v>#N/A</v>
      </c>
      <c r="G805" t="str">
        <f t="shared" si="230"/>
        <v/>
      </c>
      <c r="I805" t="e">
        <f>VLOOKUP(F805,'1PROJE'!$B$7:$F$26,2,0)</f>
        <v>#N/A</v>
      </c>
      <c r="J805" t="e">
        <f>VLOOKUP(F805,'1PROJE'!$B$7:$F$26,4,0)</f>
        <v>#N/A</v>
      </c>
      <c r="K805" t="e">
        <f>VLOOKUP(F805,'1PROJE'!$B$7:$F$26,5,0)</f>
        <v>#N/A</v>
      </c>
    </row>
    <row r="806" spans="2:11">
      <c r="B806">
        <f t="shared" si="231"/>
        <v>0</v>
      </c>
      <c r="F806" s="57" t="e">
        <f t="shared" si="229"/>
        <v>#N/A</v>
      </c>
      <c r="G806" t="str">
        <f t="shared" si="230"/>
        <v/>
      </c>
      <c r="I806" t="e">
        <f>VLOOKUP(F806,'1PROJE'!$B$7:$F$26,2,0)</f>
        <v>#N/A</v>
      </c>
      <c r="J806" t="e">
        <f>VLOOKUP(F806,'1PROJE'!$B$7:$F$26,4,0)</f>
        <v>#N/A</v>
      </c>
      <c r="K806" t="e">
        <f>VLOOKUP(F806,'1PROJE'!$B$7:$F$26,5,0)</f>
        <v>#N/A</v>
      </c>
    </row>
    <row r="807" spans="2:11">
      <c r="B807">
        <f t="shared" si="231"/>
        <v>0</v>
      </c>
      <c r="F807" s="57" t="e">
        <f t="shared" si="229"/>
        <v>#N/A</v>
      </c>
      <c r="G807" t="str">
        <f t="shared" si="230"/>
        <v/>
      </c>
      <c r="I807" t="e">
        <f>VLOOKUP(F807,'1PROJE'!$B$7:$F$26,2,0)</f>
        <v>#N/A</v>
      </c>
      <c r="J807" t="e">
        <f>VLOOKUP(F807,'1PROJE'!$B$7:$F$26,4,0)</f>
        <v>#N/A</v>
      </c>
      <c r="K807" t="e">
        <f>VLOOKUP(F807,'1PROJE'!$B$7:$F$26,5,0)</f>
        <v>#N/A</v>
      </c>
    </row>
    <row r="808" spans="2:11">
      <c r="B808">
        <f t="shared" si="231"/>
        <v>0</v>
      </c>
      <c r="F808" s="57" t="e">
        <f t="shared" si="229"/>
        <v>#N/A</v>
      </c>
      <c r="G808" t="str">
        <f t="shared" si="230"/>
        <v/>
      </c>
      <c r="I808" t="e">
        <f>VLOOKUP(F808,'1PROJE'!$B$7:$F$26,2,0)</f>
        <v>#N/A</v>
      </c>
      <c r="J808" t="e">
        <f>VLOOKUP(F808,'1PROJE'!$B$7:$F$26,4,0)</f>
        <v>#N/A</v>
      </c>
      <c r="K808" t="e">
        <f>VLOOKUP(F808,'1PROJE'!$B$7:$F$26,5,0)</f>
        <v>#N/A</v>
      </c>
    </row>
    <row r="809" spans="2:11">
      <c r="B809">
        <f t="shared" si="231"/>
        <v>0</v>
      </c>
      <c r="F809" s="57" t="e">
        <f t="shared" si="229"/>
        <v>#N/A</v>
      </c>
      <c r="G809" t="str">
        <f t="shared" si="230"/>
        <v/>
      </c>
      <c r="I809" t="e">
        <f>VLOOKUP(F809,'1PROJE'!$B$7:$F$26,2,0)</f>
        <v>#N/A</v>
      </c>
      <c r="J809" t="e">
        <f>VLOOKUP(F809,'1PROJE'!$B$7:$F$26,4,0)</f>
        <v>#N/A</v>
      </c>
      <c r="K809" t="e">
        <f>VLOOKUP(F809,'1PROJE'!$B$7:$F$26,5,0)</f>
        <v>#N/A</v>
      </c>
    </row>
    <row r="810" spans="2:11">
      <c r="B810">
        <f t="shared" si="231"/>
        <v>0</v>
      </c>
      <c r="F810" s="57" t="e">
        <f t="shared" si="229"/>
        <v>#N/A</v>
      </c>
      <c r="G810" t="str">
        <f t="shared" si="230"/>
        <v/>
      </c>
      <c r="I810" t="e">
        <f>VLOOKUP(F810,'1PROJE'!$B$7:$F$26,2,0)</f>
        <v>#N/A</v>
      </c>
      <c r="J810" t="e">
        <f>VLOOKUP(F810,'1PROJE'!$B$7:$F$26,4,0)</f>
        <v>#N/A</v>
      </c>
      <c r="K810" t="e">
        <f>VLOOKUP(F810,'1PROJE'!$B$7:$F$26,5,0)</f>
        <v>#N/A</v>
      </c>
    </row>
    <row r="811" spans="2:11">
      <c r="B811">
        <f t="shared" si="231"/>
        <v>0</v>
      </c>
      <c r="F811" s="57" t="e">
        <f t="shared" si="229"/>
        <v>#N/A</v>
      </c>
      <c r="G811" t="str">
        <f t="shared" si="230"/>
        <v/>
      </c>
      <c r="I811" t="e">
        <f>VLOOKUP(F811,'1PROJE'!$B$7:$F$26,2,0)</f>
        <v>#N/A</v>
      </c>
      <c r="J811" t="e">
        <f>VLOOKUP(F811,'1PROJE'!$B$7:$F$26,4,0)</f>
        <v>#N/A</v>
      </c>
      <c r="K811" t="e">
        <f>VLOOKUP(F811,'1PROJE'!$B$7:$F$26,5,0)</f>
        <v>#N/A</v>
      </c>
    </row>
    <row r="812" spans="2:11">
      <c r="B812">
        <f t="shared" si="231"/>
        <v>0</v>
      </c>
      <c r="F812" s="57" t="e">
        <f t="shared" si="229"/>
        <v>#N/A</v>
      </c>
      <c r="G812" t="str">
        <f t="shared" si="230"/>
        <v/>
      </c>
      <c r="I812" t="e">
        <f>VLOOKUP(F812,'1PROJE'!$B$7:$F$26,2,0)</f>
        <v>#N/A</v>
      </c>
      <c r="J812" t="e">
        <f>VLOOKUP(F812,'1PROJE'!$B$7:$F$26,4,0)</f>
        <v>#N/A</v>
      </c>
      <c r="K812" t="e">
        <f>VLOOKUP(F812,'1PROJE'!$B$7:$F$26,5,0)</f>
        <v>#N/A</v>
      </c>
    </row>
    <row r="813" spans="2:11">
      <c r="B813">
        <f t="shared" si="231"/>
        <v>0</v>
      </c>
      <c r="F813" s="57" t="e">
        <f t="shared" si="229"/>
        <v>#N/A</v>
      </c>
      <c r="G813" t="str">
        <f t="shared" si="230"/>
        <v/>
      </c>
      <c r="I813" t="e">
        <f>VLOOKUP(F813,'1PROJE'!$B$7:$F$26,2,0)</f>
        <v>#N/A</v>
      </c>
      <c r="J813" t="e">
        <f>VLOOKUP(F813,'1PROJE'!$B$7:$F$26,4,0)</f>
        <v>#N/A</v>
      </c>
      <c r="K813" t="e">
        <f>VLOOKUP(F813,'1PROJE'!$B$7:$F$26,5,0)</f>
        <v>#N/A</v>
      </c>
    </row>
    <row r="814" spans="2:11">
      <c r="B814">
        <f t="shared" si="231"/>
        <v>0</v>
      </c>
      <c r="F814" s="57" t="e">
        <f t="shared" si="229"/>
        <v>#N/A</v>
      </c>
      <c r="G814" t="str">
        <f t="shared" si="230"/>
        <v/>
      </c>
      <c r="I814" t="e">
        <f>VLOOKUP(F814,'1PROJE'!$B$7:$F$26,2,0)</f>
        <v>#N/A</v>
      </c>
      <c r="J814" t="e">
        <f>VLOOKUP(F814,'1PROJE'!$B$7:$F$26,4,0)</f>
        <v>#N/A</v>
      </c>
      <c r="K814" t="e">
        <f>VLOOKUP(F814,'1PROJE'!$B$7:$F$26,5,0)</f>
        <v>#N/A</v>
      </c>
    </row>
    <row r="815" spans="2:11">
      <c r="B815">
        <f t="shared" si="231"/>
        <v>0</v>
      </c>
      <c r="F815" s="57" t="e">
        <f t="shared" si="229"/>
        <v>#N/A</v>
      </c>
      <c r="G815" t="str">
        <f t="shared" si="230"/>
        <v/>
      </c>
      <c r="I815" t="e">
        <f>VLOOKUP(F815,'1PROJE'!$B$7:$F$26,2,0)</f>
        <v>#N/A</v>
      </c>
      <c r="J815" t="e">
        <f>VLOOKUP(F815,'1PROJE'!$B$7:$F$26,4,0)</f>
        <v>#N/A</v>
      </c>
      <c r="K815" t="e">
        <f>VLOOKUP(F815,'1PROJE'!$B$7:$F$26,5,0)</f>
        <v>#N/A</v>
      </c>
    </row>
    <row r="816" spans="2:11">
      <c r="B816">
        <f t="shared" si="231"/>
        <v>0</v>
      </c>
      <c r="F816" s="57" t="e">
        <f t="shared" si="229"/>
        <v>#N/A</v>
      </c>
      <c r="G816" t="str">
        <f t="shared" si="230"/>
        <v/>
      </c>
      <c r="I816" t="e">
        <f>VLOOKUP(F816,'1PROJE'!$B$7:$F$26,2,0)</f>
        <v>#N/A</v>
      </c>
      <c r="J816" t="e">
        <f>VLOOKUP(F816,'1PROJE'!$B$7:$F$26,4,0)</f>
        <v>#N/A</v>
      </c>
      <c r="K816" t="e">
        <f>VLOOKUP(F816,'1PROJE'!$B$7:$F$26,5,0)</f>
        <v>#N/A</v>
      </c>
    </row>
    <row r="817" spans="2:11">
      <c r="B817">
        <f t="shared" si="231"/>
        <v>0</v>
      </c>
      <c r="F817" s="57" t="e">
        <f t="shared" si="229"/>
        <v>#N/A</v>
      </c>
      <c r="G817" t="str">
        <f t="shared" si="230"/>
        <v/>
      </c>
      <c r="I817" t="e">
        <f>VLOOKUP(F817,'1PROJE'!$B$7:$F$26,2,0)</f>
        <v>#N/A</v>
      </c>
      <c r="J817" t="e">
        <f>VLOOKUP(F817,'1PROJE'!$B$7:$F$26,4,0)</f>
        <v>#N/A</v>
      </c>
      <c r="K817" t="e">
        <f>VLOOKUP(F817,'1PROJE'!$B$7:$F$26,5,0)</f>
        <v>#N/A</v>
      </c>
    </row>
    <row r="818" spans="2:11">
      <c r="B818">
        <f t="shared" si="231"/>
        <v>0</v>
      </c>
      <c r="F818" s="57" t="e">
        <f t="shared" si="229"/>
        <v>#N/A</v>
      </c>
      <c r="G818" t="str">
        <f t="shared" si="230"/>
        <v/>
      </c>
      <c r="I818" t="e">
        <f>VLOOKUP(F818,'1PROJE'!$B$7:$F$26,2,0)</f>
        <v>#N/A</v>
      </c>
      <c r="J818" t="e">
        <f>VLOOKUP(F818,'1PROJE'!$B$7:$F$26,4,0)</f>
        <v>#N/A</v>
      </c>
      <c r="K818" t="e">
        <f>VLOOKUP(F818,'1PROJE'!$B$7:$F$26,5,0)</f>
        <v>#N/A</v>
      </c>
    </row>
    <row r="819" spans="2:11">
      <c r="B819">
        <f t="shared" si="231"/>
        <v>0</v>
      </c>
      <c r="F819" s="57" t="e">
        <f t="shared" si="229"/>
        <v>#N/A</v>
      </c>
      <c r="G819" t="str">
        <f t="shared" si="230"/>
        <v/>
      </c>
      <c r="I819" t="e">
        <f>VLOOKUP(F819,'1PROJE'!$B$7:$F$26,2,0)</f>
        <v>#N/A</v>
      </c>
      <c r="J819" t="e">
        <f>VLOOKUP(F819,'1PROJE'!$B$7:$F$26,4,0)</f>
        <v>#N/A</v>
      </c>
      <c r="K819" t="e">
        <f>VLOOKUP(F819,'1PROJE'!$B$7:$F$26,5,0)</f>
        <v>#N/A</v>
      </c>
    </row>
    <row r="820" spans="2:11">
      <c r="B820">
        <f t="shared" si="231"/>
        <v>0</v>
      </c>
      <c r="F820" s="57" t="e">
        <f t="shared" si="229"/>
        <v>#N/A</v>
      </c>
      <c r="G820" t="str">
        <f t="shared" si="230"/>
        <v/>
      </c>
      <c r="I820" t="e">
        <f>VLOOKUP(F820,'1PROJE'!$B$7:$F$26,2,0)</f>
        <v>#N/A</v>
      </c>
      <c r="J820" t="e">
        <f>VLOOKUP(F820,'1PROJE'!$B$7:$F$26,4,0)</f>
        <v>#N/A</v>
      </c>
      <c r="K820" t="e">
        <f>VLOOKUP(F820,'1PROJE'!$B$7:$F$26,5,0)</f>
        <v>#N/A</v>
      </c>
    </row>
    <row r="821" spans="2:11">
      <c r="B821">
        <f t="shared" si="231"/>
        <v>0</v>
      </c>
      <c r="F821" s="57" t="e">
        <f t="shared" si="229"/>
        <v>#N/A</v>
      </c>
      <c r="G821" t="str">
        <f t="shared" si="230"/>
        <v/>
      </c>
      <c r="I821" t="e">
        <f>VLOOKUP(F821,'1PROJE'!$B$7:$F$26,2,0)</f>
        <v>#N/A</v>
      </c>
      <c r="J821" t="e">
        <f>VLOOKUP(F821,'1PROJE'!$B$7:$F$26,4,0)</f>
        <v>#N/A</v>
      </c>
      <c r="K821" t="e">
        <f>VLOOKUP(F821,'1PROJE'!$B$7:$F$26,5,0)</f>
        <v>#N/A</v>
      </c>
    </row>
    <row r="822" spans="2:11">
      <c r="B822">
        <f t="shared" si="231"/>
        <v>0</v>
      </c>
      <c r="F822" s="57" t="e">
        <f t="shared" si="229"/>
        <v>#N/A</v>
      </c>
      <c r="G822" t="str">
        <f t="shared" si="230"/>
        <v/>
      </c>
      <c r="I822" t="e">
        <f>VLOOKUP(F822,'1PROJE'!$B$7:$F$26,2,0)</f>
        <v>#N/A</v>
      </c>
      <c r="J822" t="e">
        <f>VLOOKUP(F822,'1PROJE'!$B$7:$F$26,4,0)</f>
        <v>#N/A</v>
      </c>
      <c r="K822" t="e">
        <f>VLOOKUP(F822,'1PROJE'!$B$7:$F$26,5,0)</f>
        <v>#N/A</v>
      </c>
    </row>
    <row r="823" spans="2:11">
      <c r="B823">
        <f t="shared" si="231"/>
        <v>0</v>
      </c>
      <c r="F823" s="57" t="e">
        <f t="shared" si="229"/>
        <v>#N/A</v>
      </c>
      <c r="G823" t="str">
        <f t="shared" si="230"/>
        <v/>
      </c>
      <c r="I823" t="e">
        <f>VLOOKUP(F823,'1PROJE'!$B$7:$F$26,2,0)</f>
        <v>#N/A</v>
      </c>
      <c r="J823" t="e">
        <f>VLOOKUP(F823,'1PROJE'!$B$7:$F$26,4,0)</f>
        <v>#N/A</v>
      </c>
      <c r="K823" t="e">
        <f>VLOOKUP(F823,'1PROJE'!$B$7:$F$26,5,0)</f>
        <v>#N/A</v>
      </c>
    </row>
    <row r="824" spans="2:11">
      <c r="B824">
        <f t="shared" si="231"/>
        <v>0</v>
      </c>
      <c r="F824" s="57" t="e">
        <f t="shared" si="229"/>
        <v>#N/A</v>
      </c>
      <c r="G824" t="str">
        <f t="shared" si="230"/>
        <v/>
      </c>
      <c r="I824" t="e">
        <f>VLOOKUP(F824,'1PROJE'!$B$7:$F$26,2,0)</f>
        <v>#N/A</v>
      </c>
      <c r="J824" t="e">
        <f>VLOOKUP(F824,'1PROJE'!$B$7:$F$26,4,0)</f>
        <v>#N/A</v>
      </c>
      <c r="K824" t="e">
        <f>VLOOKUP(F824,'1PROJE'!$B$7:$F$26,5,0)</f>
        <v>#N/A</v>
      </c>
    </row>
    <row r="825" spans="2:11">
      <c r="B825">
        <f t="shared" si="231"/>
        <v>0</v>
      </c>
      <c r="F825" s="57" t="e">
        <f t="shared" si="229"/>
        <v>#N/A</v>
      </c>
      <c r="G825" t="str">
        <f t="shared" si="230"/>
        <v/>
      </c>
      <c r="I825" t="e">
        <f>VLOOKUP(F825,'1PROJE'!$B$7:$F$26,2,0)</f>
        <v>#N/A</v>
      </c>
      <c r="J825" t="e">
        <f>VLOOKUP(F825,'1PROJE'!$B$7:$F$26,4,0)</f>
        <v>#N/A</v>
      </c>
      <c r="K825" t="e">
        <f>VLOOKUP(F825,'1PROJE'!$B$7:$F$26,5,0)</f>
        <v>#N/A</v>
      </c>
    </row>
    <row r="826" spans="2:11">
      <c r="B826">
        <f t="shared" si="231"/>
        <v>0</v>
      </c>
      <c r="F826" s="57" t="e">
        <f t="shared" si="229"/>
        <v>#N/A</v>
      </c>
      <c r="G826" t="str">
        <f t="shared" si="230"/>
        <v/>
      </c>
      <c r="I826" t="e">
        <f>VLOOKUP(F826,'1PROJE'!$B$7:$F$26,2,0)</f>
        <v>#N/A</v>
      </c>
      <c r="J826" t="e">
        <f>VLOOKUP(F826,'1PROJE'!$B$7:$F$26,4,0)</f>
        <v>#N/A</v>
      </c>
      <c r="K826" t="e">
        <f>VLOOKUP(F826,'1PROJE'!$B$7:$F$26,5,0)</f>
        <v>#N/A</v>
      </c>
    </row>
    <row r="827" spans="2:11">
      <c r="B827">
        <f t="shared" ref="B827:B858" si="232">IF(($C$34-A127)&lt;0,0,"POZ"&amp;" "&amp;$I$61&amp;"."&amp;A127)</f>
        <v>0</v>
      </c>
      <c r="F827" s="57" t="e">
        <f t="shared" si="229"/>
        <v>#N/A</v>
      </c>
      <c r="G827" t="str">
        <f t="shared" si="230"/>
        <v/>
      </c>
      <c r="I827" t="e">
        <f>VLOOKUP(F827,'1PROJE'!$B$7:$F$26,2,0)</f>
        <v>#N/A</v>
      </c>
      <c r="J827" t="e">
        <f>VLOOKUP(F827,'1PROJE'!$B$7:$F$26,4,0)</f>
        <v>#N/A</v>
      </c>
      <c r="K827" t="e">
        <f>VLOOKUP(F827,'1PROJE'!$B$7:$F$26,5,0)</f>
        <v>#N/A</v>
      </c>
    </row>
    <row r="828" spans="2:11">
      <c r="B828">
        <f t="shared" si="232"/>
        <v>0</v>
      </c>
      <c r="F828" s="57" t="e">
        <f t="shared" si="229"/>
        <v>#N/A</v>
      </c>
      <c r="G828" t="str">
        <f t="shared" si="230"/>
        <v/>
      </c>
      <c r="I828" t="e">
        <f>VLOOKUP(F828,'1PROJE'!$B$7:$F$26,2,0)</f>
        <v>#N/A</v>
      </c>
      <c r="J828" t="e">
        <f>VLOOKUP(F828,'1PROJE'!$B$7:$F$26,4,0)</f>
        <v>#N/A</v>
      </c>
      <c r="K828" t="e">
        <f>VLOOKUP(F828,'1PROJE'!$B$7:$F$26,5,0)</f>
        <v>#N/A</v>
      </c>
    </row>
    <row r="829" spans="2:11">
      <c r="B829">
        <f t="shared" si="232"/>
        <v>0</v>
      </c>
      <c r="F829" s="57" t="e">
        <f t="shared" si="229"/>
        <v>#N/A</v>
      </c>
      <c r="G829" t="str">
        <f t="shared" si="230"/>
        <v/>
      </c>
      <c r="I829" t="e">
        <f>VLOOKUP(F829,'1PROJE'!$B$7:$F$26,2,0)</f>
        <v>#N/A</v>
      </c>
      <c r="J829" t="e">
        <f>VLOOKUP(F829,'1PROJE'!$B$7:$F$26,4,0)</f>
        <v>#N/A</v>
      </c>
      <c r="K829" t="e">
        <f>VLOOKUP(F829,'1PROJE'!$B$7:$F$26,5,0)</f>
        <v>#N/A</v>
      </c>
    </row>
    <row r="830" spans="2:11">
      <c r="B830">
        <f t="shared" si="232"/>
        <v>0</v>
      </c>
      <c r="F830" s="57" t="e">
        <f t="shared" si="229"/>
        <v>#N/A</v>
      </c>
      <c r="G830" t="str">
        <f t="shared" si="230"/>
        <v/>
      </c>
      <c r="I830" t="e">
        <f>VLOOKUP(F830,'1PROJE'!$B$7:$F$26,2,0)</f>
        <v>#N/A</v>
      </c>
      <c r="J830" t="e">
        <f>VLOOKUP(F830,'1PROJE'!$B$7:$F$26,4,0)</f>
        <v>#N/A</v>
      </c>
      <c r="K830" t="e">
        <f>VLOOKUP(F830,'1PROJE'!$B$7:$F$26,5,0)</f>
        <v>#N/A</v>
      </c>
    </row>
    <row r="831" spans="2:11">
      <c r="B831">
        <f t="shared" si="232"/>
        <v>0</v>
      </c>
      <c r="F831" s="57" t="e">
        <f t="shared" si="229"/>
        <v>#N/A</v>
      </c>
      <c r="G831" t="str">
        <f t="shared" si="230"/>
        <v/>
      </c>
      <c r="I831" t="e">
        <f>VLOOKUP(F831,'1PROJE'!$B$7:$F$26,2,0)</f>
        <v>#N/A</v>
      </c>
      <c r="J831" t="e">
        <f>VLOOKUP(F831,'1PROJE'!$B$7:$F$26,4,0)</f>
        <v>#N/A</v>
      </c>
      <c r="K831" t="e">
        <f>VLOOKUP(F831,'1PROJE'!$B$7:$F$26,5,0)</f>
        <v>#N/A</v>
      </c>
    </row>
    <row r="832" spans="2:11">
      <c r="B832">
        <f t="shared" si="232"/>
        <v>0</v>
      </c>
      <c r="F832" s="57" t="e">
        <f t="shared" si="229"/>
        <v>#N/A</v>
      </c>
      <c r="G832" t="str">
        <f t="shared" si="230"/>
        <v/>
      </c>
      <c r="I832" t="e">
        <f>VLOOKUP(F832,'1PROJE'!$B$7:$F$26,2,0)</f>
        <v>#N/A</v>
      </c>
      <c r="J832" t="e">
        <f>VLOOKUP(F832,'1PROJE'!$B$7:$F$26,4,0)</f>
        <v>#N/A</v>
      </c>
      <c r="K832" t="e">
        <f>VLOOKUP(F832,'1PROJE'!$B$7:$F$26,5,0)</f>
        <v>#N/A</v>
      </c>
    </row>
    <row r="833" spans="2:11">
      <c r="B833">
        <f t="shared" si="232"/>
        <v>0</v>
      </c>
      <c r="F833" s="57" t="e">
        <f t="shared" si="229"/>
        <v>#N/A</v>
      </c>
      <c r="G833" t="str">
        <f t="shared" si="230"/>
        <v/>
      </c>
      <c r="I833" t="e">
        <f>VLOOKUP(F833,'1PROJE'!$B$7:$F$26,2,0)</f>
        <v>#N/A</v>
      </c>
      <c r="J833" t="e">
        <f>VLOOKUP(F833,'1PROJE'!$B$7:$F$26,4,0)</f>
        <v>#N/A</v>
      </c>
      <c r="K833" t="e">
        <f>VLOOKUP(F833,'1PROJE'!$B$7:$F$26,5,0)</f>
        <v>#N/A</v>
      </c>
    </row>
    <row r="834" spans="2:11">
      <c r="B834">
        <f t="shared" si="232"/>
        <v>0</v>
      </c>
      <c r="F834" s="57" t="e">
        <f t="shared" si="229"/>
        <v>#N/A</v>
      </c>
      <c r="G834" t="str">
        <f t="shared" si="230"/>
        <v/>
      </c>
      <c r="I834" t="e">
        <f>VLOOKUP(F834,'1PROJE'!$B$7:$F$26,2,0)</f>
        <v>#N/A</v>
      </c>
      <c r="J834" t="e">
        <f>VLOOKUP(F834,'1PROJE'!$B$7:$F$26,4,0)</f>
        <v>#N/A</v>
      </c>
      <c r="K834" t="e">
        <f>VLOOKUP(F834,'1PROJE'!$B$7:$F$26,5,0)</f>
        <v>#N/A</v>
      </c>
    </row>
    <row r="835" spans="2:11">
      <c r="B835">
        <f t="shared" si="232"/>
        <v>0</v>
      </c>
      <c r="F835" s="57" t="e">
        <f t="shared" si="229"/>
        <v>#N/A</v>
      </c>
      <c r="G835" t="str">
        <f t="shared" si="230"/>
        <v/>
      </c>
      <c r="I835" t="e">
        <f>VLOOKUP(F835,'1PROJE'!$B$7:$F$26,2,0)</f>
        <v>#N/A</v>
      </c>
      <c r="J835" t="e">
        <f>VLOOKUP(F835,'1PROJE'!$B$7:$F$26,4,0)</f>
        <v>#N/A</v>
      </c>
      <c r="K835" t="e">
        <f>VLOOKUP(F835,'1PROJE'!$B$7:$F$26,5,0)</f>
        <v>#N/A</v>
      </c>
    </row>
    <row r="836" spans="2:11">
      <c r="B836">
        <f t="shared" si="232"/>
        <v>0</v>
      </c>
      <c r="F836" s="57" t="e">
        <f t="shared" si="229"/>
        <v>#N/A</v>
      </c>
      <c r="G836" t="str">
        <f t="shared" si="230"/>
        <v/>
      </c>
      <c r="I836" t="e">
        <f>VLOOKUP(F836,'1PROJE'!$B$7:$F$26,2,0)</f>
        <v>#N/A</v>
      </c>
      <c r="J836" t="e">
        <f>VLOOKUP(F836,'1PROJE'!$B$7:$F$26,4,0)</f>
        <v>#N/A</v>
      </c>
      <c r="K836" t="e">
        <f>VLOOKUP(F836,'1PROJE'!$B$7:$F$26,5,0)</f>
        <v>#N/A</v>
      </c>
    </row>
    <row r="837" spans="2:11">
      <c r="B837">
        <f t="shared" si="232"/>
        <v>0</v>
      </c>
      <c r="F837" s="57" t="e">
        <f t="shared" si="229"/>
        <v>#N/A</v>
      </c>
      <c r="G837" t="str">
        <f t="shared" si="230"/>
        <v/>
      </c>
      <c r="I837" t="e">
        <f>VLOOKUP(F837,'1PROJE'!$B$7:$F$26,2,0)</f>
        <v>#N/A</v>
      </c>
      <c r="J837" t="e">
        <f>VLOOKUP(F837,'1PROJE'!$B$7:$F$26,4,0)</f>
        <v>#N/A</v>
      </c>
      <c r="K837" t="e">
        <f>VLOOKUP(F837,'1PROJE'!$B$7:$F$26,5,0)</f>
        <v>#N/A</v>
      </c>
    </row>
    <row r="838" spans="2:11">
      <c r="B838">
        <f t="shared" si="232"/>
        <v>0</v>
      </c>
      <c r="F838" s="57" t="e">
        <f t="shared" si="229"/>
        <v>#N/A</v>
      </c>
      <c r="G838" t="str">
        <f t="shared" si="230"/>
        <v/>
      </c>
      <c r="I838" t="e">
        <f>VLOOKUP(F838,'1PROJE'!$B$7:$F$26,2,0)</f>
        <v>#N/A</v>
      </c>
      <c r="J838" t="e">
        <f>VLOOKUP(F838,'1PROJE'!$B$7:$F$26,4,0)</f>
        <v>#N/A</v>
      </c>
      <c r="K838" t="e">
        <f>VLOOKUP(F838,'1PROJE'!$B$7:$F$26,5,0)</f>
        <v>#N/A</v>
      </c>
    </row>
    <row r="839" spans="2:11">
      <c r="B839">
        <f t="shared" si="232"/>
        <v>0</v>
      </c>
      <c r="F839" s="57" t="e">
        <f t="shared" si="229"/>
        <v>#N/A</v>
      </c>
      <c r="G839" t="str">
        <f t="shared" si="230"/>
        <v/>
      </c>
      <c r="I839" t="e">
        <f>VLOOKUP(F839,'1PROJE'!$B$7:$F$26,2,0)</f>
        <v>#N/A</v>
      </c>
      <c r="J839" t="e">
        <f>VLOOKUP(F839,'1PROJE'!$B$7:$F$26,4,0)</f>
        <v>#N/A</v>
      </c>
      <c r="K839" t="e">
        <f>VLOOKUP(F839,'1PROJE'!$B$7:$F$26,5,0)</f>
        <v>#N/A</v>
      </c>
    </row>
    <row r="840" spans="2:11">
      <c r="B840">
        <f t="shared" si="232"/>
        <v>0</v>
      </c>
      <c r="F840" s="57" t="e">
        <f t="shared" si="229"/>
        <v>#N/A</v>
      </c>
      <c r="G840" t="str">
        <f t="shared" si="230"/>
        <v/>
      </c>
      <c r="I840" t="e">
        <f>VLOOKUP(F840,'1PROJE'!$B$7:$F$26,2,0)</f>
        <v>#N/A</v>
      </c>
      <c r="J840" t="e">
        <f>VLOOKUP(F840,'1PROJE'!$B$7:$F$26,4,0)</f>
        <v>#N/A</v>
      </c>
      <c r="K840" t="e">
        <f>VLOOKUP(F840,'1PROJE'!$B$7:$F$26,5,0)</f>
        <v>#N/A</v>
      </c>
    </row>
    <row r="841" spans="2:11">
      <c r="B841">
        <f t="shared" si="232"/>
        <v>0</v>
      </c>
      <c r="F841" s="57" t="e">
        <f t="shared" si="229"/>
        <v>#N/A</v>
      </c>
      <c r="G841" t="str">
        <f t="shared" si="230"/>
        <v/>
      </c>
      <c r="I841" t="e">
        <f>VLOOKUP(F841,'1PROJE'!$B$7:$F$26,2,0)</f>
        <v>#N/A</v>
      </c>
      <c r="J841" t="e">
        <f>VLOOKUP(F841,'1PROJE'!$B$7:$F$26,4,0)</f>
        <v>#N/A</v>
      </c>
      <c r="K841" t="e">
        <f>VLOOKUP(F841,'1PROJE'!$B$7:$F$26,5,0)</f>
        <v>#N/A</v>
      </c>
    </row>
    <row r="842" spans="2:11">
      <c r="B842">
        <f t="shared" si="232"/>
        <v>0</v>
      </c>
      <c r="F842" s="57" t="e">
        <f t="shared" si="229"/>
        <v>#N/A</v>
      </c>
      <c r="G842" t="str">
        <f t="shared" si="230"/>
        <v/>
      </c>
      <c r="I842" t="e">
        <f>VLOOKUP(F842,'1PROJE'!$B$7:$F$26,2,0)</f>
        <v>#N/A</v>
      </c>
      <c r="J842" t="e">
        <f>VLOOKUP(F842,'1PROJE'!$B$7:$F$26,4,0)</f>
        <v>#N/A</v>
      </c>
      <c r="K842" t="e">
        <f>VLOOKUP(F842,'1PROJE'!$B$7:$F$26,5,0)</f>
        <v>#N/A</v>
      </c>
    </row>
    <row r="843" spans="2:11">
      <c r="B843">
        <f t="shared" si="232"/>
        <v>0</v>
      </c>
      <c r="F843" s="57" t="e">
        <f t="shared" ref="F843:F906" si="233">VLOOKUP(G843,$C$64:$D$83,2,0)</f>
        <v>#N/A</v>
      </c>
      <c r="G843" t="str">
        <f t="shared" ref="G843:G906" si="234">LEFT(H843,6)</f>
        <v/>
      </c>
      <c r="I843" t="e">
        <f>VLOOKUP(F843,'1PROJE'!$B$7:$F$26,2,0)</f>
        <v>#N/A</v>
      </c>
      <c r="J843" t="e">
        <f>VLOOKUP(F843,'1PROJE'!$B$7:$F$26,4,0)</f>
        <v>#N/A</v>
      </c>
      <c r="K843" t="e">
        <f>VLOOKUP(F843,'1PROJE'!$B$7:$F$26,5,0)</f>
        <v>#N/A</v>
      </c>
    </row>
    <row r="844" spans="2:11">
      <c r="B844">
        <f t="shared" si="232"/>
        <v>0</v>
      </c>
      <c r="F844" s="57" t="e">
        <f t="shared" si="233"/>
        <v>#N/A</v>
      </c>
      <c r="G844" t="str">
        <f t="shared" si="234"/>
        <v/>
      </c>
      <c r="I844" t="e">
        <f>VLOOKUP(F844,'1PROJE'!$B$7:$F$26,2,0)</f>
        <v>#N/A</v>
      </c>
      <c r="J844" t="e">
        <f>VLOOKUP(F844,'1PROJE'!$B$7:$F$26,4,0)</f>
        <v>#N/A</v>
      </c>
      <c r="K844" t="e">
        <f>VLOOKUP(F844,'1PROJE'!$B$7:$F$26,5,0)</f>
        <v>#N/A</v>
      </c>
    </row>
    <row r="845" spans="2:11">
      <c r="B845">
        <f t="shared" si="232"/>
        <v>0</v>
      </c>
      <c r="F845" s="57" t="e">
        <f t="shared" si="233"/>
        <v>#N/A</v>
      </c>
      <c r="G845" t="str">
        <f t="shared" si="234"/>
        <v/>
      </c>
      <c r="I845" t="e">
        <f>VLOOKUP(F845,'1PROJE'!$B$7:$F$26,2,0)</f>
        <v>#N/A</v>
      </c>
      <c r="J845" t="e">
        <f>VLOOKUP(F845,'1PROJE'!$B$7:$F$26,4,0)</f>
        <v>#N/A</v>
      </c>
      <c r="K845" t="e">
        <f>VLOOKUP(F845,'1PROJE'!$B$7:$F$26,5,0)</f>
        <v>#N/A</v>
      </c>
    </row>
    <row r="846" spans="2:11">
      <c r="B846">
        <f t="shared" si="232"/>
        <v>0</v>
      </c>
      <c r="F846" s="57" t="e">
        <f t="shared" si="233"/>
        <v>#N/A</v>
      </c>
      <c r="G846" t="str">
        <f t="shared" si="234"/>
        <v/>
      </c>
      <c r="I846" t="e">
        <f>VLOOKUP(F846,'1PROJE'!$B$7:$F$26,2,0)</f>
        <v>#N/A</v>
      </c>
      <c r="J846" t="e">
        <f>VLOOKUP(F846,'1PROJE'!$B$7:$F$26,4,0)</f>
        <v>#N/A</v>
      </c>
      <c r="K846" t="e">
        <f>VLOOKUP(F846,'1PROJE'!$B$7:$F$26,5,0)</f>
        <v>#N/A</v>
      </c>
    </row>
    <row r="847" spans="2:11">
      <c r="B847">
        <f t="shared" si="232"/>
        <v>0</v>
      </c>
      <c r="F847" s="57" t="e">
        <f t="shared" si="233"/>
        <v>#N/A</v>
      </c>
      <c r="G847" t="str">
        <f t="shared" si="234"/>
        <v/>
      </c>
      <c r="I847" t="e">
        <f>VLOOKUP(F847,'1PROJE'!$B$7:$F$26,2,0)</f>
        <v>#N/A</v>
      </c>
      <c r="J847" t="e">
        <f>VLOOKUP(F847,'1PROJE'!$B$7:$F$26,4,0)</f>
        <v>#N/A</v>
      </c>
      <c r="K847" t="e">
        <f>VLOOKUP(F847,'1PROJE'!$B$7:$F$26,5,0)</f>
        <v>#N/A</v>
      </c>
    </row>
    <row r="848" spans="2:11">
      <c r="B848">
        <f t="shared" si="232"/>
        <v>0</v>
      </c>
      <c r="F848" s="57" t="e">
        <f t="shared" si="233"/>
        <v>#N/A</v>
      </c>
      <c r="G848" t="str">
        <f t="shared" si="234"/>
        <v/>
      </c>
      <c r="I848" t="e">
        <f>VLOOKUP(F848,'1PROJE'!$B$7:$F$26,2,0)</f>
        <v>#N/A</v>
      </c>
      <c r="J848" t="e">
        <f>VLOOKUP(F848,'1PROJE'!$B$7:$F$26,4,0)</f>
        <v>#N/A</v>
      </c>
      <c r="K848" t="e">
        <f>VLOOKUP(F848,'1PROJE'!$B$7:$F$26,5,0)</f>
        <v>#N/A</v>
      </c>
    </row>
    <row r="849" spans="2:11">
      <c r="B849">
        <f t="shared" si="232"/>
        <v>0</v>
      </c>
      <c r="F849" s="57" t="e">
        <f t="shared" si="233"/>
        <v>#N/A</v>
      </c>
      <c r="G849" t="str">
        <f t="shared" si="234"/>
        <v/>
      </c>
      <c r="I849" t="e">
        <f>VLOOKUP(F849,'1PROJE'!$B$7:$F$26,2,0)</f>
        <v>#N/A</v>
      </c>
      <c r="J849" t="e">
        <f>VLOOKUP(F849,'1PROJE'!$B$7:$F$26,4,0)</f>
        <v>#N/A</v>
      </c>
      <c r="K849" t="e">
        <f>VLOOKUP(F849,'1PROJE'!$B$7:$F$26,5,0)</f>
        <v>#N/A</v>
      </c>
    </row>
    <row r="850" spans="2:11">
      <c r="B850">
        <f t="shared" si="232"/>
        <v>0</v>
      </c>
      <c r="F850" s="57" t="e">
        <f t="shared" si="233"/>
        <v>#N/A</v>
      </c>
      <c r="G850" t="str">
        <f t="shared" si="234"/>
        <v/>
      </c>
      <c r="I850" t="e">
        <f>VLOOKUP(F850,'1PROJE'!$B$7:$F$26,2,0)</f>
        <v>#N/A</v>
      </c>
      <c r="J850" t="e">
        <f>VLOOKUP(F850,'1PROJE'!$B$7:$F$26,4,0)</f>
        <v>#N/A</v>
      </c>
      <c r="K850" t="e">
        <f>VLOOKUP(F850,'1PROJE'!$B$7:$F$26,5,0)</f>
        <v>#N/A</v>
      </c>
    </row>
    <row r="851" spans="2:11">
      <c r="B851">
        <f t="shared" si="232"/>
        <v>0</v>
      </c>
      <c r="F851" s="57" t="e">
        <f t="shared" si="233"/>
        <v>#N/A</v>
      </c>
      <c r="G851" t="str">
        <f t="shared" si="234"/>
        <v/>
      </c>
      <c r="I851" t="e">
        <f>VLOOKUP(F851,'1PROJE'!$B$7:$F$26,2,0)</f>
        <v>#N/A</v>
      </c>
      <c r="J851" t="e">
        <f>VLOOKUP(F851,'1PROJE'!$B$7:$F$26,4,0)</f>
        <v>#N/A</v>
      </c>
      <c r="K851" t="e">
        <f>VLOOKUP(F851,'1PROJE'!$B$7:$F$26,5,0)</f>
        <v>#N/A</v>
      </c>
    </row>
    <row r="852" spans="2:11">
      <c r="B852">
        <f t="shared" si="232"/>
        <v>0</v>
      </c>
      <c r="F852" s="57" t="e">
        <f t="shared" si="233"/>
        <v>#N/A</v>
      </c>
      <c r="G852" t="str">
        <f t="shared" si="234"/>
        <v/>
      </c>
      <c r="I852" t="e">
        <f>VLOOKUP(F852,'1PROJE'!$B$7:$F$26,2,0)</f>
        <v>#N/A</v>
      </c>
      <c r="J852" t="e">
        <f>VLOOKUP(F852,'1PROJE'!$B$7:$F$26,4,0)</f>
        <v>#N/A</v>
      </c>
      <c r="K852" t="e">
        <f>VLOOKUP(F852,'1PROJE'!$B$7:$F$26,5,0)</f>
        <v>#N/A</v>
      </c>
    </row>
    <row r="853" spans="2:11">
      <c r="B853">
        <f t="shared" si="232"/>
        <v>0</v>
      </c>
      <c r="F853" s="57" t="e">
        <f t="shared" si="233"/>
        <v>#N/A</v>
      </c>
      <c r="G853" t="str">
        <f t="shared" si="234"/>
        <v/>
      </c>
      <c r="I853" t="e">
        <f>VLOOKUP(F853,'1PROJE'!$B$7:$F$26,2,0)</f>
        <v>#N/A</v>
      </c>
      <c r="J853" t="e">
        <f>VLOOKUP(F853,'1PROJE'!$B$7:$F$26,4,0)</f>
        <v>#N/A</v>
      </c>
      <c r="K853" t="e">
        <f>VLOOKUP(F853,'1PROJE'!$B$7:$F$26,5,0)</f>
        <v>#N/A</v>
      </c>
    </row>
    <row r="854" spans="2:11">
      <c r="B854">
        <f t="shared" si="232"/>
        <v>0</v>
      </c>
      <c r="F854" s="57" t="e">
        <f t="shared" si="233"/>
        <v>#N/A</v>
      </c>
      <c r="G854" t="str">
        <f t="shared" si="234"/>
        <v/>
      </c>
      <c r="I854" t="e">
        <f>VLOOKUP(F854,'1PROJE'!$B$7:$F$26,2,0)</f>
        <v>#N/A</v>
      </c>
      <c r="J854" t="e">
        <f>VLOOKUP(F854,'1PROJE'!$B$7:$F$26,4,0)</f>
        <v>#N/A</v>
      </c>
      <c r="K854" t="e">
        <f>VLOOKUP(F854,'1PROJE'!$B$7:$F$26,5,0)</f>
        <v>#N/A</v>
      </c>
    </row>
    <row r="855" spans="2:11">
      <c r="B855">
        <f t="shared" si="232"/>
        <v>0</v>
      </c>
      <c r="F855" s="57" t="e">
        <f t="shared" si="233"/>
        <v>#N/A</v>
      </c>
      <c r="G855" t="str">
        <f t="shared" si="234"/>
        <v/>
      </c>
      <c r="I855" t="e">
        <f>VLOOKUP(F855,'1PROJE'!$B$7:$F$26,2,0)</f>
        <v>#N/A</v>
      </c>
      <c r="J855" t="e">
        <f>VLOOKUP(F855,'1PROJE'!$B$7:$F$26,4,0)</f>
        <v>#N/A</v>
      </c>
      <c r="K855" t="e">
        <f>VLOOKUP(F855,'1PROJE'!$B$7:$F$26,5,0)</f>
        <v>#N/A</v>
      </c>
    </row>
    <row r="856" spans="2:11">
      <c r="B856">
        <f t="shared" si="232"/>
        <v>0</v>
      </c>
      <c r="F856" s="57" t="e">
        <f t="shared" si="233"/>
        <v>#N/A</v>
      </c>
      <c r="G856" t="str">
        <f t="shared" si="234"/>
        <v/>
      </c>
      <c r="I856" t="e">
        <f>VLOOKUP(F856,'1PROJE'!$B$7:$F$26,2,0)</f>
        <v>#N/A</v>
      </c>
      <c r="J856" t="e">
        <f>VLOOKUP(F856,'1PROJE'!$B$7:$F$26,4,0)</f>
        <v>#N/A</v>
      </c>
      <c r="K856" t="e">
        <f>VLOOKUP(F856,'1PROJE'!$B$7:$F$26,5,0)</f>
        <v>#N/A</v>
      </c>
    </row>
    <row r="857" spans="2:11">
      <c r="B857">
        <f t="shared" si="232"/>
        <v>0</v>
      </c>
      <c r="F857" s="57" t="e">
        <f t="shared" si="233"/>
        <v>#N/A</v>
      </c>
      <c r="G857" t="str">
        <f t="shared" si="234"/>
        <v/>
      </c>
      <c r="I857" t="e">
        <f>VLOOKUP(F857,'1PROJE'!$B$7:$F$26,2,0)</f>
        <v>#N/A</v>
      </c>
      <c r="J857" t="e">
        <f>VLOOKUP(F857,'1PROJE'!$B$7:$F$26,4,0)</f>
        <v>#N/A</v>
      </c>
      <c r="K857" t="e">
        <f>VLOOKUP(F857,'1PROJE'!$B$7:$F$26,5,0)</f>
        <v>#N/A</v>
      </c>
    </row>
    <row r="858" spans="2:11">
      <c r="B858">
        <f t="shared" si="232"/>
        <v>0</v>
      </c>
      <c r="F858" s="57" t="e">
        <f t="shared" si="233"/>
        <v>#N/A</v>
      </c>
      <c r="G858" t="str">
        <f t="shared" si="234"/>
        <v/>
      </c>
      <c r="I858" t="e">
        <f>VLOOKUP(F858,'1PROJE'!$B$7:$F$26,2,0)</f>
        <v>#N/A</v>
      </c>
      <c r="J858" t="e">
        <f>VLOOKUP(F858,'1PROJE'!$B$7:$F$26,4,0)</f>
        <v>#N/A</v>
      </c>
      <c r="K858" t="e">
        <f>VLOOKUP(F858,'1PROJE'!$B$7:$F$26,5,0)</f>
        <v>#N/A</v>
      </c>
    </row>
    <row r="859" spans="2:11">
      <c r="B859">
        <f t="shared" ref="B859:B861" si="235">IF(($C$34-A159)&lt;0,0,"POZ"&amp;" "&amp;$I$61&amp;"."&amp;A159)</f>
        <v>0</v>
      </c>
      <c r="F859" s="57" t="e">
        <f t="shared" si="233"/>
        <v>#N/A</v>
      </c>
      <c r="G859" t="str">
        <f t="shared" si="234"/>
        <v/>
      </c>
      <c r="I859" t="e">
        <f>VLOOKUP(F859,'1PROJE'!$B$7:$F$26,2,0)</f>
        <v>#N/A</v>
      </c>
      <c r="J859" t="e">
        <f>VLOOKUP(F859,'1PROJE'!$B$7:$F$26,4,0)</f>
        <v>#N/A</v>
      </c>
      <c r="K859" t="e">
        <f>VLOOKUP(F859,'1PROJE'!$B$7:$F$26,5,0)</f>
        <v>#N/A</v>
      </c>
    </row>
    <row r="860" spans="2:11">
      <c r="B860">
        <f t="shared" si="235"/>
        <v>0</v>
      </c>
      <c r="F860" s="57" t="e">
        <f t="shared" si="233"/>
        <v>#N/A</v>
      </c>
      <c r="G860" t="str">
        <f t="shared" si="234"/>
        <v/>
      </c>
      <c r="I860" t="e">
        <f>VLOOKUP(F860,'1PROJE'!$B$7:$F$26,2,0)</f>
        <v>#N/A</v>
      </c>
      <c r="J860" t="e">
        <f>VLOOKUP(F860,'1PROJE'!$B$7:$F$26,4,0)</f>
        <v>#N/A</v>
      </c>
      <c r="K860" t="e">
        <f>VLOOKUP(F860,'1PROJE'!$B$7:$F$26,5,0)</f>
        <v>#N/A</v>
      </c>
    </row>
    <row r="861" spans="2:11">
      <c r="B861">
        <f t="shared" si="235"/>
        <v>0</v>
      </c>
      <c r="F861" s="57" t="e">
        <f t="shared" si="233"/>
        <v>#N/A</v>
      </c>
      <c r="G861" t="str">
        <f t="shared" si="234"/>
        <v/>
      </c>
      <c r="I861" t="e">
        <f>VLOOKUP(F861,'1PROJE'!$B$7:$F$26,2,0)</f>
        <v>#N/A</v>
      </c>
      <c r="J861" t="e">
        <f>VLOOKUP(F861,'1PROJE'!$B$7:$F$26,4,0)</f>
        <v>#N/A</v>
      </c>
      <c r="K861" t="e">
        <f>VLOOKUP(F861,'1PROJE'!$B$7:$F$26,5,0)</f>
        <v>#N/A</v>
      </c>
    </row>
    <row r="862" spans="2:11">
      <c r="B862">
        <f>IF(C35=0,0,IF(($C$35-A62)=0,"POZ 9.","POZ"&amp;" "&amp;$J$61&amp;"."&amp;A62))</f>
        <v>0</v>
      </c>
      <c r="F862" s="57" t="e">
        <f t="shared" si="233"/>
        <v>#N/A</v>
      </c>
      <c r="G862" t="str">
        <f t="shared" si="234"/>
        <v/>
      </c>
      <c r="I862" t="e">
        <f>VLOOKUP(F862,'1PROJE'!$B$7:$F$26,2,0)</f>
        <v>#N/A</v>
      </c>
      <c r="J862" t="e">
        <f>VLOOKUP(F862,'1PROJE'!$B$7:$F$26,4,0)</f>
        <v>#N/A</v>
      </c>
      <c r="K862" t="e">
        <f>VLOOKUP(F862,'1PROJE'!$B$7:$F$26,5,0)</f>
        <v>#N/A</v>
      </c>
    </row>
    <row r="863" spans="2:11">
      <c r="B863">
        <f t="shared" ref="B863:B894" si="236">IF(($C$35-A63)&lt;0,0,"POZ"&amp;" "&amp;$J$61&amp;"."&amp;A63)</f>
        <v>0</v>
      </c>
      <c r="F863" s="57" t="e">
        <f t="shared" si="233"/>
        <v>#N/A</v>
      </c>
      <c r="G863" t="str">
        <f t="shared" si="234"/>
        <v/>
      </c>
      <c r="I863" t="e">
        <f>VLOOKUP(F863,'1PROJE'!$B$7:$F$26,2,0)</f>
        <v>#N/A</v>
      </c>
      <c r="J863" t="e">
        <f>VLOOKUP(F863,'1PROJE'!$B$7:$F$26,4,0)</f>
        <v>#N/A</v>
      </c>
      <c r="K863" t="e">
        <f>VLOOKUP(F863,'1PROJE'!$B$7:$F$26,5,0)</f>
        <v>#N/A</v>
      </c>
    </row>
    <row r="864" spans="2:11">
      <c r="B864">
        <f t="shared" si="236"/>
        <v>0</v>
      </c>
      <c r="F864" s="57" t="e">
        <f t="shared" si="233"/>
        <v>#N/A</v>
      </c>
      <c r="G864" t="str">
        <f t="shared" si="234"/>
        <v/>
      </c>
      <c r="I864" t="e">
        <f>VLOOKUP(F864,'1PROJE'!$B$7:$F$26,2,0)</f>
        <v>#N/A</v>
      </c>
      <c r="J864" t="e">
        <f>VLOOKUP(F864,'1PROJE'!$B$7:$F$26,4,0)</f>
        <v>#N/A</v>
      </c>
      <c r="K864" t="e">
        <f>VLOOKUP(F864,'1PROJE'!$B$7:$F$26,5,0)</f>
        <v>#N/A</v>
      </c>
    </row>
    <row r="865" spans="2:11">
      <c r="B865">
        <f t="shared" si="236"/>
        <v>0</v>
      </c>
      <c r="F865" s="57" t="e">
        <f t="shared" si="233"/>
        <v>#N/A</v>
      </c>
      <c r="G865" t="str">
        <f t="shared" si="234"/>
        <v/>
      </c>
      <c r="I865" t="e">
        <f>VLOOKUP(F865,'1PROJE'!$B$7:$F$26,2,0)</f>
        <v>#N/A</v>
      </c>
      <c r="J865" t="e">
        <f>VLOOKUP(F865,'1PROJE'!$B$7:$F$26,4,0)</f>
        <v>#N/A</v>
      </c>
      <c r="K865" t="e">
        <f>VLOOKUP(F865,'1PROJE'!$B$7:$F$26,5,0)</f>
        <v>#N/A</v>
      </c>
    </row>
    <row r="866" spans="2:11">
      <c r="B866">
        <f t="shared" si="236"/>
        <v>0</v>
      </c>
      <c r="F866" s="57" t="e">
        <f t="shared" si="233"/>
        <v>#N/A</v>
      </c>
      <c r="G866" t="str">
        <f t="shared" si="234"/>
        <v/>
      </c>
      <c r="I866" t="e">
        <f>VLOOKUP(F866,'1PROJE'!$B$7:$F$26,2,0)</f>
        <v>#N/A</v>
      </c>
      <c r="J866" t="e">
        <f>VLOOKUP(F866,'1PROJE'!$B$7:$F$26,4,0)</f>
        <v>#N/A</v>
      </c>
      <c r="K866" t="e">
        <f>VLOOKUP(F866,'1PROJE'!$B$7:$F$26,5,0)</f>
        <v>#N/A</v>
      </c>
    </row>
    <row r="867" spans="2:11">
      <c r="B867">
        <f t="shared" si="236"/>
        <v>0</v>
      </c>
      <c r="F867" s="57" t="e">
        <f t="shared" si="233"/>
        <v>#N/A</v>
      </c>
      <c r="G867" t="str">
        <f t="shared" si="234"/>
        <v/>
      </c>
      <c r="I867" t="e">
        <f>VLOOKUP(F867,'1PROJE'!$B$7:$F$26,2,0)</f>
        <v>#N/A</v>
      </c>
      <c r="J867" t="e">
        <f>VLOOKUP(F867,'1PROJE'!$B$7:$F$26,4,0)</f>
        <v>#N/A</v>
      </c>
      <c r="K867" t="e">
        <f>VLOOKUP(F867,'1PROJE'!$B$7:$F$26,5,0)</f>
        <v>#N/A</v>
      </c>
    </row>
    <row r="868" spans="2:11">
      <c r="B868">
        <f t="shared" si="236"/>
        <v>0</v>
      </c>
      <c r="F868" s="57" t="e">
        <f t="shared" si="233"/>
        <v>#N/A</v>
      </c>
      <c r="G868" t="str">
        <f t="shared" si="234"/>
        <v/>
      </c>
      <c r="I868" t="e">
        <f>VLOOKUP(F868,'1PROJE'!$B$7:$F$26,2,0)</f>
        <v>#N/A</v>
      </c>
      <c r="J868" t="e">
        <f>VLOOKUP(F868,'1PROJE'!$B$7:$F$26,4,0)</f>
        <v>#N/A</v>
      </c>
      <c r="K868" t="e">
        <f>VLOOKUP(F868,'1PROJE'!$B$7:$F$26,5,0)</f>
        <v>#N/A</v>
      </c>
    </row>
    <row r="869" spans="2:11">
      <c r="B869">
        <f t="shared" si="236"/>
        <v>0</v>
      </c>
      <c r="F869" s="57" t="e">
        <f t="shared" si="233"/>
        <v>#N/A</v>
      </c>
      <c r="G869" t="str">
        <f t="shared" si="234"/>
        <v/>
      </c>
      <c r="I869" t="e">
        <f>VLOOKUP(F869,'1PROJE'!$B$7:$F$26,2,0)</f>
        <v>#N/A</v>
      </c>
      <c r="J869" t="e">
        <f>VLOOKUP(F869,'1PROJE'!$B$7:$F$26,4,0)</f>
        <v>#N/A</v>
      </c>
      <c r="K869" t="e">
        <f>VLOOKUP(F869,'1PROJE'!$B$7:$F$26,5,0)</f>
        <v>#N/A</v>
      </c>
    </row>
    <row r="870" spans="2:11">
      <c r="B870">
        <f t="shared" si="236"/>
        <v>0</v>
      </c>
      <c r="F870" s="57" t="e">
        <f t="shared" si="233"/>
        <v>#N/A</v>
      </c>
      <c r="G870" t="str">
        <f t="shared" si="234"/>
        <v/>
      </c>
      <c r="I870" t="e">
        <f>VLOOKUP(F870,'1PROJE'!$B$7:$F$26,2,0)</f>
        <v>#N/A</v>
      </c>
      <c r="J870" t="e">
        <f>VLOOKUP(F870,'1PROJE'!$B$7:$F$26,4,0)</f>
        <v>#N/A</v>
      </c>
      <c r="K870" t="e">
        <f>VLOOKUP(F870,'1PROJE'!$B$7:$F$26,5,0)</f>
        <v>#N/A</v>
      </c>
    </row>
    <row r="871" spans="2:11">
      <c r="B871">
        <f t="shared" si="236"/>
        <v>0</v>
      </c>
      <c r="F871" s="57" t="e">
        <f t="shared" si="233"/>
        <v>#N/A</v>
      </c>
      <c r="G871" t="str">
        <f t="shared" si="234"/>
        <v/>
      </c>
      <c r="I871" t="e">
        <f>VLOOKUP(F871,'1PROJE'!$B$7:$F$26,2,0)</f>
        <v>#N/A</v>
      </c>
      <c r="J871" t="e">
        <f>VLOOKUP(F871,'1PROJE'!$B$7:$F$26,4,0)</f>
        <v>#N/A</v>
      </c>
      <c r="K871" t="e">
        <f>VLOOKUP(F871,'1PROJE'!$B$7:$F$26,5,0)</f>
        <v>#N/A</v>
      </c>
    </row>
    <row r="872" spans="2:11">
      <c r="B872">
        <f t="shared" si="236"/>
        <v>0</v>
      </c>
      <c r="F872" s="57" t="e">
        <f t="shared" si="233"/>
        <v>#N/A</v>
      </c>
      <c r="G872" t="str">
        <f t="shared" si="234"/>
        <v/>
      </c>
      <c r="I872" t="e">
        <f>VLOOKUP(F872,'1PROJE'!$B$7:$F$26,2,0)</f>
        <v>#N/A</v>
      </c>
      <c r="J872" t="e">
        <f>VLOOKUP(F872,'1PROJE'!$B$7:$F$26,4,0)</f>
        <v>#N/A</v>
      </c>
      <c r="K872" t="e">
        <f>VLOOKUP(F872,'1PROJE'!$B$7:$F$26,5,0)</f>
        <v>#N/A</v>
      </c>
    </row>
    <row r="873" spans="2:11">
      <c r="B873">
        <f t="shared" si="236"/>
        <v>0</v>
      </c>
      <c r="F873" s="57" t="e">
        <f t="shared" si="233"/>
        <v>#N/A</v>
      </c>
      <c r="G873" t="str">
        <f t="shared" si="234"/>
        <v/>
      </c>
      <c r="I873" t="e">
        <f>VLOOKUP(F873,'1PROJE'!$B$7:$F$26,2,0)</f>
        <v>#N/A</v>
      </c>
      <c r="J873" t="e">
        <f>VLOOKUP(F873,'1PROJE'!$B$7:$F$26,4,0)</f>
        <v>#N/A</v>
      </c>
      <c r="K873" t="e">
        <f>VLOOKUP(F873,'1PROJE'!$B$7:$F$26,5,0)</f>
        <v>#N/A</v>
      </c>
    </row>
    <row r="874" spans="2:11">
      <c r="B874">
        <f t="shared" si="236"/>
        <v>0</v>
      </c>
      <c r="F874" s="57" t="e">
        <f t="shared" si="233"/>
        <v>#N/A</v>
      </c>
      <c r="G874" t="str">
        <f t="shared" si="234"/>
        <v/>
      </c>
      <c r="I874" t="e">
        <f>VLOOKUP(F874,'1PROJE'!$B$7:$F$26,2,0)</f>
        <v>#N/A</v>
      </c>
      <c r="J874" t="e">
        <f>VLOOKUP(F874,'1PROJE'!$B$7:$F$26,4,0)</f>
        <v>#N/A</v>
      </c>
      <c r="K874" t="e">
        <f>VLOOKUP(F874,'1PROJE'!$B$7:$F$26,5,0)</f>
        <v>#N/A</v>
      </c>
    </row>
    <row r="875" spans="2:11">
      <c r="B875">
        <f t="shared" si="236"/>
        <v>0</v>
      </c>
      <c r="F875" s="57" t="e">
        <f t="shared" si="233"/>
        <v>#N/A</v>
      </c>
      <c r="G875" t="str">
        <f t="shared" si="234"/>
        <v/>
      </c>
      <c r="I875" t="e">
        <f>VLOOKUP(F875,'1PROJE'!$B$7:$F$26,2,0)</f>
        <v>#N/A</v>
      </c>
      <c r="J875" t="e">
        <f>VLOOKUP(F875,'1PROJE'!$B$7:$F$26,4,0)</f>
        <v>#N/A</v>
      </c>
      <c r="K875" t="e">
        <f>VLOOKUP(F875,'1PROJE'!$B$7:$F$26,5,0)</f>
        <v>#N/A</v>
      </c>
    </row>
    <row r="876" spans="2:11">
      <c r="B876">
        <f t="shared" si="236"/>
        <v>0</v>
      </c>
      <c r="F876" s="57" t="e">
        <f t="shared" si="233"/>
        <v>#N/A</v>
      </c>
      <c r="G876" t="str">
        <f t="shared" si="234"/>
        <v/>
      </c>
      <c r="I876" t="e">
        <f>VLOOKUP(F876,'1PROJE'!$B$7:$F$26,2,0)</f>
        <v>#N/A</v>
      </c>
      <c r="J876" t="e">
        <f>VLOOKUP(F876,'1PROJE'!$B$7:$F$26,4,0)</f>
        <v>#N/A</v>
      </c>
      <c r="K876" t="e">
        <f>VLOOKUP(F876,'1PROJE'!$B$7:$F$26,5,0)</f>
        <v>#N/A</v>
      </c>
    </row>
    <row r="877" spans="2:11">
      <c r="B877">
        <f t="shared" si="236"/>
        <v>0</v>
      </c>
      <c r="F877" s="57" t="e">
        <f t="shared" si="233"/>
        <v>#N/A</v>
      </c>
      <c r="G877" t="str">
        <f t="shared" si="234"/>
        <v/>
      </c>
      <c r="I877" t="e">
        <f>VLOOKUP(F877,'1PROJE'!$B$7:$F$26,2,0)</f>
        <v>#N/A</v>
      </c>
      <c r="J877" t="e">
        <f>VLOOKUP(F877,'1PROJE'!$B$7:$F$26,4,0)</f>
        <v>#N/A</v>
      </c>
      <c r="K877" t="e">
        <f>VLOOKUP(F877,'1PROJE'!$B$7:$F$26,5,0)</f>
        <v>#N/A</v>
      </c>
    </row>
    <row r="878" spans="2:11">
      <c r="B878">
        <f t="shared" si="236"/>
        <v>0</v>
      </c>
      <c r="F878" s="57" t="e">
        <f t="shared" si="233"/>
        <v>#N/A</v>
      </c>
      <c r="G878" t="str">
        <f t="shared" si="234"/>
        <v/>
      </c>
      <c r="I878" t="e">
        <f>VLOOKUP(F878,'1PROJE'!$B$7:$F$26,2,0)</f>
        <v>#N/A</v>
      </c>
      <c r="J878" t="e">
        <f>VLOOKUP(F878,'1PROJE'!$B$7:$F$26,4,0)</f>
        <v>#N/A</v>
      </c>
      <c r="K878" t="e">
        <f>VLOOKUP(F878,'1PROJE'!$B$7:$F$26,5,0)</f>
        <v>#N/A</v>
      </c>
    </row>
    <row r="879" spans="2:11">
      <c r="B879">
        <f t="shared" si="236"/>
        <v>0</v>
      </c>
      <c r="F879" s="57" t="e">
        <f t="shared" si="233"/>
        <v>#N/A</v>
      </c>
      <c r="G879" t="str">
        <f t="shared" si="234"/>
        <v/>
      </c>
      <c r="I879" t="e">
        <f>VLOOKUP(F879,'1PROJE'!$B$7:$F$26,2,0)</f>
        <v>#N/A</v>
      </c>
      <c r="J879" t="e">
        <f>VLOOKUP(F879,'1PROJE'!$B$7:$F$26,4,0)</f>
        <v>#N/A</v>
      </c>
      <c r="K879" t="e">
        <f>VLOOKUP(F879,'1PROJE'!$B$7:$F$26,5,0)</f>
        <v>#N/A</v>
      </c>
    </row>
    <row r="880" spans="2:11">
      <c r="B880">
        <f t="shared" si="236"/>
        <v>0</v>
      </c>
      <c r="F880" s="57" t="e">
        <f t="shared" si="233"/>
        <v>#N/A</v>
      </c>
      <c r="G880" t="str">
        <f t="shared" si="234"/>
        <v/>
      </c>
      <c r="I880" t="e">
        <f>VLOOKUP(F880,'1PROJE'!$B$7:$F$26,2,0)</f>
        <v>#N/A</v>
      </c>
      <c r="J880" t="e">
        <f>VLOOKUP(F880,'1PROJE'!$B$7:$F$26,4,0)</f>
        <v>#N/A</v>
      </c>
      <c r="K880" t="e">
        <f>VLOOKUP(F880,'1PROJE'!$B$7:$F$26,5,0)</f>
        <v>#N/A</v>
      </c>
    </row>
    <row r="881" spans="2:11">
      <c r="B881">
        <f t="shared" si="236"/>
        <v>0</v>
      </c>
      <c r="F881" s="57" t="e">
        <f t="shared" si="233"/>
        <v>#N/A</v>
      </c>
      <c r="G881" t="str">
        <f t="shared" si="234"/>
        <v/>
      </c>
      <c r="I881" t="e">
        <f>VLOOKUP(F881,'1PROJE'!$B$7:$F$26,2,0)</f>
        <v>#N/A</v>
      </c>
      <c r="J881" t="e">
        <f>VLOOKUP(F881,'1PROJE'!$B$7:$F$26,4,0)</f>
        <v>#N/A</v>
      </c>
      <c r="K881" t="e">
        <f>VLOOKUP(F881,'1PROJE'!$B$7:$F$26,5,0)</f>
        <v>#N/A</v>
      </c>
    </row>
    <row r="882" spans="2:11">
      <c r="B882">
        <f t="shared" si="236"/>
        <v>0</v>
      </c>
      <c r="F882" s="57" t="e">
        <f t="shared" si="233"/>
        <v>#N/A</v>
      </c>
      <c r="G882" t="str">
        <f t="shared" si="234"/>
        <v/>
      </c>
      <c r="I882" t="e">
        <f>VLOOKUP(F882,'1PROJE'!$B$7:$F$26,2,0)</f>
        <v>#N/A</v>
      </c>
      <c r="J882" t="e">
        <f>VLOOKUP(F882,'1PROJE'!$B$7:$F$26,4,0)</f>
        <v>#N/A</v>
      </c>
      <c r="K882" t="e">
        <f>VLOOKUP(F882,'1PROJE'!$B$7:$F$26,5,0)</f>
        <v>#N/A</v>
      </c>
    </row>
    <row r="883" spans="2:11">
      <c r="B883">
        <f t="shared" si="236"/>
        <v>0</v>
      </c>
      <c r="F883" s="57" t="e">
        <f t="shared" si="233"/>
        <v>#N/A</v>
      </c>
      <c r="G883" t="str">
        <f t="shared" si="234"/>
        <v/>
      </c>
      <c r="I883" t="e">
        <f>VLOOKUP(F883,'1PROJE'!$B$7:$F$26,2,0)</f>
        <v>#N/A</v>
      </c>
      <c r="J883" t="e">
        <f>VLOOKUP(F883,'1PROJE'!$B$7:$F$26,4,0)</f>
        <v>#N/A</v>
      </c>
      <c r="K883" t="e">
        <f>VLOOKUP(F883,'1PROJE'!$B$7:$F$26,5,0)</f>
        <v>#N/A</v>
      </c>
    </row>
    <row r="884" spans="2:11">
      <c r="B884">
        <f t="shared" si="236"/>
        <v>0</v>
      </c>
      <c r="F884" s="57" t="e">
        <f t="shared" si="233"/>
        <v>#N/A</v>
      </c>
      <c r="G884" t="str">
        <f t="shared" si="234"/>
        <v/>
      </c>
      <c r="I884" t="e">
        <f>VLOOKUP(F884,'1PROJE'!$B$7:$F$26,2,0)</f>
        <v>#N/A</v>
      </c>
      <c r="J884" t="e">
        <f>VLOOKUP(F884,'1PROJE'!$B$7:$F$26,4,0)</f>
        <v>#N/A</v>
      </c>
      <c r="K884" t="e">
        <f>VLOOKUP(F884,'1PROJE'!$B$7:$F$26,5,0)</f>
        <v>#N/A</v>
      </c>
    </row>
    <row r="885" spans="2:11">
      <c r="B885">
        <f t="shared" si="236"/>
        <v>0</v>
      </c>
      <c r="F885" s="57" t="e">
        <f t="shared" si="233"/>
        <v>#N/A</v>
      </c>
      <c r="G885" t="str">
        <f t="shared" si="234"/>
        <v/>
      </c>
      <c r="I885" t="e">
        <f>VLOOKUP(F885,'1PROJE'!$B$7:$F$26,2,0)</f>
        <v>#N/A</v>
      </c>
      <c r="J885" t="e">
        <f>VLOOKUP(F885,'1PROJE'!$B$7:$F$26,4,0)</f>
        <v>#N/A</v>
      </c>
      <c r="K885" t="e">
        <f>VLOOKUP(F885,'1PROJE'!$B$7:$F$26,5,0)</f>
        <v>#N/A</v>
      </c>
    </row>
    <row r="886" spans="2:11">
      <c r="B886">
        <f t="shared" si="236"/>
        <v>0</v>
      </c>
      <c r="F886" s="57" t="e">
        <f t="shared" si="233"/>
        <v>#N/A</v>
      </c>
      <c r="G886" t="str">
        <f t="shared" si="234"/>
        <v/>
      </c>
      <c r="I886" t="e">
        <f>VLOOKUP(F886,'1PROJE'!$B$7:$F$26,2,0)</f>
        <v>#N/A</v>
      </c>
      <c r="J886" t="e">
        <f>VLOOKUP(F886,'1PROJE'!$B$7:$F$26,4,0)</f>
        <v>#N/A</v>
      </c>
      <c r="K886" t="e">
        <f>VLOOKUP(F886,'1PROJE'!$B$7:$F$26,5,0)</f>
        <v>#N/A</v>
      </c>
    </row>
    <row r="887" spans="2:11">
      <c r="B887">
        <f t="shared" si="236"/>
        <v>0</v>
      </c>
      <c r="F887" s="57" t="e">
        <f t="shared" si="233"/>
        <v>#N/A</v>
      </c>
      <c r="G887" t="str">
        <f t="shared" si="234"/>
        <v/>
      </c>
      <c r="I887" t="e">
        <f>VLOOKUP(F887,'1PROJE'!$B$7:$F$26,2,0)</f>
        <v>#N/A</v>
      </c>
      <c r="J887" t="e">
        <f>VLOOKUP(F887,'1PROJE'!$B$7:$F$26,4,0)</f>
        <v>#N/A</v>
      </c>
      <c r="K887" t="e">
        <f>VLOOKUP(F887,'1PROJE'!$B$7:$F$26,5,0)</f>
        <v>#N/A</v>
      </c>
    </row>
    <row r="888" spans="2:11">
      <c r="B888">
        <f t="shared" si="236"/>
        <v>0</v>
      </c>
      <c r="F888" s="57" t="e">
        <f t="shared" si="233"/>
        <v>#N/A</v>
      </c>
      <c r="G888" t="str">
        <f t="shared" si="234"/>
        <v/>
      </c>
      <c r="I888" t="e">
        <f>VLOOKUP(F888,'1PROJE'!$B$7:$F$26,2,0)</f>
        <v>#N/A</v>
      </c>
      <c r="J888" t="e">
        <f>VLOOKUP(F888,'1PROJE'!$B$7:$F$26,4,0)</f>
        <v>#N/A</v>
      </c>
      <c r="K888" t="e">
        <f>VLOOKUP(F888,'1PROJE'!$B$7:$F$26,5,0)</f>
        <v>#N/A</v>
      </c>
    </row>
    <row r="889" spans="2:11">
      <c r="B889">
        <f t="shared" si="236"/>
        <v>0</v>
      </c>
      <c r="F889" s="57" t="e">
        <f t="shared" si="233"/>
        <v>#N/A</v>
      </c>
      <c r="G889" t="str">
        <f t="shared" si="234"/>
        <v/>
      </c>
      <c r="I889" t="e">
        <f>VLOOKUP(F889,'1PROJE'!$B$7:$F$26,2,0)</f>
        <v>#N/A</v>
      </c>
      <c r="J889" t="e">
        <f>VLOOKUP(F889,'1PROJE'!$B$7:$F$26,4,0)</f>
        <v>#N/A</v>
      </c>
      <c r="K889" t="e">
        <f>VLOOKUP(F889,'1PROJE'!$B$7:$F$26,5,0)</f>
        <v>#N/A</v>
      </c>
    </row>
    <row r="890" spans="2:11">
      <c r="B890">
        <f t="shared" si="236"/>
        <v>0</v>
      </c>
      <c r="F890" s="57" t="e">
        <f t="shared" si="233"/>
        <v>#N/A</v>
      </c>
      <c r="G890" t="str">
        <f t="shared" si="234"/>
        <v/>
      </c>
      <c r="I890" t="e">
        <f>VLOOKUP(F890,'1PROJE'!$B$7:$F$26,2,0)</f>
        <v>#N/A</v>
      </c>
      <c r="J890" t="e">
        <f>VLOOKUP(F890,'1PROJE'!$B$7:$F$26,4,0)</f>
        <v>#N/A</v>
      </c>
      <c r="K890" t="e">
        <f>VLOOKUP(F890,'1PROJE'!$B$7:$F$26,5,0)</f>
        <v>#N/A</v>
      </c>
    </row>
    <row r="891" spans="2:11">
      <c r="B891">
        <f t="shared" si="236"/>
        <v>0</v>
      </c>
      <c r="F891" s="57" t="e">
        <f t="shared" si="233"/>
        <v>#N/A</v>
      </c>
      <c r="G891" t="str">
        <f t="shared" si="234"/>
        <v/>
      </c>
      <c r="I891" t="e">
        <f>VLOOKUP(F891,'1PROJE'!$B$7:$F$26,2,0)</f>
        <v>#N/A</v>
      </c>
      <c r="J891" t="e">
        <f>VLOOKUP(F891,'1PROJE'!$B$7:$F$26,4,0)</f>
        <v>#N/A</v>
      </c>
      <c r="K891" t="e">
        <f>VLOOKUP(F891,'1PROJE'!$B$7:$F$26,5,0)</f>
        <v>#N/A</v>
      </c>
    </row>
    <row r="892" spans="2:11">
      <c r="B892">
        <f t="shared" si="236"/>
        <v>0</v>
      </c>
      <c r="F892" s="57" t="e">
        <f t="shared" si="233"/>
        <v>#N/A</v>
      </c>
      <c r="G892" t="str">
        <f t="shared" si="234"/>
        <v/>
      </c>
      <c r="I892" t="e">
        <f>VLOOKUP(F892,'1PROJE'!$B$7:$F$26,2,0)</f>
        <v>#N/A</v>
      </c>
      <c r="J892" t="e">
        <f>VLOOKUP(F892,'1PROJE'!$B$7:$F$26,4,0)</f>
        <v>#N/A</v>
      </c>
      <c r="K892" t="e">
        <f>VLOOKUP(F892,'1PROJE'!$B$7:$F$26,5,0)</f>
        <v>#N/A</v>
      </c>
    </row>
    <row r="893" spans="2:11">
      <c r="B893">
        <f t="shared" si="236"/>
        <v>0</v>
      </c>
      <c r="F893" s="57" t="e">
        <f t="shared" si="233"/>
        <v>#N/A</v>
      </c>
      <c r="G893" t="str">
        <f t="shared" si="234"/>
        <v/>
      </c>
      <c r="I893" t="e">
        <f>VLOOKUP(F893,'1PROJE'!$B$7:$F$26,2,0)</f>
        <v>#N/A</v>
      </c>
      <c r="J893" t="e">
        <f>VLOOKUP(F893,'1PROJE'!$B$7:$F$26,4,0)</f>
        <v>#N/A</v>
      </c>
      <c r="K893" t="e">
        <f>VLOOKUP(F893,'1PROJE'!$B$7:$F$26,5,0)</f>
        <v>#N/A</v>
      </c>
    </row>
    <row r="894" spans="2:11">
      <c r="B894">
        <f t="shared" si="236"/>
        <v>0</v>
      </c>
      <c r="F894" s="57" t="e">
        <f t="shared" si="233"/>
        <v>#N/A</v>
      </c>
      <c r="G894" t="str">
        <f t="shared" si="234"/>
        <v/>
      </c>
      <c r="I894" t="e">
        <f>VLOOKUP(F894,'1PROJE'!$B$7:$F$26,2,0)</f>
        <v>#N/A</v>
      </c>
      <c r="J894" t="e">
        <f>VLOOKUP(F894,'1PROJE'!$B$7:$F$26,4,0)</f>
        <v>#N/A</v>
      </c>
      <c r="K894" t="e">
        <f>VLOOKUP(F894,'1PROJE'!$B$7:$F$26,5,0)</f>
        <v>#N/A</v>
      </c>
    </row>
    <row r="895" spans="2:11">
      <c r="B895">
        <f t="shared" ref="B895:B926" si="237">IF(($C$35-A95)&lt;0,0,"POZ"&amp;" "&amp;$J$61&amp;"."&amp;A95)</f>
        <v>0</v>
      </c>
      <c r="F895" s="57" t="e">
        <f t="shared" si="233"/>
        <v>#N/A</v>
      </c>
      <c r="G895" t="str">
        <f t="shared" si="234"/>
        <v/>
      </c>
      <c r="I895" t="e">
        <f>VLOOKUP(F895,'1PROJE'!$B$7:$F$26,2,0)</f>
        <v>#N/A</v>
      </c>
      <c r="J895" t="e">
        <f>VLOOKUP(F895,'1PROJE'!$B$7:$F$26,4,0)</f>
        <v>#N/A</v>
      </c>
      <c r="K895" t="e">
        <f>VLOOKUP(F895,'1PROJE'!$B$7:$F$26,5,0)</f>
        <v>#N/A</v>
      </c>
    </row>
    <row r="896" spans="2:11">
      <c r="B896">
        <f t="shared" si="237"/>
        <v>0</v>
      </c>
      <c r="F896" s="57" t="e">
        <f t="shared" si="233"/>
        <v>#N/A</v>
      </c>
      <c r="G896" t="str">
        <f t="shared" si="234"/>
        <v/>
      </c>
      <c r="I896" t="e">
        <f>VLOOKUP(F896,'1PROJE'!$B$7:$F$26,2,0)</f>
        <v>#N/A</v>
      </c>
      <c r="J896" t="e">
        <f>VLOOKUP(F896,'1PROJE'!$B$7:$F$26,4,0)</f>
        <v>#N/A</v>
      </c>
      <c r="K896" t="e">
        <f>VLOOKUP(F896,'1PROJE'!$B$7:$F$26,5,0)</f>
        <v>#N/A</v>
      </c>
    </row>
    <row r="897" spans="2:11">
      <c r="B897">
        <f t="shared" si="237"/>
        <v>0</v>
      </c>
      <c r="F897" s="57" t="e">
        <f t="shared" si="233"/>
        <v>#N/A</v>
      </c>
      <c r="G897" t="str">
        <f t="shared" si="234"/>
        <v/>
      </c>
      <c r="I897" t="e">
        <f>VLOOKUP(F897,'1PROJE'!$B$7:$F$26,2,0)</f>
        <v>#N/A</v>
      </c>
      <c r="J897" t="e">
        <f>VLOOKUP(F897,'1PROJE'!$B$7:$F$26,4,0)</f>
        <v>#N/A</v>
      </c>
      <c r="K897" t="e">
        <f>VLOOKUP(F897,'1PROJE'!$B$7:$F$26,5,0)</f>
        <v>#N/A</v>
      </c>
    </row>
    <row r="898" spans="2:11">
      <c r="B898">
        <f t="shared" si="237"/>
        <v>0</v>
      </c>
      <c r="F898" s="57" t="e">
        <f t="shared" si="233"/>
        <v>#N/A</v>
      </c>
      <c r="G898" t="str">
        <f t="shared" si="234"/>
        <v/>
      </c>
      <c r="I898" t="e">
        <f>VLOOKUP(F898,'1PROJE'!$B$7:$F$26,2,0)</f>
        <v>#N/A</v>
      </c>
      <c r="J898" t="e">
        <f>VLOOKUP(F898,'1PROJE'!$B$7:$F$26,4,0)</f>
        <v>#N/A</v>
      </c>
      <c r="K898" t="e">
        <f>VLOOKUP(F898,'1PROJE'!$B$7:$F$26,5,0)</f>
        <v>#N/A</v>
      </c>
    </row>
    <row r="899" spans="2:11">
      <c r="B899">
        <f t="shared" si="237"/>
        <v>0</v>
      </c>
      <c r="F899" s="57" t="e">
        <f t="shared" si="233"/>
        <v>#N/A</v>
      </c>
      <c r="G899" t="str">
        <f t="shared" si="234"/>
        <v/>
      </c>
      <c r="I899" t="e">
        <f>VLOOKUP(F899,'1PROJE'!$B$7:$F$26,2,0)</f>
        <v>#N/A</v>
      </c>
      <c r="J899" t="e">
        <f>VLOOKUP(F899,'1PROJE'!$B$7:$F$26,4,0)</f>
        <v>#N/A</v>
      </c>
      <c r="K899" t="e">
        <f>VLOOKUP(F899,'1PROJE'!$B$7:$F$26,5,0)</f>
        <v>#N/A</v>
      </c>
    </row>
    <row r="900" spans="2:11">
      <c r="B900">
        <f t="shared" si="237"/>
        <v>0</v>
      </c>
      <c r="F900" s="57" t="e">
        <f t="shared" si="233"/>
        <v>#N/A</v>
      </c>
      <c r="G900" t="str">
        <f t="shared" si="234"/>
        <v/>
      </c>
      <c r="I900" t="e">
        <f>VLOOKUP(F900,'1PROJE'!$B$7:$F$26,2,0)</f>
        <v>#N/A</v>
      </c>
      <c r="J900" t="e">
        <f>VLOOKUP(F900,'1PROJE'!$B$7:$F$26,4,0)</f>
        <v>#N/A</v>
      </c>
      <c r="K900" t="e">
        <f>VLOOKUP(F900,'1PROJE'!$B$7:$F$26,5,0)</f>
        <v>#N/A</v>
      </c>
    </row>
    <row r="901" spans="2:11">
      <c r="B901">
        <f t="shared" si="237"/>
        <v>0</v>
      </c>
      <c r="F901" s="57" t="e">
        <f t="shared" si="233"/>
        <v>#N/A</v>
      </c>
      <c r="G901" t="str">
        <f t="shared" si="234"/>
        <v/>
      </c>
      <c r="I901" t="e">
        <f>VLOOKUP(F901,'1PROJE'!$B$7:$F$26,2,0)</f>
        <v>#N/A</v>
      </c>
      <c r="J901" t="e">
        <f>VLOOKUP(F901,'1PROJE'!$B$7:$F$26,4,0)</f>
        <v>#N/A</v>
      </c>
      <c r="K901" t="e">
        <f>VLOOKUP(F901,'1PROJE'!$B$7:$F$26,5,0)</f>
        <v>#N/A</v>
      </c>
    </row>
    <row r="902" spans="2:11">
      <c r="B902">
        <f t="shared" si="237"/>
        <v>0</v>
      </c>
      <c r="F902" s="57" t="e">
        <f t="shared" si="233"/>
        <v>#N/A</v>
      </c>
      <c r="G902" t="str">
        <f t="shared" si="234"/>
        <v/>
      </c>
      <c r="I902" t="e">
        <f>VLOOKUP(F902,'1PROJE'!$B$7:$F$26,2,0)</f>
        <v>#N/A</v>
      </c>
      <c r="J902" t="e">
        <f>VLOOKUP(F902,'1PROJE'!$B$7:$F$26,4,0)</f>
        <v>#N/A</v>
      </c>
      <c r="K902" t="e">
        <f>VLOOKUP(F902,'1PROJE'!$B$7:$F$26,5,0)</f>
        <v>#N/A</v>
      </c>
    </row>
    <row r="903" spans="2:11">
      <c r="B903">
        <f t="shared" si="237"/>
        <v>0</v>
      </c>
      <c r="F903" s="57" t="e">
        <f t="shared" si="233"/>
        <v>#N/A</v>
      </c>
      <c r="G903" t="str">
        <f t="shared" si="234"/>
        <v/>
      </c>
      <c r="I903" t="e">
        <f>VLOOKUP(F903,'1PROJE'!$B$7:$F$26,2,0)</f>
        <v>#N/A</v>
      </c>
      <c r="J903" t="e">
        <f>VLOOKUP(F903,'1PROJE'!$B$7:$F$26,4,0)</f>
        <v>#N/A</v>
      </c>
      <c r="K903" t="e">
        <f>VLOOKUP(F903,'1PROJE'!$B$7:$F$26,5,0)</f>
        <v>#N/A</v>
      </c>
    </row>
    <row r="904" spans="2:11">
      <c r="B904">
        <f t="shared" si="237"/>
        <v>0</v>
      </c>
      <c r="F904" s="57" t="e">
        <f t="shared" si="233"/>
        <v>#N/A</v>
      </c>
      <c r="G904" t="str">
        <f t="shared" si="234"/>
        <v/>
      </c>
      <c r="I904" t="e">
        <f>VLOOKUP(F904,'1PROJE'!$B$7:$F$26,2,0)</f>
        <v>#N/A</v>
      </c>
      <c r="J904" t="e">
        <f>VLOOKUP(F904,'1PROJE'!$B$7:$F$26,4,0)</f>
        <v>#N/A</v>
      </c>
      <c r="K904" t="e">
        <f>VLOOKUP(F904,'1PROJE'!$B$7:$F$26,5,0)</f>
        <v>#N/A</v>
      </c>
    </row>
    <row r="905" spans="2:11">
      <c r="B905">
        <f t="shared" si="237"/>
        <v>0</v>
      </c>
      <c r="F905" s="57" t="e">
        <f t="shared" si="233"/>
        <v>#N/A</v>
      </c>
      <c r="G905" t="str">
        <f t="shared" si="234"/>
        <v/>
      </c>
      <c r="I905" t="e">
        <f>VLOOKUP(F905,'1PROJE'!$B$7:$F$26,2,0)</f>
        <v>#N/A</v>
      </c>
      <c r="J905" t="e">
        <f>VLOOKUP(F905,'1PROJE'!$B$7:$F$26,4,0)</f>
        <v>#N/A</v>
      </c>
      <c r="K905" t="e">
        <f>VLOOKUP(F905,'1PROJE'!$B$7:$F$26,5,0)</f>
        <v>#N/A</v>
      </c>
    </row>
    <row r="906" spans="2:11">
      <c r="B906">
        <f t="shared" si="237"/>
        <v>0</v>
      </c>
      <c r="F906" s="57" t="e">
        <f t="shared" si="233"/>
        <v>#N/A</v>
      </c>
      <c r="G906" t="str">
        <f t="shared" si="234"/>
        <v/>
      </c>
      <c r="I906" t="e">
        <f>VLOOKUP(F906,'1PROJE'!$B$7:$F$26,2,0)</f>
        <v>#N/A</v>
      </c>
      <c r="J906" t="e">
        <f>VLOOKUP(F906,'1PROJE'!$B$7:$F$26,4,0)</f>
        <v>#N/A</v>
      </c>
      <c r="K906" t="e">
        <f>VLOOKUP(F906,'1PROJE'!$B$7:$F$26,5,0)</f>
        <v>#N/A</v>
      </c>
    </row>
    <row r="907" spans="2:11">
      <c r="B907">
        <f t="shared" si="237"/>
        <v>0</v>
      </c>
      <c r="F907" s="57" t="e">
        <f t="shared" ref="F907:F970" si="238">VLOOKUP(G907,$C$64:$D$83,2,0)</f>
        <v>#N/A</v>
      </c>
      <c r="G907" t="str">
        <f t="shared" ref="G907:G970" si="239">LEFT(H907,6)</f>
        <v/>
      </c>
      <c r="I907" t="e">
        <f>VLOOKUP(F907,'1PROJE'!$B$7:$F$26,2,0)</f>
        <v>#N/A</v>
      </c>
      <c r="J907" t="e">
        <f>VLOOKUP(F907,'1PROJE'!$B$7:$F$26,4,0)</f>
        <v>#N/A</v>
      </c>
      <c r="K907" t="e">
        <f>VLOOKUP(F907,'1PROJE'!$B$7:$F$26,5,0)</f>
        <v>#N/A</v>
      </c>
    </row>
    <row r="908" spans="2:11">
      <c r="B908">
        <f t="shared" si="237"/>
        <v>0</v>
      </c>
      <c r="F908" s="57" t="e">
        <f t="shared" si="238"/>
        <v>#N/A</v>
      </c>
      <c r="G908" t="str">
        <f t="shared" si="239"/>
        <v/>
      </c>
      <c r="I908" t="e">
        <f>VLOOKUP(F908,'1PROJE'!$B$7:$F$26,2,0)</f>
        <v>#N/A</v>
      </c>
      <c r="J908" t="e">
        <f>VLOOKUP(F908,'1PROJE'!$B$7:$F$26,4,0)</f>
        <v>#N/A</v>
      </c>
      <c r="K908" t="e">
        <f>VLOOKUP(F908,'1PROJE'!$B$7:$F$26,5,0)</f>
        <v>#N/A</v>
      </c>
    </row>
    <row r="909" spans="2:11">
      <c r="B909">
        <f t="shared" si="237"/>
        <v>0</v>
      </c>
      <c r="F909" s="57" t="e">
        <f t="shared" si="238"/>
        <v>#N/A</v>
      </c>
      <c r="G909" t="str">
        <f t="shared" si="239"/>
        <v/>
      </c>
      <c r="I909" t="e">
        <f>VLOOKUP(F909,'1PROJE'!$B$7:$F$26,2,0)</f>
        <v>#N/A</v>
      </c>
      <c r="J909" t="e">
        <f>VLOOKUP(F909,'1PROJE'!$B$7:$F$26,4,0)</f>
        <v>#N/A</v>
      </c>
      <c r="K909" t="e">
        <f>VLOOKUP(F909,'1PROJE'!$B$7:$F$26,5,0)</f>
        <v>#N/A</v>
      </c>
    </row>
    <row r="910" spans="2:11">
      <c r="B910">
        <f t="shared" si="237"/>
        <v>0</v>
      </c>
      <c r="F910" s="57" t="e">
        <f t="shared" si="238"/>
        <v>#N/A</v>
      </c>
      <c r="G910" t="str">
        <f t="shared" si="239"/>
        <v/>
      </c>
      <c r="I910" t="e">
        <f>VLOOKUP(F910,'1PROJE'!$B$7:$F$26,2,0)</f>
        <v>#N/A</v>
      </c>
      <c r="J910" t="e">
        <f>VLOOKUP(F910,'1PROJE'!$B$7:$F$26,4,0)</f>
        <v>#N/A</v>
      </c>
      <c r="K910" t="e">
        <f>VLOOKUP(F910,'1PROJE'!$B$7:$F$26,5,0)</f>
        <v>#N/A</v>
      </c>
    </row>
    <row r="911" spans="2:11">
      <c r="B911">
        <f t="shared" si="237"/>
        <v>0</v>
      </c>
      <c r="F911" s="57" t="e">
        <f t="shared" si="238"/>
        <v>#N/A</v>
      </c>
      <c r="G911" t="str">
        <f t="shared" si="239"/>
        <v/>
      </c>
      <c r="I911" t="e">
        <f>VLOOKUP(F911,'1PROJE'!$B$7:$F$26,2,0)</f>
        <v>#N/A</v>
      </c>
      <c r="J911" t="e">
        <f>VLOOKUP(F911,'1PROJE'!$B$7:$F$26,4,0)</f>
        <v>#N/A</v>
      </c>
      <c r="K911" t="e">
        <f>VLOOKUP(F911,'1PROJE'!$B$7:$F$26,5,0)</f>
        <v>#N/A</v>
      </c>
    </row>
    <row r="912" spans="2:11">
      <c r="B912">
        <f t="shared" si="237"/>
        <v>0</v>
      </c>
      <c r="F912" s="57" t="e">
        <f t="shared" si="238"/>
        <v>#N/A</v>
      </c>
      <c r="G912" t="str">
        <f t="shared" si="239"/>
        <v/>
      </c>
      <c r="I912" t="e">
        <f>VLOOKUP(F912,'1PROJE'!$B$7:$F$26,2,0)</f>
        <v>#N/A</v>
      </c>
      <c r="J912" t="e">
        <f>VLOOKUP(F912,'1PROJE'!$B$7:$F$26,4,0)</f>
        <v>#N/A</v>
      </c>
      <c r="K912" t="e">
        <f>VLOOKUP(F912,'1PROJE'!$B$7:$F$26,5,0)</f>
        <v>#N/A</v>
      </c>
    </row>
    <row r="913" spans="2:11">
      <c r="B913">
        <f t="shared" si="237"/>
        <v>0</v>
      </c>
      <c r="F913" s="57" t="e">
        <f t="shared" si="238"/>
        <v>#N/A</v>
      </c>
      <c r="G913" t="str">
        <f t="shared" si="239"/>
        <v/>
      </c>
      <c r="I913" t="e">
        <f>VLOOKUP(F913,'1PROJE'!$B$7:$F$26,2,0)</f>
        <v>#N/A</v>
      </c>
      <c r="J913" t="e">
        <f>VLOOKUP(F913,'1PROJE'!$B$7:$F$26,4,0)</f>
        <v>#N/A</v>
      </c>
      <c r="K913" t="e">
        <f>VLOOKUP(F913,'1PROJE'!$B$7:$F$26,5,0)</f>
        <v>#N/A</v>
      </c>
    </row>
    <row r="914" spans="2:11">
      <c r="B914">
        <f t="shared" si="237"/>
        <v>0</v>
      </c>
      <c r="F914" s="57" t="e">
        <f t="shared" si="238"/>
        <v>#N/A</v>
      </c>
      <c r="G914" t="str">
        <f t="shared" si="239"/>
        <v/>
      </c>
      <c r="I914" t="e">
        <f>VLOOKUP(F914,'1PROJE'!$B$7:$F$26,2,0)</f>
        <v>#N/A</v>
      </c>
      <c r="J914" t="e">
        <f>VLOOKUP(F914,'1PROJE'!$B$7:$F$26,4,0)</f>
        <v>#N/A</v>
      </c>
      <c r="K914" t="e">
        <f>VLOOKUP(F914,'1PROJE'!$B$7:$F$26,5,0)</f>
        <v>#N/A</v>
      </c>
    </row>
    <row r="915" spans="2:11">
      <c r="B915">
        <f t="shared" si="237"/>
        <v>0</v>
      </c>
      <c r="F915" s="57" t="e">
        <f t="shared" si="238"/>
        <v>#N/A</v>
      </c>
      <c r="G915" t="str">
        <f t="shared" si="239"/>
        <v/>
      </c>
      <c r="I915" t="e">
        <f>VLOOKUP(F915,'1PROJE'!$B$7:$F$26,2,0)</f>
        <v>#N/A</v>
      </c>
      <c r="J915" t="e">
        <f>VLOOKUP(F915,'1PROJE'!$B$7:$F$26,4,0)</f>
        <v>#N/A</v>
      </c>
      <c r="K915" t="e">
        <f>VLOOKUP(F915,'1PROJE'!$B$7:$F$26,5,0)</f>
        <v>#N/A</v>
      </c>
    </row>
    <row r="916" spans="2:11">
      <c r="B916">
        <f t="shared" si="237"/>
        <v>0</v>
      </c>
      <c r="F916" s="57" t="e">
        <f t="shared" si="238"/>
        <v>#N/A</v>
      </c>
      <c r="G916" t="str">
        <f t="shared" si="239"/>
        <v/>
      </c>
      <c r="I916" t="e">
        <f>VLOOKUP(F916,'1PROJE'!$B$7:$F$26,2,0)</f>
        <v>#N/A</v>
      </c>
      <c r="J916" t="e">
        <f>VLOOKUP(F916,'1PROJE'!$B$7:$F$26,4,0)</f>
        <v>#N/A</v>
      </c>
      <c r="K916" t="e">
        <f>VLOOKUP(F916,'1PROJE'!$B$7:$F$26,5,0)</f>
        <v>#N/A</v>
      </c>
    </row>
    <row r="917" spans="2:11">
      <c r="B917">
        <f t="shared" si="237"/>
        <v>0</v>
      </c>
      <c r="F917" s="57" t="e">
        <f t="shared" si="238"/>
        <v>#N/A</v>
      </c>
      <c r="G917" t="str">
        <f t="shared" si="239"/>
        <v/>
      </c>
      <c r="I917" t="e">
        <f>VLOOKUP(F917,'1PROJE'!$B$7:$F$26,2,0)</f>
        <v>#N/A</v>
      </c>
      <c r="J917" t="e">
        <f>VLOOKUP(F917,'1PROJE'!$B$7:$F$26,4,0)</f>
        <v>#N/A</v>
      </c>
      <c r="K917" t="e">
        <f>VLOOKUP(F917,'1PROJE'!$B$7:$F$26,5,0)</f>
        <v>#N/A</v>
      </c>
    </row>
    <row r="918" spans="2:11">
      <c r="B918">
        <f t="shared" si="237"/>
        <v>0</v>
      </c>
      <c r="F918" s="57" t="e">
        <f t="shared" si="238"/>
        <v>#N/A</v>
      </c>
      <c r="G918" t="str">
        <f t="shared" si="239"/>
        <v/>
      </c>
      <c r="I918" t="e">
        <f>VLOOKUP(F918,'1PROJE'!$B$7:$F$26,2,0)</f>
        <v>#N/A</v>
      </c>
      <c r="J918" t="e">
        <f>VLOOKUP(F918,'1PROJE'!$B$7:$F$26,4,0)</f>
        <v>#N/A</v>
      </c>
      <c r="K918" t="e">
        <f>VLOOKUP(F918,'1PROJE'!$B$7:$F$26,5,0)</f>
        <v>#N/A</v>
      </c>
    </row>
    <row r="919" spans="2:11">
      <c r="B919">
        <f t="shared" si="237"/>
        <v>0</v>
      </c>
      <c r="F919" s="57" t="e">
        <f t="shared" si="238"/>
        <v>#N/A</v>
      </c>
      <c r="G919" t="str">
        <f t="shared" si="239"/>
        <v/>
      </c>
      <c r="I919" t="e">
        <f>VLOOKUP(F919,'1PROJE'!$B$7:$F$26,2,0)</f>
        <v>#N/A</v>
      </c>
      <c r="J919" t="e">
        <f>VLOOKUP(F919,'1PROJE'!$B$7:$F$26,4,0)</f>
        <v>#N/A</v>
      </c>
      <c r="K919" t="e">
        <f>VLOOKUP(F919,'1PROJE'!$B$7:$F$26,5,0)</f>
        <v>#N/A</v>
      </c>
    </row>
    <row r="920" spans="2:11">
      <c r="B920">
        <f t="shared" si="237"/>
        <v>0</v>
      </c>
      <c r="F920" s="57" t="e">
        <f t="shared" si="238"/>
        <v>#N/A</v>
      </c>
      <c r="G920" t="str">
        <f t="shared" si="239"/>
        <v/>
      </c>
      <c r="I920" t="e">
        <f>VLOOKUP(F920,'1PROJE'!$B$7:$F$26,2,0)</f>
        <v>#N/A</v>
      </c>
      <c r="J920" t="e">
        <f>VLOOKUP(F920,'1PROJE'!$B$7:$F$26,4,0)</f>
        <v>#N/A</v>
      </c>
      <c r="K920" t="e">
        <f>VLOOKUP(F920,'1PROJE'!$B$7:$F$26,5,0)</f>
        <v>#N/A</v>
      </c>
    </row>
    <row r="921" spans="2:11">
      <c r="B921">
        <f t="shared" si="237"/>
        <v>0</v>
      </c>
      <c r="F921" s="57" t="e">
        <f t="shared" si="238"/>
        <v>#N/A</v>
      </c>
      <c r="G921" t="str">
        <f t="shared" si="239"/>
        <v/>
      </c>
      <c r="I921" t="e">
        <f>VLOOKUP(F921,'1PROJE'!$B$7:$F$26,2,0)</f>
        <v>#N/A</v>
      </c>
      <c r="J921" t="e">
        <f>VLOOKUP(F921,'1PROJE'!$B$7:$F$26,4,0)</f>
        <v>#N/A</v>
      </c>
      <c r="K921" t="e">
        <f>VLOOKUP(F921,'1PROJE'!$B$7:$F$26,5,0)</f>
        <v>#N/A</v>
      </c>
    </row>
    <row r="922" spans="2:11">
      <c r="B922">
        <f t="shared" si="237"/>
        <v>0</v>
      </c>
      <c r="F922" s="57" t="e">
        <f t="shared" si="238"/>
        <v>#N/A</v>
      </c>
      <c r="G922" t="str">
        <f t="shared" si="239"/>
        <v/>
      </c>
      <c r="I922" t="e">
        <f>VLOOKUP(F922,'1PROJE'!$B$7:$F$26,2,0)</f>
        <v>#N/A</v>
      </c>
      <c r="J922" t="e">
        <f>VLOOKUP(F922,'1PROJE'!$B$7:$F$26,4,0)</f>
        <v>#N/A</v>
      </c>
      <c r="K922" t="e">
        <f>VLOOKUP(F922,'1PROJE'!$B$7:$F$26,5,0)</f>
        <v>#N/A</v>
      </c>
    </row>
    <row r="923" spans="2:11">
      <c r="B923">
        <f t="shared" si="237"/>
        <v>0</v>
      </c>
      <c r="F923" s="57" t="e">
        <f t="shared" si="238"/>
        <v>#N/A</v>
      </c>
      <c r="G923" t="str">
        <f t="shared" si="239"/>
        <v/>
      </c>
      <c r="I923" t="e">
        <f>VLOOKUP(F923,'1PROJE'!$B$7:$F$26,2,0)</f>
        <v>#N/A</v>
      </c>
      <c r="J923" t="e">
        <f>VLOOKUP(F923,'1PROJE'!$B$7:$F$26,4,0)</f>
        <v>#N/A</v>
      </c>
      <c r="K923" t="e">
        <f>VLOOKUP(F923,'1PROJE'!$B$7:$F$26,5,0)</f>
        <v>#N/A</v>
      </c>
    </row>
    <row r="924" spans="2:11">
      <c r="B924">
        <f t="shared" si="237"/>
        <v>0</v>
      </c>
      <c r="F924" s="57" t="e">
        <f t="shared" si="238"/>
        <v>#N/A</v>
      </c>
      <c r="G924" t="str">
        <f t="shared" si="239"/>
        <v/>
      </c>
      <c r="I924" t="e">
        <f>VLOOKUP(F924,'1PROJE'!$B$7:$F$26,2,0)</f>
        <v>#N/A</v>
      </c>
      <c r="J924" t="e">
        <f>VLOOKUP(F924,'1PROJE'!$B$7:$F$26,4,0)</f>
        <v>#N/A</v>
      </c>
      <c r="K924" t="e">
        <f>VLOOKUP(F924,'1PROJE'!$B$7:$F$26,5,0)</f>
        <v>#N/A</v>
      </c>
    </row>
    <row r="925" spans="2:11">
      <c r="B925">
        <f t="shared" si="237"/>
        <v>0</v>
      </c>
      <c r="F925" s="57" t="e">
        <f t="shared" si="238"/>
        <v>#N/A</v>
      </c>
      <c r="G925" t="str">
        <f t="shared" si="239"/>
        <v/>
      </c>
      <c r="I925" t="e">
        <f>VLOOKUP(F925,'1PROJE'!$B$7:$F$26,2,0)</f>
        <v>#N/A</v>
      </c>
      <c r="J925" t="e">
        <f>VLOOKUP(F925,'1PROJE'!$B$7:$F$26,4,0)</f>
        <v>#N/A</v>
      </c>
      <c r="K925" t="e">
        <f>VLOOKUP(F925,'1PROJE'!$B$7:$F$26,5,0)</f>
        <v>#N/A</v>
      </c>
    </row>
    <row r="926" spans="2:11">
      <c r="B926">
        <f t="shared" si="237"/>
        <v>0</v>
      </c>
      <c r="F926" s="57" t="e">
        <f t="shared" si="238"/>
        <v>#N/A</v>
      </c>
      <c r="G926" t="str">
        <f t="shared" si="239"/>
        <v/>
      </c>
      <c r="I926" t="e">
        <f>VLOOKUP(F926,'1PROJE'!$B$7:$F$26,2,0)</f>
        <v>#N/A</v>
      </c>
      <c r="J926" t="e">
        <f>VLOOKUP(F926,'1PROJE'!$B$7:$F$26,4,0)</f>
        <v>#N/A</v>
      </c>
      <c r="K926" t="e">
        <f>VLOOKUP(F926,'1PROJE'!$B$7:$F$26,5,0)</f>
        <v>#N/A</v>
      </c>
    </row>
    <row r="927" spans="2:11">
      <c r="B927">
        <f t="shared" ref="B927:B958" si="240">IF(($C$35-A127)&lt;0,0,"POZ"&amp;" "&amp;$J$61&amp;"."&amp;A127)</f>
        <v>0</v>
      </c>
      <c r="F927" s="57" t="e">
        <f t="shared" si="238"/>
        <v>#N/A</v>
      </c>
      <c r="G927" t="str">
        <f t="shared" si="239"/>
        <v/>
      </c>
      <c r="I927" t="e">
        <f>VLOOKUP(F927,'1PROJE'!$B$7:$F$26,2,0)</f>
        <v>#N/A</v>
      </c>
      <c r="J927" t="e">
        <f>VLOOKUP(F927,'1PROJE'!$B$7:$F$26,4,0)</f>
        <v>#N/A</v>
      </c>
      <c r="K927" t="e">
        <f>VLOOKUP(F927,'1PROJE'!$B$7:$F$26,5,0)</f>
        <v>#N/A</v>
      </c>
    </row>
    <row r="928" spans="2:11">
      <c r="B928">
        <f t="shared" si="240"/>
        <v>0</v>
      </c>
      <c r="F928" s="57" t="e">
        <f t="shared" si="238"/>
        <v>#N/A</v>
      </c>
      <c r="G928" t="str">
        <f t="shared" si="239"/>
        <v/>
      </c>
      <c r="I928" t="e">
        <f>VLOOKUP(F928,'1PROJE'!$B$7:$F$26,2,0)</f>
        <v>#N/A</v>
      </c>
      <c r="J928" t="e">
        <f>VLOOKUP(F928,'1PROJE'!$B$7:$F$26,4,0)</f>
        <v>#N/A</v>
      </c>
      <c r="K928" t="e">
        <f>VLOOKUP(F928,'1PROJE'!$B$7:$F$26,5,0)</f>
        <v>#N/A</v>
      </c>
    </row>
    <row r="929" spans="2:11">
      <c r="B929">
        <f t="shared" si="240"/>
        <v>0</v>
      </c>
      <c r="F929" s="57" t="e">
        <f t="shared" si="238"/>
        <v>#N/A</v>
      </c>
      <c r="G929" t="str">
        <f t="shared" si="239"/>
        <v/>
      </c>
      <c r="I929" t="e">
        <f>VLOOKUP(F929,'1PROJE'!$B$7:$F$26,2,0)</f>
        <v>#N/A</v>
      </c>
      <c r="J929" t="e">
        <f>VLOOKUP(F929,'1PROJE'!$B$7:$F$26,4,0)</f>
        <v>#N/A</v>
      </c>
      <c r="K929" t="e">
        <f>VLOOKUP(F929,'1PROJE'!$B$7:$F$26,5,0)</f>
        <v>#N/A</v>
      </c>
    </row>
    <row r="930" spans="2:11">
      <c r="B930">
        <f t="shared" si="240"/>
        <v>0</v>
      </c>
      <c r="F930" s="57" t="e">
        <f t="shared" si="238"/>
        <v>#N/A</v>
      </c>
      <c r="G930" t="str">
        <f t="shared" si="239"/>
        <v/>
      </c>
      <c r="I930" t="e">
        <f>VLOOKUP(F930,'1PROJE'!$B$7:$F$26,2,0)</f>
        <v>#N/A</v>
      </c>
      <c r="J930" t="e">
        <f>VLOOKUP(F930,'1PROJE'!$B$7:$F$26,4,0)</f>
        <v>#N/A</v>
      </c>
      <c r="K930" t="e">
        <f>VLOOKUP(F930,'1PROJE'!$B$7:$F$26,5,0)</f>
        <v>#N/A</v>
      </c>
    </row>
    <row r="931" spans="2:11">
      <c r="B931">
        <f t="shared" si="240"/>
        <v>0</v>
      </c>
      <c r="F931" s="57" t="e">
        <f t="shared" si="238"/>
        <v>#N/A</v>
      </c>
      <c r="G931" t="str">
        <f t="shared" si="239"/>
        <v/>
      </c>
      <c r="I931" t="e">
        <f>VLOOKUP(F931,'1PROJE'!$B$7:$F$26,2,0)</f>
        <v>#N/A</v>
      </c>
      <c r="J931" t="e">
        <f>VLOOKUP(F931,'1PROJE'!$B$7:$F$26,4,0)</f>
        <v>#N/A</v>
      </c>
      <c r="K931" t="e">
        <f>VLOOKUP(F931,'1PROJE'!$B$7:$F$26,5,0)</f>
        <v>#N/A</v>
      </c>
    </row>
    <row r="932" spans="2:11">
      <c r="B932">
        <f t="shared" si="240"/>
        <v>0</v>
      </c>
      <c r="F932" s="57" t="e">
        <f t="shared" si="238"/>
        <v>#N/A</v>
      </c>
      <c r="G932" t="str">
        <f t="shared" si="239"/>
        <v/>
      </c>
      <c r="I932" t="e">
        <f>VLOOKUP(F932,'1PROJE'!$B$7:$F$26,2,0)</f>
        <v>#N/A</v>
      </c>
      <c r="J932" t="e">
        <f>VLOOKUP(F932,'1PROJE'!$B$7:$F$26,4,0)</f>
        <v>#N/A</v>
      </c>
      <c r="K932" t="e">
        <f>VLOOKUP(F932,'1PROJE'!$B$7:$F$26,5,0)</f>
        <v>#N/A</v>
      </c>
    </row>
    <row r="933" spans="2:11">
      <c r="B933">
        <f t="shared" si="240"/>
        <v>0</v>
      </c>
      <c r="F933" s="57" t="e">
        <f t="shared" si="238"/>
        <v>#N/A</v>
      </c>
      <c r="G933" t="str">
        <f t="shared" si="239"/>
        <v/>
      </c>
      <c r="I933" t="e">
        <f>VLOOKUP(F933,'1PROJE'!$B$7:$F$26,2,0)</f>
        <v>#N/A</v>
      </c>
      <c r="J933" t="e">
        <f>VLOOKUP(F933,'1PROJE'!$B$7:$F$26,4,0)</f>
        <v>#N/A</v>
      </c>
      <c r="K933" t="e">
        <f>VLOOKUP(F933,'1PROJE'!$B$7:$F$26,5,0)</f>
        <v>#N/A</v>
      </c>
    </row>
    <row r="934" spans="2:11">
      <c r="B934">
        <f t="shared" si="240"/>
        <v>0</v>
      </c>
      <c r="F934" s="57" t="e">
        <f t="shared" si="238"/>
        <v>#N/A</v>
      </c>
      <c r="G934" t="str">
        <f t="shared" si="239"/>
        <v/>
      </c>
      <c r="I934" t="e">
        <f>VLOOKUP(F934,'1PROJE'!$B$7:$F$26,2,0)</f>
        <v>#N/A</v>
      </c>
      <c r="J934" t="e">
        <f>VLOOKUP(F934,'1PROJE'!$B$7:$F$26,4,0)</f>
        <v>#N/A</v>
      </c>
      <c r="K934" t="e">
        <f>VLOOKUP(F934,'1PROJE'!$B$7:$F$26,5,0)</f>
        <v>#N/A</v>
      </c>
    </row>
    <row r="935" spans="2:11">
      <c r="B935">
        <f t="shared" si="240"/>
        <v>0</v>
      </c>
      <c r="F935" s="57" t="e">
        <f t="shared" si="238"/>
        <v>#N/A</v>
      </c>
      <c r="G935" t="str">
        <f t="shared" si="239"/>
        <v/>
      </c>
      <c r="I935" t="e">
        <f>VLOOKUP(F935,'1PROJE'!$B$7:$F$26,2,0)</f>
        <v>#N/A</v>
      </c>
      <c r="J935" t="e">
        <f>VLOOKUP(F935,'1PROJE'!$B$7:$F$26,4,0)</f>
        <v>#N/A</v>
      </c>
      <c r="K935" t="e">
        <f>VLOOKUP(F935,'1PROJE'!$B$7:$F$26,5,0)</f>
        <v>#N/A</v>
      </c>
    </row>
    <row r="936" spans="2:11">
      <c r="B936">
        <f t="shared" si="240"/>
        <v>0</v>
      </c>
      <c r="F936" s="57" t="e">
        <f t="shared" si="238"/>
        <v>#N/A</v>
      </c>
      <c r="G936" t="str">
        <f t="shared" si="239"/>
        <v/>
      </c>
      <c r="I936" t="e">
        <f>VLOOKUP(F936,'1PROJE'!$B$7:$F$26,2,0)</f>
        <v>#N/A</v>
      </c>
      <c r="J936" t="e">
        <f>VLOOKUP(F936,'1PROJE'!$B$7:$F$26,4,0)</f>
        <v>#N/A</v>
      </c>
      <c r="K936" t="e">
        <f>VLOOKUP(F936,'1PROJE'!$B$7:$F$26,5,0)</f>
        <v>#N/A</v>
      </c>
    </row>
    <row r="937" spans="2:11">
      <c r="B937">
        <f t="shared" si="240"/>
        <v>0</v>
      </c>
      <c r="F937" s="57" t="e">
        <f t="shared" si="238"/>
        <v>#N/A</v>
      </c>
      <c r="G937" t="str">
        <f t="shared" si="239"/>
        <v/>
      </c>
      <c r="I937" t="e">
        <f>VLOOKUP(F937,'1PROJE'!$B$7:$F$26,2,0)</f>
        <v>#N/A</v>
      </c>
      <c r="J937" t="e">
        <f>VLOOKUP(F937,'1PROJE'!$B$7:$F$26,4,0)</f>
        <v>#N/A</v>
      </c>
      <c r="K937" t="e">
        <f>VLOOKUP(F937,'1PROJE'!$B$7:$F$26,5,0)</f>
        <v>#N/A</v>
      </c>
    </row>
    <row r="938" spans="2:11">
      <c r="B938">
        <f t="shared" si="240"/>
        <v>0</v>
      </c>
      <c r="F938" s="57" t="e">
        <f t="shared" si="238"/>
        <v>#N/A</v>
      </c>
      <c r="G938" t="str">
        <f t="shared" si="239"/>
        <v/>
      </c>
      <c r="I938" t="e">
        <f>VLOOKUP(F938,'1PROJE'!$B$7:$F$26,2,0)</f>
        <v>#N/A</v>
      </c>
      <c r="J938" t="e">
        <f>VLOOKUP(F938,'1PROJE'!$B$7:$F$26,4,0)</f>
        <v>#N/A</v>
      </c>
      <c r="K938" t="e">
        <f>VLOOKUP(F938,'1PROJE'!$B$7:$F$26,5,0)</f>
        <v>#N/A</v>
      </c>
    </row>
    <row r="939" spans="2:11">
      <c r="B939">
        <f t="shared" si="240"/>
        <v>0</v>
      </c>
      <c r="F939" s="57" t="e">
        <f t="shared" si="238"/>
        <v>#N/A</v>
      </c>
      <c r="G939" t="str">
        <f t="shared" si="239"/>
        <v/>
      </c>
      <c r="I939" t="e">
        <f>VLOOKUP(F939,'1PROJE'!$B$7:$F$26,2,0)</f>
        <v>#N/A</v>
      </c>
      <c r="J939" t="e">
        <f>VLOOKUP(F939,'1PROJE'!$B$7:$F$26,4,0)</f>
        <v>#N/A</v>
      </c>
      <c r="K939" t="e">
        <f>VLOOKUP(F939,'1PROJE'!$B$7:$F$26,5,0)</f>
        <v>#N/A</v>
      </c>
    </row>
    <row r="940" spans="2:11">
      <c r="B940">
        <f t="shared" si="240"/>
        <v>0</v>
      </c>
      <c r="F940" s="57" t="e">
        <f t="shared" si="238"/>
        <v>#N/A</v>
      </c>
      <c r="G940" t="str">
        <f t="shared" si="239"/>
        <v/>
      </c>
      <c r="I940" t="e">
        <f>VLOOKUP(F940,'1PROJE'!$B$7:$F$26,2,0)</f>
        <v>#N/A</v>
      </c>
      <c r="J940" t="e">
        <f>VLOOKUP(F940,'1PROJE'!$B$7:$F$26,4,0)</f>
        <v>#N/A</v>
      </c>
      <c r="K940" t="e">
        <f>VLOOKUP(F940,'1PROJE'!$B$7:$F$26,5,0)</f>
        <v>#N/A</v>
      </c>
    </row>
    <row r="941" spans="2:11">
      <c r="B941">
        <f t="shared" si="240"/>
        <v>0</v>
      </c>
      <c r="F941" s="57" t="e">
        <f t="shared" si="238"/>
        <v>#N/A</v>
      </c>
      <c r="G941" t="str">
        <f t="shared" si="239"/>
        <v/>
      </c>
      <c r="I941" t="e">
        <f>VLOOKUP(F941,'1PROJE'!$B$7:$F$26,2,0)</f>
        <v>#N/A</v>
      </c>
      <c r="J941" t="e">
        <f>VLOOKUP(F941,'1PROJE'!$B$7:$F$26,4,0)</f>
        <v>#N/A</v>
      </c>
      <c r="K941" t="e">
        <f>VLOOKUP(F941,'1PROJE'!$B$7:$F$26,5,0)</f>
        <v>#N/A</v>
      </c>
    </row>
    <row r="942" spans="2:11">
      <c r="B942">
        <f t="shared" si="240"/>
        <v>0</v>
      </c>
      <c r="F942" s="57" t="e">
        <f t="shared" si="238"/>
        <v>#N/A</v>
      </c>
      <c r="G942" t="str">
        <f t="shared" si="239"/>
        <v/>
      </c>
      <c r="I942" t="e">
        <f>VLOOKUP(F942,'1PROJE'!$B$7:$F$26,2,0)</f>
        <v>#N/A</v>
      </c>
      <c r="J942" t="e">
        <f>VLOOKUP(F942,'1PROJE'!$B$7:$F$26,4,0)</f>
        <v>#N/A</v>
      </c>
      <c r="K942" t="e">
        <f>VLOOKUP(F942,'1PROJE'!$B$7:$F$26,5,0)</f>
        <v>#N/A</v>
      </c>
    </row>
    <row r="943" spans="2:11">
      <c r="B943">
        <f t="shared" si="240"/>
        <v>0</v>
      </c>
      <c r="F943" s="57" t="e">
        <f t="shared" si="238"/>
        <v>#N/A</v>
      </c>
      <c r="G943" t="str">
        <f t="shared" si="239"/>
        <v/>
      </c>
      <c r="I943" t="e">
        <f>VLOOKUP(F943,'1PROJE'!$B$7:$F$26,2,0)</f>
        <v>#N/A</v>
      </c>
      <c r="J943" t="e">
        <f>VLOOKUP(F943,'1PROJE'!$B$7:$F$26,4,0)</f>
        <v>#N/A</v>
      </c>
      <c r="K943" t="e">
        <f>VLOOKUP(F943,'1PROJE'!$B$7:$F$26,5,0)</f>
        <v>#N/A</v>
      </c>
    </row>
    <row r="944" spans="2:11">
      <c r="B944">
        <f t="shared" si="240"/>
        <v>0</v>
      </c>
      <c r="F944" s="57" t="e">
        <f t="shared" si="238"/>
        <v>#N/A</v>
      </c>
      <c r="G944" t="str">
        <f t="shared" si="239"/>
        <v/>
      </c>
      <c r="I944" t="e">
        <f>VLOOKUP(F944,'1PROJE'!$B$7:$F$26,2,0)</f>
        <v>#N/A</v>
      </c>
      <c r="J944" t="e">
        <f>VLOOKUP(F944,'1PROJE'!$B$7:$F$26,4,0)</f>
        <v>#N/A</v>
      </c>
      <c r="K944" t="e">
        <f>VLOOKUP(F944,'1PROJE'!$B$7:$F$26,5,0)</f>
        <v>#N/A</v>
      </c>
    </row>
    <row r="945" spans="2:11">
      <c r="B945">
        <f t="shared" si="240"/>
        <v>0</v>
      </c>
      <c r="F945" s="57" t="e">
        <f t="shared" si="238"/>
        <v>#N/A</v>
      </c>
      <c r="G945" t="str">
        <f t="shared" si="239"/>
        <v/>
      </c>
      <c r="I945" t="e">
        <f>VLOOKUP(F945,'1PROJE'!$B$7:$F$26,2,0)</f>
        <v>#N/A</v>
      </c>
      <c r="J945" t="e">
        <f>VLOOKUP(F945,'1PROJE'!$B$7:$F$26,4,0)</f>
        <v>#N/A</v>
      </c>
      <c r="K945" t="e">
        <f>VLOOKUP(F945,'1PROJE'!$B$7:$F$26,5,0)</f>
        <v>#N/A</v>
      </c>
    </row>
    <row r="946" spans="2:11">
      <c r="B946">
        <f t="shared" si="240"/>
        <v>0</v>
      </c>
      <c r="F946" s="57" t="e">
        <f t="shared" si="238"/>
        <v>#N/A</v>
      </c>
      <c r="G946" t="str">
        <f t="shared" si="239"/>
        <v/>
      </c>
      <c r="I946" t="e">
        <f>VLOOKUP(F946,'1PROJE'!$B$7:$F$26,2,0)</f>
        <v>#N/A</v>
      </c>
      <c r="J946" t="e">
        <f>VLOOKUP(F946,'1PROJE'!$B$7:$F$26,4,0)</f>
        <v>#N/A</v>
      </c>
      <c r="K946" t="e">
        <f>VLOOKUP(F946,'1PROJE'!$B$7:$F$26,5,0)</f>
        <v>#N/A</v>
      </c>
    </row>
    <row r="947" spans="2:11">
      <c r="B947">
        <f t="shared" si="240"/>
        <v>0</v>
      </c>
      <c r="F947" s="57" t="e">
        <f t="shared" si="238"/>
        <v>#N/A</v>
      </c>
      <c r="G947" t="str">
        <f t="shared" si="239"/>
        <v/>
      </c>
      <c r="I947" t="e">
        <f>VLOOKUP(F947,'1PROJE'!$B$7:$F$26,2,0)</f>
        <v>#N/A</v>
      </c>
      <c r="J947" t="e">
        <f>VLOOKUP(F947,'1PROJE'!$B$7:$F$26,4,0)</f>
        <v>#N/A</v>
      </c>
      <c r="K947" t="e">
        <f>VLOOKUP(F947,'1PROJE'!$B$7:$F$26,5,0)</f>
        <v>#N/A</v>
      </c>
    </row>
    <row r="948" spans="2:11">
      <c r="B948">
        <f t="shared" si="240"/>
        <v>0</v>
      </c>
      <c r="F948" s="57" t="e">
        <f t="shared" si="238"/>
        <v>#N/A</v>
      </c>
      <c r="G948" t="str">
        <f t="shared" si="239"/>
        <v/>
      </c>
      <c r="I948" t="e">
        <f>VLOOKUP(F948,'1PROJE'!$B$7:$F$26,2,0)</f>
        <v>#N/A</v>
      </c>
      <c r="J948" t="e">
        <f>VLOOKUP(F948,'1PROJE'!$B$7:$F$26,4,0)</f>
        <v>#N/A</v>
      </c>
      <c r="K948" t="e">
        <f>VLOOKUP(F948,'1PROJE'!$B$7:$F$26,5,0)</f>
        <v>#N/A</v>
      </c>
    </row>
    <row r="949" spans="2:11">
      <c r="B949">
        <f t="shared" si="240"/>
        <v>0</v>
      </c>
      <c r="F949" s="57" t="e">
        <f t="shared" si="238"/>
        <v>#N/A</v>
      </c>
      <c r="G949" t="str">
        <f t="shared" si="239"/>
        <v/>
      </c>
      <c r="I949" t="e">
        <f>VLOOKUP(F949,'1PROJE'!$B$7:$F$26,2,0)</f>
        <v>#N/A</v>
      </c>
      <c r="J949" t="e">
        <f>VLOOKUP(F949,'1PROJE'!$B$7:$F$26,4,0)</f>
        <v>#N/A</v>
      </c>
      <c r="K949" t="e">
        <f>VLOOKUP(F949,'1PROJE'!$B$7:$F$26,5,0)</f>
        <v>#N/A</v>
      </c>
    </row>
    <row r="950" spans="2:11">
      <c r="B950">
        <f t="shared" si="240"/>
        <v>0</v>
      </c>
      <c r="F950" s="57" t="e">
        <f t="shared" si="238"/>
        <v>#N/A</v>
      </c>
      <c r="G950" t="str">
        <f t="shared" si="239"/>
        <v/>
      </c>
      <c r="I950" t="e">
        <f>VLOOKUP(F950,'1PROJE'!$B$7:$F$26,2,0)</f>
        <v>#N/A</v>
      </c>
      <c r="J950" t="e">
        <f>VLOOKUP(F950,'1PROJE'!$B$7:$F$26,4,0)</f>
        <v>#N/A</v>
      </c>
      <c r="K950" t="e">
        <f>VLOOKUP(F950,'1PROJE'!$B$7:$F$26,5,0)</f>
        <v>#N/A</v>
      </c>
    </row>
    <row r="951" spans="2:11">
      <c r="B951">
        <f t="shared" si="240"/>
        <v>0</v>
      </c>
      <c r="F951" s="57" t="e">
        <f t="shared" si="238"/>
        <v>#N/A</v>
      </c>
      <c r="G951" t="str">
        <f t="shared" si="239"/>
        <v/>
      </c>
      <c r="I951" t="e">
        <f>VLOOKUP(F951,'1PROJE'!$B$7:$F$26,2,0)</f>
        <v>#N/A</v>
      </c>
      <c r="J951" t="e">
        <f>VLOOKUP(F951,'1PROJE'!$B$7:$F$26,4,0)</f>
        <v>#N/A</v>
      </c>
      <c r="K951" t="e">
        <f>VLOOKUP(F951,'1PROJE'!$B$7:$F$26,5,0)</f>
        <v>#N/A</v>
      </c>
    </row>
    <row r="952" spans="2:11">
      <c r="B952">
        <f t="shared" si="240"/>
        <v>0</v>
      </c>
      <c r="F952" s="57" t="e">
        <f t="shared" si="238"/>
        <v>#N/A</v>
      </c>
      <c r="G952" t="str">
        <f t="shared" si="239"/>
        <v/>
      </c>
      <c r="I952" t="e">
        <f>VLOOKUP(F952,'1PROJE'!$B$7:$F$26,2,0)</f>
        <v>#N/A</v>
      </c>
      <c r="J952" t="e">
        <f>VLOOKUP(F952,'1PROJE'!$B$7:$F$26,4,0)</f>
        <v>#N/A</v>
      </c>
      <c r="K952" t="e">
        <f>VLOOKUP(F952,'1PROJE'!$B$7:$F$26,5,0)</f>
        <v>#N/A</v>
      </c>
    </row>
    <row r="953" spans="2:11">
      <c r="B953">
        <f t="shared" si="240"/>
        <v>0</v>
      </c>
      <c r="F953" s="57" t="e">
        <f t="shared" si="238"/>
        <v>#N/A</v>
      </c>
      <c r="G953" t="str">
        <f t="shared" si="239"/>
        <v/>
      </c>
      <c r="I953" t="e">
        <f>VLOOKUP(F953,'1PROJE'!$B$7:$F$26,2,0)</f>
        <v>#N/A</v>
      </c>
      <c r="J953" t="e">
        <f>VLOOKUP(F953,'1PROJE'!$B$7:$F$26,4,0)</f>
        <v>#N/A</v>
      </c>
      <c r="K953" t="e">
        <f>VLOOKUP(F953,'1PROJE'!$B$7:$F$26,5,0)</f>
        <v>#N/A</v>
      </c>
    </row>
    <row r="954" spans="2:11">
      <c r="B954">
        <f t="shared" si="240"/>
        <v>0</v>
      </c>
      <c r="F954" s="57" t="e">
        <f t="shared" si="238"/>
        <v>#N/A</v>
      </c>
      <c r="G954" t="str">
        <f t="shared" si="239"/>
        <v/>
      </c>
      <c r="I954" t="e">
        <f>VLOOKUP(F954,'1PROJE'!$B$7:$F$26,2,0)</f>
        <v>#N/A</v>
      </c>
      <c r="J954" t="e">
        <f>VLOOKUP(F954,'1PROJE'!$B$7:$F$26,4,0)</f>
        <v>#N/A</v>
      </c>
      <c r="K954" t="e">
        <f>VLOOKUP(F954,'1PROJE'!$B$7:$F$26,5,0)</f>
        <v>#N/A</v>
      </c>
    </row>
    <row r="955" spans="2:11">
      <c r="B955">
        <f t="shared" si="240"/>
        <v>0</v>
      </c>
      <c r="F955" s="57" t="e">
        <f t="shared" si="238"/>
        <v>#N/A</v>
      </c>
      <c r="G955" t="str">
        <f t="shared" si="239"/>
        <v/>
      </c>
      <c r="I955" t="e">
        <f>VLOOKUP(F955,'1PROJE'!$B$7:$F$26,2,0)</f>
        <v>#N/A</v>
      </c>
      <c r="J955" t="e">
        <f>VLOOKUP(F955,'1PROJE'!$B$7:$F$26,4,0)</f>
        <v>#N/A</v>
      </c>
      <c r="K955" t="e">
        <f>VLOOKUP(F955,'1PROJE'!$B$7:$F$26,5,0)</f>
        <v>#N/A</v>
      </c>
    </row>
    <row r="956" spans="2:11">
      <c r="B956">
        <f t="shared" si="240"/>
        <v>0</v>
      </c>
      <c r="F956" s="57" t="e">
        <f t="shared" si="238"/>
        <v>#N/A</v>
      </c>
      <c r="G956" t="str">
        <f t="shared" si="239"/>
        <v/>
      </c>
      <c r="I956" t="e">
        <f>VLOOKUP(F956,'1PROJE'!$B$7:$F$26,2,0)</f>
        <v>#N/A</v>
      </c>
      <c r="J956" t="e">
        <f>VLOOKUP(F956,'1PROJE'!$B$7:$F$26,4,0)</f>
        <v>#N/A</v>
      </c>
      <c r="K956" t="e">
        <f>VLOOKUP(F956,'1PROJE'!$B$7:$F$26,5,0)</f>
        <v>#N/A</v>
      </c>
    </row>
    <row r="957" spans="2:11">
      <c r="B957">
        <f t="shared" si="240"/>
        <v>0</v>
      </c>
      <c r="F957" s="57" t="e">
        <f t="shared" si="238"/>
        <v>#N/A</v>
      </c>
      <c r="G957" t="str">
        <f t="shared" si="239"/>
        <v/>
      </c>
      <c r="I957" t="e">
        <f>VLOOKUP(F957,'1PROJE'!$B$7:$F$26,2,0)</f>
        <v>#N/A</v>
      </c>
      <c r="J957" t="e">
        <f>VLOOKUP(F957,'1PROJE'!$B$7:$F$26,4,0)</f>
        <v>#N/A</v>
      </c>
      <c r="K957" t="e">
        <f>VLOOKUP(F957,'1PROJE'!$B$7:$F$26,5,0)</f>
        <v>#N/A</v>
      </c>
    </row>
    <row r="958" spans="2:11">
      <c r="B958">
        <f t="shared" si="240"/>
        <v>0</v>
      </c>
      <c r="F958" s="57" t="e">
        <f t="shared" si="238"/>
        <v>#N/A</v>
      </c>
      <c r="G958" t="str">
        <f t="shared" si="239"/>
        <v/>
      </c>
      <c r="I958" t="e">
        <f>VLOOKUP(F958,'1PROJE'!$B$7:$F$26,2,0)</f>
        <v>#N/A</v>
      </c>
      <c r="J958" t="e">
        <f>VLOOKUP(F958,'1PROJE'!$B$7:$F$26,4,0)</f>
        <v>#N/A</v>
      </c>
      <c r="K958" t="e">
        <f>VLOOKUP(F958,'1PROJE'!$B$7:$F$26,5,0)</f>
        <v>#N/A</v>
      </c>
    </row>
    <row r="959" spans="2:11">
      <c r="B959">
        <f t="shared" ref="B959:B961" si="241">IF(($C$35-A159)&lt;0,0,"POZ"&amp;" "&amp;$J$61&amp;"."&amp;A159)</f>
        <v>0</v>
      </c>
      <c r="F959" s="57" t="e">
        <f t="shared" si="238"/>
        <v>#N/A</v>
      </c>
      <c r="G959" t="str">
        <f t="shared" si="239"/>
        <v/>
      </c>
      <c r="I959" t="e">
        <f>VLOOKUP(F959,'1PROJE'!$B$7:$F$26,2,0)</f>
        <v>#N/A</v>
      </c>
      <c r="J959" t="e">
        <f>VLOOKUP(F959,'1PROJE'!$B$7:$F$26,4,0)</f>
        <v>#N/A</v>
      </c>
      <c r="K959" t="e">
        <f>VLOOKUP(F959,'1PROJE'!$B$7:$F$26,5,0)</f>
        <v>#N/A</v>
      </c>
    </row>
    <row r="960" spans="2:11">
      <c r="B960">
        <f t="shared" si="241"/>
        <v>0</v>
      </c>
      <c r="F960" s="57" t="e">
        <f t="shared" si="238"/>
        <v>#N/A</v>
      </c>
      <c r="G960" t="str">
        <f t="shared" si="239"/>
        <v/>
      </c>
      <c r="I960" t="e">
        <f>VLOOKUP(F960,'1PROJE'!$B$7:$F$26,2,0)</f>
        <v>#N/A</v>
      </c>
      <c r="J960" t="e">
        <f>VLOOKUP(F960,'1PROJE'!$B$7:$F$26,4,0)</f>
        <v>#N/A</v>
      </c>
      <c r="K960" t="e">
        <f>VLOOKUP(F960,'1PROJE'!$B$7:$F$26,5,0)</f>
        <v>#N/A</v>
      </c>
    </row>
    <row r="961" spans="2:11">
      <c r="B961">
        <f t="shared" si="241"/>
        <v>0</v>
      </c>
      <c r="F961" s="57" t="e">
        <f t="shared" si="238"/>
        <v>#N/A</v>
      </c>
      <c r="G961" t="str">
        <f t="shared" si="239"/>
        <v/>
      </c>
      <c r="I961" t="e">
        <f>VLOOKUP(F961,'1PROJE'!$B$7:$F$26,2,0)</f>
        <v>#N/A</v>
      </c>
      <c r="J961" t="e">
        <f>VLOOKUP(F961,'1PROJE'!$B$7:$F$26,4,0)</f>
        <v>#N/A</v>
      </c>
      <c r="K961" t="e">
        <f>VLOOKUP(F961,'1PROJE'!$B$7:$F$26,5,0)</f>
        <v>#N/A</v>
      </c>
    </row>
    <row r="962" spans="2:11">
      <c r="B962">
        <f>IF(C36=0,0,IF(($C$36-A62)=0,"POZ 10.","POZ"&amp;" "&amp;$K$61&amp;"."&amp;A62))</f>
        <v>0</v>
      </c>
      <c r="F962" s="57" t="e">
        <f t="shared" si="238"/>
        <v>#N/A</v>
      </c>
      <c r="G962" t="str">
        <f t="shared" si="239"/>
        <v/>
      </c>
      <c r="I962" t="e">
        <f>VLOOKUP(F962,'1PROJE'!$B$7:$F$26,2,0)</f>
        <v>#N/A</v>
      </c>
      <c r="J962" t="e">
        <f>VLOOKUP(F962,'1PROJE'!$B$7:$F$26,4,0)</f>
        <v>#N/A</v>
      </c>
      <c r="K962" t="e">
        <f>VLOOKUP(F962,'1PROJE'!$B$7:$F$26,5,0)</f>
        <v>#N/A</v>
      </c>
    </row>
    <row r="963" spans="2:11">
      <c r="B963">
        <f t="shared" ref="B963:B994" si="242">IF(($C$36-A63)&lt;0,0,"POZ"&amp;" "&amp;$K$61&amp;"."&amp;A63)</f>
        <v>0</v>
      </c>
      <c r="F963" s="57" t="e">
        <f t="shared" si="238"/>
        <v>#N/A</v>
      </c>
      <c r="G963" t="str">
        <f t="shared" si="239"/>
        <v/>
      </c>
      <c r="I963" t="e">
        <f>VLOOKUP(F963,'1PROJE'!$B$7:$F$26,2,0)</f>
        <v>#N/A</v>
      </c>
      <c r="J963" t="e">
        <f>VLOOKUP(F963,'1PROJE'!$B$7:$F$26,4,0)</f>
        <v>#N/A</v>
      </c>
      <c r="K963" t="e">
        <f>VLOOKUP(F963,'1PROJE'!$B$7:$F$26,5,0)</f>
        <v>#N/A</v>
      </c>
    </row>
    <row r="964" spans="2:11">
      <c r="B964">
        <f t="shared" si="242"/>
        <v>0</v>
      </c>
      <c r="F964" s="57" t="e">
        <f t="shared" si="238"/>
        <v>#N/A</v>
      </c>
      <c r="G964" t="str">
        <f t="shared" si="239"/>
        <v/>
      </c>
      <c r="I964" t="e">
        <f>VLOOKUP(F964,'1PROJE'!$B$7:$F$26,2,0)</f>
        <v>#N/A</v>
      </c>
      <c r="J964" t="e">
        <f>VLOOKUP(F964,'1PROJE'!$B$7:$F$26,4,0)</f>
        <v>#N/A</v>
      </c>
      <c r="K964" t="e">
        <f>VLOOKUP(F964,'1PROJE'!$B$7:$F$26,5,0)</f>
        <v>#N/A</v>
      </c>
    </row>
    <row r="965" spans="2:11">
      <c r="B965">
        <f t="shared" si="242"/>
        <v>0</v>
      </c>
      <c r="F965" s="57" t="e">
        <f t="shared" si="238"/>
        <v>#N/A</v>
      </c>
      <c r="G965" t="str">
        <f t="shared" si="239"/>
        <v/>
      </c>
      <c r="I965" t="e">
        <f>VLOOKUP(F965,'1PROJE'!$B$7:$F$26,2,0)</f>
        <v>#N/A</v>
      </c>
      <c r="J965" t="e">
        <f>VLOOKUP(F965,'1PROJE'!$B$7:$F$26,4,0)</f>
        <v>#N/A</v>
      </c>
      <c r="K965" t="e">
        <f>VLOOKUP(F965,'1PROJE'!$B$7:$F$26,5,0)</f>
        <v>#N/A</v>
      </c>
    </row>
    <row r="966" spans="2:11">
      <c r="B966">
        <f t="shared" si="242"/>
        <v>0</v>
      </c>
      <c r="F966" s="57" t="e">
        <f t="shared" si="238"/>
        <v>#N/A</v>
      </c>
      <c r="G966" t="str">
        <f t="shared" si="239"/>
        <v/>
      </c>
      <c r="I966" t="e">
        <f>VLOOKUP(F966,'1PROJE'!$B$7:$F$26,2,0)</f>
        <v>#N/A</v>
      </c>
      <c r="J966" t="e">
        <f>VLOOKUP(F966,'1PROJE'!$B$7:$F$26,4,0)</f>
        <v>#N/A</v>
      </c>
      <c r="K966" t="e">
        <f>VLOOKUP(F966,'1PROJE'!$B$7:$F$26,5,0)</f>
        <v>#N/A</v>
      </c>
    </row>
    <row r="967" spans="2:11">
      <c r="B967">
        <f t="shared" si="242"/>
        <v>0</v>
      </c>
      <c r="F967" s="57" t="e">
        <f t="shared" si="238"/>
        <v>#N/A</v>
      </c>
      <c r="G967" t="str">
        <f t="shared" si="239"/>
        <v/>
      </c>
      <c r="I967" t="e">
        <f>VLOOKUP(F967,'1PROJE'!$B$7:$F$26,2,0)</f>
        <v>#N/A</v>
      </c>
      <c r="J967" t="e">
        <f>VLOOKUP(F967,'1PROJE'!$B$7:$F$26,4,0)</f>
        <v>#N/A</v>
      </c>
      <c r="K967" t="e">
        <f>VLOOKUP(F967,'1PROJE'!$B$7:$F$26,5,0)</f>
        <v>#N/A</v>
      </c>
    </row>
    <row r="968" spans="2:11">
      <c r="B968">
        <f t="shared" si="242"/>
        <v>0</v>
      </c>
      <c r="F968" s="57" t="e">
        <f t="shared" si="238"/>
        <v>#N/A</v>
      </c>
      <c r="G968" t="str">
        <f t="shared" si="239"/>
        <v/>
      </c>
      <c r="I968" t="e">
        <f>VLOOKUP(F968,'1PROJE'!$B$7:$F$26,2,0)</f>
        <v>#N/A</v>
      </c>
      <c r="J968" t="e">
        <f>VLOOKUP(F968,'1PROJE'!$B$7:$F$26,4,0)</f>
        <v>#N/A</v>
      </c>
      <c r="K968" t="e">
        <f>VLOOKUP(F968,'1PROJE'!$B$7:$F$26,5,0)</f>
        <v>#N/A</v>
      </c>
    </row>
    <row r="969" spans="2:11">
      <c r="B969">
        <f t="shared" si="242"/>
        <v>0</v>
      </c>
      <c r="F969" s="57" t="e">
        <f t="shared" si="238"/>
        <v>#N/A</v>
      </c>
      <c r="G969" t="str">
        <f t="shared" si="239"/>
        <v/>
      </c>
      <c r="I969" t="e">
        <f>VLOOKUP(F969,'1PROJE'!$B$7:$F$26,2,0)</f>
        <v>#N/A</v>
      </c>
      <c r="J969" t="e">
        <f>VLOOKUP(F969,'1PROJE'!$B$7:$F$26,4,0)</f>
        <v>#N/A</v>
      </c>
      <c r="K969" t="e">
        <f>VLOOKUP(F969,'1PROJE'!$B$7:$F$26,5,0)</f>
        <v>#N/A</v>
      </c>
    </row>
    <row r="970" spans="2:11">
      <c r="B970">
        <f t="shared" si="242"/>
        <v>0</v>
      </c>
      <c r="F970" s="57" t="e">
        <f t="shared" si="238"/>
        <v>#N/A</v>
      </c>
      <c r="G970" t="str">
        <f t="shared" si="239"/>
        <v/>
      </c>
      <c r="I970" t="e">
        <f>VLOOKUP(F970,'1PROJE'!$B$7:$F$26,2,0)</f>
        <v>#N/A</v>
      </c>
      <c r="J970" t="e">
        <f>VLOOKUP(F970,'1PROJE'!$B$7:$F$26,4,0)</f>
        <v>#N/A</v>
      </c>
      <c r="K970" t="e">
        <f>VLOOKUP(F970,'1PROJE'!$B$7:$F$26,5,0)</f>
        <v>#N/A</v>
      </c>
    </row>
    <row r="971" spans="2:11">
      <c r="B971">
        <f t="shared" si="242"/>
        <v>0</v>
      </c>
      <c r="F971" s="57" t="e">
        <f t="shared" ref="F971:F1034" si="243">VLOOKUP(G971,$C$64:$D$83,2,0)</f>
        <v>#N/A</v>
      </c>
      <c r="G971" t="str">
        <f t="shared" ref="G971:G1034" si="244">LEFT(H971,6)</f>
        <v/>
      </c>
      <c r="I971" t="e">
        <f>VLOOKUP(F971,'1PROJE'!$B$7:$F$26,2,0)</f>
        <v>#N/A</v>
      </c>
      <c r="J971" t="e">
        <f>VLOOKUP(F971,'1PROJE'!$B$7:$F$26,4,0)</f>
        <v>#N/A</v>
      </c>
      <c r="K971" t="e">
        <f>VLOOKUP(F971,'1PROJE'!$B$7:$F$26,5,0)</f>
        <v>#N/A</v>
      </c>
    </row>
    <row r="972" spans="2:11">
      <c r="B972">
        <f t="shared" si="242"/>
        <v>0</v>
      </c>
      <c r="F972" s="57" t="e">
        <f t="shared" si="243"/>
        <v>#N/A</v>
      </c>
      <c r="G972" t="str">
        <f t="shared" si="244"/>
        <v/>
      </c>
      <c r="I972" t="e">
        <f>VLOOKUP(F972,'1PROJE'!$B$7:$F$26,2,0)</f>
        <v>#N/A</v>
      </c>
      <c r="J972" t="e">
        <f>VLOOKUP(F972,'1PROJE'!$B$7:$F$26,4,0)</f>
        <v>#N/A</v>
      </c>
      <c r="K972" t="e">
        <f>VLOOKUP(F972,'1PROJE'!$B$7:$F$26,5,0)</f>
        <v>#N/A</v>
      </c>
    </row>
    <row r="973" spans="2:11">
      <c r="B973">
        <f t="shared" si="242"/>
        <v>0</v>
      </c>
      <c r="F973" s="57" t="e">
        <f t="shared" si="243"/>
        <v>#N/A</v>
      </c>
      <c r="G973" t="str">
        <f t="shared" si="244"/>
        <v/>
      </c>
      <c r="I973" t="e">
        <f>VLOOKUP(F973,'1PROJE'!$B$7:$F$26,2,0)</f>
        <v>#N/A</v>
      </c>
      <c r="J973" t="e">
        <f>VLOOKUP(F973,'1PROJE'!$B$7:$F$26,4,0)</f>
        <v>#N/A</v>
      </c>
      <c r="K973" t="e">
        <f>VLOOKUP(F973,'1PROJE'!$B$7:$F$26,5,0)</f>
        <v>#N/A</v>
      </c>
    </row>
    <row r="974" spans="2:11">
      <c r="B974">
        <f t="shared" si="242"/>
        <v>0</v>
      </c>
      <c r="F974" s="57" t="e">
        <f t="shared" si="243"/>
        <v>#N/A</v>
      </c>
      <c r="G974" t="str">
        <f t="shared" si="244"/>
        <v/>
      </c>
      <c r="I974" t="e">
        <f>VLOOKUP(F974,'1PROJE'!$B$7:$F$26,2,0)</f>
        <v>#N/A</v>
      </c>
      <c r="J974" t="e">
        <f>VLOOKUP(F974,'1PROJE'!$B$7:$F$26,4,0)</f>
        <v>#N/A</v>
      </c>
      <c r="K974" t="e">
        <f>VLOOKUP(F974,'1PROJE'!$B$7:$F$26,5,0)</f>
        <v>#N/A</v>
      </c>
    </row>
    <row r="975" spans="2:11">
      <c r="B975">
        <f t="shared" si="242"/>
        <v>0</v>
      </c>
      <c r="F975" s="57" t="e">
        <f t="shared" si="243"/>
        <v>#N/A</v>
      </c>
      <c r="G975" t="str">
        <f t="shared" si="244"/>
        <v/>
      </c>
      <c r="I975" t="e">
        <f>VLOOKUP(F975,'1PROJE'!$B$7:$F$26,2,0)</f>
        <v>#N/A</v>
      </c>
      <c r="J975" t="e">
        <f>VLOOKUP(F975,'1PROJE'!$B$7:$F$26,4,0)</f>
        <v>#N/A</v>
      </c>
      <c r="K975" t="e">
        <f>VLOOKUP(F975,'1PROJE'!$B$7:$F$26,5,0)</f>
        <v>#N/A</v>
      </c>
    </row>
    <row r="976" spans="2:11">
      <c r="B976">
        <f t="shared" si="242"/>
        <v>0</v>
      </c>
      <c r="F976" s="57" t="e">
        <f t="shared" si="243"/>
        <v>#N/A</v>
      </c>
      <c r="G976" t="str">
        <f t="shared" si="244"/>
        <v/>
      </c>
      <c r="I976" t="e">
        <f>VLOOKUP(F976,'1PROJE'!$B$7:$F$26,2,0)</f>
        <v>#N/A</v>
      </c>
      <c r="J976" t="e">
        <f>VLOOKUP(F976,'1PROJE'!$B$7:$F$26,4,0)</f>
        <v>#N/A</v>
      </c>
      <c r="K976" t="e">
        <f>VLOOKUP(F976,'1PROJE'!$B$7:$F$26,5,0)</f>
        <v>#N/A</v>
      </c>
    </row>
    <row r="977" spans="2:11">
      <c r="B977">
        <f t="shared" si="242"/>
        <v>0</v>
      </c>
      <c r="F977" s="57" t="e">
        <f t="shared" si="243"/>
        <v>#N/A</v>
      </c>
      <c r="G977" t="str">
        <f t="shared" si="244"/>
        <v/>
      </c>
      <c r="I977" t="e">
        <f>VLOOKUP(F977,'1PROJE'!$B$7:$F$26,2,0)</f>
        <v>#N/A</v>
      </c>
      <c r="J977" t="e">
        <f>VLOOKUP(F977,'1PROJE'!$B$7:$F$26,4,0)</f>
        <v>#N/A</v>
      </c>
      <c r="K977" t="e">
        <f>VLOOKUP(F977,'1PROJE'!$B$7:$F$26,5,0)</f>
        <v>#N/A</v>
      </c>
    </row>
    <row r="978" spans="2:11">
      <c r="B978">
        <f t="shared" si="242"/>
        <v>0</v>
      </c>
      <c r="F978" s="57" t="e">
        <f t="shared" si="243"/>
        <v>#N/A</v>
      </c>
      <c r="G978" t="str">
        <f t="shared" si="244"/>
        <v/>
      </c>
      <c r="I978" t="e">
        <f>VLOOKUP(F978,'1PROJE'!$B$7:$F$26,2,0)</f>
        <v>#N/A</v>
      </c>
      <c r="J978" t="e">
        <f>VLOOKUP(F978,'1PROJE'!$B$7:$F$26,4,0)</f>
        <v>#N/A</v>
      </c>
      <c r="K978" t="e">
        <f>VLOOKUP(F978,'1PROJE'!$B$7:$F$26,5,0)</f>
        <v>#N/A</v>
      </c>
    </row>
    <row r="979" spans="2:11">
      <c r="B979">
        <f t="shared" si="242"/>
        <v>0</v>
      </c>
      <c r="F979" s="57" t="e">
        <f t="shared" si="243"/>
        <v>#N/A</v>
      </c>
      <c r="G979" t="str">
        <f t="shared" si="244"/>
        <v/>
      </c>
      <c r="I979" t="e">
        <f>VLOOKUP(F979,'1PROJE'!$B$7:$F$26,2,0)</f>
        <v>#N/A</v>
      </c>
      <c r="J979" t="e">
        <f>VLOOKUP(F979,'1PROJE'!$B$7:$F$26,4,0)</f>
        <v>#N/A</v>
      </c>
      <c r="K979" t="e">
        <f>VLOOKUP(F979,'1PROJE'!$B$7:$F$26,5,0)</f>
        <v>#N/A</v>
      </c>
    </row>
    <row r="980" spans="2:11">
      <c r="B980">
        <f t="shared" si="242"/>
        <v>0</v>
      </c>
      <c r="F980" s="57" t="e">
        <f t="shared" si="243"/>
        <v>#N/A</v>
      </c>
      <c r="G980" t="str">
        <f t="shared" si="244"/>
        <v/>
      </c>
      <c r="I980" t="e">
        <f>VLOOKUP(F980,'1PROJE'!$B$7:$F$26,2,0)</f>
        <v>#N/A</v>
      </c>
      <c r="J980" t="e">
        <f>VLOOKUP(F980,'1PROJE'!$B$7:$F$26,4,0)</f>
        <v>#N/A</v>
      </c>
      <c r="K980" t="e">
        <f>VLOOKUP(F980,'1PROJE'!$B$7:$F$26,5,0)</f>
        <v>#N/A</v>
      </c>
    </row>
    <row r="981" spans="2:11">
      <c r="B981">
        <f t="shared" si="242"/>
        <v>0</v>
      </c>
      <c r="F981" s="57" t="e">
        <f t="shared" si="243"/>
        <v>#N/A</v>
      </c>
      <c r="G981" t="str">
        <f t="shared" si="244"/>
        <v/>
      </c>
      <c r="I981" t="e">
        <f>VLOOKUP(F981,'1PROJE'!$B$7:$F$26,2,0)</f>
        <v>#N/A</v>
      </c>
      <c r="J981" t="e">
        <f>VLOOKUP(F981,'1PROJE'!$B$7:$F$26,4,0)</f>
        <v>#N/A</v>
      </c>
      <c r="K981" t="e">
        <f>VLOOKUP(F981,'1PROJE'!$B$7:$F$26,5,0)</f>
        <v>#N/A</v>
      </c>
    </row>
    <row r="982" spans="2:11">
      <c r="B982">
        <f t="shared" si="242"/>
        <v>0</v>
      </c>
      <c r="F982" s="57" t="e">
        <f t="shared" si="243"/>
        <v>#N/A</v>
      </c>
      <c r="G982" t="str">
        <f t="shared" si="244"/>
        <v/>
      </c>
      <c r="I982" t="e">
        <f>VLOOKUP(F982,'1PROJE'!$B$7:$F$26,2,0)</f>
        <v>#N/A</v>
      </c>
      <c r="J982" t="e">
        <f>VLOOKUP(F982,'1PROJE'!$B$7:$F$26,4,0)</f>
        <v>#N/A</v>
      </c>
      <c r="K982" t="e">
        <f>VLOOKUP(F982,'1PROJE'!$B$7:$F$26,5,0)</f>
        <v>#N/A</v>
      </c>
    </row>
    <row r="983" spans="2:11">
      <c r="B983">
        <f t="shared" si="242"/>
        <v>0</v>
      </c>
      <c r="F983" s="57" t="e">
        <f t="shared" si="243"/>
        <v>#N/A</v>
      </c>
      <c r="G983" t="str">
        <f t="shared" si="244"/>
        <v/>
      </c>
      <c r="I983" t="e">
        <f>VLOOKUP(F983,'1PROJE'!$B$7:$F$26,2,0)</f>
        <v>#N/A</v>
      </c>
      <c r="J983" t="e">
        <f>VLOOKUP(F983,'1PROJE'!$B$7:$F$26,4,0)</f>
        <v>#N/A</v>
      </c>
      <c r="K983" t="e">
        <f>VLOOKUP(F983,'1PROJE'!$B$7:$F$26,5,0)</f>
        <v>#N/A</v>
      </c>
    </row>
    <row r="984" spans="2:11">
      <c r="B984">
        <f t="shared" si="242"/>
        <v>0</v>
      </c>
      <c r="F984" s="57" t="e">
        <f t="shared" si="243"/>
        <v>#N/A</v>
      </c>
      <c r="G984" t="str">
        <f t="shared" si="244"/>
        <v/>
      </c>
      <c r="I984" t="e">
        <f>VLOOKUP(F984,'1PROJE'!$B$7:$F$26,2,0)</f>
        <v>#N/A</v>
      </c>
      <c r="J984" t="e">
        <f>VLOOKUP(F984,'1PROJE'!$B$7:$F$26,4,0)</f>
        <v>#N/A</v>
      </c>
      <c r="K984" t="e">
        <f>VLOOKUP(F984,'1PROJE'!$B$7:$F$26,5,0)</f>
        <v>#N/A</v>
      </c>
    </row>
    <row r="985" spans="2:11">
      <c r="B985">
        <f t="shared" si="242"/>
        <v>0</v>
      </c>
      <c r="F985" s="57" t="e">
        <f t="shared" si="243"/>
        <v>#N/A</v>
      </c>
      <c r="G985" t="str">
        <f t="shared" si="244"/>
        <v/>
      </c>
      <c r="I985" t="e">
        <f>VLOOKUP(F985,'1PROJE'!$B$7:$F$26,2,0)</f>
        <v>#N/A</v>
      </c>
      <c r="J985" t="e">
        <f>VLOOKUP(F985,'1PROJE'!$B$7:$F$26,4,0)</f>
        <v>#N/A</v>
      </c>
      <c r="K985" t="e">
        <f>VLOOKUP(F985,'1PROJE'!$B$7:$F$26,5,0)</f>
        <v>#N/A</v>
      </c>
    </row>
    <row r="986" spans="2:11">
      <c r="B986">
        <f t="shared" si="242"/>
        <v>0</v>
      </c>
      <c r="F986" s="57" t="e">
        <f t="shared" si="243"/>
        <v>#N/A</v>
      </c>
      <c r="G986" t="str">
        <f t="shared" si="244"/>
        <v/>
      </c>
      <c r="I986" t="e">
        <f>VLOOKUP(F986,'1PROJE'!$B$7:$F$26,2,0)</f>
        <v>#N/A</v>
      </c>
      <c r="J986" t="e">
        <f>VLOOKUP(F986,'1PROJE'!$B$7:$F$26,4,0)</f>
        <v>#N/A</v>
      </c>
      <c r="K986" t="e">
        <f>VLOOKUP(F986,'1PROJE'!$B$7:$F$26,5,0)</f>
        <v>#N/A</v>
      </c>
    </row>
    <row r="987" spans="2:11">
      <c r="B987">
        <f t="shared" si="242"/>
        <v>0</v>
      </c>
      <c r="F987" s="57" t="e">
        <f t="shared" si="243"/>
        <v>#N/A</v>
      </c>
      <c r="G987" t="str">
        <f t="shared" si="244"/>
        <v/>
      </c>
      <c r="I987" t="e">
        <f>VLOOKUP(F987,'1PROJE'!$B$7:$F$26,2,0)</f>
        <v>#N/A</v>
      </c>
      <c r="J987" t="e">
        <f>VLOOKUP(F987,'1PROJE'!$B$7:$F$26,4,0)</f>
        <v>#N/A</v>
      </c>
      <c r="K987" t="e">
        <f>VLOOKUP(F987,'1PROJE'!$B$7:$F$26,5,0)</f>
        <v>#N/A</v>
      </c>
    </row>
    <row r="988" spans="2:11">
      <c r="B988">
        <f t="shared" si="242"/>
        <v>0</v>
      </c>
      <c r="F988" s="57" t="e">
        <f t="shared" si="243"/>
        <v>#N/A</v>
      </c>
      <c r="G988" t="str">
        <f t="shared" si="244"/>
        <v/>
      </c>
      <c r="I988" t="e">
        <f>VLOOKUP(F988,'1PROJE'!$B$7:$F$26,2,0)</f>
        <v>#N/A</v>
      </c>
      <c r="J988" t="e">
        <f>VLOOKUP(F988,'1PROJE'!$B$7:$F$26,4,0)</f>
        <v>#N/A</v>
      </c>
      <c r="K988" t="e">
        <f>VLOOKUP(F988,'1PROJE'!$B$7:$F$26,5,0)</f>
        <v>#N/A</v>
      </c>
    </row>
    <row r="989" spans="2:11">
      <c r="B989">
        <f t="shared" si="242"/>
        <v>0</v>
      </c>
      <c r="F989" s="57" t="e">
        <f t="shared" si="243"/>
        <v>#N/A</v>
      </c>
      <c r="G989" t="str">
        <f t="shared" si="244"/>
        <v/>
      </c>
      <c r="I989" t="e">
        <f>VLOOKUP(F989,'1PROJE'!$B$7:$F$26,2,0)</f>
        <v>#N/A</v>
      </c>
      <c r="J989" t="e">
        <f>VLOOKUP(F989,'1PROJE'!$B$7:$F$26,4,0)</f>
        <v>#N/A</v>
      </c>
      <c r="K989" t="e">
        <f>VLOOKUP(F989,'1PROJE'!$B$7:$F$26,5,0)</f>
        <v>#N/A</v>
      </c>
    </row>
    <row r="990" spans="2:11">
      <c r="B990">
        <f t="shared" si="242"/>
        <v>0</v>
      </c>
      <c r="F990" s="57" t="e">
        <f t="shared" si="243"/>
        <v>#N/A</v>
      </c>
      <c r="G990" t="str">
        <f t="shared" si="244"/>
        <v/>
      </c>
      <c r="I990" t="e">
        <f>VLOOKUP(F990,'1PROJE'!$B$7:$F$26,2,0)</f>
        <v>#N/A</v>
      </c>
      <c r="J990" t="e">
        <f>VLOOKUP(F990,'1PROJE'!$B$7:$F$26,4,0)</f>
        <v>#N/A</v>
      </c>
      <c r="K990" t="e">
        <f>VLOOKUP(F990,'1PROJE'!$B$7:$F$26,5,0)</f>
        <v>#N/A</v>
      </c>
    </row>
    <row r="991" spans="2:11">
      <c r="B991">
        <f t="shared" si="242"/>
        <v>0</v>
      </c>
      <c r="F991" s="57" t="e">
        <f t="shared" si="243"/>
        <v>#N/A</v>
      </c>
      <c r="G991" t="str">
        <f t="shared" si="244"/>
        <v/>
      </c>
      <c r="I991" t="e">
        <f>VLOOKUP(F991,'1PROJE'!$B$7:$F$26,2,0)</f>
        <v>#N/A</v>
      </c>
      <c r="J991" t="e">
        <f>VLOOKUP(F991,'1PROJE'!$B$7:$F$26,4,0)</f>
        <v>#N/A</v>
      </c>
      <c r="K991" t="e">
        <f>VLOOKUP(F991,'1PROJE'!$B$7:$F$26,5,0)</f>
        <v>#N/A</v>
      </c>
    </row>
    <row r="992" spans="2:11">
      <c r="B992">
        <f t="shared" si="242"/>
        <v>0</v>
      </c>
      <c r="F992" s="57" t="e">
        <f t="shared" si="243"/>
        <v>#N/A</v>
      </c>
      <c r="G992" t="str">
        <f t="shared" si="244"/>
        <v/>
      </c>
      <c r="I992" t="e">
        <f>VLOOKUP(F992,'1PROJE'!$B$7:$F$26,2,0)</f>
        <v>#N/A</v>
      </c>
      <c r="J992" t="e">
        <f>VLOOKUP(F992,'1PROJE'!$B$7:$F$26,4,0)</f>
        <v>#N/A</v>
      </c>
      <c r="K992" t="e">
        <f>VLOOKUP(F992,'1PROJE'!$B$7:$F$26,5,0)</f>
        <v>#N/A</v>
      </c>
    </row>
    <row r="993" spans="2:11">
      <c r="B993">
        <f t="shared" si="242"/>
        <v>0</v>
      </c>
      <c r="F993" s="57" t="e">
        <f t="shared" si="243"/>
        <v>#N/A</v>
      </c>
      <c r="G993" t="str">
        <f t="shared" si="244"/>
        <v/>
      </c>
      <c r="I993" t="e">
        <f>VLOOKUP(F993,'1PROJE'!$B$7:$F$26,2,0)</f>
        <v>#N/A</v>
      </c>
      <c r="J993" t="e">
        <f>VLOOKUP(F993,'1PROJE'!$B$7:$F$26,4,0)</f>
        <v>#N/A</v>
      </c>
      <c r="K993" t="e">
        <f>VLOOKUP(F993,'1PROJE'!$B$7:$F$26,5,0)</f>
        <v>#N/A</v>
      </c>
    </row>
    <row r="994" spans="2:11">
      <c r="B994">
        <f t="shared" si="242"/>
        <v>0</v>
      </c>
      <c r="F994" s="57" t="e">
        <f t="shared" si="243"/>
        <v>#N/A</v>
      </c>
      <c r="G994" t="str">
        <f t="shared" si="244"/>
        <v/>
      </c>
      <c r="I994" t="e">
        <f>VLOOKUP(F994,'1PROJE'!$B$7:$F$26,2,0)</f>
        <v>#N/A</v>
      </c>
      <c r="J994" t="e">
        <f>VLOOKUP(F994,'1PROJE'!$B$7:$F$26,4,0)</f>
        <v>#N/A</v>
      </c>
      <c r="K994" t="e">
        <f>VLOOKUP(F994,'1PROJE'!$B$7:$F$26,5,0)</f>
        <v>#N/A</v>
      </c>
    </row>
    <row r="995" spans="2:11">
      <c r="B995">
        <f t="shared" ref="B995:B1026" si="245">IF(($C$36-A95)&lt;0,0,"POZ"&amp;" "&amp;$K$61&amp;"."&amp;A95)</f>
        <v>0</v>
      </c>
      <c r="F995" s="57" t="e">
        <f t="shared" si="243"/>
        <v>#N/A</v>
      </c>
      <c r="G995" t="str">
        <f t="shared" si="244"/>
        <v/>
      </c>
      <c r="I995" t="e">
        <f>VLOOKUP(F995,'1PROJE'!$B$7:$F$26,2,0)</f>
        <v>#N/A</v>
      </c>
      <c r="J995" t="e">
        <f>VLOOKUP(F995,'1PROJE'!$B$7:$F$26,4,0)</f>
        <v>#N/A</v>
      </c>
      <c r="K995" t="e">
        <f>VLOOKUP(F995,'1PROJE'!$B$7:$F$26,5,0)</f>
        <v>#N/A</v>
      </c>
    </row>
    <row r="996" spans="2:11">
      <c r="B996">
        <f t="shared" si="245"/>
        <v>0</v>
      </c>
      <c r="F996" s="57" t="e">
        <f t="shared" si="243"/>
        <v>#N/A</v>
      </c>
      <c r="G996" t="str">
        <f t="shared" si="244"/>
        <v/>
      </c>
      <c r="I996" t="e">
        <f>VLOOKUP(F996,'1PROJE'!$B$7:$F$26,2,0)</f>
        <v>#N/A</v>
      </c>
      <c r="J996" t="e">
        <f>VLOOKUP(F996,'1PROJE'!$B$7:$F$26,4,0)</f>
        <v>#N/A</v>
      </c>
      <c r="K996" t="e">
        <f>VLOOKUP(F996,'1PROJE'!$B$7:$F$26,5,0)</f>
        <v>#N/A</v>
      </c>
    </row>
    <row r="997" spans="2:11">
      <c r="B997">
        <f t="shared" si="245"/>
        <v>0</v>
      </c>
      <c r="F997" s="57" t="e">
        <f t="shared" si="243"/>
        <v>#N/A</v>
      </c>
      <c r="G997" t="str">
        <f t="shared" si="244"/>
        <v/>
      </c>
      <c r="I997" t="e">
        <f>VLOOKUP(F997,'1PROJE'!$B$7:$F$26,2,0)</f>
        <v>#N/A</v>
      </c>
      <c r="J997" t="e">
        <f>VLOOKUP(F997,'1PROJE'!$B$7:$F$26,4,0)</f>
        <v>#N/A</v>
      </c>
      <c r="K997" t="e">
        <f>VLOOKUP(F997,'1PROJE'!$B$7:$F$26,5,0)</f>
        <v>#N/A</v>
      </c>
    </row>
    <row r="998" spans="2:11">
      <c r="B998">
        <f t="shared" si="245"/>
        <v>0</v>
      </c>
      <c r="F998" s="57" t="e">
        <f t="shared" si="243"/>
        <v>#N/A</v>
      </c>
      <c r="G998" t="str">
        <f t="shared" si="244"/>
        <v/>
      </c>
      <c r="I998" t="e">
        <f>VLOOKUP(F998,'1PROJE'!$B$7:$F$26,2,0)</f>
        <v>#N/A</v>
      </c>
      <c r="J998" t="e">
        <f>VLOOKUP(F998,'1PROJE'!$B$7:$F$26,4,0)</f>
        <v>#N/A</v>
      </c>
      <c r="K998" t="e">
        <f>VLOOKUP(F998,'1PROJE'!$B$7:$F$26,5,0)</f>
        <v>#N/A</v>
      </c>
    </row>
    <row r="999" spans="2:11">
      <c r="B999">
        <f t="shared" si="245"/>
        <v>0</v>
      </c>
      <c r="F999" s="57" t="e">
        <f t="shared" si="243"/>
        <v>#N/A</v>
      </c>
      <c r="G999" t="str">
        <f t="shared" si="244"/>
        <v/>
      </c>
      <c r="I999" t="e">
        <f>VLOOKUP(F999,'1PROJE'!$B$7:$F$26,2,0)</f>
        <v>#N/A</v>
      </c>
      <c r="J999" t="e">
        <f>VLOOKUP(F999,'1PROJE'!$B$7:$F$26,4,0)</f>
        <v>#N/A</v>
      </c>
      <c r="K999" t="e">
        <f>VLOOKUP(F999,'1PROJE'!$B$7:$F$26,5,0)</f>
        <v>#N/A</v>
      </c>
    </row>
    <row r="1000" spans="2:11">
      <c r="B1000">
        <f t="shared" si="245"/>
        <v>0</v>
      </c>
      <c r="F1000" s="57" t="e">
        <f t="shared" si="243"/>
        <v>#N/A</v>
      </c>
      <c r="G1000" t="str">
        <f t="shared" si="244"/>
        <v/>
      </c>
      <c r="I1000" t="e">
        <f>VLOOKUP(F1000,'1PROJE'!$B$7:$F$26,2,0)</f>
        <v>#N/A</v>
      </c>
      <c r="J1000" t="e">
        <f>VLOOKUP(F1000,'1PROJE'!$B$7:$F$26,4,0)</f>
        <v>#N/A</v>
      </c>
      <c r="K1000" t="e">
        <f>VLOOKUP(F1000,'1PROJE'!$B$7:$F$26,5,0)</f>
        <v>#N/A</v>
      </c>
    </row>
    <row r="1001" spans="2:11">
      <c r="B1001">
        <f t="shared" si="245"/>
        <v>0</v>
      </c>
      <c r="F1001" s="57" t="e">
        <f t="shared" si="243"/>
        <v>#N/A</v>
      </c>
      <c r="G1001" t="str">
        <f t="shared" si="244"/>
        <v/>
      </c>
      <c r="I1001" t="e">
        <f>VLOOKUP(F1001,'1PROJE'!$B$7:$F$26,2,0)</f>
        <v>#N/A</v>
      </c>
      <c r="J1001" t="e">
        <f>VLOOKUP(F1001,'1PROJE'!$B$7:$F$26,4,0)</f>
        <v>#N/A</v>
      </c>
      <c r="K1001" t="e">
        <f>VLOOKUP(F1001,'1PROJE'!$B$7:$F$26,5,0)</f>
        <v>#N/A</v>
      </c>
    </row>
    <row r="1002" spans="2:11">
      <c r="B1002">
        <f t="shared" si="245"/>
        <v>0</v>
      </c>
      <c r="F1002" s="57" t="e">
        <f t="shared" si="243"/>
        <v>#N/A</v>
      </c>
      <c r="G1002" t="str">
        <f t="shared" si="244"/>
        <v/>
      </c>
      <c r="I1002" t="e">
        <f>VLOOKUP(F1002,'1PROJE'!$B$7:$F$26,2,0)</f>
        <v>#N/A</v>
      </c>
      <c r="J1002" t="e">
        <f>VLOOKUP(F1002,'1PROJE'!$B$7:$F$26,4,0)</f>
        <v>#N/A</v>
      </c>
      <c r="K1002" t="e">
        <f>VLOOKUP(F1002,'1PROJE'!$B$7:$F$26,5,0)</f>
        <v>#N/A</v>
      </c>
    </row>
    <row r="1003" spans="2:11">
      <c r="B1003">
        <f t="shared" si="245"/>
        <v>0</v>
      </c>
      <c r="F1003" s="57" t="e">
        <f t="shared" si="243"/>
        <v>#N/A</v>
      </c>
      <c r="G1003" t="str">
        <f t="shared" si="244"/>
        <v/>
      </c>
      <c r="I1003" t="e">
        <f>VLOOKUP(F1003,'1PROJE'!$B$7:$F$26,2,0)</f>
        <v>#N/A</v>
      </c>
      <c r="J1003" t="e">
        <f>VLOOKUP(F1003,'1PROJE'!$B$7:$F$26,4,0)</f>
        <v>#N/A</v>
      </c>
      <c r="K1003" t="e">
        <f>VLOOKUP(F1003,'1PROJE'!$B$7:$F$26,5,0)</f>
        <v>#N/A</v>
      </c>
    </row>
    <row r="1004" spans="2:11">
      <c r="B1004">
        <f t="shared" si="245"/>
        <v>0</v>
      </c>
      <c r="F1004" s="57" t="e">
        <f t="shared" si="243"/>
        <v>#N/A</v>
      </c>
      <c r="G1004" t="str">
        <f t="shared" si="244"/>
        <v/>
      </c>
      <c r="I1004" t="e">
        <f>VLOOKUP(F1004,'1PROJE'!$B$7:$F$26,2,0)</f>
        <v>#N/A</v>
      </c>
      <c r="J1004" t="e">
        <f>VLOOKUP(F1004,'1PROJE'!$B$7:$F$26,4,0)</f>
        <v>#N/A</v>
      </c>
      <c r="K1004" t="e">
        <f>VLOOKUP(F1004,'1PROJE'!$B$7:$F$26,5,0)</f>
        <v>#N/A</v>
      </c>
    </row>
    <row r="1005" spans="2:11">
      <c r="B1005">
        <f t="shared" si="245"/>
        <v>0</v>
      </c>
      <c r="F1005" s="57" t="e">
        <f t="shared" si="243"/>
        <v>#N/A</v>
      </c>
      <c r="G1005" t="str">
        <f t="shared" si="244"/>
        <v/>
      </c>
      <c r="I1005" t="e">
        <f>VLOOKUP(F1005,'1PROJE'!$B$7:$F$26,2,0)</f>
        <v>#N/A</v>
      </c>
      <c r="J1005" t="e">
        <f>VLOOKUP(F1005,'1PROJE'!$B$7:$F$26,4,0)</f>
        <v>#N/A</v>
      </c>
      <c r="K1005" t="e">
        <f>VLOOKUP(F1005,'1PROJE'!$B$7:$F$26,5,0)</f>
        <v>#N/A</v>
      </c>
    </row>
    <row r="1006" spans="2:11">
      <c r="B1006">
        <f t="shared" si="245"/>
        <v>0</v>
      </c>
      <c r="F1006" s="57" t="e">
        <f t="shared" si="243"/>
        <v>#N/A</v>
      </c>
      <c r="G1006" t="str">
        <f t="shared" si="244"/>
        <v/>
      </c>
      <c r="I1006" t="e">
        <f>VLOOKUP(F1006,'1PROJE'!$B$7:$F$26,2,0)</f>
        <v>#N/A</v>
      </c>
      <c r="J1006" t="e">
        <f>VLOOKUP(F1006,'1PROJE'!$B$7:$F$26,4,0)</f>
        <v>#N/A</v>
      </c>
      <c r="K1006" t="e">
        <f>VLOOKUP(F1006,'1PROJE'!$B$7:$F$26,5,0)</f>
        <v>#N/A</v>
      </c>
    </row>
    <row r="1007" spans="2:11">
      <c r="B1007">
        <f t="shared" si="245"/>
        <v>0</v>
      </c>
      <c r="F1007" s="57" t="e">
        <f t="shared" si="243"/>
        <v>#N/A</v>
      </c>
      <c r="G1007" t="str">
        <f t="shared" si="244"/>
        <v/>
      </c>
      <c r="I1007" t="e">
        <f>VLOOKUP(F1007,'1PROJE'!$B$7:$F$26,2,0)</f>
        <v>#N/A</v>
      </c>
      <c r="J1007" t="e">
        <f>VLOOKUP(F1007,'1PROJE'!$B$7:$F$26,4,0)</f>
        <v>#N/A</v>
      </c>
      <c r="K1007" t="e">
        <f>VLOOKUP(F1007,'1PROJE'!$B$7:$F$26,5,0)</f>
        <v>#N/A</v>
      </c>
    </row>
    <row r="1008" spans="2:11">
      <c r="B1008">
        <f t="shared" si="245"/>
        <v>0</v>
      </c>
      <c r="F1008" s="57" t="e">
        <f t="shared" si="243"/>
        <v>#N/A</v>
      </c>
      <c r="G1008" t="str">
        <f t="shared" si="244"/>
        <v/>
      </c>
      <c r="I1008" t="e">
        <f>VLOOKUP(F1008,'1PROJE'!$B$7:$F$26,2,0)</f>
        <v>#N/A</v>
      </c>
      <c r="J1008" t="e">
        <f>VLOOKUP(F1008,'1PROJE'!$B$7:$F$26,4,0)</f>
        <v>#N/A</v>
      </c>
      <c r="K1008" t="e">
        <f>VLOOKUP(F1008,'1PROJE'!$B$7:$F$26,5,0)</f>
        <v>#N/A</v>
      </c>
    </row>
    <row r="1009" spans="2:11">
      <c r="B1009">
        <f t="shared" si="245"/>
        <v>0</v>
      </c>
      <c r="F1009" s="57" t="e">
        <f t="shared" si="243"/>
        <v>#N/A</v>
      </c>
      <c r="G1009" t="str">
        <f t="shared" si="244"/>
        <v/>
      </c>
      <c r="I1009" t="e">
        <f>VLOOKUP(F1009,'1PROJE'!$B$7:$F$26,2,0)</f>
        <v>#N/A</v>
      </c>
      <c r="J1009" t="e">
        <f>VLOOKUP(F1009,'1PROJE'!$B$7:$F$26,4,0)</f>
        <v>#N/A</v>
      </c>
      <c r="K1009" t="e">
        <f>VLOOKUP(F1009,'1PROJE'!$B$7:$F$26,5,0)</f>
        <v>#N/A</v>
      </c>
    </row>
    <row r="1010" spans="2:11">
      <c r="B1010">
        <f t="shared" si="245"/>
        <v>0</v>
      </c>
      <c r="F1010" s="57" t="e">
        <f t="shared" si="243"/>
        <v>#N/A</v>
      </c>
      <c r="G1010" t="str">
        <f t="shared" si="244"/>
        <v/>
      </c>
      <c r="I1010" t="e">
        <f>VLOOKUP(F1010,'1PROJE'!$B$7:$F$26,2,0)</f>
        <v>#N/A</v>
      </c>
      <c r="J1010" t="e">
        <f>VLOOKUP(F1010,'1PROJE'!$B$7:$F$26,4,0)</f>
        <v>#N/A</v>
      </c>
      <c r="K1010" t="e">
        <f>VLOOKUP(F1010,'1PROJE'!$B$7:$F$26,5,0)</f>
        <v>#N/A</v>
      </c>
    </row>
    <row r="1011" spans="2:11">
      <c r="B1011">
        <f t="shared" si="245"/>
        <v>0</v>
      </c>
      <c r="F1011" s="57" t="e">
        <f t="shared" si="243"/>
        <v>#N/A</v>
      </c>
      <c r="G1011" t="str">
        <f t="shared" si="244"/>
        <v/>
      </c>
      <c r="I1011" t="e">
        <f>VLOOKUP(F1011,'1PROJE'!$B$7:$F$26,2,0)</f>
        <v>#N/A</v>
      </c>
      <c r="J1011" t="e">
        <f>VLOOKUP(F1011,'1PROJE'!$B$7:$F$26,4,0)</f>
        <v>#N/A</v>
      </c>
      <c r="K1011" t="e">
        <f>VLOOKUP(F1011,'1PROJE'!$B$7:$F$26,5,0)</f>
        <v>#N/A</v>
      </c>
    </row>
    <row r="1012" spans="2:11">
      <c r="B1012">
        <f t="shared" si="245"/>
        <v>0</v>
      </c>
      <c r="F1012" s="57" t="e">
        <f t="shared" si="243"/>
        <v>#N/A</v>
      </c>
      <c r="G1012" t="str">
        <f t="shared" si="244"/>
        <v/>
      </c>
      <c r="I1012" t="e">
        <f>VLOOKUP(F1012,'1PROJE'!$B$7:$F$26,2,0)</f>
        <v>#N/A</v>
      </c>
      <c r="J1012" t="e">
        <f>VLOOKUP(F1012,'1PROJE'!$B$7:$F$26,4,0)</f>
        <v>#N/A</v>
      </c>
      <c r="K1012" t="e">
        <f>VLOOKUP(F1012,'1PROJE'!$B$7:$F$26,5,0)</f>
        <v>#N/A</v>
      </c>
    </row>
    <row r="1013" spans="2:11">
      <c r="B1013">
        <f t="shared" si="245"/>
        <v>0</v>
      </c>
      <c r="F1013" s="57" t="e">
        <f t="shared" si="243"/>
        <v>#N/A</v>
      </c>
      <c r="G1013" t="str">
        <f t="shared" si="244"/>
        <v/>
      </c>
      <c r="I1013" t="e">
        <f>VLOOKUP(F1013,'1PROJE'!$B$7:$F$26,2,0)</f>
        <v>#N/A</v>
      </c>
      <c r="J1013" t="e">
        <f>VLOOKUP(F1013,'1PROJE'!$B$7:$F$26,4,0)</f>
        <v>#N/A</v>
      </c>
      <c r="K1013" t="e">
        <f>VLOOKUP(F1013,'1PROJE'!$B$7:$F$26,5,0)</f>
        <v>#N/A</v>
      </c>
    </row>
    <row r="1014" spans="2:11">
      <c r="B1014">
        <f t="shared" si="245"/>
        <v>0</v>
      </c>
      <c r="F1014" s="57" t="e">
        <f t="shared" si="243"/>
        <v>#N/A</v>
      </c>
      <c r="G1014" t="str">
        <f t="shared" si="244"/>
        <v/>
      </c>
      <c r="I1014" t="e">
        <f>VLOOKUP(F1014,'1PROJE'!$B$7:$F$26,2,0)</f>
        <v>#N/A</v>
      </c>
      <c r="J1014" t="e">
        <f>VLOOKUP(F1014,'1PROJE'!$B$7:$F$26,4,0)</f>
        <v>#N/A</v>
      </c>
      <c r="K1014" t="e">
        <f>VLOOKUP(F1014,'1PROJE'!$B$7:$F$26,5,0)</f>
        <v>#N/A</v>
      </c>
    </row>
    <row r="1015" spans="2:11">
      <c r="B1015">
        <f t="shared" si="245"/>
        <v>0</v>
      </c>
      <c r="F1015" s="57" t="e">
        <f t="shared" si="243"/>
        <v>#N/A</v>
      </c>
      <c r="G1015" t="str">
        <f t="shared" si="244"/>
        <v/>
      </c>
      <c r="I1015" t="e">
        <f>VLOOKUP(F1015,'1PROJE'!$B$7:$F$26,2,0)</f>
        <v>#N/A</v>
      </c>
      <c r="J1015" t="e">
        <f>VLOOKUP(F1015,'1PROJE'!$B$7:$F$26,4,0)</f>
        <v>#N/A</v>
      </c>
      <c r="K1015" t="e">
        <f>VLOOKUP(F1015,'1PROJE'!$B$7:$F$26,5,0)</f>
        <v>#N/A</v>
      </c>
    </row>
    <row r="1016" spans="2:11">
      <c r="B1016">
        <f t="shared" si="245"/>
        <v>0</v>
      </c>
      <c r="F1016" s="57" t="e">
        <f t="shared" si="243"/>
        <v>#N/A</v>
      </c>
      <c r="G1016" t="str">
        <f t="shared" si="244"/>
        <v/>
      </c>
      <c r="I1016" t="e">
        <f>VLOOKUP(F1016,'1PROJE'!$B$7:$F$26,2,0)</f>
        <v>#N/A</v>
      </c>
      <c r="J1016" t="e">
        <f>VLOOKUP(F1016,'1PROJE'!$B$7:$F$26,4,0)</f>
        <v>#N/A</v>
      </c>
      <c r="K1016" t="e">
        <f>VLOOKUP(F1016,'1PROJE'!$B$7:$F$26,5,0)</f>
        <v>#N/A</v>
      </c>
    </row>
    <row r="1017" spans="2:11">
      <c r="B1017">
        <f t="shared" si="245"/>
        <v>0</v>
      </c>
      <c r="F1017" s="57" t="e">
        <f t="shared" si="243"/>
        <v>#N/A</v>
      </c>
      <c r="G1017" t="str">
        <f t="shared" si="244"/>
        <v/>
      </c>
      <c r="I1017" t="e">
        <f>VLOOKUP(F1017,'1PROJE'!$B$7:$F$26,2,0)</f>
        <v>#N/A</v>
      </c>
      <c r="J1017" t="e">
        <f>VLOOKUP(F1017,'1PROJE'!$B$7:$F$26,4,0)</f>
        <v>#N/A</v>
      </c>
      <c r="K1017" t="e">
        <f>VLOOKUP(F1017,'1PROJE'!$B$7:$F$26,5,0)</f>
        <v>#N/A</v>
      </c>
    </row>
    <row r="1018" spans="2:11">
      <c r="B1018">
        <f t="shared" si="245"/>
        <v>0</v>
      </c>
      <c r="F1018" s="57" t="e">
        <f t="shared" si="243"/>
        <v>#N/A</v>
      </c>
      <c r="G1018" t="str">
        <f t="shared" si="244"/>
        <v/>
      </c>
      <c r="I1018" t="e">
        <f>VLOOKUP(F1018,'1PROJE'!$B$7:$F$26,2,0)</f>
        <v>#N/A</v>
      </c>
      <c r="J1018" t="e">
        <f>VLOOKUP(F1018,'1PROJE'!$B$7:$F$26,4,0)</f>
        <v>#N/A</v>
      </c>
      <c r="K1018" t="e">
        <f>VLOOKUP(F1018,'1PROJE'!$B$7:$F$26,5,0)</f>
        <v>#N/A</v>
      </c>
    </row>
    <row r="1019" spans="2:11">
      <c r="B1019">
        <f t="shared" si="245"/>
        <v>0</v>
      </c>
      <c r="F1019" s="57" t="e">
        <f t="shared" si="243"/>
        <v>#N/A</v>
      </c>
      <c r="G1019" t="str">
        <f t="shared" si="244"/>
        <v/>
      </c>
      <c r="I1019" t="e">
        <f>VLOOKUP(F1019,'1PROJE'!$B$7:$F$26,2,0)</f>
        <v>#N/A</v>
      </c>
      <c r="J1019" t="e">
        <f>VLOOKUP(F1019,'1PROJE'!$B$7:$F$26,4,0)</f>
        <v>#N/A</v>
      </c>
      <c r="K1019" t="e">
        <f>VLOOKUP(F1019,'1PROJE'!$B$7:$F$26,5,0)</f>
        <v>#N/A</v>
      </c>
    </row>
    <row r="1020" spans="2:11">
      <c r="B1020">
        <f t="shared" si="245"/>
        <v>0</v>
      </c>
      <c r="F1020" s="57" t="e">
        <f t="shared" si="243"/>
        <v>#N/A</v>
      </c>
      <c r="G1020" t="str">
        <f t="shared" si="244"/>
        <v/>
      </c>
      <c r="I1020" t="e">
        <f>VLOOKUP(F1020,'1PROJE'!$B$7:$F$26,2,0)</f>
        <v>#N/A</v>
      </c>
      <c r="J1020" t="e">
        <f>VLOOKUP(F1020,'1PROJE'!$B$7:$F$26,4,0)</f>
        <v>#N/A</v>
      </c>
      <c r="K1020" t="e">
        <f>VLOOKUP(F1020,'1PROJE'!$B$7:$F$26,5,0)</f>
        <v>#N/A</v>
      </c>
    </row>
    <row r="1021" spans="2:11">
      <c r="B1021">
        <f t="shared" si="245"/>
        <v>0</v>
      </c>
      <c r="F1021" s="57" t="e">
        <f t="shared" si="243"/>
        <v>#N/A</v>
      </c>
      <c r="G1021" t="str">
        <f t="shared" si="244"/>
        <v/>
      </c>
      <c r="I1021" t="e">
        <f>VLOOKUP(F1021,'1PROJE'!$B$7:$F$26,2,0)</f>
        <v>#N/A</v>
      </c>
      <c r="J1021" t="e">
        <f>VLOOKUP(F1021,'1PROJE'!$B$7:$F$26,4,0)</f>
        <v>#N/A</v>
      </c>
      <c r="K1021" t="e">
        <f>VLOOKUP(F1021,'1PROJE'!$B$7:$F$26,5,0)</f>
        <v>#N/A</v>
      </c>
    </row>
    <row r="1022" spans="2:11">
      <c r="B1022">
        <f t="shared" si="245"/>
        <v>0</v>
      </c>
      <c r="F1022" s="57" t="e">
        <f t="shared" si="243"/>
        <v>#N/A</v>
      </c>
      <c r="G1022" t="str">
        <f t="shared" si="244"/>
        <v/>
      </c>
      <c r="I1022" t="e">
        <f>VLOOKUP(F1022,'1PROJE'!$B$7:$F$26,2,0)</f>
        <v>#N/A</v>
      </c>
      <c r="J1022" t="e">
        <f>VLOOKUP(F1022,'1PROJE'!$B$7:$F$26,4,0)</f>
        <v>#N/A</v>
      </c>
      <c r="K1022" t="e">
        <f>VLOOKUP(F1022,'1PROJE'!$B$7:$F$26,5,0)</f>
        <v>#N/A</v>
      </c>
    </row>
    <row r="1023" spans="2:11">
      <c r="B1023">
        <f t="shared" si="245"/>
        <v>0</v>
      </c>
      <c r="F1023" s="57" t="e">
        <f t="shared" si="243"/>
        <v>#N/A</v>
      </c>
      <c r="G1023" t="str">
        <f t="shared" si="244"/>
        <v/>
      </c>
      <c r="I1023" t="e">
        <f>VLOOKUP(F1023,'1PROJE'!$B$7:$F$26,2,0)</f>
        <v>#N/A</v>
      </c>
      <c r="J1023" t="e">
        <f>VLOOKUP(F1023,'1PROJE'!$B$7:$F$26,4,0)</f>
        <v>#N/A</v>
      </c>
      <c r="K1023" t="e">
        <f>VLOOKUP(F1023,'1PROJE'!$B$7:$F$26,5,0)</f>
        <v>#N/A</v>
      </c>
    </row>
    <row r="1024" spans="2:11">
      <c r="B1024">
        <f t="shared" si="245"/>
        <v>0</v>
      </c>
      <c r="F1024" s="57" t="e">
        <f t="shared" si="243"/>
        <v>#N/A</v>
      </c>
      <c r="G1024" t="str">
        <f t="shared" si="244"/>
        <v/>
      </c>
      <c r="I1024" t="e">
        <f>VLOOKUP(F1024,'1PROJE'!$B$7:$F$26,2,0)</f>
        <v>#N/A</v>
      </c>
      <c r="J1024" t="e">
        <f>VLOOKUP(F1024,'1PROJE'!$B$7:$F$26,4,0)</f>
        <v>#N/A</v>
      </c>
      <c r="K1024" t="e">
        <f>VLOOKUP(F1024,'1PROJE'!$B$7:$F$26,5,0)</f>
        <v>#N/A</v>
      </c>
    </row>
    <row r="1025" spans="2:11">
      <c r="B1025">
        <f t="shared" si="245"/>
        <v>0</v>
      </c>
      <c r="F1025" s="57" t="e">
        <f t="shared" si="243"/>
        <v>#N/A</v>
      </c>
      <c r="G1025" t="str">
        <f t="shared" si="244"/>
        <v/>
      </c>
      <c r="I1025" t="e">
        <f>VLOOKUP(F1025,'1PROJE'!$B$7:$F$26,2,0)</f>
        <v>#N/A</v>
      </c>
      <c r="J1025" t="e">
        <f>VLOOKUP(F1025,'1PROJE'!$B$7:$F$26,4,0)</f>
        <v>#N/A</v>
      </c>
      <c r="K1025" t="e">
        <f>VLOOKUP(F1025,'1PROJE'!$B$7:$F$26,5,0)</f>
        <v>#N/A</v>
      </c>
    </row>
    <row r="1026" spans="2:11">
      <c r="B1026">
        <f t="shared" si="245"/>
        <v>0</v>
      </c>
      <c r="F1026" s="57" t="e">
        <f t="shared" si="243"/>
        <v>#N/A</v>
      </c>
      <c r="G1026" t="str">
        <f t="shared" si="244"/>
        <v/>
      </c>
      <c r="I1026" t="e">
        <f>VLOOKUP(F1026,'1PROJE'!$B$7:$F$26,2,0)</f>
        <v>#N/A</v>
      </c>
      <c r="J1026" t="e">
        <f>VLOOKUP(F1026,'1PROJE'!$B$7:$F$26,4,0)</f>
        <v>#N/A</v>
      </c>
      <c r="K1026" t="e">
        <f>VLOOKUP(F1026,'1PROJE'!$B$7:$F$26,5,0)</f>
        <v>#N/A</v>
      </c>
    </row>
    <row r="1027" spans="2:11">
      <c r="B1027">
        <f t="shared" ref="B1027:B1058" si="246">IF(($C$36-A127)&lt;0,0,"POZ"&amp;" "&amp;$K$61&amp;"."&amp;A127)</f>
        <v>0</v>
      </c>
      <c r="F1027" s="57" t="e">
        <f t="shared" si="243"/>
        <v>#N/A</v>
      </c>
      <c r="G1027" t="str">
        <f t="shared" si="244"/>
        <v/>
      </c>
      <c r="I1027" t="e">
        <f>VLOOKUP(F1027,'1PROJE'!$B$7:$F$26,2,0)</f>
        <v>#N/A</v>
      </c>
      <c r="J1027" t="e">
        <f>VLOOKUP(F1027,'1PROJE'!$B$7:$F$26,4,0)</f>
        <v>#N/A</v>
      </c>
      <c r="K1027" t="e">
        <f>VLOOKUP(F1027,'1PROJE'!$B$7:$F$26,5,0)</f>
        <v>#N/A</v>
      </c>
    </row>
    <row r="1028" spans="2:11">
      <c r="B1028">
        <f t="shared" si="246"/>
        <v>0</v>
      </c>
      <c r="F1028" s="57" t="e">
        <f t="shared" si="243"/>
        <v>#N/A</v>
      </c>
      <c r="G1028" t="str">
        <f t="shared" si="244"/>
        <v/>
      </c>
      <c r="I1028" t="e">
        <f>VLOOKUP(F1028,'1PROJE'!$B$7:$F$26,2,0)</f>
        <v>#N/A</v>
      </c>
      <c r="J1028" t="e">
        <f>VLOOKUP(F1028,'1PROJE'!$B$7:$F$26,4,0)</f>
        <v>#N/A</v>
      </c>
      <c r="K1028" t="e">
        <f>VLOOKUP(F1028,'1PROJE'!$B$7:$F$26,5,0)</f>
        <v>#N/A</v>
      </c>
    </row>
    <row r="1029" spans="2:11">
      <c r="B1029">
        <f t="shared" si="246"/>
        <v>0</v>
      </c>
      <c r="F1029" s="57" t="e">
        <f t="shared" si="243"/>
        <v>#N/A</v>
      </c>
      <c r="G1029" t="str">
        <f t="shared" si="244"/>
        <v/>
      </c>
      <c r="I1029" t="e">
        <f>VLOOKUP(F1029,'1PROJE'!$B$7:$F$26,2,0)</f>
        <v>#N/A</v>
      </c>
      <c r="J1029" t="e">
        <f>VLOOKUP(F1029,'1PROJE'!$B$7:$F$26,4,0)</f>
        <v>#N/A</v>
      </c>
      <c r="K1029" t="e">
        <f>VLOOKUP(F1029,'1PROJE'!$B$7:$F$26,5,0)</f>
        <v>#N/A</v>
      </c>
    </row>
    <row r="1030" spans="2:11">
      <c r="B1030">
        <f t="shared" si="246"/>
        <v>0</v>
      </c>
      <c r="F1030" s="57" t="e">
        <f t="shared" si="243"/>
        <v>#N/A</v>
      </c>
      <c r="G1030" t="str">
        <f t="shared" si="244"/>
        <v/>
      </c>
      <c r="I1030" t="e">
        <f>VLOOKUP(F1030,'1PROJE'!$B$7:$F$26,2,0)</f>
        <v>#N/A</v>
      </c>
      <c r="J1030" t="e">
        <f>VLOOKUP(F1030,'1PROJE'!$B$7:$F$26,4,0)</f>
        <v>#N/A</v>
      </c>
      <c r="K1030" t="e">
        <f>VLOOKUP(F1030,'1PROJE'!$B$7:$F$26,5,0)</f>
        <v>#N/A</v>
      </c>
    </row>
    <row r="1031" spans="2:11">
      <c r="B1031">
        <f t="shared" si="246"/>
        <v>0</v>
      </c>
      <c r="F1031" s="57" t="e">
        <f t="shared" si="243"/>
        <v>#N/A</v>
      </c>
      <c r="G1031" t="str">
        <f t="shared" si="244"/>
        <v/>
      </c>
      <c r="I1031" t="e">
        <f>VLOOKUP(F1031,'1PROJE'!$B$7:$F$26,2,0)</f>
        <v>#N/A</v>
      </c>
      <c r="J1031" t="e">
        <f>VLOOKUP(F1031,'1PROJE'!$B$7:$F$26,4,0)</f>
        <v>#N/A</v>
      </c>
      <c r="K1031" t="e">
        <f>VLOOKUP(F1031,'1PROJE'!$B$7:$F$26,5,0)</f>
        <v>#N/A</v>
      </c>
    </row>
    <row r="1032" spans="2:11">
      <c r="B1032">
        <f t="shared" si="246"/>
        <v>0</v>
      </c>
      <c r="F1032" s="57" t="e">
        <f t="shared" si="243"/>
        <v>#N/A</v>
      </c>
      <c r="G1032" t="str">
        <f t="shared" si="244"/>
        <v/>
      </c>
      <c r="I1032" t="e">
        <f>VLOOKUP(F1032,'1PROJE'!$B$7:$F$26,2,0)</f>
        <v>#N/A</v>
      </c>
      <c r="J1032" t="e">
        <f>VLOOKUP(F1032,'1PROJE'!$B$7:$F$26,4,0)</f>
        <v>#N/A</v>
      </c>
      <c r="K1032" t="e">
        <f>VLOOKUP(F1032,'1PROJE'!$B$7:$F$26,5,0)</f>
        <v>#N/A</v>
      </c>
    </row>
    <row r="1033" spans="2:11">
      <c r="B1033">
        <f t="shared" si="246"/>
        <v>0</v>
      </c>
      <c r="F1033" s="57" t="e">
        <f t="shared" si="243"/>
        <v>#N/A</v>
      </c>
      <c r="G1033" t="str">
        <f t="shared" si="244"/>
        <v/>
      </c>
      <c r="I1033" t="e">
        <f>VLOOKUP(F1033,'1PROJE'!$B$7:$F$26,2,0)</f>
        <v>#N/A</v>
      </c>
      <c r="J1033" t="e">
        <f>VLOOKUP(F1033,'1PROJE'!$B$7:$F$26,4,0)</f>
        <v>#N/A</v>
      </c>
      <c r="K1033" t="e">
        <f>VLOOKUP(F1033,'1PROJE'!$B$7:$F$26,5,0)</f>
        <v>#N/A</v>
      </c>
    </row>
    <row r="1034" spans="2:11">
      <c r="B1034">
        <f t="shared" si="246"/>
        <v>0</v>
      </c>
      <c r="F1034" s="57" t="e">
        <f t="shared" si="243"/>
        <v>#N/A</v>
      </c>
      <c r="G1034" t="str">
        <f t="shared" si="244"/>
        <v/>
      </c>
      <c r="I1034" t="e">
        <f>VLOOKUP(F1034,'1PROJE'!$B$7:$F$26,2,0)</f>
        <v>#N/A</v>
      </c>
      <c r="J1034" t="e">
        <f>VLOOKUP(F1034,'1PROJE'!$B$7:$F$26,4,0)</f>
        <v>#N/A</v>
      </c>
      <c r="K1034" t="e">
        <f>VLOOKUP(F1034,'1PROJE'!$B$7:$F$26,5,0)</f>
        <v>#N/A</v>
      </c>
    </row>
    <row r="1035" spans="2:11">
      <c r="B1035">
        <f t="shared" si="246"/>
        <v>0</v>
      </c>
      <c r="F1035" s="57" t="e">
        <f t="shared" ref="F1035:F1098" si="247">VLOOKUP(G1035,$C$64:$D$83,2,0)</f>
        <v>#N/A</v>
      </c>
      <c r="G1035" t="str">
        <f t="shared" ref="G1035:G1098" si="248">LEFT(H1035,6)</f>
        <v/>
      </c>
      <c r="I1035" t="e">
        <f>VLOOKUP(F1035,'1PROJE'!$B$7:$F$26,2,0)</f>
        <v>#N/A</v>
      </c>
      <c r="J1035" t="e">
        <f>VLOOKUP(F1035,'1PROJE'!$B$7:$F$26,4,0)</f>
        <v>#N/A</v>
      </c>
      <c r="K1035" t="e">
        <f>VLOOKUP(F1035,'1PROJE'!$B$7:$F$26,5,0)</f>
        <v>#N/A</v>
      </c>
    </row>
    <row r="1036" spans="2:11">
      <c r="B1036">
        <f t="shared" si="246"/>
        <v>0</v>
      </c>
      <c r="F1036" s="57" t="e">
        <f t="shared" si="247"/>
        <v>#N/A</v>
      </c>
      <c r="G1036" t="str">
        <f t="shared" si="248"/>
        <v/>
      </c>
      <c r="I1036" t="e">
        <f>VLOOKUP(F1036,'1PROJE'!$B$7:$F$26,2,0)</f>
        <v>#N/A</v>
      </c>
      <c r="J1036" t="e">
        <f>VLOOKUP(F1036,'1PROJE'!$B$7:$F$26,4,0)</f>
        <v>#N/A</v>
      </c>
      <c r="K1036" t="e">
        <f>VLOOKUP(F1036,'1PROJE'!$B$7:$F$26,5,0)</f>
        <v>#N/A</v>
      </c>
    </row>
    <row r="1037" spans="2:11">
      <c r="B1037">
        <f t="shared" si="246"/>
        <v>0</v>
      </c>
      <c r="F1037" s="57" t="e">
        <f t="shared" si="247"/>
        <v>#N/A</v>
      </c>
      <c r="G1037" t="str">
        <f t="shared" si="248"/>
        <v/>
      </c>
      <c r="I1037" t="e">
        <f>VLOOKUP(F1037,'1PROJE'!$B$7:$F$26,2,0)</f>
        <v>#N/A</v>
      </c>
      <c r="J1037" t="e">
        <f>VLOOKUP(F1037,'1PROJE'!$B$7:$F$26,4,0)</f>
        <v>#N/A</v>
      </c>
      <c r="K1037" t="e">
        <f>VLOOKUP(F1037,'1PROJE'!$B$7:$F$26,5,0)</f>
        <v>#N/A</v>
      </c>
    </row>
    <row r="1038" spans="2:11">
      <c r="B1038">
        <f t="shared" si="246"/>
        <v>0</v>
      </c>
      <c r="F1038" s="57" t="e">
        <f t="shared" si="247"/>
        <v>#N/A</v>
      </c>
      <c r="G1038" t="str">
        <f t="shared" si="248"/>
        <v/>
      </c>
      <c r="I1038" t="e">
        <f>VLOOKUP(F1038,'1PROJE'!$B$7:$F$26,2,0)</f>
        <v>#N/A</v>
      </c>
      <c r="J1038" t="e">
        <f>VLOOKUP(F1038,'1PROJE'!$B$7:$F$26,4,0)</f>
        <v>#N/A</v>
      </c>
      <c r="K1038" t="e">
        <f>VLOOKUP(F1038,'1PROJE'!$B$7:$F$26,5,0)</f>
        <v>#N/A</v>
      </c>
    </row>
    <row r="1039" spans="2:11">
      <c r="B1039">
        <f t="shared" si="246"/>
        <v>0</v>
      </c>
      <c r="F1039" s="57" t="e">
        <f t="shared" si="247"/>
        <v>#N/A</v>
      </c>
      <c r="G1039" t="str">
        <f t="shared" si="248"/>
        <v/>
      </c>
      <c r="I1039" t="e">
        <f>VLOOKUP(F1039,'1PROJE'!$B$7:$F$26,2,0)</f>
        <v>#N/A</v>
      </c>
      <c r="J1039" t="e">
        <f>VLOOKUP(F1039,'1PROJE'!$B$7:$F$26,4,0)</f>
        <v>#N/A</v>
      </c>
      <c r="K1039" t="e">
        <f>VLOOKUP(F1039,'1PROJE'!$B$7:$F$26,5,0)</f>
        <v>#N/A</v>
      </c>
    </row>
    <row r="1040" spans="2:11">
      <c r="B1040">
        <f t="shared" si="246"/>
        <v>0</v>
      </c>
      <c r="F1040" s="57" t="e">
        <f t="shared" si="247"/>
        <v>#N/A</v>
      </c>
      <c r="G1040" t="str">
        <f t="shared" si="248"/>
        <v/>
      </c>
      <c r="I1040" t="e">
        <f>VLOOKUP(F1040,'1PROJE'!$B$7:$F$26,2,0)</f>
        <v>#N/A</v>
      </c>
      <c r="J1040" t="e">
        <f>VLOOKUP(F1040,'1PROJE'!$B$7:$F$26,4,0)</f>
        <v>#N/A</v>
      </c>
      <c r="K1040" t="e">
        <f>VLOOKUP(F1040,'1PROJE'!$B$7:$F$26,5,0)</f>
        <v>#N/A</v>
      </c>
    </row>
    <row r="1041" spans="2:11">
      <c r="B1041">
        <f t="shared" si="246"/>
        <v>0</v>
      </c>
      <c r="F1041" s="57" t="e">
        <f t="shared" si="247"/>
        <v>#N/A</v>
      </c>
      <c r="G1041" t="str">
        <f t="shared" si="248"/>
        <v/>
      </c>
      <c r="I1041" t="e">
        <f>VLOOKUP(F1041,'1PROJE'!$B$7:$F$26,2,0)</f>
        <v>#N/A</v>
      </c>
      <c r="J1041" t="e">
        <f>VLOOKUP(F1041,'1PROJE'!$B$7:$F$26,4,0)</f>
        <v>#N/A</v>
      </c>
      <c r="K1041" t="e">
        <f>VLOOKUP(F1041,'1PROJE'!$B$7:$F$26,5,0)</f>
        <v>#N/A</v>
      </c>
    </row>
    <row r="1042" spans="2:11">
      <c r="B1042">
        <f t="shared" si="246"/>
        <v>0</v>
      </c>
      <c r="F1042" s="57" t="e">
        <f t="shared" si="247"/>
        <v>#N/A</v>
      </c>
      <c r="G1042" t="str">
        <f t="shared" si="248"/>
        <v/>
      </c>
      <c r="I1042" t="e">
        <f>VLOOKUP(F1042,'1PROJE'!$B$7:$F$26,2,0)</f>
        <v>#N/A</v>
      </c>
      <c r="J1042" t="e">
        <f>VLOOKUP(F1042,'1PROJE'!$B$7:$F$26,4,0)</f>
        <v>#N/A</v>
      </c>
      <c r="K1042" t="e">
        <f>VLOOKUP(F1042,'1PROJE'!$B$7:$F$26,5,0)</f>
        <v>#N/A</v>
      </c>
    </row>
    <row r="1043" spans="2:11">
      <c r="B1043">
        <f t="shared" si="246"/>
        <v>0</v>
      </c>
      <c r="F1043" s="57" t="e">
        <f t="shared" si="247"/>
        <v>#N/A</v>
      </c>
      <c r="G1043" t="str">
        <f t="shared" si="248"/>
        <v/>
      </c>
      <c r="I1043" t="e">
        <f>VLOOKUP(F1043,'1PROJE'!$B$7:$F$26,2,0)</f>
        <v>#N/A</v>
      </c>
      <c r="J1043" t="e">
        <f>VLOOKUP(F1043,'1PROJE'!$B$7:$F$26,4,0)</f>
        <v>#N/A</v>
      </c>
      <c r="K1043" t="e">
        <f>VLOOKUP(F1043,'1PROJE'!$B$7:$F$26,5,0)</f>
        <v>#N/A</v>
      </c>
    </row>
    <row r="1044" spans="2:11">
      <c r="B1044">
        <f t="shared" si="246"/>
        <v>0</v>
      </c>
      <c r="F1044" s="57" t="e">
        <f t="shared" si="247"/>
        <v>#N/A</v>
      </c>
      <c r="G1044" t="str">
        <f t="shared" si="248"/>
        <v/>
      </c>
      <c r="I1044" t="e">
        <f>VLOOKUP(F1044,'1PROJE'!$B$7:$F$26,2,0)</f>
        <v>#N/A</v>
      </c>
      <c r="J1044" t="e">
        <f>VLOOKUP(F1044,'1PROJE'!$B$7:$F$26,4,0)</f>
        <v>#N/A</v>
      </c>
      <c r="K1044" t="e">
        <f>VLOOKUP(F1044,'1PROJE'!$B$7:$F$26,5,0)</f>
        <v>#N/A</v>
      </c>
    </row>
    <row r="1045" spans="2:11">
      <c r="B1045">
        <f t="shared" si="246"/>
        <v>0</v>
      </c>
      <c r="F1045" s="57" t="e">
        <f t="shared" si="247"/>
        <v>#N/A</v>
      </c>
      <c r="G1045" t="str">
        <f t="shared" si="248"/>
        <v/>
      </c>
      <c r="I1045" t="e">
        <f>VLOOKUP(F1045,'1PROJE'!$B$7:$F$26,2,0)</f>
        <v>#N/A</v>
      </c>
      <c r="J1045" t="e">
        <f>VLOOKUP(F1045,'1PROJE'!$B$7:$F$26,4,0)</f>
        <v>#N/A</v>
      </c>
      <c r="K1045" t="e">
        <f>VLOOKUP(F1045,'1PROJE'!$B$7:$F$26,5,0)</f>
        <v>#N/A</v>
      </c>
    </row>
    <row r="1046" spans="2:11">
      <c r="B1046">
        <f t="shared" si="246"/>
        <v>0</v>
      </c>
      <c r="F1046" s="57" t="e">
        <f t="shared" si="247"/>
        <v>#N/A</v>
      </c>
      <c r="G1046" t="str">
        <f t="shared" si="248"/>
        <v/>
      </c>
      <c r="I1046" t="e">
        <f>VLOOKUP(F1046,'1PROJE'!$B$7:$F$26,2,0)</f>
        <v>#N/A</v>
      </c>
      <c r="J1046" t="e">
        <f>VLOOKUP(F1046,'1PROJE'!$B$7:$F$26,4,0)</f>
        <v>#N/A</v>
      </c>
      <c r="K1046" t="e">
        <f>VLOOKUP(F1046,'1PROJE'!$B$7:$F$26,5,0)</f>
        <v>#N/A</v>
      </c>
    </row>
    <row r="1047" spans="2:11">
      <c r="B1047">
        <f t="shared" si="246"/>
        <v>0</v>
      </c>
      <c r="F1047" s="57" t="e">
        <f t="shared" si="247"/>
        <v>#N/A</v>
      </c>
      <c r="G1047" t="str">
        <f t="shared" si="248"/>
        <v/>
      </c>
      <c r="I1047" t="e">
        <f>VLOOKUP(F1047,'1PROJE'!$B$7:$F$26,2,0)</f>
        <v>#N/A</v>
      </c>
      <c r="J1047" t="e">
        <f>VLOOKUP(F1047,'1PROJE'!$B$7:$F$26,4,0)</f>
        <v>#N/A</v>
      </c>
      <c r="K1047" t="e">
        <f>VLOOKUP(F1047,'1PROJE'!$B$7:$F$26,5,0)</f>
        <v>#N/A</v>
      </c>
    </row>
    <row r="1048" spans="2:11">
      <c r="B1048">
        <f t="shared" si="246"/>
        <v>0</v>
      </c>
      <c r="F1048" s="57" t="e">
        <f t="shared" si="247"/>
        <v>#N/A</v>
      </c>
      <c r="G1048" t="str">
        <f t="shared" si="248"/>
        <v/>
      </c>
      <c r="I1048" t="e">
        <f>VLOOKUP(F1048,'1PROJE'!$B$7:$F$26,2,0)</f>
        <v>#N/A</v>
      </c>
      <c r="J1048" t="e">
        <f>VLOOKUP(F1048,'1PROJE'!$B$7:$F$26,4,0)</f>
        <v>#N/A</v>
      </c>
      <c r="K1048" t="e">
        <f>VLOOKUP(F1048,'1PROJE'!$B$7:$F$26,5,0)</f>
        <v>#N/A</v>
      </c>
    </row>
    <row r="1049" spans="2:11">
      <c r="B1049">
        <f t="shared" si="246"/>
        <v>0</v>
      </c>
      <c r="F1049" s="57" t="e">
        <f t="shared" si="247"/>
        <v>#N/A</v>
      </c>
      <c r="G1049" t="str">
        <f t="shared" si="248"/>
        <v/>
      </c>
      <c r="I1049" t="e">
        <f>VLOOKUP(F1049,'1PROJE'!$B$7:$F$26,2,0)</f>
        <v>#N/A</v>
      </c>
      <c r="J1049" t="e">
        <f>VLOOKUP(F1049,'1PROJE'!$B$7:$F$26,4,0)</f>
        <v>#N/A</v>
      </c>
      <c r="K1049" t="e">
        <f>VLOOKUP(F1049,'1PROJE'!$B$7:$F$26,5,0)</f>
        <v>#N/A</v>
      </c>
    </row>
    <row r="1050" spans="2:11">
      <c r="B1050">
        <f t="shared" si="246"/>
        <v>0</v>
      </c>
      <c r="F1050" s="57" t="e">
        <f t="shared" si="247"/>
        <v>#N/A</v>
      </c>
      <c r="G1050" t="str">
        <f t="shared" si="248"/>
        <v/>
      </c>
      <c r="I1050" t="e">
        <f>VLOOKUP(F1050,'1PROJE'!$B$7:$F$26,2,0)</f>
        <v>#N/A</v>
      </c>
      <c r="J1050" t="e">
        <f>VLOOKUP(F1050,'1PROJE'!$B$7:$F$26,4,0)</f>
        <v>#N/A</v>
      </c>
      <c r="K1050" t="e">
        <f>VLOOKUP(F1050,'1PROJE'!$B$7:$F$26,5,0)</f>
        <v>#N/A</v>
      </c>
    </row>
    <row r="1051" spans="2:11">
      <c r="B1051">
        <f t="shared" si="246"/>
        <v>0</v>
      </c>
      <c r="F1051" s="57" t="e">
        <f t="shared" si="247"/>
        <v>#N/A</v>
      </c>
      <c r="G1051" t="str">
        <f t="shared" si="248"/>
        <v/>
      </c>
      <c r="I1051" t="e">
        <f>VLOOKUP(F1051,'1PROJE'!$B$7:$F$26,2,0)</f>
        <v>#N/A</v>
      </c>
      <c r="J1051" t="e">
        <f>VLOOKUP(F1051,'1PROJE'!$B$7:$F$26,4,0)</f>
        <v>#N/A</v>
      </c>
      <c r="K1051" t="e">
        <f>VLOOKUP(F1051,'1PROJE'!$B$7:$F$26,5,0)</f>
        <v>#N/A</v>
      </c>
    </row>
    <row r="1052" spans="2:11">
      <c r="B1052">
        <f t="shared" si="246"/>
        <v>0</v>
      </c>
      <c r="F1052" s="57" t="e">
        <f t="shared" si="247"/>
        <v>#N/A</v>
      </c>
      <c r="G1052" t="str">
        <f t="shared" si="248"/>
        <v/>
      </c>
      <c r="I1052" t="e">
        <f>VLOOKUP(F1052,'1PROJE'!$B$7:$F$26,2,0)</f>
        <v>#N/A</v>
      </c>
      <c r="J1052" t="e">
        <f>VLOOKUP(F1052,'1PROJE'!$B$7:$F$26,4,0)</f>
        <v>#N/A</v>
      </c>
      <c r="K1052" t="e">
        <f>VLOOKUP(F1052,'1PROJE'!$B$7:$F$26,5,0)</f>
        <v>#N/A</v>
      </c>
    </row>
    <row r="1053" spans="2:11">
      <c r="B1053">
        <f t="shared" si="246"/>
        <v>0</v>
      </c>
      <c r="F1053" s="57" t="e">
        <f t="shared" si="247"/>
        <v>#N/A</v>
      </c>
      <c r="G1053" t="str">
        <f t="shared" si="248"/>
        <v/>
      </c>
      <c r="I1053" t="e">
        <f>VLOOKUP(F1053,'1PROJE'!$B$7:$F$26,2,0)</f>
        <v>#N/A</v>
      </c>
      <c r="J1053" t="e">
        <f>VLOOKUP(F1053,'1PROJE'!$B$7:$F$26,4,0)</f>
        <v>#N/A</v>
      </c>
      <c r="K1053" t="e">
        <f>VLOOKUP(F1053,'1PROJE'!$B$7:$F$26,5,0)</f>
        <v>#N/A</v>
      </c>
    </row>
    <row r="1054" spans="2:11">
      <c r="B1054">
        <f t="shared" si="246"/>
        <v>0</v>
      </c>
      <c r="F1054" s="57" t="e">
        <f t="shared" si="247"/>
        <v>#N/A</v>
      </c>
      <c r="G1054" t="str">
        <f t="shared" si="248"/>
        <v/>
      </c>
      <c r="I1054" t="e">
        <f>VLOOKUP(F1054,'1PROJE'!$B$7:$F$26,2,0)</f>
        <v>#N/A</v>
      </c>
      <c r="J1054" t="e">
        <f>VLOOKUP(F1054,'1PROJE'!$B$7:$F$26,4,0)</f>
        <v>#N/A</v>
      </c>
      <c r="K1054" t="e">
        <f>VLOOKUP(F1054,'1PROJE'!$B$7:$F$26,5,0)</f>
        <v>#N/A</v>
      </c>
    </row>
    <row r="1055" spans="2:11">
      <c r="B1055">
        <f t="shared" si="246"/>
        <v>0</v>
      </c>
      <c r="F1055" s="57" t="e">
        <f t="shared" si="247"/>
        <v>#N/A</v>
      </c>
      <c r="G1055" t="str">
        <f t="shared" si="248"/>
        <v/>
      </c>
      <c r="I1055" t="e">
        <f>VLOOKUP(F1055,'1PROJE'!$B$7:$F$26,2,0)</f>
        <v>#N/A</v>
      </c>
      <c r="J1055" t="e">
        <f>VLOOKUP(F1055,'1PROJE'!$B$7:$F$26,4,0)</f>
        <v>#N/A</v>
      </c>
      <c r="K1055" t="e">
        <f>VLOOKUP(F1055,'1PROJE'!$B$7:$F$26,5,0)</f>
        <v>#N/A</v>
      </c>
    </row>
    <row r="1056" spans="2:11">
      <c r="B1056">
        <f t="shared" si="246"/>
        <v>0</v>
      </c>
      <c r="F1056" s="57" t="e">
        <f t="shared" si="247"/>
        <v>#N/A</v>
      </c>
      <c r="G1056" t="str">
        <f t="shared" si="248"/>
        <v/>
      </c>
      <c r="I1056" t="e">
        <f>VLOOKUP(F1056,'1PROJE'!$B$7:$F$26,2,0)</f>
        <v>#N/A</v>
      </c>
      <c r="J1056" t="e">
        <f>VLOOKUP(F1056,'1PROJE'!$B$7:$F$26,4,0)</f>
        <v>#N/A</v>
      </c>
      <c r="K1056" t="e">
        <f>VLOOKUP(F1056,'1PROJE'!$B$7:$F$26,5,0)</f>
        <v>#N/A</v>
      </c>
    </row>
    <row r="1057" spans="2:11">
      <c r="B1057">
        <f t="shared" si="246"/>
        <v>0</v>
      </c>
      <c r="F1057" s="57" t="e">
        <f t="shared" si="247"/>
        <v>#N/A</v>
      </c>
      <c r="G1057" t="str">
        <f t="shared" si="248"/>
        <v/>
      </c>
      <c r="I1057" t="e">
        <f>VLOOKUP(F1057,'1PROJE'!$B$7:$F$26,2,0)</f>
        <v>#N/A</v>
      </c>
      <c r="J1057" t="e">
        <f>VLOOKUP(F1057,'1PROJE'!$B$7:$F$26,4,0)</f>
        <v>#N/A</v>
      </c>
      <c r="K1057" t="e">
        <f>VLOOKUP(F1057,'1PROJE'!$B$7:$F$26,5,0)</f>
        <v>#N/A</v>
      </c>
    </row>
    <row r="1058" spans="2:11">
      <c r="B1058">
        <f t="shared" si="246"/>
        <v>0</v>
      </c>
      <c r="F1058" s="57" t="e">
        <f t="shared" si="247"/>
        <v>#N/A</v>
      </c>
      <c r="G1058" t="str">
        <f t="shared" si="248"/>
        <v/>
      </c>
      <c r="I1058" t="e">
        <f>VLOOKUP(F1058,'1PROJE'!$B$7:$F$26,2,0)</f>
        <v>#N/A</v>
      </c>
      <c r="J1058" t="e">
        <f>VLOOKUP(F1058,'1PROJE'!$B$7:$F$26,4,0)</f>
        <v>#N/A</v>
      </c>
      <c r="K1058" t="e">
        <f>VLOOKUP(F1058,'1PROJE'!$B$7:$F$26,5,0)</f>
        <v>#N/A</v>
      </c>
    </row>
    <row r="1059" spans="2:11">
      <c r="B1059">
        <f t="shared" ref="B1059:B1061" si="249">IF(($C$36-A159)&lt;0,0,"POZ"&amp;" "&amp;$K$61&amp;"."&amp;A159)</f>
        <v>0</v>
      </c>
      <c r="F1059" s="57" t="e">
        <f t="shared" si="247"/>
        <v>#N/A</v>
      </c>
      <c r="G1059" t="str">
        <f t="shared" si="248"/>
        <v/>
      </c>
      <c r="I1059" t="e">
        <f>VLOOKUP(F1059,'1PROJE'!$B$7:$F$26,2,0)</f>
        <v>#N/A</v>
      </c>
      <c r="J1059" t="e">
        <f>VLOOKUP(F1059,'1PROJE'!$B$7:$F$26,4,0)</f>
        <v>#N/A</v>
      </c>
      <c r="K1059" t="e">
        <f>VLOOKUP(F1059,'1PROJE'!$B$7:$F$26,5,0)</f>
        <v>#N/A</v>
      </c>
    </row>
    <row r="1060" spans="2:11">
      <c r="B1060">
        <f t="shared" si="249"/>
        <v>0</v>
      </c>
      <c r="F1060" s="57" t="e">
        <f t="shared" si="247"/>
        <v>#N/A</v>
      </c>
      <c r="G1060" t="str">
        <f t="shared" si="248"/>
        <v/>
      </c>
      <c r="I1060" t="e">
        <f>VLOOKUP(F1060,'1PROJE'!$B$7:$F$26,2,0)</f>
        <v>#N/A</v>
      </c>
      <c r="J1060" t="e">
        <f>VLOOKUP(F1060,'1PROJE'!$B$7:$F$26,4,0)</f>
        <v>#N/A</v>
      </c>
      <c r="K1060" t="e">
        <f>VLOOKUP(F1060,'1PROJE'!$B$7:$F$26,5,0)</f>
        <v>#N/A</v>
      </c>
    </row>
    <row r="1061" spans="2:11">
      <c r="B1061">
        <f t="shared" si="249"/>
        <v>0</v>
      </c>
      <c r="F1061" s="57" t="e">
        <f t="shared" si="247"/>
        <v>#N/A</v>
      </c>
      <c r="G1061" t="str">
        <f t="shared" si="248"/>
        <v/>
      </c>
      <c r="I1061" t="e">
        <f>VLOOKUP(F1061,'1PROJE'!$B$7:$F$26,2,0)</f>
        <v>#N/A</v>
      </c>
      <c r="J1061" t="e">
        <f>VLOOKUP(F1061,'1PROJE'!$B$7:$F$26,4,0)</f>
        <v>#N/A</v>
      </c>
      <c r="K1061" t="e">
        <f>VLOOKUP(F1061,'1PROJE'!$B$7:$F$26,5,0)</f>
        <v>#N/A</v>
      </c>
    </row>
    <row r="1062" spans="2:11">
      <c r="B1062">
        <f>IF(C37=0,0,IF(($C$37-A62)=0,"POZ 11.","POZ"&amp;" "&amp;$L$61&amp;"."&amp;A62))</f>
        <v>0</v>
      </c>
      <c r="F1062" s="57" t="e">
        <f t="shared" si="247"/>
        <v>#N/A</v>
      </c>
      <c r="G1062" t="str">
        <f t="shared" si="248"/>
        <v/>
      </c>
      <c r="I1062" t="e">
        <f>VLOOKUP(F1062,'1PROJE'!$B$7:$F$26,2,0)</f>
        <v>#N/A</v>
      </c>
      <c r="J1062" t="e">
        <f>VLOOKUP(F1062,'1PROJE'!$B$7:$F$26,4,0)</f>
        <v>#N/A</v>
      </c>
      <c r="K1062" t="e">
        <f>VLOOKUP(F1062,'1PROJE'!$B$7:$F$26,5,0)</f>
        <v>#N/A</v>
      </c>
    </row>
    <row r="1063" spans="2:11">
      <c r="B1063">
        <f t="shared" ref="B1063:B1094" si="250">IF(($C$37-A63)&lt;0,0,"POZ"&amp;" "&amp;$L$61&amp;"."&amp;A63)</f>
        <v>0</v>
      </c>
      <c r="F1063" s="57" t="e">
        <f t="shared" si="247"/>
        <v>#N/A</v>
      </c>
      <c r="G1063" t="str">
        <f t="shared" si="248"/>
        <v/>
      </c>
      <c r="I1063" t="e">
        <f>VLOOKUP(F1063,'1PROJE'!$B$7:$F$26,2,0)</f>
        <v>#N/A</v>
      </c>
      <c r="J1063" t="e">
        <f>VLOOKUP(F1063,'1PROJE'!$B$7:$F$26,4,0)</f>
        <v>#N/A</v>
      </c>
      <c r="K1063" t="e">
        <f>VLOOKUP(F1063,'1PROJE'!$B$7:$F$26,5,0)</f>
        <v>#N/A</v>
      </c>
    </row>
    <row r="1064" spans="2:11">
      <c r="B1064">
        <f t="shared" si="250"/>
        <v>0</v>
      </c>
      <c r="F1064" s="57" t="e">
        <f t="shared" si="247"/>
        <v>#N/A</v>
      </c>
      <c r="G1064" t="str">
        <f t="shared" si="248"/>
        <v/>
      </c>
      <c r="I1064" t="e">
        <f>VLOOKUP(F1064,'1PROJE'!$B$7:$F$26,2,0)</f>
        <v>#N/A</v>
      </c>
      <c r="J1064" t="e">
        <f>VLOOKUP(F1064,'1PROJE'!$B$7:$F$26,4,0)</f>
        <v>#N/A</v>
      </c>
      <c r="K1064" t="e">
        <f>VLOOKUP(F1064,'1PROJE'!$B$7:$F$26,5,0)</f>
        <v>#N/A</v>
      </c>
    </row>
    <row r="1065" spans="2:11">
      <c r="B1065">
        <f t="shared" si="250"/>
        <v>0</v>
      </c>
      <c r="F1065" s="57" t="e">
        <f t="shared" si="247"/>
        <v>#N/A</v>
      </c>
      <c r="G1065" t="str">
        <f t="shared" si="248"/>
        <v/>
      </c>
      <c r="I1065" t="e">
        <f>VLOOKUP(F1065,'1PROJE'!$B$7:$F$26,2,0)</f>
        <v>#N/A</v>
      </c>
      <c r="J1065" t="e">
        <f>VLOOKUP(F1065,'1PROJE'!$B$7:$F$26,4,0)</f>
        <v>#N/A</v>
      </c>
      <c r="K1065" t="e">
        <f>VLOOKUP(F1065,'1PROJE'!$B$7:$F$26,5,0)</f>
        <v>#N/A</v>
      </c>
    </row>
    <row r="1066" spans="2:11">
      <c r="B1066">
        <f t="shared" si="250"/>
        <v>0</v>
      </c>
      <c r="F1066" s="57" t="e">
        <f t="shared" si="247"/>
        <v>#N/A</v>
      </c>
      <c r="G1066" t="str">
        <f t="shared" si="248"/>
        <v/>
      </c>
      <c r="I1066" t="e">
        <f>VLOOKUP(F1066,'1PROJE'!$B$7:$F$26,2,0)</f>
        <v>#N/A</v>
      </c>
      <c r="J1066" t="e">
        <f>VLOOKUP(F1066,'1PROJE'!$B$7:$F$26,4,0)</f>
        <v>#N/A</v>
      </c>
      <c r="K1066" t="e">
        <f>VLOOKUP(F1066,'1PROJE'!$B$7:$F$26,5,0)</f>
        <v>#N/A</v>
      </c>
    </row>
    <row r="1067" spans="2:11">
      <c r="B1067">
        <f t="shared" si="250"/>
        <v>0</v>
      </c>
      <c r="F1067" s="57" t="e">
        <f t="shared" si="247"/>
        <v>#N/A</v>
      </c>
      <c r="G1067" t="str">
        <f t="shared" si="248"/>
        <v/>
      </c>
      <c r="I1067" t="e">
        <f>VLOOKUP(F1067,'1PROJE'!$B$7:$F$26,2,0)</f>
        <v>#N/A</v>
      </c>
      <c r="J1067" t="e">
        <f>VLOOKUP(F1067,'1PROJE'!$B$7:$F$26,4,0)</f>
        <v>#N/A</v>
      </c>
      <c r="K1067" t="e">
        <f>VLOOKUP(F1067,'1PROJE'!$B$7:$F$26,5,0)</f>
        <v>#N/A</v>
      </c>
    </row>
    <row r="1068" spans="2:11">
      <c r="B1068">
        <f t="shared" si="250"/>
        <v>0</v>
      </c>
      <c r="F1068" s="57" t="e">
        <f t="shared" si="247"/>
        <v>#N/A</v>
      </c>
      <c r="G1068" t="str">
        <f t="shared" si="248"/>
        <v/>
      </c>
      <c r="I1068" t="e">
        <f>VLOOKUP(F1068,'1PROJE'!$B$7:$F$26,2,0)</f>
        <v>#N/A</v>
      </c>
      <c r="J1068" t="e">
        <f>VLOOKUP(F1068,'1PROJE'!$B$7:$F$26,4,0)</f>
        <v>#N/A</v>
      </c>
      <c r="K1068" t="e">
        <f>VLOOKUP(F1068,'1PROJE'!$B$7:$F$26,5,0)</f>
        <v>#N/A</v>
      </c>
    </row>
    <row r="1069" spans="2:11">
      <c r="B1069">
        <f t="shared" si="250"/>
        <v>0</v>
      </c>
      <c r="F1069" s="57" t="e">
        <f t="shared" si="247"/>
        <v>#N/A</v>
      </c>
      <c r="G1069" t="str">
        <f t="shared" si="248"/>
        <v/>
      </c>
      <c r="I1069" t="e">
        <f>VLOOKUP(F1069,'1PROJE'!$B$7:$F$26,2,0)</f>
        <v>#N/A</v>
      </c>
      <c r="J1069" t="e">
        <f>VLOOKUP(F1069,'1PROJE'!$B$7:$F$26,4,0)</f>
        <v>#N/A</v>
      </c>
      <c r="K1069" t="e">
        <f>VLOOKUP(F1069,'1PROJE'!$B$7:$F$26,5,0)</f>
        <v>#N/A</v>
      </c>
    </row>
    <row r="1070" spans="2:11">
      <c r="B1070">
        <f t="shared" si="250"/>
        <v>0</v>
      </c>
      <c r="F1070" s="57" t="e">
        <f t="shared" si="247"/>
        <v>#N/A</v>
      </c>
      <c r="G1070" t="str">
        <f t="shared" si="248"/>
        <v/>
      </c>
      <c r="I1070" t="e">
        <f>VLOOKUP(F1070,'1PROJE'!$B$7:$F$26,2,0)</f>
        <v>#N/A</v>
      </c>
      <c r="J1070" t="e">
        <f>VLOOKUP(F1070,'1PROJE'!$B$7:$F$26,4,0)</f>
        <v>#N/A</v>
      </c>
      <c r="K1070" t="e">
        <f>VLOOKUP(F1070,'1PROJE'!$B$7:$F$26,5,0)</f>
        <v>#N/A</v>
      </c>
    </row>
    <row r="1071" spans="2:11">
      <c r="B1071">
        <f t="shared" si="250"/>
        <v>0</v>
      </c>
      <c r="F1071" s="57" t="e">
        <f t="shared" si="247"/>
        <v>#N/A</v>
      </c>
      <c r="G1071" t="str">
        <f t="shared" si="248"/>
        <v/>
      </c>
      <c r="I1071" t="e">
        <f>VLOOKUP(F1071,'1PROJE'!$B$7:$F$26,2,0)</f>
        <v>#N/A</v>
      </c>
      <c r="J1071" t="e">
        <f>VLOOKUP(F1071,'1PROJE'!$B$7:$F$26,4,0)</f>
        <v>#N/A</v>
      </c>
      <c r="K1071" t="e">
        <f>VLOOKUP(F1071,'1PROJE'!$B$7:$F$26,5,0)</f>
        <v>#N/A</v>
      </c>
    </row>
    <row r="1072" spans="2:11">
      <c r="B1072">
        <f t="shared" si="250"/>
        <v>0</v>
      </c>
      <c r="F1072" s="57" t="e">
        <f t="shared" si="247"/>
        <v>#N/A</v>
      </c>
      <c r="G1072" t="str">
        <f t="shared" si="248"/>
        <v/>
      </c>
      <c r="I1072" t="e">
        <f>VLOOKUP(F1072,'1PROJE'!$B$7:$F$26,2,0)</f>
        <v>#N/A</v>
      </c>
      <c r="J1072" t="e">
        <f>VLOOKUP(F1072,'1PROJE'!$B$7:$F$26,4,0)</f>
        <v>#N/A</v>
      </c>
      <c r="K1072" t="e">
        <f>VLOOKUP(F1072,'1PROJE'!$B$7:$F$26,5,0)</f>
        <v>#N/A</v>
      </c>
    </row>
    <row r="1073" spans="2:11">
      <c r="B1073">
        <f t="shared" si="250"/>
        <v>0</v>
      </c>
      <c r="F1073" s="57" t="e">
        <f t="shared" si="247"/>
        <v>#N/A</v>
      </c>
      <c r="G1073" t="str">
        <f t="shared" si="248"/>
        <v/>
      </c>
      <c r="I1073" t="e">
        <f>VLOOKUP(F1073,'1PROJE'!$B$7:$F$26,2,0)</f>
        <v>#N/A</v>
      </c>
      <c r="J1073" t="e">
        <f>VLOOKUP(F1073,'1PROJE'!$B$7:$F$26,4,0)</f>
        <v>#N/A</v>
      </c>
      <c r="K1073" t="e">
        <f>VLOOKUP(F1073,'1PROJE'!$B$7:$F$26,5,0)</f>
        <v>#N/A</v>
      </c>
    </row>
    <row r="1074" spans="2:11">
      <c r="B1074">
        <f t="shared" si="250"/>
        <v>0</v>
      </c>
      <c r="F1074" s="57" t="e">
        <f t="shared" si="247"/>
        <v>#N/A</v>
      </c>
      <c r="G1074" t="str">
        <f t="shared" si="248"/>
        <v/>
      </c>
      <c r="I1074" t="e">
        <f>VLOOKUP(F1074,'1PROJE'!$B$7:$F$26,2,0)</f>
        <v>#N/A</v>
      </c>
      <c r="J1074" t="e">
        <f>VLOOKUP(F1074,'1PROJE'!$B$7:$F$26,4,0)</f>
        <v>#N/A</v>
      </c>
      <c r="K1074" t="e">
        <f>VLOOKUP(F1074,'1PROJE'!$B$7:$F$26,5,0)</f>
        <v>#N/A</v>
      </c>
    </row>
    <row r="1075" spans="2:11">
      <c r="B1075">
        <f t="shared" si="250"/>
        <v>0</v>
      </c>
      <c r="F1075" s="57" t="e">
        <f t="shared" si="247"/>
        <v>#N/A</v>
      </c>
      <c r="G1075" t="str">
        <f t="shared" si="248"/>
        <v/>
      </c>
      <c r="I1075" t="e">
        <f>VLOOKUP(F1075,'1PROJE'!$B$7:$F$26,2,0)</f>
        <v>#N/A</v>
      </c>
      <c r="J1075" t="e">
        <f>VLOOKUP(F1075,'1PROJE'!$B$7:$F$26,4,0)</f>
        <v>#N/A</v>
      </c>
      <c r="K1075" t="e">
        <f>VLOOKUP(F1075,'1PROJE'!$B$7:$F$26,5,0)</f>
        <v>#N/A</v>
      </c>
    </row>
    <row r="1076" spans="2:11">
      <c r="B1076">
        <f t="shared" si="250"/>
        <v>0</v>
      </c>
      <c r="F1076" s="57" t="e">
        <f t="shared" si="247"/>
        <v>#N/A</v>
      </c>
      <c r="G1076" t="str">
        <f t="shared" si="248"/>
        <v/>
      </c>
      <c r="I1076" t="e">
        <f>VLOOKUP(F1076,'1PROJE'!$B$7:$F$26,2,0)</f>
        <v>#N/A</v>
      </c>
      <c r="J1076" t="e">
        <f>VLOOKUP(F1076,'1PROJE'!$B$7:$F$26,4,0)</f>
        <v>#N/A</v>
      </c>
      <c r="K1076" t="e">
        <f>VLOOKUP(F1076,'1PROJE'!$B$7:$F$26,5,0)</f>
        <v>#N/A</v>
      </c>
    </row>
    <row r="1077" spans="2:11">
      <c r="B1077">
        <f t="shared" si="250"/>
        <v>0</v>
      </c>
      <c r="F1077" s="57" t="e">
        <f t="shared" si="247"/>
        <v>#N/A</v>
      </c>
      <c r="G1077" t="str">
        <f t="shared" si="248"/>
        <v/>
      </c>
      <c r="I1077" t="e">
        <f>VLOOKUP(F1077,'1PROJE'!$B$7:$F$26,2,0)</f>
        <v>#N/A</v>
      </c>
      <c r="J1077" t="e">
        <f>VLOOKUP(F1077,'1PROJE'!$B$7:$F$26,4,0)</f>
        <v>#N/A</v>
      </c>
      <c r="K1077" t="e">
        <f>VLOOKUP(F1077,'1PROJE'!$B$7:$F$26,5,0)</f>
        <v>#N/A</v>
      </c>
    </row>
    <row r="1078" spans="2:11">
      <c r="B1078">
        <f t="shared" si="250"/>
        <v>0</v>
      </c>
      <c r="F1078" s="57" t="e">
        <f t="shared" si="247"/>
        <v>#N/A</v>
      </c>
      <c r="G1078" t="str">
        <f t="shared" si="248"/>
        <v/>
      </c>
      <c r="I1078" t="e">
        <f>VLOOKUP(F1078,'1PROJE'!$B$7:$F$26,2,0)</f>
        <v>#N/A</v>
      </c>
      <c r="J1078" t="e">
        <f>VLOOKUP(F1078,'1PROJE'!$B$7:$F$26,4,0)</f>
        <v>#N/A</v>
      </c>
      <c r="K1078" t="e">
        <f>VLOOKUP(F1078,'1PROJE'!$B$7:$F$26,5,0)</f>
        <v>#N/A</v>
      </c>
    </row>
    <row r="1079" spans="2:11">
      <c r="B1079">
        <f t="shared" si="250"/>
        <v>0</v>
      </c>
      <c r="F1079" s="57" t="e">
        <f t="shared" si="247"/>
        <v>#N/A</v>
      </c>
      <c r="G1079" t="str">
        <f t="shared" si="248"/>
        <v/>
      </c>
      <c r="I1079" t="e">
        <f>VLOOKUP(F1079,'1PROJE'!$B$7:$F$26,2,0)</f>
        <v>#N/A</v>
      </c>
      <c r="J1079" t="e">
        <f>VLOOKUP(F1079,'1PROJE'!$B$7:$F$26,4,0)</f>
        <v>#N/A</v>
      </c>
      <c r="K1079" t="e">
        <f>VLOOKUP(F1079,'1PROJE'!$B$7:$F$26,5,0)</f>
        <v>#N/A</v>
      </c>
    </row>
    <row r="1080" spans="2:11">
      <c r="B1080">
        <f t="shared" si="250"/>
        <v>0</v>
      </c>
      <c r="F1080" s="57" t="e">
        <f t="shared" si="247"/>
        <v>#N/A</v>
      </c>
      <c r="G1080" t="str">
        <f t="shared" si="248"/>
        <v/>
      </c>
      <c r="I1080" t="e">
        <f>VLOOKUP(F1080,'1PROJE'!$B$7:$F$26,2,0)</f>
        <v>#N/A</v>
      </c>
      <c r="J1080" t="e">
        <f>VLOOKUP(F1080,'1PROJE'!$B$7:$F$26,4,0)</f>
        <v>#N/A</v>
      </c>
      <c r="K1080" t="e">
        <f>VLOOKUP(F1080,'1PROJE'!$B$7:$F$26,5,0)</f>
        <v>#N/A</v>
      </c>
    </row>
    <row r="1081" spans="2:11">
      <c r="B1081">
        <f t="shared" si="250"/>
        <v>0</v>
      </c>
      <c r="F1081" s="57" t="e">
        <f t="shared" si="247"/>
        <v>#N/A</v>
      </c>
      <c r="G1081" t="str">
        <f t="shared" si="248"/>
        <v/>
      </c>
      <c r="I1081" t="e">
        <f>VLOOKUP(F1081,'1PROJE'!$B$7:$F$26,2,0)</f>
        <v>#N/A</v>
      </c>
      <c r="J1081" t="e">
        <f>VLOOKUP(F1081,'1PROJE'!$B$7:$F$26,4,0)</f>
        <v>#N/A</v>
      </c>
      <c r="K1081" t="e">
        <f>VLOOKUP(F1081,'1PROJE'!$B$7:$F$26,5,0)</f>
        <v>#N/A</v>
      </c>
    </row>
    <row r="1082" spans="2:11">
      <c r="B1082">
        <f t="shared" si="250"/>
        <v>0</v>
      </c>
      <c r="F1082" s="57" t="e">
        <f t="shared" si="247"/>
        <v>#N/A</v>
      </c>
      <c r="G1082" t="str">
        <f t="shared" si="248"/>
        <v/>
      </c>
      <c r="I1082" t="e">
        <f>VLOOKUP(F1082,'1PROJE'!$B$7:$F$26,2,0)</f>
        <v>#N/A</v>
      </c>
      <c r="J1082" t="e">
        <f>VLOOKUP(F1082,'1PROJE'!$B$7:$F$26,4,0)</f>
        <v>#N/A</v>
      </c>
      <c r="K1082" t="e">
        <f>VLOOKUP(F1082,'1PROJE'!$B$7:$F$26,5,0)</f>
        <v>#N/A</v>
      </c>
    </row>
    <row r="1083" spans="2:11">
      <c r="B1083">
        <f t="shared" si="250"/>
        <v>0</v>
      </c>
      <c r="F1083" s="57" t="e">
        <f t="shared" si="247"/>
        <v>#N/A</v>
      </c>
      <c r="G1083" t="str">
        <f t="shared" si="248"/>
        <v/>
      </c>
      <c r="I1083" t="e">
        <f>VLOOKUP(F1083,'1PROJE'!$B$7:$F$26,2,0)</f>
        <v>#N/A</v>
      </c>
      <c r="J1083" t="e">
        <f>VLOOKUP(F1083,'1PROJE'!$B$7:$F$26,4,0)</f>
        <v>#N/A</v>
      </c>
      <c r="K1083" t="e">
        <f>VLOOKUP(F1083,'1PROJE'!$B$7:$F$26,5,0)</f>
        <v>#N/A</v>
      </c>
    </row>
    <row r="1084" spans="2:11">
      <c r="B1084">
        <f t="shared" si="250"/>
        <v>0</v>
      </c>
      <c r="F1084" s="57" t="e">
        <f t="shared" si="247"/>
        <v>#N/A</v>
      </c>
      <c r="G1084" t="str">
        <f t="shared" si="248"/>
        <v/>
      </c>
      <c r="I1084" t="e">
        <f>VLOOKUP(F1084,'1PROJE'!$B$7:$F$26,2,0)</f>
        <v>#N/A</v>
      </c>
      <c r="J1084" t="e">
        <f>VLOOKUP(F1084,'1PROJE'!$B$7:$F$26,4,0)</f>
        <v>#N/A</v>
      </c>
      <c r="K1084" t="e">
        <f>VLOOKUP(F1084,'1PROJE'!$B$7:$F$26,5,0)</f>
        <v>#N/A</v>
      </c>
    </row>
    <row r="1085" spans="2:11">
      <c r="B1085">
        <f t="shared" si="250"/>
        <v>0</v>
      </c>
      <c r="F1085" s="57" t="e">
        <f t="shared" si="247"/>
        <v>#N/A</v>
      </c>
      <c r="G1085" t="str">
        <f t="shared" si="248"/>
        <v/>
      </c>
      <c r="I1085" t="e">
        <f>VLOOKUP(F1085,'1PROJE'!$B$7:$F$26,2,0)</f>
        <v>#N/A</v>
      </c>
      <c r="J1085" t="e">
        <f>VLOOKUP(F1085,'1PROJE'!$B$7:$F$26,4,0)</f>
        <v>#N/A</v>
      </c>
      <c r="K1085" t="e">
        <f>VLOOKUP(F1085,'1PROJE'!$B$7:$F$26,5,0)</f>
        <v>#N/A</v>
      </c>
    </row>
    <row r="1086" spans="2:11">
      <c r="B1086">
        <f t="shared" si="250"/>
        <v>0</v>
      </c>
      <c r="F1086" s="57" t="e">
        <f t="shared" si="247"/>
        <v>#N/A</v>
      </c>
      <c r="G1086" t="str">
        <f t="shared" si="248"/>
        <v/>
      </c>
      <c r="I1086" t="e">
        <f>VLOOKUP(F1086,'1PROJE'!$B$7:$F$26,2,0)</f>
        <v>#N/A</v>
      </c>
      <c r="J1086" t="e">
        <f>VLOOKUP(F1086,'1PROJE'!$B$7:$F$26,4,0)</f>
        <v>#N/A</v>
      </c>
      <c r="K1086" t="e">
        <f>VLOOKUP(F1086,'1PROJE'!$B$7:$F$26,5,0)</f>
        <v>#N/A</v>
      </c>
    </row>
    <row r="1087" spans="2:11">
      <c r="B1087">
        <f t="shared" si="250"/>
        <v>0</v>
      </c>
      <c r="F1087" s="57" t="e">
        <f t="shared" si="247"/>
        <v>#N/A</v>
      </c>
      <c r="G1087" t="str">
        <f t="shared" si="248"/>
        <v/>
      </c>
      <c r="I1087" t="e">
        <f>VLOOKUP(F1087,'1PROJE'!$B$7:$F$26,2,0)</f>
        <v>#N/A</v>
      </c>
      <c r="J1087" t="e">
        <f>VLOOKUP(F1087,'1PROJE'!$B$7:$F$26,4,0)</f>
        <v>#N/A</v>
      </c>
      <c r="K1087" t="e">
        <f>VLOOKUP(F1087,'1PROJE'!$B$7:$F$26,5,0)</f>
        <v>#N/A</v>
      </c>
    </row>
    <row r="1088" spans="2:11">
      <c r="B1088">
        <f t="shared" si="250"/>
        <v>0</v>
      </c>
      <c r="F1088" s="57" t="e">
        <f t="shared" si="247"/>
        <v>#N/A</v>
      </c>
      <c r="G1088" t="str">
        <f t="shared" si="248"/>
        <v/>
      </c>
      <c r="I1088" t="e">
        <f>VLOOKUP(F1088,'1PROJE'!$B$7:$F$26,2,0)</f>
        <v>#N/A</v>
      </c>
      <c r="J1088" t="e">
        <f>VLOOKUP(F1088,'1PROJE'!$B$7:$F$26,4,0)</f>
        <v>#N/A</v>
      </c>
      <c r="K1088" t="e">
        <f>VLOOKUP(F1088,'1PROJE'!$B$7:$F$26,5,0)</f>
        <v>#N/A</v>
      </c>
    </row>
    <row r="1089" spans="2:11">
      <c r="B1089">
        <f t="shared" si="250"/>
        <v>0</v>
      </c>
      <c r="F1089" s="57" t="e">
        <f t="shared" si="247"/>
        <v>#N/A</v>
      </c>
      <c r="G1089" t="str">
        <f t="shared" si="248"/>
        <v/>
      </c>
      <c r="I1089" t="e">
        <f>VLOOKUP(F1089,'1PROJE'!$B$7:$F$26,2,0)</f>
        <v>#N/A</v>
      </c>
      <c r="J1089" t="e">
        <f>VLOOKUP(F1089,'1PROJE'!$B$7:$F$26,4,0)</f>
        <v>#N/A</v>
      </c>
      <c r="K1089" t="e">
        <f>VLOOKUP(F1089,'1PROJE'!$B$7:$F$26,5,0)</f>
        <v>#N/A</v>
      </c>
    </row>
    <row r="1090" spans="2:11">
      <c r="B1090">
        <f t="shared" si="250"/>
        <v>0</v>
      </c>
      <c r="F1090" s="57" t="e">
        <f t="shared" si="247"/>
        <v>#N/A</v>
      </c>
      <c r="G1090" t="str">
        <f t="shared" si="248"/>
        <v/>
      </c>
      <c r="I1090" t="e">
        <f>VLOOKUP(F1090,'1PROJE'!$B$7:$F$26,2,0)</f>
        <v>#N/A</v>
      </c>
      <c r="J1090" t="e">
        <f>VLOOKUP(F1090,'1PROJE'!$B$7:$F$26,4,0)</f>
        <v>#N/A</v>
      </c>
      <c r="K1090" t="e">
        <f>VLOOKUP(F1090,'1PROJE'!$B$7:$F$26,5,0)</f>
        <v>#N/A</v>
      </c>
    </row>
    <row r="1091" spans="2:11">
      <c r="B1091">
        <f t="shared" si="250"/>
        <v>0</v>
      </c>
      <c r="F1091" s="57" t="e">
        <f t="shared" si="247"/>
        <v>#N/A</v>
      </c>
      <c r="G1091" t="str">
        <f t="shared" si="248"/>
        <v/>
      </c>
      <c r="I1091" t="e">
        <f>VLOOKUP(F1091,'1PROJE'!$B$7:$F$26,2,0)</f>
        <v>#N/A</v>
      </c>
      <c r="J1091" t="e">
        <f>VLOOKUP(F1091,'1PROJE'!$B$7:$F$26,4,0)</f>
        <v>#N/A</v>
      </c>
      <c r="K1091" t="e">
        <f>VLOOKUP(F1091,'1PROJE'!$B$7:$F$26,5,0)</f>
        <v>#N/A</v>
      </c>
    </row>
    <row r="1092" spans="2:11">
      <c r="B1092">
        <f t="shared" si="250"/>
        <v>0</v>
      </c>
      <c r="F1092" s="57" t="e">
        <f t="shared" si="247"/>
        <v>#N/A</v>
      </c>
      <c r="G1092" t="str">
        <f t="shared" si="248"/>
        <v/>
      </c>
      <c r="I1092" t="e">
        <f>VLOOKUP(F1092,'1PROJE'!$B$7:$F$26,2,0)</f>
        <v>#N/A</v>
      </c>
      <c r="J1092" t="e">
        <f>VLOOKUP(F1092,'1PROJE'!$B$7:$F$26,4,0)</f>
        <v>#N/A</v>
      </c>
      <c r="K1092" t="e">
        <f>VLOOKUP(F1092,'1PROJE'!$B$7:$F$26,5,0)</f>
        <v>#N/A</v>
      </c>
    </row>
    <row r="1093" spans="2:11">
      <c r="B1093">
        <f t="shared" si="250"/>
        <v>0</v>
      </c>
      <c r="F1093" s="57" t="e">
        <f t="shared" si="247"/>
        <v>#N/A</v>
      </c>
      <c r="G1093" t="str">
        <f t="shared" si="248"/>
        <v/>
      </c>
      <c r="I1093" t="e">
        <f>VLOOKUP(F1093,'1PROJE'!$B$7:$F$26,2,0)</f>
        <v>#N/A</v>
      </c>
      <c r="J1093" t="e">
        <f>VLOOKUP(F1093,'1PROJE'!$B$7:$F$26,4,0)</f>
        <v>#N/A</v>
      </c>
      <c r="K1093" t="e">
        <f>VLOOKUP(F1093,'1PROJE'!$B$7:$F$26,5,0)</f>
        <v>#N/A</v>
      </c>
    </row>
    <row r="1094" spans="2:11">
      <c r="B1094">
        <f t="shared" si="250"/>
        <v>0</v>
      </c>
      <c r="F1094" s="57" t="e">
        <f t="shared" si="247"/>
        <v>#N/A</v>
      </c>
      <c r="G1094" t="str">
        <f t="shared" si="248"/>
        <v/>
      </c>
      <c r="I1094" t="e">
        <f>VLOOKUP(F1094,'1PROJE'!$B$7:$F$26,2,0)</f>
        <v>#N/A</v>
      </c>
      <c r="J1094" t="e">
        <f>VLOOKUP(F1094,'1PROJE'!$B$7:$F$26,4,0)</f>
        <v>#N/A</v>
      </c>
      <c r="K1094" t="e">
        <f>VLOOKUP(F1094,'1PROJE'!$B$7:$F$26,5,0)</f>
        <v>#N/A</v>
      </c>
    </row>
    <row r="1095" spans="2:11">
      <c r="B1095">
        <f t="shared" ref="B1095:B1126" si="251">IF(($C$37-A95)&lt;0,0,"POZ"&amp;" "&amp;$L$61&amp;"."&amp;A95)</f>
        <v>0</v>
      </c>
      <c r="F1095" s="57" t="e">
        <f t="shared" si="247"/>
        <v>#N/A</v>
      </c>
      <c r="G1095" t="str">
        <f t="shared" si="248"/>
        <v/>
      </c>
      <c r="I1095" t="e">
        <f>VLOOKUP(F1095,'1PROJE'!$B$7:$F$26,2,0)</f>
        <v>#N/A</v>
      </c>
      <c r="J1095" t="e">
        <f>VLOOKUP(F1095,'1PROJE'!$B$7:$F$26,4,0)</f>
        <v>#N/A</v>
      </c>
      <c r="K1095" t="e">
        <f>VLOOKUP(F1095,'1PROJE'!$B$7:$F$26,5,0)</f>
        <v>#N/A</v>
      </c>
    </row>
    <row r="1096" spans="2:11">
      <c r="B1096">
        <f t="shared" si="251"/>
        <v>0</v>
      </c>
      <c r="F1096" s="57" t="e">
        <f t="shared" si="247"/>
        <v>#N/A</v>
      </c>
      <c r="G1096" t="str">
        <f t="shared" si="248"/>
        <v/>
      </c>
      <c r="I1096" t="e">
        <f>VLOOKUP(F1096,'1PROJE'!$B$7:$F$26,2,0)</f>
        <v>#N/A</v>
      </c>
      <c r="J1096" t="e">
        <f>VLOOKUP(F1096,'1PROJE'!$B$7:$F$26,4,0)</f>
        <v>#N/A</v>
      </c>
      <c r="K1096" t="e">
        <f>VLOOKUP(F1096,'1PROJE'!$B$7:$F$26,5,0)</f>
        <v>#N/A</v>
      </c>
    </row>
    <row r="1097" spans="2:11">
      <c r="B1097">
        <f t="shared" si="251"/>
        <v>0</v>
      </c>
      <c r="F1097" s="57" t="e">
        <f t="shared" si="247"/>
        <v>#N/A</v>
      </c>
      <c r="G1097" t="str">
        <f t="shared" si="248"/>
        <v/>
      </c>
      <c r="I1097" t="e">
        <f>VLOOKUP(F1097,'1PROJE'!$B$7:$F$26,2,0)</f>
        <v>#N/A</v>
      </c>
      <c r="J1097" t="e">
        <f>VLOOKUP(F1097,'1PROJE'!$B$7:$F$26,4,0)</f>
        <v>#N/A</v>
      </c>
      <c r="K1097" t="e">
        <f>VLOOKUP(F1097,'1PROJE'!$B$7:$F$26,5,0)</f>
        <v>#N/A</v>
      </c>
    </row>
    <row r="1098" spans="2:11">
      <c r="B1098">
        <f t="shared" si="251"/>
        <v>0</v>
      </c>
      <c r="F1098" s="57" t="e">
        <f t="shared" si="247"/>
        <v>#N/A</v>
      </c>
      <c r="G1098" t="str">
        <f t="shared" si="248"/>
        <v/>
      </c>
      <c r="I1098" t="e">
        <f>VLOOKUP(F1098,'1PROJE'!$B$7:$F$26,2,0)</f>
        <v>#N/A</v>
      </c>
      <c r="J1098" t="e">
        <f>VLOOKUP(F1098,'1PROJE'!$B$7:$F$26,4,0)</f>
        <v>#N/A</v>
      </c>
      <c r="K1098" t="e">
        <f>VLOOKUP(F1098,'1PROJE'!$B$7:$F$26,5,0)</f>
        <v>#N/A</v>
      </c>
    </row>
    <row r="1099" spans="2:11">
      <c r="B1099">
        <f t="shared" si="251"/>
        <v>0</v>
      </c>
      <c r="F1099" s="57" t="e">
        <f t="shared" ref="F1099:F1162" si="252">VLOOKUP(G1099,$C$64:$D$83,2,0)</f>
        <v>#N/A</v>
      </c>
      <c r="G1099" t="str">
        <f t="shared" ref="G1099:G1162" si="253">LEFT(H1099,6)</f>
        <v/>
      </c>
      <c r="I1099" t="e">
        <f>VLOOKUP(F1099,'1PROJE'!$B$7:$F$26,2,0)</f>
        <v>#N/A</v>
      </c>
      <c r="J1099" t="e">
        <f>VLOOKUP(F1099,'1PROJE'!$B$7:$F$26,4,0)</f>
        <v>#N/A</v>
      </c>
      <c r="K1099" t="e">
        <f>VLOOKUP(F1099,'1PROJE'!$B$7:$F$26,5,0)</f>
        <v>#N/A</v>
      </c>
    </row>
    <row r="1100" spans="2:11">
      <c r="B1100">
        <f t="shared" si="251"/>
        <v>0</v>
      </c>
      <c r="F1100" s="57" t="e">
        <f t="shared" si="252"/>
        <v>#N/A</v>
      </c>
      <c r="G1100" t="str">
        <f t="shared" si="253"/>
        <v/>
      </c>
      <c r="I1100" t="e">
        <f>VLOOKUP(F1100,'1PROJE'!$B$7:$F$26,2,0)</f>
        <v>#N/A</v>
      </c>
      <c r="J1100" t="e">
        <f>VLOOKUP(F1100,'1PROJE'!$B$7:$F$26,4,0)</f>
        <v>#N/A</v>
      </c>
      <c r="K1100" t="e">
        <f>VLOOKUP(F1100,'1PROJE'!$B$7:$F$26,5,0)</f>
        <v>#N/A</v>
      </c>
    </row>
    <row r="1101" spans="2:11">
      <c r="B1101">
        <f t="shared" si="251"/>
        <v>0</v>
      </c>
      <c r="F1101" s="57" t="e">
        <f t="shared" si="252"/>
        <v>#N/A</v>
      </c>
      <c r="G1101" t="str">
        <f t="shared" si="253"/>
        <v/>
      </c>
      <c r="I1101" t="e">
        <f>VLOOKUP(F1101,'1PROJE'!$B$7:$F$26,2,0)</f>
        <v>#N/A</v>
      </c>
      <c r="J1101" t="e">
        <f>VLOOKUP(F1101,'1PROJE'!$B$7:$F$26,4,0)</f>
        <v>#N/A</v>
      </c>
      <c r="K1101" t="e">
        <f>VLOOKUP(F1101,'1PROJE'!$B$7:$F$26,5,0)</f>
        <v>#N/A</v>
      </c>
    </row>
    <row r="1102" spans="2:11">
      <c r="B1102">
        <f t="shared" si="251"/>
        <v>0</v>
      </c>
      <c r="F1102" s="57" t="e">
        <f t="shared" si="252"/>
        <v>#N/A</v>
      </c>
      <c r="G1102" t="str">
        <f t="shared" si="253"/>
        <v/>
      </c>
      <c r="I1102" t="e">
        <f>VLOOKUP(F1102,'1PROJE'!$B$7:$F$26,2,0)</f>
        <v>#N/A</v>
      </c>
      <c r="J1102" t="e">
        <f>VLOOKUP(F1102,'1PROJE'!$B$7:$F$26,4,0)</f>
        <v>#N/A</v>
      </c>
      <c r="K1102" t="e">
        <f>VLOOKUP(F1102,'1PROJE'!$B$7:$F$26,5,0)</f>
        <v>#N/A</v>
      </c>
    </row>
    <row r="1103" spans="2:11">
      <c r="B1103">
        <f t="shared" si="251"/>
        <v>0</v>
      </c>
      <c r="F1103" s="57" t="e">
        <f t="shared" si="252"/>
        <v>#N/A</v>
      </c>
      <c r="G1103" t="str">
        <f t="shared" si="253"/>
        <v/>
      </c>
      <c r="I1103" t="e">
        <f>VLOOKUP(F1103,'1PROJE'!$B$7:$F$26,2,0)</f>
        <v>#N/A</v>
      </c>
      <c r="J1103" t="e">
        <f>VLOOKUP(F1103,'1PROJE'!$B$7:$F$26,4,0)</f>
        <v>#N/A</v>
      </c>
      <c r="K1103" t="e">
        <f>VLOOKUP(F1103,'1PROJE'!$B$7:$F$26,5,0)</f>
        <v>#N/A</v>
      </c>
    </row>
    <row r="1104" spans="2:11">
      <c r="B1104">
        <f t="shared" si="251"/>
        <v>0</v>
      </c>
      <c r="F1104" s="57" t="e">
        <f t="shared" si="252"/>
        <v>#N/A</v>
      </c>
      <c r="G1104" t="str">
        <f t="shared" si="253"/>
        <v/>
      </c>
      <c r="I1104" t="e">
        <f>VLOOKUP(F1104,'1PROJE'!$B$7:$F$26,2,0)</f>
        <v>#N/A</v>
      </c>
      <c r="J1104" t="e">
        <f>VLOOKUP(F1104,'1PROJE'!$B$7:$F$26,4,0)</f>
        <v>#N/A</v>
      </c>
      <c r="K1104" t="e">
        <f>VLOOKUP(F1104,'1PROJE'!$B$7:$F$26,5,0)</f>
        <v>#N/A</v>
      </c>
    </row>
    <row r="1105" spans="2:11">
      <c r="B1105">
        <f t="shared" si="251"/>
        <v>0</v>
      </c>
      <c r="F1105" s="57" t="e">
        <f t="shared" si="252"/>
        <v>#N/A</v>
      </c>
      <c r="G1105" t="str">
        <f t="shared" si="253"/>
        <v/>
      </c>
      <c r="I1105" t="e">
        <f>VLOOKUP(F1105,'1PROJE'!$B$7:$F$26,2,0)</f>
        <v>#N/A</v>
      </c>
      <c r="J1105" t="e">
        <f>VLOOKUP(F1105,'1PROJE'!$B$7:$F$26,4,0)</f>
        <v>#N/A</v>
      </c>
      <c r="K1105" t="e">
        <f>VLOOKUP(F1105,'1PROJE'!$B$7:$F$26,5,0)</f>
        <v>#N/A</v>
      </c>
    </row>
    <row r="1106" spans="2:11">
      <c r="B1106">
        <f t="shared" si="251"/>
        <v>0</v>
      </c>
      <c r="F1106" s="57" t="e">
        <f t="shared" si="252"/>
        <v>#N/A</v>
      </c>
      <c r="G1106" t="str">
        <f t="shared" si="253"/>
        <v/>
      </c>
      <c r="I1106" t="e">
        <f>VLOOKUP(F1106,'1PROJE'!$B$7:$F$26,2,0)</f>
        <v>#N/A</v>
      </c>
      <c r="J1106" t="e">
        <f>VLOOKUP(F1106,'1PROJE'!$B$7:$F$26,4,0)</f>
        <v>#N/A</v>
      </c>
      <c r="K1106" t="e">
        <f>VLOOKUP(F1106,'1PROJE'!$B$7:$F$26,5,0)</f>
        <v>#N/A</v>
      </c>
    </row>
    <row r="1107" spans="2:11">
      <c r="B1107">
        <f t="shared" si="251"/>
        <v>0</v>
      </c>
      <c r="F1107" s="57" t="e">
        <f t="shared" si="252"/>
        <v>#N/A</v>
      </c>
      <c r="G1107" t="str">
        <f t="shared" si="253"/>
        <v/>
      </c>
      <c r="I1107" t="e">
        <f>VLOOKUP(F1107,'1PROJE'!$B$7:$F$26,2,0)</f>
        <v>#N/A</v>
      </c>
      <c r="J1107" t="e">
        <f>VLOOKUP(F1107,'1PROJE'!$B$7:$F$26,4,0)</f>
        <v>#N/A</v>
      </c>
      <c r="K1107" t="e">
        <f>VLOOKUP(F1107,'1PROJE'!$B$7:$F$26,5,0)</f>
        <v>#N/A</v>
      </c>
    </row>
    <row r="1108" spans="2:11">
      <c r="B1108">
        <f t="shared" si="251"/>
        <v>0</v>
      </c>
      <c r="F1108" s="57" t="e">
        <f t="shared" si="252"/>
        <v>#N/A</v>
      </c>
      <c r="G1108" t="str">
        <f t="shared" si="253"/>
        <v/>
      </c>
      <c r="I1108" t="e">
        <f>VLOOKUP(F1108,'1PROJE'!$B$7:$F$26,2,0)</f>
        <v>#N/A</v>
      </c>
      <c r="J1108" t="e">
        <f>VLOOKUP(F1108,'1PROJE'!$B$7:$F$26,4,0)</f>
        <v>#N/A</v>
      </c>
      <c r="K1108" t="e">
        <f>VLOOKUP(F1108,'1PROJE'!$B$7:$F$26,5,0)</f>
        <v>#N/A</v>
      </c>
    </row>
    <row r="1109" spans="2:11">
      <c r="B1109">
        <f t="shared" si="251"/>
        <v>0</v>
      </c>
      <c r="F1109" s="57" t="e">
        <f t="shared" si="252"/>
        <v>#N/A</v>
      </c>
      <c r="G1109" t="str">
        <f t="shared" si="253"/>
        <v/>
      </c>
      <c r="I1109" t="e">
        <f>VLOOKUP(F1109,'1PROJE'!$B$7:$F$26,2,0)</f>
        <v>#N/A</v>
      </c>
      <c r="J1109" t="e">
        <f>VLOOKUP(F1109,'1PROJE'!$B$7:$F$26,4,0)</f>
        <v>#N/A</v>
      </c>
      <c r="K1109" t="e">
        <f>VLOOKUP(F1109,'1PROJE'!$B$7:$F$26,5,0)</f>
        <v>#N/A</v>
      </c>
    </row>
    <row r="1110" spans="2:11">
      <c r="B1110">
        <f t="shared" si="251"/>
        <v>0</v>
      </c>
      <c r="F1110" s="57" t="e">
        <f t="shared" si="252"/>
        <v>#N/A</v>
      </c>
      <c r="G1110" t="str">
        <f t="shared" si="253"/>
        <v/>
      </c>
      <c r="I1110" t="e">
        <f>VLOOKUP(F1110,'1PROJE'!$B$7:$F$26,2,0)</f>
        <v>#N/A</v>
      </c>
      <c r="J1110" t="e">
        <f>VLOOKUP(F1110,'1PROJE'!$B$7:$F$26,4,0)</f>
        <v>#N/A</v>
      </c>
      <c r="K1110" t="e">
        <f>VLOOKUP(F1110,'1PROJE'!$B$7:$F$26,5,0)</f>
        <v>#N/A</v>
      </c>
    </row>
    <row r="1111" spans="2:11">
      <c r="B1111">
        <f t="shared" si="251"/>
        <v>0</v>
      </c>
      <c r="F1111" s="57" t="e">
        <f t="shared" si="252"/>
        <v>#N/A</v>
      </c>
      <c r="G1111" t="str">
        <f t="shared" si="253"/>
        <v/>
      </c>
      <c r="I1111" t="e">
        <f>VLOOKUP(F1111,'1PROJE'!$B$7:$F$26,2,0)</f>
        <v>#N/A</v>
      </c>
      <c r="J1111" t="e">
        <f>VLOOKUP(F1111,'1PROJE'!$B$7:$F$26,4,0)</f>
        <v>#N/A</v>
      </c>
      <c r="K1111" t="e">
        <f>VLOOKUP(F1111,'1PROJE'!$B$7:$F$26,5,0)</f>
        <v>#N/A</v>
      </c>
    </row>
    <row r="1112" spans="2:11">
      <c r="B1112">
        <f t="shared" si="251"/>
        <v>0</v>
      </c>
      <c r="F1112" s="57" t="e">
        <f t="shared" si="252"/>
        <v>#N/A</v>
      </c>
      <c r="G1112" t="str">
        <f t="shared" si="253"/>
        <v/>
      </c>
      <c r="I1112" t="e">
        <f>VLOOKUP(F1112,'1PROJE'!$B$7:$F$26,2,0)</f>
        <v>#N/A</v>
      </c>
      <c r="J1112" t="e">
        <f>VLOOKUP(F1112,'1PROJE'!$B$7:$F$26,4,0)</f>
        <v>#N/A</v>
      </c>
      <c r="K1112" t="e">
        <f>VLOOKUP(F1112,'1PROJE'!$B$7:$F$26,5,0)</f>
        <v>#N/A</v>
      </c>
    </row>
    <row r="1113" spans="2:11">
      <c r="B1113">
        <f t="shared" si="251"/>
        <v>0</v>
      </c>
      <c r="F1113" s="57" t="e">
        <f t="shared" si="252"/>
        <v>#N/A</v>
      </c>
      <c r="G1113" t="str">
        <f t="shared" si="253"/>
        <v/>
      </c>
      <c r="I1113" t="e">
        <f>VLOOKUP(F1113,'1PROJE'!$B$7:$F$26,2,0)</f>
        <v>#N/A</v>
      </c>
      <c r="J1113" t="e">
        <f>VLOOKUP(F1113,'1PROJE'!$B$7:$F$26,4,0)</f>
        <v>#N/A</v>
      </c>
      <c r="K1113" t="e">
        <f>VLOOKUP(F1113,'1PROJE'!$B$7:$F$26,5,0)</f>
        <v>#N/A</v>
      </c>
    </row>
    <row r="1114" spans="2:11">
      <c r="B1114">
        <f t="shared" si="251"/>
        <v>0</v>
      </c>
      <c r="F1114" s="57" t="e">
        <f t="shared" si="252"/>
        <v>#N/A</v>
      </c>
      <c r="G1114" t="str">
        <f t="shared" si="253"/>
        <v/>
      </c>
      <c r="I1114" t="e">
        <f>VLOOKUP(F1114,'1PROJE'!$B$7:$F$26,2,0)</f>
        <v>#N/A</v>
      </c>
      <c r="J1114" t="e">
        <f>VLOOKUP(F1114,'1PROJE'!$B$7:$F$26,4,0)</f>
        <v>#N/A</v>
      </c>
      <c r="K1114" t="e">
        <f>VLOOKUP(F1114,'1PROJE'!$B$7:$F$26,5,0)</f>
        <v>#N/A</v>
      </c>
    </row>
    <row r="1115" spans="2:11">
      <c r="B1115">
        <f t="shared" si="251"/>
        <v>0</v>
      </c>
      <c r="F1115" s="57" t="e">
        <f t="shared" si="252"/>
        <v>#N/A</v>
      </c>
      <c r="G1115" t="str">
        <f t="shared" si="253"/>
        <v/>
      </c>
      <c r="I1115" t="e">
        <f>VLOOKUP(F1115,'1PROJE'!$B$7:$F$26,2,0)</f>
        <v>#N/A</v>
      </c>
      <c r="J1115" t="e">
        <f>VLOOKUP(F1115,'1PROJE'!$B$7:$F$26,4,0)</f>
        <v>#N/A</v>
      </c>
      <c r="K1115" t="e">
        <f>VLOOKUP(F1115,'1PROJE'!$B$7:$F$26,5,0)</f>
        <v>#N/A</v>
      </c>
    </row>
    <row r="1116" spans="2:11">
      <c r="B1116">
        <f t="shared" si="251"/>
        <v>0</v>
      </c>
      <c r="F1116" s="57" t="e">
        <f t="shared" si="252"/>
        <v>#N/A</v>
      </c>
      <c r="G1116" t="str">
        <f t="shared" si="253"/>
        <v/>
      </c>
      <c r="I1116" t="e">
        <f>VLOOKUP(F1116,'1PROJE'!$B$7:$F$26,2,0)</f>
        <v>#N/A</v>
      </c>
      <c r="J1116" t="e">
        <f>VLOOKUP(F1116,'1PROJE'!$B$7:$F$26,4,0)</f>
        <v>#N/A</v>
      </c>
      <c r="K1116" t="e">
        <f>VLOOKUP(F1116,'1PROJE'!$B$7:$F$26,5,0)</f>
        <v>#N/A</v>
      </c>
    </row>
    <row r="1117" spans="2:11">
      <c r="B1117">
        <f t="shared" si="251"/>
        <v>0</v>
      </c>
      <c r="F1117" s="57" t="e">
        <f t="shared" si="252"/>
        <v>#N/A</v>
      </c>
      <c r="G1117" t="str">
        <f t="shared" si="253"/>
        <v/>
      </c>
      <c r="I1117" t="e">
        <f>VLOOKUP(F1117,'1PROJE'!$B$7:$F$26,2,0)</f>
        <v>#N/A</v>
      </c>
      <c r="J1117" t="e">
        <f>VLOOKUP(F1117,'1PROJE'!$B$7:$F$26,4,0)</f>
        <v>#N/A</v>
      </c>
      <c r="K1117" t="e">
        <f>VLOOKUP(F1117,'1PROJE'!$B$7:$F$26,5,0)</f>
        <v>#N/A</v>
      </c>
    </row>
    <row r="1118" spans="2:11">
      <c r="B1118">
        <f t="shared" si="251"/>
        <v>0</v>
      </c>
      <c r="F1118" s="57" t="e">
        <f t="shared" si="252"/>
        <v>#N/A</v>
      </c>
      <c r="G1118" t="str">
        <f t="shared" si="253"/>
        <v/>
      </c>
      <c r="I1118" t="e">
        <f>VLOOKUP(F1118,'1PROJE'!$B$7:$F$26,2,0)</f>
        <v>#N/A</v>
      </c>
      <c r="J1118" t="e">
        <f>VLOOKUP(F1118,'1PROJE'!$B$7:$F$26,4,0)</f>
        <v>#N/A</v>
      </c>
      <c r="K1118" t="e">
        <f>VLOOKUP(F1118,'1PROJE'!$B$7:$F$26,5,0)</f>
        <v>#N/A</v>
      </c>
    </row>
    <row r="1119" spans="2:11">
      <c r="B1119">
        <f t="shared" si="251"/>
        <v>0</v>
      </c>
      <c r="F1119" s="57" t="e">
        <f t="shared" si="252"/>
        <v>#N/A</v>
      </c>
      <c r="G1119" t="str">
        <f t="shared" si="253"/>
        <v/>
      </c>
      <c r="I1119" t="e">
        <f>VLOOKUP(F1119,'1PROJE'!$B$7:$F$26,2,0)</f>
        <v>#N/A</v>
      </c>
      <c r="J1119" t="e">
        <f>VLOOKUP(F1119,'1PROJE'!$B$7:$F$26,4,0)</f>
        <v>#N/A</v>
      </c>
      <c r="K1119" t="e">
        <f>VLOOKUP(F1119,'1PROJE'!$B$7:$F$26,5,0)</f>
        <v>#N/A</v>
      </c>
    </row>
    <row r="1120" spans="2:11">
      <c r="B1120">
        <f t="shared" si="251"/>
        <v>0</v>
      </c>
      <c r="F1120" s="57" t="e">
        <f t="shared" si="252"/>
        <v>#N/A</v>
      </c>
      <c r="G1120" t="str">
        <f t="shared" si="253"/>
        <v/>
      </c>
      <c r="I1120" t="e">
        <f>VLOOKUP(F1120,'1PROJE'!$B$7:$F$26,2,0)</f>
        <v>#N/A</v>
      </c>
      <c r="J1120" t="e">
        <f>VLOOKUP(F1120,'1PROJE'!$B$7:$F$26,4,0)</f>
        <v>#N/A</v>
      </c>
      <c r="K1120" t="e">
        <f>VLOOKUP(F1120,'1PROJE'!$B$7:$F$26,5,0)</f>
        <v>#N/A</v>
      </c>
    </row>
    <row r="1121" spans="2:11">
      <c r="B1121">
        <f t="shared" si="251"/>
        <v>0</v>
      </c>
      <c r="F1121" s="57" t="e">
        <f t="shared" si="252"/>
        <v>#N/A</v>
      </c>
      <c r="G1121" t="str">
        <f t="shared" si="253"/>
        <v/>
      </c>
      <c r="I1121" t="e">
        <f>VLOOKUP(F1121,'1PROJE'!$B$7:$F$26,2,0)</f>
        <v>#N/A</v>
      </c>
      <c r="J1121" t="e">
        <f>VLOOKUP(F1121,'1PROJE'!$B$7:$F$26,4,0)</f>
        <v>#N/A</v>
      </c>
      <c r="K1121" t="e">
        <f>VLOOKUP(F1121,'1PROJE'!$B$7:$F$26,5,0)</f>
        <v>#N/A</v>
      </c>
    </row>
    <row r="1122" spans="2:11">
      <c r="B1122">
        <f t="shared" si="251"/>
        <v>0</v>
      </c>
      <c r="F1122" s="57" t="e">
        <f t="shared" si="252"/>
        <v>#N/A</v>
      </c>
      <c r="G1122" t="str">
        <f t="shared" si="253"/>
        <v/>
      </c>
      <c r="I1122" t="e">
        <f>VLOOKUP(F1122,'1PROJE'!$B$7:$F$26,2,0)</f>
        <v>#N/A</v>
      </c>
      <c r="J1122" t="e">
        <f>VLOOKUP(F1122,'1PROJE'!$B$7:$F$26,4,0)</f>
        <v>#N/A</v>
      </c>
      <c r="K1122" t="e">
        <f>VLOOKUP(F1122,'1PROJE'!$B$7:$F$26,5,0)</f>
        <v>#N/A</v>
      </c>
    </row>
    <row r="1123" spans="2:11">
      <c r="B1123">
        <f t="shared" si="251"/>
        <v>0</v>
      </c>
      <c r="F1123" s="57" t="e">
        <f t="shared" si="252"/>
        <v>#N/A</v>
      </c>
      <c r="G1123" t="str">
        <f t="shared" si="253"/>
        <v/>
      </c>
      <c r="I1123" t="e">
        <f>VLOOKUP(F1123,'1PROJE'!$B$7:$F$26,2,0)</f>
        <v>#N/A</v>
      </c>
      <c r="J1123" t="e">
        <f>VLOOKUP(F1123,'1PROJE'!$B$7:$F$26,4,0)</f>
        <v>#N/A</v>
      </c>
      <c r="K1123" t="e">
        <f>VLOOKUP(F1123,'1PROJE'!$B$7:$F$26,5,0)</f>
        <v>#N/A</v>
      </c>
    </row>
    <row r="1124" spans="2:11">
      <c r="B1124">
        <f t="shared" si="251"/>
        <v>0</v>
      </c>
      <c r="F1124" s="57" t="e">
        <f t="shared" si="252"/>
        <v>#N/A</v>
      </c>
      <c r="G1124" t="str">
        <f t="shared" si="253"/>
        <v/>
      </c>
      <c r="I1124" t="e">
        <f>VLOOKUP(F1124,'1PROJE'!$B$7:$F$26,2,0)</f>
        <v>#N/A</v>
      </c>
      <c r="J1124" t="e">
        <f>VLOOKUP(F1124,'1PROJE'!$B$7:$F$26,4,0)</f>
        <v>#N/A</v>
      </c>
      <c r="K1124" t="e">
        <f>VLOOKUP(F1124,'1PROJE'!$B$7:$F$26,5,0)</f>
        <v>#N/A</v>
      </c>
    </row>
    <row r="1125" spans="2:11">
      <c r="B1125">
        <f t="shared" si="251"/>
        <v>0</v>
      </c>
      <c r="F1125" s="57" t="e">
        <f t="shared" si="252"/>
        <v>#N/A</v>
      </c>
      <c r="G1125" t="str">
        <f t="shared" si="253"/>
        <v/>
      </c>
      <c r="I1125" t="e">
        <f>VLOOKUP(F1125,'1PROJE'!$B$7:$F$26,2,0)</f>
        <v>#N/A</v>
      </c>
      <c r="J1125" t="e">
        <f>VLOOKUP(F1125,'1PROJE'!$B$7:$F$26,4,0)</f>
        <v>#N/A</v>
      </c>
      <c r="K1125" t="e">
        <f>VLOOKUP(F1125,'1PROJE'!$B$7:$F$26,5,0)</f>
        <v>#N/A</v>
      </c>
    </row>
    <row r="1126" spans="2:11">
      <c r="B1126">
        <f t="shared" si="251"/>
        <v>0</v>
      </c>
      <c r="F1126" s="57" t="e">
        <f t="shared" si="252"/>
        <v>#N/A</v>
      </c>
      <c r="G1126" t="str">
        <f t="shared" si="253"/>
        <v/>
      </c>
      <c r="I1126" t="e">
        <f>VLOOKUP(F1126,'1PROJE'!$B$7:$F$26,2,0)</f>
        <v>#N/A</v>
      </c>
      <c r="J1126" t="e">
        <f>VLOOKUP(F1126,'1PROJE'!$B$7:$F$26,4,0)</f>
        <v>#N/A</v>
      </c>
      <c r="K1126" t="e">
        <f>VLOOKUP(F1126,'1PROJE'!$B$7:$F$26,5,0)</f>
        <v>#N/A</v>
      </c>
    </row>
    <row r="1127" spans="2:11">
      <c r="B1127">
        <f t="shared" ref="B1127:B1158" si="254">IF(($C$37-A127)&lt;0,0,"POZ"&amp;" "&amp;$L$61&amp;"."&amp;A127)</f>
        <v>0</v>
      </c>
      <c r="F1127" s="57" t="e">
        <f t="shared" si="252"/>
        <v>#N/A</v>
      </c>
      <c r="G1127" t="str">
        <f t="shared" si="253"/>
        <v/>
      </c>
      <c r="I1127" t="e">
        <f>VLOOKUP(F1127,'1PROJE'!$B$7:$F$26,2,0)</f>
        <v>#N/A</v>
      </c>
      <c r="J1127" t="e">
        <f>VLOOKUP(F1127,'1PROJE'!$B$7:$F$26,4,0)</f>
        <v>#N/A</v>
      </c>
      <c r="K1127" t="e">
        <f>VLOOKUP(F1127,'1PROJE'!$B$7:$F$26,5,0)</f>
        <v>#N/A</v>
      </c>
    </row>
    <row r="1128" spans="2:11">
      <c r="B1128">
        <f t="shared" si="254"/>
        <v>0</v>
      </c>
      <c r="F1128" s="57" t="e">
        <f t="shared" si="252"/>
        <v>#N/A</v>
      </c>
      <c r="G1128" t="str">
        <f t="shared" si="253"/>
        <v/>
      </c>
      <c r="I1128" t="e">
        <f>VLOOKUP(F1128,'1PROJE'!$B$7:$F$26,2,0)</f>
        <v>#N/A</v>
      </c>
      <c r="J1128" t="e">
        <f>VLOOKUP(F1128,'1PROJE'!$B$7:$F$26,4,0)</f>
        <v>#N/A</v>
      </c>
      <c r="K1128" t="e">
        <f>VLOOKUP(F1128,'1PROJE'!$B$7:$F$26,5,0)</f>
        <v>#N/A</v>
      </c>
    </row>
    <row r="1129" spans="2:11">
      <c r="B1129">
        <f t="shared" si="254"/>
        <v>0</v>
      </c>
      <c r="F1129" s="57" t="e">
        <f t="shared" si="252"/>
        <v>#N/A</v>
      </c>
      <c r="G1129" t="str">
        <f t="shared" si="253"/>
        <v/>
      </c>
      <c r="I1129" t="e">
        <f>VLOOKUP(F1129,'1PROJE'!$B$7:$F$26,2,0)</f>
        <v>#N/A</v>
      </c>
      <c r="J1129" t="e">
        <f>VLOOKUP(F1129,'1PROJE'!$B$7:$F$26,4,0)</f>
        <v>#N/A</v>
      </c>
      <c r="K1129" t="e">
        <f>VLOOKUP(F1129,'1PROJE'!$B$7:$F$26,5,0)</f>
        <v>#N/A</v>
      </c>
    </row>
    <row r="1130" spans="2:11">
      <c r="B1130">
        <f t="shared" si="254"/>
        <v>0</v>
      </c>
      <c r="F1130" s="57" t="e">
        <f t="shared" si="252"/>
        <v>#N/A</v>
      </c>
      <c r="G1130" t="str">
        <f t="shared" si="253"/>
        <v/>
      </c>
      <c r="I1130" t="e">
        <f>VLOOKUP(F1130,'1PROJE'!$B$7:$F$26,2,0)</f>
        <v>#N/A</v>
      </c>
      <c r="J1130" t="e">
        <f>VLOOKUP(F1130,'1PROJE'!$B$7:$F$26,4,0)</f>
        <v>#N/A</v>
      </c>
      <c r="K1130" t="e">
        <f>VLOOKUP(F1130,'1PROJE'!$B$7:$F$26,5,0)</f>
        <v>#N/A</v>
      </c>
    </row>
    <row r="1131" spans="2:11">
      <c r="B1131">
        <f t="shared" si="254"/>
        <v>0</v>
      </c>
      <c r="F1131" s="57" t="e">
        <f t="shared" si="252"/>
        <v>#N/A</v>
      </c>
      <c r="G1131" t="str">
        <f t="shared" si="253"/>
        <v/>
      </c>
      <c r="I1131" t="e">
        <f>VLOOKUP(F1131,'1PROJE'!$B$7:$F$26,2,0)</f>
        <v>#N/A</v>
      </c>
      <c r="J1131" t="e">
        <f>VLOOKUP(F1131,'1PROJE'!$B$7:$F$26,4,0)</f>
        <v>#N/A</v>
      </c>
      <c r="K1131" t="e">
        <f>VLOOKUP(F1131,'1PROJE'!$B$7:$F$26,5,0)</f>
        <v>#N/A</v>
      </c>
    </row>
    <row r="1132" spans="2:11">
      <c r="B1132">
        <f t="shared" si="254"/>
        <v>0</v>
      </c>
      <c r="F1132" s="57" t="e">
        <f t="shared" si="252"/>
        <v>#N/A</v>
      </c>
      <c r="G1132" t="str">
        <f t="shared" si="253"/>
        <v/>
      </c>
      <c r="I1132" t="e">
        <f>VLOOKUP(F1132,'1PROJE'!$B$7:$F$26,2,0)</f>
        <v>#N/A</v>
      </c>
      <c r="J1132" t="e">
        <f>VLOOKUP(F1132,'1PROJE'!$B$7:$F$26,4,0)</f>
        <v>#N/A</v>
      </c>
      <c r="K1132" t="e">
        <f>VLOOKUP(F1132,'1PROJE'!$B$7:$F$26,5,0)</f>
        <v>#N/A</v>
      </c>
    </row>
    <row r="1133" spans="2:11">
      <c r="B1133">
        <f t="shared" si="254"/>
        <v>0</v>
      </c>
      <c r="F1133" s="57" t="e">
        <f t="shared" si="252"/>
        <v>#N/A</v>
      </c>
      <c r="G1133" t="str">
        <f t="shared" si="253"/>
        <v/>
      </c>
      <c r="I1133" t="e">
        <f>VLOOKUP(F1133,'1PROJE'!$B$7:$F$26,2,0)</f>
        <v>#N/A</v>
      </c>
      <c r="J1133" t="e">
        <f>VLOOKUP(F1133,'1PROJE'!$B$7:$F$26,4,0)</f>
        <v>#N/A</v>
      </c>
      <c r="K1133" t="e">
        <f>VLOOKUP(F1133,'1PROJE'!$B$7:$F$26,5,0)</f>
        <v>#N/A</v>
      </c>
    </row>
    <row r="1134" spans="2:11">
      <c r="B1134">
        <f t="shared" si="254"/>
        <v>0</v>
      </c>
      <c r="F1134" s="57" t="e">
        <f t="shared" si="252"/>
        <v>#N/A</v>
      </c>
      <c r="G1134" t="str">
        <f t="shared" si="253"/>
        <v/>
      </c>
      <c r="I1134" t="e">
        <f>VLOOKUP(F1134,'1PROJE'!$B$7:$F$26,2,0)</f>
        <v>#N/A</v>
      </c>
      <c r="J1134" t="e">
        <f>VLOOKUP(F1134,'1PROJE'!$B$7:$F$26,4,0)</f>
        <v>#N/A</v>
      </c>
      <c r="K1134" t="e">
        <f>VLOOKUP(F1134,'1PROJE'!$B$7:$F$26,5,0)</f>
        <v>#N/A</v>
      </c>
    </row>
    <row r="1135" spans="2:11">
      <c r="B1135">
        <f t="shared" si="254"/>
        <v>0</v>
      </c>
      <c r="F1135" s="57" t="e">
        <f t="shared" si="252"/>
        <v>#N/A</v>
      </c>
      <c r="G1135" t="str">
        <f t="shared" si="253"/>
        <v/>
      </c>
      <c r="I1135" t="e">
        <f>VLOOKUP(F1135,'1PROJE'!$B$7:$F$26,2,0)</f>
        <v>#N/A</v>
      </c>
      <c r="J1135" t="e">
        <f>VLOOKUP(F1135,'1PROJE'!$B$7:$F$26,4,0)</f>
        <v>#N/A</v>
      </c>
      <c r="K1135" t="e">
        <f>VLOOKUP(F1135,'1PROJE'!$B$7:$F$26,5,0)</f>
        <v>#N/A</v>
      </c>
    </row>
    <row r="1136" spans="2:11">
      <c r="B1136">
        <f t="shared" si="254"/>
        <v>0</v>
      </c>
      <c r="F1136" s="57" t="e">
        <f t="shared" si="252"/>
        <v>#N/A</v>
      </c>
      <c r="G1136" t="str">
        <f t="shared" si="253"/>
        <v/>
      </c>
      <c r="I1136" t="e">
        <f>VLOOKUP(F1136,'1PROJE'!$B$7:$F$26,2,0)</f>
        <v>#N/A</v>
      </c>
      <c r="J1136" t="e">
        <f>VLOOKUP(F1136,'1PROJE'!$B$7:$F$26,4,0)</f>
        <v>#N/A</v>
      </c>
      <c r="K1136" t="e">
        <f>VLOOKUP(F1136,'1PROJE'!$B$7:$F$26,5,0)</f>
        <v>#N/A</v>
      </c>
    </row>
    <row r="1137" spans="2:11">
      <c r="B1137">
        <f t="shared" si="254"/>
        <v>0</v>
      </c>
      <c r="F1137" s="57" t="e">
        <f t="shared" si="252"/>
        <v>#N/A</v>
      </c>
      <c r="G1137" t="str">
        <f t="shared" si="253"/>
        <v/>
      </c>
      <c r="I1137" t="e">
        <f>VLOOKUP(F1137,'1PROJE'!$B$7:$F$26,2,0)</f>
        <v>#N/A</v>
      </c>
      <c r="J1137" t="e">
        <f>VLOOKUP(F1137,'1PROJE'!$B$7:$F$26,4,0)</f>
        <v>#N/A</v>
      </c>
      <c r="K1137" t="e">
        <f>VLOOKUP(F1137,'1PROJE'!$B$7:$F$26,5,0)</f>
        <v>#N/A</v>
      </c>
    </row>
    <row r="1138" spans="2:11">
      <c r="B1138">
        <f t="shared" si="254"/>
        <v>0</v>
      </c>
      <c r="F1138" s="57" t="e">
        <f t="shared" si="252"/>
        <v>#N/A</v>
      </c>
      <c r="G1138" t="str">
        <f t="shared" si="253"/>
        <v/>
      </c>
      <c r="I1138" t="e">
        <f>VLOOKUP(F1138,'1PROJE'!$B$7:$F$26,2,0)</f>
        <v>#N/A</v>
      </c>
      <c r="J1138" t="e">
        <f>VLOOKUP(F1138,'1PROJE'!$B$7:$F$26,4,0)</f>
        <v>#N/A</v>
      </c>
      <c r="K1138" t="e">
        <f>VLOOKUP(F1138,'1PROJE'!$B$7:$F$26,5,0)</f>
        <v>#N/A</v>
      </c>
    </row>
    <row r="1139" spans="2:11">
      <c r="B1139">
        <f t="shared" si="254"/>
        <v>0</v>
      </c>
      <c r="F1139" s="57" t="e">
        <f t="shared" si="252"/>
        <v>#N/A</v>
      </c>
      <c r="G1139" t="str">
        <f t="shared" si="253"/>
        <v/>
      </c>
      <c r="I1139" t="e">
        <f>VLOOKUP(F1139,'1PROJE'!$B$7:$F$26,2,0)</f>
        <v>#N/A</v>
      </c>
      <c r="J1139" t="e">
        <f>VLOOKUP(F1139,'1PROJE'!$B$7:$F$26,4,0)</f>
        <v>#N/A</v>
      </c>
      <c r="K1139" t="e">
        <f>VLOOKUP(F1139,'1PROJE'!$B$7:$F$26,5,0)</f>
        <v>#N/A</v>
      </c>
    </row>
    <row r="1140" spans="2:11">
      <c r="B1140">
        <f t="shared" si="254"/>
        <v>0</v>
      </c>
      <c r="F1140" s="57" t="e">
        <f t="shared" si="252"/>
        <v>#N/A</v>
      </c>
      <c r="G1140" t="str">
        <f t="shared" si="253"/>
        <v/>
      </c>
      <c r="I1140" t="e">
        <f>VLOOKUP(F1140,'1PROJE'!$B$7:$F$26,2,0)</f>
        <v>#N/A</v>
      </c>
      <c r="J1140" t="e">
        <f>VLOOKUP(F1140,'1PROJE'!$B$7:$F$26,4,0)</f>
        <v>#N/A</v>
      </c>
      <c r="K1140" t="e">
        <f>VLOOKUP(F1140,'1PROJE'!$B$7:$F$26,5,0)</f>
        <v>#N/A</v>
      </c>
    </row>
    <row r="1141" spans="2:11">
      <c r="B1141">
        <f t="shared" si="254"/>
        <v>0</v>
      </c>
      <c r="F1141" s="57" t="e">
        <f t="shared" si="252"/>
        <v>#N/A</v>
      </c>
      <c r="G1141" t="str">
        <f t="shared" si="253"/>
        <v/>
      </c>
      <c r="I1141" t="e">
        <f>VLOOKUP(F1141,'1PROJE'!$B$7:$F$26,2,0)</f>
        <v>#N/A</v>
      </c>
      <c r="J1141" t="e">
        <f>VLOOKUP(F1141,'1PROJE'!$B$7:$F$26,4,0)</f>
        <v>#N/A</v>
      </c>
      <c r="K1141" t="e">
        <f>VLOOKUP(F1141,'1PROJE'!$B$7:$F$26,5,0)</f>
        <v>#N/A</v>
      </c>
    </row>
    <row r="1142" spans="2:11">
      <c r="B1142">
        <f t="shared" si="254"/>
        <v>0</v>
      </c>
      <c r="F1142" s="57" t="e">
        <f t="shared" si="252"/>
        <v>#N/A</v>
      </c>
      <c r="G1142" t="str">
        <f t="shared" si="253"/>
        <v/>
      </c>
      <c r="I1142" t="e">
        <f>VLOOKUP(F1142,'1PROJE'!$B$7:$F$26,2,0)</f>
        <v>#N/A</v>
      </c>
      <c r="J1142" t="e">
        <f>VLOOKUP(F1142,'1PROJE'!$B$7:$F$26,4,0)</f>
        <v>#N/A</v>
      </c>
      <c r="K1142" t="e">
        <f>VLOOKUP(F1142,'1PROJE'!$B$7:$F$26,5,0)</f>
        <v>#N/A</v>
      </c>
    </row>
    <row r="1143" spans="2:11">
      <c r="B1143">
        <f t="shared" si="254"/>
        <v>0</v>
      </c>
      <c r="F1143" s="57" t="e">
        <f t="shared" si="252"/>
        <v>#N/A</v>
      </c>
      <c r="G1143" t="str">
        <f t="shared" si="253"/>
        <v/>
      </c>
      <c r="I1143" t="e">
        <f>VLOOKUP(F1143,'1PROJE'!$B$7:$F$26,2,0)</f>
        <v>#N/A</v>
      </c>
      <c r="J1143" t="e">
        <f>VLOOKUP(F1143,'1PROJE'!$B$7:$F$26,4,0)</f>
        <v>#N/A</v>
      </c>
      <c r="K1143" t="e">
        <f>VLOOKUP(F1143,'1PROJE'!$B$7:$F$26,5,0)</f>
        <v>#N/A</v>
      </c>
    </row>
    <row r="1144" spans="2:11">
      <c r="B1144">
        <f t="shared" si="254"/>
        <v>0</v>
      </c>
      <c r="F1144" s="57" t="e">
        <f t="shared" si="252"/>
        <v>#N/A</v>
      </c>
      <c r="G1144" t="str">
        <f t="shared" si="253"/>
        <v/>
      </c>
      <c r="I1144" t="e">
        <f>VLOOKUP(F1144,'1PROJE'!$B$7:$F$26,2,0)</f>
        <v>#N/A</v>
      </c>
      <c r="J1144" t="e">
        <f>VLOOKUP(F1144,'1PROJE'!$B$7:$F$26,4,0)</f>
        <v>#N/A</v>
      </c>
      <c r="K1144" t="e">
        <f>VLOOKUP(F1144,'1PROJE'!$B$7:$F$26,5,0)</f>
        <v>#N/A</v>
      </c>
    </row>
    <row r="1145" spans="2:11">
      <c r="B1145">
        <f t="shared" si="254"/>
        <v>0</v>
      </c>
      <c r="F1145" s="57" t="e">
        <f t="shared" si="252"/>
        <v>#N/A</v>
      </c>
      <c r="G1145" t="str">
        <f t="shared" si="253"/>
        <v/>
      </c>
      <c r="I1145" t="e">
        <f>VLOOKUP(F1145,'1PROJE'!$B$7:$F$26,2,0)</f>
        <v>#N/A</v>
      </c>
      <c r="J1145" t="e">
        <f>VLOOKUP(F1145,'1PROJE'!$B$7:$F$26,4,0)</f>
        <v>#N/A</v>
      </c>
      <c r="K1145" t="e">
        <f>VLOOKUP(F1145,'1PROJE'!$B$7:$F$26,5,0)</f>
        <v>#N/A</v>
      </c>
    </row>
    <row r="1146" spans="2:11">
      <c r="B1146">
        <f t="shared" si="254"/>
        <v>0</v>
      </c>
      <c r="F1146" s="57" t="e">
        <f t="shared" si="252"/>
        <v>#N/A</v>
      </c>
      <c r="G1146" t="str">
        <f t="shared" si="253"/>
        <v/>
      </c>
      <c r="I1146" t="e">
        <f>VLOOKUP(F1146,'1PROJE'!$B$7:$F$26,2,0)</f>
        <v>#N/A</v>
      </c>
      <c r="J1146" t="e">
        <f>VLOOKUP(F1146,'1PROJE'!$B$7:$F$26,4,0)</f>
        <v>#N/A</v>
      </c>
      <c r="K1146" t="e">
        <f>VLOOKUP(F1146,'1PROJE'!$B$7:$F$26,5,0)</f>
        <v>#N/A</v>
      </c>
    </row>
    <row r="1147" spans="2:11">
      <c r="B1147">
        <f t="shared" si="254"/>
        <v>0</v>
      </c>
      <c r="F1147" s="57" t="e">
        <f t="shared" si="252"/>
        <v>#N/A</v>
      </c>
      <c r="G1147" t="str">
        <f t="shared" si="253"/>
        <v/>
      </c>
      <c r="I1147" t="e">
        <f>VLOOKUP(F1147,'1PROJE'!$B$7:$F$26,2,0)</f>
        <v>#N/A</v>
      </c>
      <c r="J1147" t="e">
        <f>VLOOKUP(F1147,'1PROJE'!$B$7:$F$26,4,0)</f>
        <v>#N/A</v>
      </c>
      <c r="K1147" t="e">
        <f>VLOOKUP(F1147,'1PROJE'!$B$7:$F$26,5,0)</f>
        <v>#N/A</v>
      </c>
    </row>
    <row r="1148" spans="2:11">
      <c r="B1148">
        <f t="shared" si="254"/>
        <v>0</v>
      </c>
      <c r="F1148" s="57" t="e">
        <f t="shared" si="252"/>
        <v>#N/A</v>
      </c>
      <c r="G1148" t="str">
        <f t="shared" si="253"/>
        <v/>
      </c>
      <c r="I1148" t="e">
        <f>VLOOKUP(F1148,'1PROJE'!$B$7:$F$26,2,0)</f>
        <v>#N/A</v>
      </c>
      <c r="J1148" t="e">
        <f>VLOOKUP(F1148,'1PROJE'!$B$7:$F$26,4,0)</f>
        <v>#N/A</v>
      </c>
      <c r="K1148" t="e">
        <f>VLOOKUP(F1148,'1PROJE'!$B$7:$F$26,5,0)</f>
        <v>#N/A</v>
      </c>
    </row>
    <row r="1149" spans="2:11">
      <c r="B1149">
        <f t="shared" si="254"/>
        <v>0</v>
      </c>
      <c r="F1149" s="57" t="e">
        <f t="shared" si="252"/>
        <v>#N/A</v>
      </c>
      <c r="G1149" t="str">
        <f t="shared" si="253"/>
        <v/>
      </c>
      <c r="I1149" t="e">
        <f>VLOOKUP(F1149,'1PROJE'!$B$7:$F$26,2,0)</f>
        <v>#N/A</v>
      </c>
      <c r="J1149" t="e">
        <f>VLOOKUP(F1149,'1PROJE'!$B$7:$F$26,4,0)</f>
        <v>#N/A</v>
      </c>
      <c r="K1149" t="e">
        <f>VLOOKUP(F1149,'1PROJE'!$B$7:$F$26,5,0)</f>
        <v>#N/A</v>
      </c>
    </row>
    <row r="1150" spans="2:11">
      <c r="B1150">
        <f t="shared" si="254"/>
        <v>0</v>
      </c>
      <c r="F1150" s="57" t="e">
        <f t="shared" si="252"/>
        <v>#N/A</v>
      </c>
      <c r="G1150" t="str">
        <f t="shared" si="253"/>
        <v/>
      </c>
      <c r="I1150" t="e">
        <f>VLOOKUP(F1150,'1PROJE'!$B$7:$F$26,2,0)</f>
        <v>#N/A</v>
      </c>
      <c r="J1150" t="e">
        <f>VLOOKUP(F1150,'1PROJE'!$B$7:$F$26,4,0)</f>
        <v>#N/A</v>
      </c>
      <c r="K1150" t="e">
        <f>VLOOKUP(F1150,'1PROJE'!$B$7:$F$26,5,0)</f>
        <v>#N/A</v>
      </c>
    </row>
    <row r="1151" spans="2:11">
      <c r="B1151">
        <f t="shared" si="254"/>
        <v>0</v>
      </c>
      <c r="F1151" s="57" t="e">
        <f t="shared" si="252"/>
        <v>#N/A</v>
      </c>
      <c r="G1151" t="str">
        <f t="shared" si="253"/>
        <v/>
      </c>
      <c r="I1151" t="e">
        <f>VLOOKUP(F1151,'1PROJE'!$B$7:$F$26,2,0)</f>
        <v>#N/A</v>
      </c>
      <c r="J1151" t="e">
        <f>VLOOKUP(F1151,'1PROJE'!$B$7:$F$26,4,0)</f>
        <v>#N/A</v>
      </c>
      <c r="K1151" t="e">
        <f>VLOOKUP(F1151,'1PROJE'!$B$7:$F$26,5,0)</f>
        <v>#N/A</v>
      </c>
    </row>
    <row r="1152" spans="2:11">
      <c r="B1152">
        <f t="shared" si="254"/>
        <v>0</v>
      </c>
      <c r="F1152" s="57" t="e">
        <f t="shared" si="252"/>
        <v>#N/A</v>
      </c>
      <c r="G1152" t="str">
        <f t="shared" si="253"/>
        <v/>
      </c>
      <c r="I1152" t="e">
        <f>VLOOKUP(F1152,'1PROJE'!$B$7:$F$26,2,0)</f>
        <v>#N/A</v>
      </c>
      <c r="J1152" t="e">
        <f>VLOOKUP(F1152,'1PROJE'!$B$7:$F$26,4,0)</f>
        <v>#N/A</v>
      </c>
      <c r="K1152" t="e">
        <f>VLOOKUP(F1152,'1PROJE'!$B$7:$F$26,5,0)</f>
        <v>#N/A</v>
      </c>
    </row>
    <row r="1153" spans="2:11">
      <c r="B1153">
        <f t="shared" si="254"/>
        <v>0</v>
      </c>
      <c r="F1153" s="57" t="e">
        <f t="shared" si="252"/>
        <v>#N/A</v>
      </c>
      <c r="G1153" t="str">
        <f t="shared" si="253"/>
        <v/>
      </c>
      <c r="I1153" t="e">
        <f>VLOOKUP(F1153,'1PROJE'!$B$7:$F$26,2,0)</f>
        <v>#N/A</v>
      </c>
      <c r="J1153" t="e">
        <f>VLOOKUP(F1153,'1PROJE'!$B$7:$F$26,4,0)</f>
        <v>#N/A</v>
      </c>
      <c r="K1153" t="e">
        <f>VLOOKUP(F1153,'1PROJE'!$B$7:$F$26,5,0)</f>
        <v>#N/A</v>
      </c>
    </row>
    <row r="1154" spans="2:11">
      <c r="B1154">
        <f t="shared" si="254"/>
        <v>0</v>
      </c>
      <c r="F1154" s="57" t="e">
        <f t="shared" si="252"/>
        <v>#N/A</v>
      </c>
      <c r="G1154" t="str">
        <f t="shared" si="253"/>
        <v/>
      </c>
      <c r="I1154" t="e">
        <f>VLOOKUP(F1154,'1PROJE'!$B$7:$F$26,2,0)</f>
        <v>#N/A</v>
      </c>
      <c r="J1154" t="e">
        <f>VLOOKUP(F1154,'1PROJE'!$B$7:$F$26,4,0)</f>
        <v>#N/A</v>
      </c>
      <c r="K1154" t="e">
        <f>VLOOKUP(F1154,'1PROJE'!$B$7:$F$26,5,0)</f>
        <v>#N/A</v>
      </c>
    </row>
    <row r="1155" spans="2:11">
      <c r="B1155">
        <f t="shared" si="254"/>
        <v>0</v>
      </c>
      <c r="F1155" s="57" t="e">
        <f t="shared" si="252"/>
        <v>#N/A</v>
      </c>
      <c r="G1155" t="str">
        <f t="shared" si="253"/>
        <v/>
      </c>
      <c r="I1155" t="e">
        <f>VLOOKUP(F1155,'1PROJE'!$B$7:$F$26,2,0)</f>
        <v>#N/A</v>
      </c>
      <c r="J1155" t="e">
        <f>VLOOKUP(F1155,'1PROJE'!$B$7:$F$26,4,0)</f>
        <v>#N/A</v>
      </c>
      <c r="K1155" t="e">
        <f>VLOOKUP(F1155,'1PROJE'!$B$7:$F$26,5,0)</f>
        <v>#N/A</v>
      </c>
    </row>
    <row r="1156" spans="2:11">
      <c r="B1156">
        <f t="shared" si="254"/>
        <v>0</v>
      </c>
      <c r="F1156" s="57" t="e">
        <f t="shared" si="252"/>
        <v>#N/A</v>
      </c>
      <c r="G1156" t="str">
        <f t="shared" si="253"/>
        <v/>
      </c>
      <c r="I1156" t="e">
        <f>VLOOKUP(F1156,'1PROJE'!$B$7:$F$26,2,0)</f>
        <v>#N/A</v>
      </c>
      <c r="J1156" t="e">
        <f>VLOOKUP(F1156,'1PROJE'!$B$7:$F$26,4,0)</f>
        <v>#N/A</v>
      </c>
      <c r="K1156" t="e">
        <f>VLOOKUP(F1156,'1PROJE'!$B$7:$F$26,5,0)</f>
        <v>#N/A</v>
      </c>
    </row>
    <row r="1157" spans="2:11">
      <c r="B1157">
        <f t="shared" si="254"/>
        <v>0</v>
      </c>
      <c r="F1157" s="57" t="e">
        <f t="shared" si="252"/>
        <v>#N/A</v>
      </c>
      <c r="G1157" t="str">
        <f t="shared" si="253"/>
        <v/>
      </c>
      <c r="I1157" t="e">
        <f>VLOOKUP(F1157,'1PROJE'!$B$7:$F$26,2,0)</f>
        <v>#N/A</v>
      </c>
      <c r="J1157" t="e">
        <f>VLOOKUP(F1157,'1PROJE'!$B$7:$F$26,4,0)</f>
        <v>#N/A</v>
      </c>
      <c r="K1157" t="e">
        <f>VLOOKUP(F1157,'1PROJE'!$B$7:$F$26,5,0)</f>
        <v>#N/A</v>
      </c>
    </row>
    <row r="1158" spans="2:11">
      <c r="B1158">
        <f t="shared" si="254"/>
        <v>0</v>
      </c>
      <c r="F1158" s="57" t="e">
        <f t="shared" si="252"/>
        <v>#N/A</v>
      </c>
      <c r="G1158" t="str">
        <f t="shared" si="253"/>
        <v/>
      </c>
      <c r="I1158" t="e">
        <f>VLOOKUP(F1158,'1PROJE'!$B$7:$F$26,2,0)</f>
        <v>#N/A</v>
      </c>
      <c r="J1158" t="e">
        <f>VLOOKUP(F1158,'1PROJE'!$B$7:$F$26,4,0)</f>
        <v>#N/A</v>
      </c>
      <c r="K1158" t="e">
        <f>VLOOKUP(F1158,'1PROJE'!$B$7:$F$26,5,0)</f>
        <v>#N/A</v>
      </c>
    </row>
    <row r="1159" spans="2:11">
      <c r="B1159">
        <f t="shared" ref="B1159:B1161" si="255">IF(($C$37-A159)&lt;0,0,"POZ"&amp;" "&amp;$L$61&amp;"."&amp;A159)</f>
        <v>0</v>
      </c>
      <c r="F1159" s="57" t="e">
        <f t="shared" si="252"/>
        <v>#N/A</v>
      </c>
      <c r="G1159" t="str">
        <f t="shared" si="253"/>
        <v/>
      </c>
      <c r="I1159" t="e">
        <f>VLOOKUP(F1159,'1PROJE'!$B$7:$F$26,2,0)</f>
        <v>#N/A</v>
      </c>
      <c r="J1159" t="e">
        <f>VLOOKUP(F1159,'1PROJE'!$B$7:$F$26,4,0)</f>
        <v>#N/A</v>
      </c>
      <c r="K1159" t="e">
        <f>VLOOKUP(F1159,'1PROJE'!$B$7:$F$26,5,0)</f>
        <v>#N/A</v>
      </c>
    </row>
    <row r="1160" spans="2:11">
      <c r="B1160">
        <f t="shared" si="255"/>
        <v>0</v>
      </c>
      <c r="F1160" s="57" t="e">
        <f t="shared" si="252"/>
        <v>#N/A</v>
      </c>
      <c r="G1160" t="str">
        <f t="shared" si="253"/>
        <v/>
      </c>
      <c r="I1160" t="e">
        <f>VLOOKUP(F1160,'1PROJE'!$B$7:$F$26,2,0)</f>
        <v>#N/A</v>
      </c>
      <c r="J1160" t="e">
        <f>VLOOKUP(F1160,'1PROJE'!$B$7:$F$26,4,0)</f>
        <v>#N/A</v>
      </c>
      <c r="K1160" t="e">
        <f>VLOOKUP(F1160,'1PROJE'!$B$7:$F$26,5,0)</f>
        <v>#N/A</v>
      </c>
    </row>
    <row r="1161" spans="2:11">
      <c r="B1161">
        <f t="shared" si="255"/>
        <v>0</v>
      </c>
      <c r="F1161" s="57" t="e">
        <f t="shared" si="252"/>
        <v>#N/A</v>
      </c>
      <c r="G1161" t="str">
        <f t="shared" si="253"/>
        <v/>
      </c>
      <c r="I1161" t="e">
        <f>VLOOKUP(F1161,'1PROJE'!$B$7:$F$26,2,0)</f>
        <v>#N/A</v>
      </c>
      <c r="J1161" t="e">
        <f>VLOOKUP(F1161,'1PROJE'!$B$7:$F$26,4,0)</f>
        <v>#N/A</v>
      </c>
      <c r="K1161" t="e">
        <f>VLOOKUP(F1161,'1PROJE'!$B$7:$F$26,5,0)</f>
        <v>#N/A</v>
      </c>
    </row>
    <row r="1162" spans="2:11">
      <c r="B1162">
        <f>IF(C38=0,0,IF(($C$38-A62)=0,"POZ 12.","POZ"&amp;" "&amp;$M$61&amp;"."&amp;A62))</f>
        <v>0</v>
      </c>
      <c r="F1162" s="57" t="e">
        <f t="shared" si="252"/>
        <v>#N/A</v>
      </c>
      <c r="G1162" t="str">
        <f t="shared" si="253"/>
        <v/>
      </c>
      <c r="I1162" t="e">
        <f>VLOOKUP(F1162,'1PROJE'!$B$7:$F$26,2,0)</f>
        <v>#N/A</v>
      </c>
      <c r="J1162" t="e">
        <f>VLOOKUP(F1162,'1PROJE'!$B$7:$F$26,4,0)</f>
        <v>#N/A</v>
      </c>
      <c r="K1162" t="e">
        <f>VLOOKUP(F1162,'1PROJE'!$B$7:$F$26,5,0)</f>
        <v>#N/A</v>
      </c>
    </row>
    <row r="1163" spans="2:11">
      <c r="B1163">
        <f t="shared" ref="B1163:B1194" si="256">IF(($C$38-A63)&lt;0,0,"POZ"&amp;" "&amp;$M$61&amp;"."&amp;A63)</f>
        <v>0</v>
      </c>
      <c r="F1163" s="57" t="e">
        <f t="shared" ref="F1163:F1226" si="257">VLOOKUP(G1163,$C$64:$D$83,2,0)</f>
        <v>#N/A</v>
      </c>
      <c r="G1163" t="str">
        <f t="shared" ref="G1163:G1226" si="258">LEFT(H1163,6)</f>
        <v/>
      </c>
      <c r="I1163" t="e">
        <f>VLOOKUP(F1163,'1PROJE'!$B$7:$F$26,2,0)</f>
        <v>#N/A</v>
      </c>
      <c r="J1163" t="e">
        <f>VLOOKUP(F1163,'1PROJE'!$B$7:$F$26,4,0)</f>
        <v>#N/A</v>
      </c>
      <c r="K1163" t="e">
        <f>VLOOKUP(F1163,'1PROJE'!$B$7:$F$26,5,0)</f>
        <v>#N/A</v>
      </c>
    </row>
    <row r="1164" spans="2:11">
      <c r="B1164">
        <f t="shared" si="256"/>
        <v>0</v>
      </c>
      <c r="F1164" s="57" t="e">
        <f t="shared" si="257"/>
        <v>#N/A</v>
      </c>
      <c r="G1164" t="str">
        <f t="shared" si="258"/>
        <v/>
      </c>
      <c r="I1164" t="e">
        <f>VLOOKUP(F1164,'1PROJE'!$B$7:$F$26,2,0)</f>
        <v>#N/A</v>
      </c>
      <c r="J1164" t="e">
        <f>VLOOKUP(F1164,'1PROJE'!$B$7:$F$26,4,0)</f>
        <v>#N/A</v>
      </c>
      <c r="K1164" t="e">
        <f>VLOOKUP(F1164,'1PROJE'!$B$7:$F$26,5,0)</f>
        <v>#N/A</v>
      </c>
    </row>
    <row r="1165" spans="2:11">
      <c r="B1165">
        <f t="shared" si="256"/>
        <v>0</v>
      </c>
      <c r="F1165" s="57" t="e">
        <f t="shared" si="257"/>
        <v>#N/A</v>
      </c>
      <c r="G1165" t="str">
        <f t="shared" si="258"/>
        <v/>
      </c>
      <c r="I1165" t="e">
        <f>VLOOKUP(F1165,'1PROJE'!$B$7:$F$26,2,0)</f>
        <v>#N/A</v>
      </c>
      <c r="J1165" t="e">
        <f>VLOOKUP(F1165,'1PROJE'!$B$7:$F$26,4,0)</f>
        <v>#N/A</v>
      </c>
      <c r="K1165" t="e">
        <f>VLOOKUP(F1165,'1PROJE'!$B$7:$F$26,5,0)</f>
        <v>#N/A</v>
      </c>
    </row>
    <row r="1166" spans="2:11">
      <c r="B1166">
        <f t="shared" si="256"/>
        <v>0</v>
      </c>
      <c r="F1166" s="57" t="e">
        <f t="shared" si="257"/>
        <v>#N/A</v>
      </c>
      <c r="G1166" t="str">
        <f t="shared" si="258"/>
        <v/>
      </c>
      <c r="I1166" t="e">
        <f>VLOOKUP(F1166,'1PROJE'!$B$7:$F$26,2,0)</f>
        <v>#N/A</v>
      </c>
      <c r="J1166" t="e">
        <f>VLOOKUP(F1166,'1PROJE'!$B$7:$F$26,4,0)</f>
        <v>#N/A</v>
      </c>
      <c r="K1166" t="e">
        <f>VLOOKUP(F1166,'1PROJE'!$B$7:$F$26,5,0)</f>
        <v>#N/A</v>
      </c>
    </row>
    <row r="1167" spans="2:11">
      <c r="B1167">
        <f t="shared" si="256"/>
        <v>0</v>
      </c>
      <c r="F1167" s="57" t="e">
        <f t="shared" si="257"/>
        <v>#N/A</v>
      </c>
      <c r="G1167" t="str">
        <f t="shared" si="258"/>
        <v/>
      </c>
      <c r="I1167" t="e">
        <f>VLOOKUP(F1167,'1PROJE'!$B$7:$F$26,2,0)</f>
        <v>#N/A</v>
      </c>
      <c r="J1167" t="e">
        <f>VLOOKUP(F1167,'1PROJE'!$B$7:$F$26,4,0)</f>
        <v>#N/A</v>
      </c>
      <c r="K1167" t="e">
        <f>VLOOKUP(F1167,'1PROJE'!$B$7:$F$26,5,0)</f>
        <v>#N/A</v>
      </c>
    </row>
    <row r="1168" spans="2:11">
      <c r="B1168">
        <f t="shared" si="256"/>
        <v>0</v>
      </c>
      <c r="F1168" s="57" t="e">
        <f t="shared" si="257"/>
        <v>#N/A</v>
      </c>
      <c r="G1168" t="str">
        <f t="shared" si="258"/>
        <v/>
      </c>
      <c r="I1168" t="e">
        <f>VLOOKUP(F1168,'1PROJE'!$B$7:$F$26,2,0)</f>
        <v>#N/A</v>
      </c>
      <c r="J1168" t="e">
        <f>VLOOKUP(F1168,'1PROJE'!$B$7:$F$26,4,0)</f>
        <v>#N/A</v>
      </c>
      <c r="K1168" t="e">
        <f>VLOOKUP(F1168,'1PROJE'!$B$7:$F$26,5,0)</f>
        <v>#N/A</v>
      </c>
    </row>
    <row r="1169" spans="2:11">
      <c r="B1169">
        <f t="shared" si="256"/>
        <v>0</v>
      </c>
      <c r="F1169" s="57" t="e">
        <f t="shared" si="257"/>
        <v>#N/A</v>
      </c>
      <c r="G1169" t="str">
        <f t="shared" si="258"/>
        <v/>
      </c>
      <c r="I1169" t="e">
        <f>VLOOKUP(F1169,'1PROJE'!$B$7:$F$26,2,0)</f>
        <v>#N/A</v>
      </c>
      <c r="J1169" t="e">
        <f>VLOOKUP(F1169,'1PROJE'!$B$7:$F$26,4,0)</f>
        <v>#N/A</v>
      </c>
      <c r="K1169" t="e">
        <f>VLOOKUP(F1169,'1PROJE'!$B$7:$F$26,5,0)</f>
        <v>#N/A</v>
      </c>
    </row>
    <row r="1170" spans="2:11">
      <c r="B1170">
        <f t="shared" si="256"/>
        <v>0</v>
      </c>
      <c r="F1170" s="57" t="e">
        <f t="shared" si="257"/>
        <v>#N/A</v>
      </c>
      <c r="G1170" t="str">
        <f t="shared" si="258"/>
        <v/>
      </c>
      <c r="I1170" t="e">
        <f>VLOOKUP(F1170,'1PROJE'!$B$7:$F$26,2,0)</f>
        <v>#N/A</v>
      </c>
      <c r="J1170" t="e">
        <f>VLOOKUP(F1170,'1PROJE'!$B$7:$F$26,4,0)</f>
        <v>#N/A</v>
      </c>
      <c r="K1170" t="e">
        <f>VLOOKUP(F1170,'1PROJE'!$B$7:$F$26,5,0)</f>
        <v>#N/A</v>
      </c>
    </row>
    <row r="1171" spans="2:11">
      <c r="B1171">
        <f t="shared" si="256"/>
        <v>0</v>
      </c>
      <c r="F1171" s="57" t="e">
        <f t="shared" si="257"/>
        <v>#N/A</v>
      </c>
      <c r="G1171" t="str">
        <f t="shared" si="258"/>
        <v/>
      </c>
      <c r="I1171" t="e">
        <f>VLOOKUP(F1171,'1PROJE'!$B$7:$F$26,2,0)</f>
        <v>#N/A</v>
      </c>
      <c r="J1171" t="e">
        <f>VLOOKUP(F1171,'1PROJE'!$B$7:$F$26,4,0)</f>
        <v>#N/A</v>
      </c>
      <c r="K1171" t="e">
        <f>VLOOKUP(F1171,'1PROJE'!$B$7:$F$26,5,0)</f>
        <v>#N/A</v>
      </c>
    </row>
    <row r="1172" spans="2:11">
      <c r="B1172">
        <f t="shared" si="256"/>
        <v>0</v>
      </c>
      <c r="F1172" s="57" t="e">
        <f t="shared" si="257"/>
        <v>#N/A</v>
      </c>
      <c r="G1172" t="str">
        <f t="shared" si="258"/>
        <v/>
      </c>
      <c r="I1172" t="e">
        <f>VLOOKUP(F1172,'1PROJE'!$B$7:$F$26,2,0)</f>
        <v>#N/A</v>
      </c>
      <c r="J1172" t="e">
        <f>VLOOKUP(F1172,'1PROJE'!$B$7:$F$26,4,0)</f>
        <v>#N/A</v>
      </c>
      <c r="K1172" t="e">
        <f>VLOOKUP(F1172,'1PROJE'!$B$7:$F$26,5,0)</f>
        <v>#N/A</v>
      </c>
    </row>
    <row r="1173" spans="2:11">
      <c r="B1173">
        <f t="shared" si="256"/>
        <v>0</v>
      </c>
      <c r="F1173" s="57" t="e">
        <f t="shared" si="257"/>
        <v>#N/A</v>
      </c>
      <c r="G1173" t="str">
        <f t="shared" si="258"/>
        <v/>
      </c>
      <c r="I1173" t="e">
        <f>VLOOKUP(F1173,'1PROJE'!$B$7:$F$26,2,0)</f>
        <v>#N/A</v>
      </c>
      <c r="J1173" t="e">
        <f>VLOOKUP(F1173,'1PROJE'!$B$7:$F$26,4,0)</f>
        <v>#N/A</v>
      </c>
      <c r="K1173" t="e">
        <f>VLOOKUP(F1173,'1PROJE'!$B$7:$F$26,5,0)</f>
        <v>#N/A</v>
      </c>
    </row>
    <row r="1174" spans="2:11">
      <c r="B1174">
        <f t="shared" si="256"/>
        <v>0</v>
      </c>
      <c r="F1174" s="57" t="e">
        <f t="shared" si="257"/>
        <v>#N/A</v>
      </c>
      <c r="G1174" t="str">
        <f t="shared" si="258"/>
        <v/>
      </c>
      <c r="I1174" t="e">
        <f>VLOOKUP(F1174,'1PROJE'!$B$7:$F$26,2,0)</f>
        <v>#N/A</v>
      </c>
      <c r="J1174" t="e">
        <f>VLOOKUP(F1174,'1PROJE'!$B$7:$F$26,4,0)</f>
        <v>#N/A</v>
      </c>
      <c r="K1174" t="e">
        <f>VLOOKUP(F1174,'1PROJE'!$B$7:$F$26,5,0)</f>
        <v>#N/A</v>
      </c>
    </row>
    <row r="1175" spans="2:11">
      <c r="B1175">
        <f t="shared" si="256"/>
        <v>0</v>
      </c>
      <c r="F1175" s="57" t="e">
        <f t="shared" si="257"/>
        <v>#N/A</v>
      </c>
      <c r="G1175" t="str">
        <f t="shared" si="258"/>
        <v/>
      </c>
      <c r="I1175" t="e">
        <f>VLOOKUP(F1175,'1PROJE'!$B$7:$F$26,2,0)</f>
        <v>#N/A</v>
      </c>
      <c r="J1175" t="e">
        <f>VLOOKUP(F1175,'1PROJE'!$B$7:$F$26,4,0)</f>
        <v>#N/A</v>
      </c>
      <c r="K1175" t="e">
        <f>VLOOKUP(F1175,'1PROJE'!$B$7:$F$26,5,0)</f>
        <v>#N/A</v>
      </c>
    </row>
    <row r="1176" spans="2:11">
      <c r="B1176">
        <f t="shared" si="256"/>
        <v>0</v>
      </c>
      <c r="F1176" s="57" t="e">
        <f t="shared" si="257"/>
        <v>#N/A</v>
      </c>
      <c r="G1176" t="str">
        <f t="shared" si="258"/>
        <v/>
      </c>
      <c r="I1176" t="e">
        <f>VLOOKUP(F1176,'1PROJE'!$B$7:$F$26,2,0)</f>
        <v>#N/A</v>
      </c>
      <c r="J1176" t="e">
        <f>VLOOKUP(F1176,'1PROJE'!$B$7:$F$26,4,0)</f>
        <v>#N/A</v>
      </c>
      <c r="K1176" t="e">
        <f>VLOOKUP(F1176,'1PROJE'!$B$7:$F$26,5,0)</f>
        <v>#N/A</v>
      </c>
    </row>
    <row r="1177" spans="2:11">
      <c r="B1177">
        <f t="shared" si="256"/>
        <v>0</v>
      </c>
      <c r="F1177" s="57" t="e">
        <f t="shared" si="257"/>
        <v>#N/A</v>
      </c>
      <c r="G1177" t="str">
        <f t="shared" si="258"/>
        <v/>
      </c>
      <c r="I1177" t="e">
        <f>VLOOKUP(F1177,'1PROJE'!$B$7:$F$26,2,0)</f>
        <v>#N/A</v>
      </c>
      <c r="J1177" t="e">
        <f>VLOOKUP(F1177,'1PROJE'!$B$7:$F$26,4,0)</f>
        <v>#N/A</v>
      </c>
      <c r="K1177" t="e">
        <f>VLOOKUP(F1177,'1PROJE'!$B$7:$F$26,5,0)</f>
        <v>#N/A</v>
      </c>
    </row>
    <row r="1178" spans="2:11">
      <c r="B1178">
        <f t="shared" si="256"/>
        <v>0</v>
      </c>
      <c r="F1178" s="57" t="e">
        <f t="shared" si="257"/>
        <v>#N/A</v>
      </c>
      <c r="G1178" t="str">
        <f t="shared" si="258"/>
        <v/>
      </c>
      <c r="I1178" t="e">
        <f>VLOOKUP(F1178,'1PROJE'!$B$7:$F$26,2,0)</f>
        <v>#N/A</v>
      </c>
      <c r="J1178" t="e">
        <f>VLOOKUP(F1178,'1PROJE'!$B$7:$F$26,4,0)</f>
        <v>#N/A</v>
      </c>
      <c r="K1178" t="e">
        <f>VLOOKUP(F1178,'1PROJE'!$B$7:$F$26,5,0)</f>
        <v>#N/A</v>
      </c>
    </row>
    <row r="1179" spans="2:11">
      <c r="B1179">
        <f t="shared" si="256"/>
        <v>0</v>
      </c>
      <c r="F1179" s="57" t="e">
        <f t="shared" si="257"/>
        <v>#N/A</v>
      </c>
      <c r="G1179" t="str">
        <f t="shared" si="258"/>
        <v/>
      </c>
      <c r="I1179" t="e">
        <f>VLOOKUP(F1179,'1PROJE'!$B$7:$F$26,2,0)</f>
        <v>#N/A</v>
      </c>
      <c r="J1179" t="e">
        <f>VLOOKUP(F1179,'1PROJE'!$B$7:$F$26,4,0)</f>
        <v>#N/A</v>
      </c>
      <c r="K1179" t="e">
        <f>VLOOKUP(F1179,'1PROJE'!$B$7:$F$26,5,0)</f>
        <v>#N/A</v>
      </c>
    </row>
    <row r="1180" spans="2:11">
      <c r="B1180">
        <f t="shared" si="256"/>
        <v>0</v>
      </c>
      <c r="F1180" s="57" t="e">
        <f t="shared" si="257"/>
        <v>#N/A</v>
      </c>
      <c r="G1180" t="str">
        <f t="shared" si="258"/>
        <v/>
      </c>
      <c r="I1180" t="e">
        <f>VLOOKUP(F1180,'1PROJE'!$B$7:$F$26,2,0)</f>
        <v>#N/A</v>
      </c>
      <c r="J1180" t="e">
        <f>VLOOKUP(F1180,'1PROJE'!$B$7:$F$26,4,0)</f>
        <v>#N/A</v>
      </c>
      <c r="K1180" t="e">
        <f>VLOOKUP(F1180,'1PROJE'!$B$7:$F$26,5,0)</f>
        <v>#N/A</v>
      </c>
    </row>
    <row r="1181" spans="2:11">
      <c r="B1181">
        <f t="shared" si="256"/>
        <v>0</v>
      </c>
      <c r="F1181" s="57" t="e">
        <f t="shared" si="257"/>
        <v>#N/A</v>
      </c>
      <c r="G1181" t="str">
        <f t="shared" si="258"/>
        <v/>
      </c>
      <c r="I1181" t="e">
        <f>VLOOKUP(F1181,'1PROJE'!$B$7:$F$26,2,0)</f>
        <v>#N/A</v>
      </c>
      <c r="J1181" t="e">
        <f>VLOOKUP(F1181,'1PROJE'!$B$7:$F$26,4,0)</f>
        <v>#N/A</v>
      </c>
      <c r="K1181" t="e">
        <f>VLOOKUP(F1181,'1PROJE'!$B$7:$F$26,5,0)</f>
        <v>#N/A</v>
      </c>
    </row>
    <row r="1182" spans="2:11">
      <c r="B1182">
        <f t="shared" si="256"/>
        <v>0</v>
      </c>
      <c r="F1182" s="57" t="e">
        <f t="shared" si="257"/>
        <v>#N/A</v>
      </c>
      <c r="G1182" t="str">
        <f t="shared" si="258"/>
        <v/>
      </c>
      <c r="I1182" t="e">
        <f>VLOOKUP(F1182,'1PROJE'!$B$7:$F$26,2,0)</f>
        <v>#N/A</v>
      </c>
      <c r="J1182" t="e">
        <f>VLOOKUP(F1182,'1PROJE'!$B$7:$F$26,4,0)</f>
        <v>#N/A</v>
      </c>
      <c r="K1182" t="e">
        <f>VLOOKUP(F1182,'1PROJE'!$B$7:$F$26,5,0)</f>
        <v>#N/A</v>
      </c>
    </row>
    <row r="1183" spans="2:11">
      <c r="B1183">
        <f t="shared" si="256"/>
        <v>0</v>
      </c>
      <c r="F1183" s="57" t="e">
        <f t="shared" si="257"/>
        <v>#N/A</v>
      </c>
      <c r="G1183" t="str">
        <f t="shared" si="258"/>
        <v/>
      </c>
      <c r="I1183" t="e">
        <f>VLOOKUP(F1183,'1PROJE'!$B$7:$F$26,2,0)</f>
        <v>#N/A</v>
      </c>
      <c r="J1183" t="e">
        <f>VLOOKUP(F1183,'1PROJE'!$B$7:$F$26,4,0)</f>
        <v>#N/A</v>
      </c>
      <c r="K1183" t="e">
        <f>VLOOKUP(F1183,'1PROJE'!$B$7:$F$26,5,0)</f>
        <v>#N/A</v>
      </c>
    </row>
    <row r="1184" spans="2:11">
      <c r="B1184">
        <f t="shared" si="256"/>
        <v>0</v>
      </c>
      <c r="F1184" s="57" t="e">
        <f t="shared" si="257"/>
        <v>#N/A</v>
      </c>
      <c r="G1184" t="str">
        <f t="shared" si="258"/>
        <v/>
      </c>
      <c r="I1184" t="e">
        <f>VLOOKUP(F1184,'1PROJE'!$B$7:$F$26,2,0)</f>
        <v>#N/A</v>
      </c>
      <c r="J1184" t="e">
        <f>VLOOKUP(F1184,'1PROJE'!$B$7:$F$26,4,0)</f>
        <v>#N/A</v>
      </c>
      <c r="K1184" t="e">
        <f>VLOOKUP(F1184,'1PROJE'!$B$7:$F$26,5,0)</f>
        <v>#N/A</v>
      </c>
    </row>
    <row r="1185" spans="2:11">
      <c r="B1185">
        <f t="shared" si="256"/>
        <v>0</v>
      </c>
      <c r="F1185" s="57" t="e">
        <f t="shared" si="257"/>
        <v>#N/A</v>
      </c>
      <c r="G1185" t="str">
        <f t="shared" si="258"/>
        <v/>
      </c>
      <c r="I1185" t="e">
        <f>VLOOKUP(F1185,'1PROJE'!$B$7:$F$26,2,0)</f>
        <v>#N/A</v>
      </c>
      <c r="J1185" t="e">
        <f>VLOOKUP(F1185,'1PROJE'!$B$7:$F$26,4,0)</f>
        <v>#N/A</v>
      </c>
      <c r="K1185" t="e">
        <f>VLOOKUP(F1185,'1PROJE'!$B$7:$F$26,5,0)</f>
        <v>#N/A</v>
      </c>
    </row>
    <row r="1186" spans="2:11">
      <c r="B1186">
        <f t="shared" si="256"/>
        <v>0</v>
      </c>
      <c r="F1186" s="57" t="e">
        <f t="shared" si="257"/>
        <v>#N/A</v>
      </c>
      <c r="G1186" t="str">
        <f t="shared" si="258"/>
        <v/>
      </c>
      <c r="I1186" t="e">
        <f>VLOOKUP(F1186,'1PROJE'!$B$7:$F$26,2,0)</f>
        <v>#N/A</v>
      </c>
      <c r="J1186" t="e">
        <f>VLOOKUP(F1186,'1PROJE'!$B$7:$F$26,4,0)</f>
        <v>#N/A</v>
      </c>
      <c r="K1186" t="e">
        <f>VLOOKUP(F1186,'1PROJE'!$B$7:$F$26,5,0)</f>
        <v>#N/A</v>
      </c>
    </row>
    <row r="1187" spans="2:11">
      <c r="B1187">
        <f t="shared" si="256"/>
        <v>0</v>
      </c>
      <c r="F1187" s="57" t="e">
        <f t="shared" si="257"/>
        <v>#N/A</v>
      </c>
      <c r="G1187" t="str">
        <f t="shared" si="258"/>
        <v/>
      </c>
      <c r="I1187" t="e">
        <f>VLOOKUP(F1187,'1PROJE'!$B$7:$F$26,2,0)</f>
        <v>#N/A</v>
      </c>
      <c r="J1187" t="e">
        <f>VLOOKUP(F1187,'1PROJE'!$B$7:$F$26,4,0)</f>
        <v>#N/A</v>
      </c>
      <c r="K1187" t="e">
        <f>VLOOKUP(F1187,'1PROJE'!$B$7:$F$26,5,0)</f>
        <v>#N/A</v>
      </c>
    </row>
    <row r="1188" spans="2:11">
      <c r="B1188">
        <f t="shared" si="256"/>
        <v>0</v>
      </c>
      <c r="F1188" s="57" t="e">
        <f t="shared" si="257"/>
        <v>#N/A</v>
      </c>
      <c r="G1188" t="str">
        <f t="shared" si="258"/>
        <v/>
      </c>
      <c r="I1188" t="e">
        <f>VLOOKUP(F1188,'1PROJE'!$B$7:$F$26,2,0)</f>
        <v>#N/A</v>
      </c>
      <c r="J1188" t="e">
        <f>VLOOKUP(F1188,'1PROJE'!$B$7:$F$26,4,0)</f>
        <v>#N/A</v>
      </c>
      <c r="K1188" t="e">
        <f>VLOOKUP(F1188,'1PROJE'!$B$7:$F$26,5,0)</f>
        <v>#N/A</v>
      </c>
    </row>
    <row r="1189" spans="2:11">
      <c r="B1189">
        <f t="shared" si="256"/>
        <v>0</v>
      </c>
      <c r="F1189" s="57" t="e">
        <f t="shared" si="257"/>
        <v>#N/A</v>
      </c>
      <c r="G1189" t="str">
        <f t="shared" si="258"/>
        <v/>
      </c>
      <c r="I1189" t="e">
        <f>VLOOKUP(F1189,'1PROJE'!$B$7:$F$26,2,0)</f>
        <v>#N/A</v>
      </c>
      <c r="J1189" t="e">
        <f>VLOOKUP(F1189,'1PROJE'!$B$7:$F$26,4,0)</f>
        <v>#N/A</v>
      </c>
      <c r="K1189" t="e">
        <f>VLOOKUP(F1189,'1PROJE'!$B$7:$F$26,5,0)</f>
        <v>#N/A</v>
      </c>
    </row>
    <row r="1190" spans="2:11">
      <c r="B1190">
        <f t="shared" si="256"/>
        <v>0</v>
      </c>
      <c r="F1190" s="57" t="e">
        <f t="shared" si="257"/>
        <v>#N/A</v>
      </c>
      <c r="G1190" t="str">
        <f t="shared" si="258"/>
        <v/>
      </c>
      <c r="I1190" t="e">
        <f>VLOOKUP(F1190,'1PROJE'!$B$7:$F$26,2,0)</f>
        <v>#N/A</v>
      </c>
      <c r="J1190" t="e">
        <f>VLOOKUP(F1190,'1PROJE'!$B$7:$F$26,4,0)</f>
        <v>#N/A</v>
      </c>
      <c r="K1190" t="e">
        <f>VLOOKUP(F1190,'1PROJE'!$B$7:$F$26,5,0)</f>
        <v>#N/A</v>
      </c>
    </row>
    <row r="1191" spans="2:11">
      <c r="B1191">
        <f t="shared" si="256"/>
        <v>0</v>
      </c>
      <c r="F1191" s="57" t="e">
        <f t="shared" si="257"/>
        <v>#N/A</v>
      </c>
      <c r="G1191" t="str">
        <f t="shared" si="258"/>
        <v/>
      </c>
      <c r="I1191" t="e">
        <f>VLOOKUP(F1191,'1PROJE'!$B$7:$F$26,2,0)</f>
        <v>#N/A</v>
      </c>
      <c r="J1191" t="e">
        <f>VLOOKUP(F1191,'1PROJE'!$B$7:$F$26,4,0)</f>
        <v>#N/A</v>
      </c>
      <c r="K1191" t="e">
        <f>VLOOKUP(F1191,'1PROJE'!$B$7:$F$26,5,0)</f>
        <v>#N/A</v>
      </c>
    </row>
    <row r="1192" spans="2:11">
      <c r="B1192">
        <f t="shared" si="256"/>
        <v>0</v>
      </c>
      <c r="F1192" s="57" t="e">
        <f t="shared" si="257"/>
        <v>#N/A</v>
      </c>
      <c r="G1192" t="str">
        <f t="shared" si="258"/>
        <v/>
      </c>
      <c r="I1192" t="e">
        <f>VLOOKUP(F1192,'1PROJE'!$B$7:$F$26,2,0)</f>
        <v>#N/A</v>
      </c>
      <c r="J1192" t="e">
        <f>VLOOKUP(F1192,'1PROJE'!$B$7:$F$26,4,0)</f>
        <v>#N/A</v>
      </c>
      <c r="K1192" t="e">
        <f>VLOOKUP(F1192,'1PROJE'!$B$7:$F$26,5,0)</f>
        <v>#N/A</v>
      </c>
    </row>
    <row r="1193" spans="2:11">
      <c r="B1193">
        <f t="shared" si="256"/>
        <v>0</v>
      </c>
      <c r="F1193" s="57" t="e">
        <f t="shared" si="257"/>
        <v>#N/A</v>
      </c>
      <c r="G1193" t="str">
        <f t="shared" si="258"/>
        <v/>
      </c>
      <c r="I1193" t="e">
        <f>VLOOKUP(F1193,'1PROJE'!$B$7:$F$26,2,0)</f>
        <v>#N/A</v>
      </c>
      <c r="J1193" t="e">
        <f>VLOOKUP(F1193,'1PROJE'!$B$7:$F$26,4,0)</f>
        <v>#N/A</v>
      </c>
      <c r="K1193" t="e">
        <f>VLOOKUP(F1193,'1PROJE'!$B$7:$F$26,5,0)</f>
        <v>#N/A</v>
      </c>
    </row>
    <row r="1194" spans="2:11">
      <c r="B1194">
        <f t="shared" si="256"/>
        <v>0</v>
      </c>
      <c r="F1194" s="57" t="e">
        <f t="shared" si="257"/>
        <v>#N/A</v>
      </c>
      <c r="G1194" t="str">
        <f t="shared" si="258"/>
        <v/>
      </c>
      <c r="I1194" t="e">
        <f>VLOOKUP(F1194,'1PROJE'!$B$7:$F$26,2,0)</f>
        <v>#N/A</v>
      </c>
      <c r="J1194" t="e">
        <f>VLOOKUP(F1194,'1PROJE'!$B$7:$F$26,4,0)</f>
        <v>#N/A</v>
      </c>
      <c r="K1194" t="e">
        <f>VLOOKUP(F1194,'1PROJE'!$B$7:$F$26,5,0)</f>
        <v>#N/A</v>
      </c>
    </row>
    <row r="1195" spans="2:11">
      <c r="B1195">
        <f t="shared" ref="B1195:B1226" si="259">IF(($C$38-A95)&lt;0,0,"POZ"&amp;" "&amp;$M$61&amp;"."&amp;A95)</f>
        <v>0</v>
      </c>
      <c r="F1195" s="57" t="e">
        <f t="shared" si="257"/>
        <v>#N/A</v>
      </c>
      <c r="G1195" t="str">
        <f t="shared" si="258"/>
        <v/>
      </c>
      <c r="I1195" t="e">
        <f>VLOOKUP(F1195,'1PROJE'!$B$7:$F$26,2,0)</f>
        <v>#N/A</v>
      </c>
      <c r="J1195" t="e">
        <f>VLOOKUP(F1195,'1PROJE'!$B$7:$F$26,4,0)</f>
        <v>#N/A</v>
      </c>
      <c r="K1195" t="e">
        <f>VLOOKUP(F1195,'1PROJE'!$B$7:$F$26,5,0)</f>
        <v>#N/A</v>
      </c>
    </row>
    <row r="1196" spans="2:11">
      <c r="B1196">
        <f t="shared" si="259"/>
        <v>0</v>
      </c>
      <c r="F1196" s="57" t="e">
        <f t="shared" si="257"/>
        <v>#N/A</v>
      </c>
      <c r="G1196" t="str">
        <f t="shared" si="258"/>
        <v/>
      </c>
      <c r="I1196" t="e">
        <f>VLOOKUP(F1196,'1PROJE'!$B$7:$F$26,2,0)</f>
        <v>#N/A</v>
      </c>
      <c r="J1196" t="e">
        <f>VLOOKUP(F1196,'1PROJE'!$B$7:$F$26,4,0)</f>
        <v>#N/A</v>
      </c>
      <c r="K1196" t="e">
        <f>VLOOKUP(F1196,'1PROJE'!$B$7:$F$26,5,0)</f>
        <v>#N/A</v>
      </c>
    </row>
    <row r="1197" spans="2:11">
      <c r="B1197">
        <f t="shared" si="259"/>
        <v>0</v>
      </c>
      <c r="F1197" s="57" t="e">
        <f t="shared" si="257"/>
        <v>#N/A</v>
      </c>
      <c r="G1197" t="str">
        <f t="shared" si="258"/>
        <v/>
      </c>
      <c r="I1197" t="e">
        <f>VLOOKUP(F1197,'1PROJE'!$B$7:$F$26,2,0)</f>
        <v>#N/A</v>
      </c>
      <c r="J1197" t="e">
        <f>VLOOKUP(F1197,'1PROJE'!$B$7:$F$26,4,0)</f>
        <v>#N/A</v>
      </c>
      <c r="K1197" t="e">
        <f>VLOOKUP(F1197,'1PROJE'!$B$7:$F$26,5,0)</f>
        <v>#N/A</v>
      </c>
    </row>
    <row r="1198" spans="2:11">
      <c r="B1198">
        <f t="shared" si="259"/>
        <v>0</v>
      </c>
      <c r="F1198" s="57" t="e">
        <f t="shared" si="257"/>
        <v>#N/A</v>
      </c>
      <c r="G1198" t="str">
        <f t="shared" si="258"/>
        <v/>
      </c>
      <c r="I1198" t="e">
        <f>VLOOKUP(F1198,'1PROJE'!$B$7:$F$26,2,0)</f>
        <v>#N/A</v>
      </c>
      <c r="J1198" t="e">
        <f>VLOOKUP(F1198,'1PROJE'!$B$7:$F$26,4,0)</f>
        <v>#N/A</v>
      </c>
      <c r="K1198" t="e">
        <f>VLOOKUP(F1198,'1PROJE'!$B$7:$F$26,5,0)</f>
        <v>#N/A</v>
      </c>
    </row>
    <row r="1199" spans="2:11">
      <c r="B1199">
        <f t="shared" si="259"/>
        <v>0</v>
      </c>
      <c r="F1199" s="57" t="e">
        <f t="shared" si="257"/>
        <v>#N/A</v>
      </c>
      <c r="G1199" t="str">
        <f t="shared" si="258"/>
        <v/>
      </c>
      <c r="I1199" t="e">
        <f>VLOOKUP(F1199,'1PROJE'!$B$7:$F$26,2,0)</f>
        <v>#N/A</v>
      </c>
      <c r="J1199" t="e">
        <f>VLOOKUP(F1199,'1PROJE'!$B$7:$F$26,4,0)</f>
        <v>#N/A</v>
      </c>
      <c r="K1199" t="e">
        <f>VLOOKUP(F1199,'1PROJE'!$B$7:$F$26,5,0)</f>
        <v>#N/A</v>
      </c>
    </row>
    <row r="1200" spans="2:11">
      <c r="B1200">
        <f t="shared" si="259"/>
        <v>0</v>
      </c>
      <c r="F1200" s="57" t="e">
        <f t="shared" si="257"/>
        <v>#N/A</v>
      </c>
      <c r="G1200" t="str">
        <f t="shared" si="258"/>
        <v/>
      </c>
      <c r="I1200" t="e">
        <f>VLOOKUP(F1200,'1PROJE'!$B$7:$F$26,2,0)</f>
        <v>#N/A</v>
      </c>
      <c r="J1200" t="e">
        <f>VLOOKUP(F1200,'1PROJE'!$B$7:$F$26,4,0)</f>
        <v>#N/A</v>
      </c>
      <c r="K1200" t="e">
        <f>VLOOKUP(F1200,'1PROJE'!$B$7:$F$26,5,0)</f>
        <v>#N/A</v>
      </c>
    </row>
    <row r="1201" spans="2:11">
      <c r="B1201">
        <f t="shared" si="259"/>
        <v>0</v>
      </c>
      <c r="F1201" s="57" t="e">
        <f t="shared" si="257"/>
        <v>#N/A</v>
      </c>
      <c r="G1201" t="str">
        <f t="shared" si="258"/>
        <v/>
      </c>
      <c r="I1201" t="e">
        <f>VLOOKUP(F1201,'1PROJE'!$B$7:$F$26,2,0)</f>
        <v>#N/A</v>
      </c>
      <c r="J1201" t="e">
        <f>VLOOKUP(F1201,'1PROJE'!$B$7:$F$26,4,0)</f>
        <v>#N/A</v>
      </c>
      <c r="K1201" t="e">
        <f>VLOOKUP(F1201,'1PROJE'!$B$7:$F$26,5,0)</f>
        <v>#N/A</v>
      </c>
    </row>
    <row r="1202" spans="2:11">
      <c r="B1202">
        <f t="shared" si="259"/>
        <v>0</v>
      </c>
      <c r="F1202" s="57" t="e">
        <f t="shared" si="257"/>
        <v>#N/A</v>
      </c>
      <c r="G1202" t="str">
        <f t="shared" si="258"/>
        <v/>
      </c>
      <c r="I1202" t="e">
        <f>VLOOKUP(F1202,'1PROJE'!$B$7:$F$26,2,0)</f>
        <v>#N/A</v>
      </c>
      <c r="J1202" t="e">
        <f>VLOOKUP(F1202,'1PROJE'!$B$7:$F$26,4,0)</f>
        <v>#N/A</v>
      </c>
      <c r="K1202" t="e">
        <f>VLOOKUP(F1202,'1PROJE'!$B$7:$F$26,5,0)</f>
        <v>#N/A</v>
      </c>
    </row>
    <row r="1203" spans="2:11">
      <c r="B1203">
        <f t="shared" si="259"/>
        <v>0</v>
      </c>
      <c r="F1203" s="57" t="e">
        <f t="shared" si="257"/>
        <v>#N/A</v>
      </c>
      <c r="G1203" t="str">
        <f t="shared" si="258"/>
        <v/>
      </c>
      <c r="I1203" t="e">
        <f>VLOOKUP(F1203,'1PROJE'!$B$7:$F$26,2,0)</f>
        <v>#N/A</v>
      </c>
      <c r="J1203" t="e">
        <f>VLOOKUP(F1203,'1PROJE'!$B$7:$F$26,4,0)</f>
        <v>#N/A</v>
      </c>
      <c r="K1203" t="e">
        <f>VLOOKUP(F1203,'1PROJE'!$B$7:$F$26,5,0)</f>
        <v>#N/A</v>
      </c>
    </row>
    <row r="1204" spans="2:11">
      <c r="B1204">
        <f t="shared" si="259"/>
        <v>0</v>
      </c>
      <c r="F1204" s="57" t="e">
        <f t="shared" si="257"/>
        <v>#N/A</v>
      </c>
      <c r="G1204" t="str">
        <f t="shared" si="258"/>
        <v/>
      </c>
      <c r="I1204" t="e">
        <f>VLOOKUP(F1204,'1PROJE'!$B$7:$F$26,2,0)</f>
        <v>#N/A</v>
      </c>
      <c r="J1204" t="e">
        <f>VLOOKUP(F1204,'1PROJE'!$B$7:$F$26,4,0)</f>
        <v>#N/A</v>
      </c>
      <c r="K1204" t="e">
        <f>VLOOKUP(F1204,'1PROJE'!$B$7:$F$26,5,0)</f>
        <v>#N/A</v>
      </c>
    </row>
    <row r="1205" spans="2:11">
      <c r="B1205">
        <f t="shared" si="259"/>
        <v>0</v>
      </c>
      <c r="F1205" s="57" t="e">
        <f t="shared" si="257"/>
        <v>#N/A</v>
      </c>
      <c r="G1205" t="str">
        <f t="shared" si="258"/>
        <v/>
      </c>
      <c r="I1205" t="e">
        <f>VLOOKUP(F1205,'1PROJE'!$B$7:$F$26,2,0)</f>
        <v>#N/A</v>
      </c>
      <c r="J1205" t="e">
        <f>VLOOKUP(F1205,'1PROJE'!$B$7:$F$26,4,0)</f>
        <v>#N/A</v>
      </c>
      <c r="K1205" t="e">
        <f>VLOOKUP(F1205,'1PROJE'!$B$7:$F$26,5,0)</f>
        <v>#N/A</v>
      </c>
    </row>
    <row r="1206" spans="2:11">
      <c r="B1206">
        <f t="shared" si="259"/>
        <v>0</v>
      </c>
      <c r="F1206" s="57" t="e">
        <f t="shared" si="257"/>
        <v>#N/A</v>
      </c>
      <c r="G1206" t="str">
        <f t="shared" si="258"/>
        <v/>
      </c>
      <c r="I1206" t="e">
        <f>VLOOKUP(F1206,'1PROJE'!$B$7:$F$26,2,0)</f>
        <v>#N/A</v>
      </c>
      <c r="J1206" t="e">
        <f>VLOOKUP(F1206,'1PROJE'!$B$7:$F$26,4,0)</f>
        <v>#N/A</v>
      </c>
      <c r="K1206" t="e">
        <f>VLOOKUP(F1206,'1PROJE'!$B$7:$F$26,5,0)</f>
        <v>#N/A</v>
      </c>
    </row>
    <row r="1207" spans="2:11">
      <c r="B1207">
        <f t="shared" si="259"/>
        <v>0</v>
      </c>
      <c r="F1207" s="57" t="e">
        <f t="shared" si="257"/>
        <v>#N/A</v>
      </c>
      <c r="G1207" t="str">
        <f t="shared" si="258"/>
        <v/>
      </c>
      <c r="I1207" t="e">
        <f>VLOOKUP(F1207,'1PROJE'!$B$7:$F$26,2,0)</f>
        <v>#N/A</v>
      </c>
      <c r="J1207" t="e">
        <f>VLOOKUP(F1207,'1PROJE'!$B$7:$F$26,4,0)</f>
        <v>#N/A</v>
      </c>
      <c r="K1207" t="e">
        <f>VLOOKUP(F1207,'1PROJE'!$B$7:$F$26,5,0)</f>
        <v>#N/A</v>
      </c>
    </row>
    <row r="1208" spans="2:11">
      <c r="B1208">
        <f t="shared" si="259"/>
        <v>0</v>
      </c>
      <c r="F1208" s="57" t="e">
        <f t="shared" si="257"/>
        <v>#N/A</v>
      </c>
      <c r="G1208" t="str">
        <f t="shared" si="258"/>
        <v/>
      </c>
      <c r="I1208" t="e">
        <f>VLOOKUP(F1208,'1PROJE'!$B$7:$F$26,2,0)</f>
        <v>#N/A</v>
      </c>
      <c r="J1208" t="e">
        <f>VLOOKUP(F1208,'1PROJE'!$B$7:$F$26,4,0)</f>
        <v>#N/A</v>
      </c>
      <c r="K1208" t="e">
        <f>VLOOKUP(F1208,'1PROJE'!$B$7:$F$26,5,0)</f>
        <v>#N/A</v>
      </c>
    </row>
    <row r="1209" spans="2:11">
      <c r="B1209">
        <f t="shared" si="259"/>
        <v>0</v>
      </c>
      <c r="F1209" s="57" t="e">
        <f t="shared" si="257"/>
        <v>#N/A</v>
      </c>
      <c r="G1209" t="str">
        <f t="shared" si="258"/>
        <v/>
      </c>
      <c r="I1209" t="e">
        <f>VLOOKUP(F1209,'1PROJE'!$B$7:$F$26,2,0)</f>
        <v>#N/A</v>
      </c>
      <c r="J1209" t="e">
        <f>VLOOKUP(F1209,'1PROJE'!$B$7:$F$26,4,0)</f>
        <v>#N/A</v>
      </c>
      <c r="K1209" t="e">
        <f>VLOOKUP(F1209,'1PROJE'!$B$7:$F$26,5,0)</f>
        <v>#N/A</v>
      </c>
    </row>
    <row r="1210" spans="2:11">
      <c r="B1210">
        <f t="shared" si="259"/>
        <v>0</v>
      </c>
      <c r="F1210" s="57" t="e">
        <f t="shared" si="257"/>
        <v>#N/A</v>
      </c>
      <c r="G1210" t="str">
        <f t="shared" si="258"/>
        <v/>
      </c>
      <c r="I1210" t="e">
        <f>VLOOKUP(F1210,'1PROJE'!$B$7:$F$26,2,0)</f>
        <v>#N/A</v>
      </c>
      <c r="J1210" t="e">
        <f>VLOOKUP(F1210,'1PROJE'!$B$7:$F$26,4,0)</f>
        <v>#N/A</v>
      </c>
      <c r="K1210" t="e">
        <f>VLOOKUP(F1210,'1PROJE'!$B$7:$F$26,5,0)</f>
        <v>#N/A</v>
      </c>
    </row>
    <row r="1211" spans="2:11">
      <c r="B1211">
        <f t="shared" si="259"/>
        <v>0</v>
      </c>
      <c r="F1211" s="57" t="e">
        <f t="shared" si="257"/>
        <v>#N/A</v>
      </c>
      <c r="G1211" t="str">
        <f t="shared" si="258"/>
        <v/>
      </c>
      <c r="I1211" t="e">
        <f>VLOOKUP(F1211,'1PROJE'!$B$7:$F$26,2,0)</f>
        <v>#N/A</v>
      </c>
      <c r="J1211" t="e">
        <f>VLOOKUP(F1211,'1PROJE'!$B$7:$F$26,4,0)</f>
        <v>#N/A</v>
      </c>
      <c r="K1211" t="e">
        <f>VLOOKUP(F1211,'1PROJE'!$B$7:$F$26,5,0)</f>
        <v>#N/A</v>
      </c>
    </row>
    <row r="1212" spans="2:11">
      <c r="B1212">
        <f t="shared" si="259"/>
        <v>0</v>
      </c>
      <c r="F1212" s="57" t="e">
        <f t="shared" si="257"/>
        <v>#N/A</v>
      </c>
      <c r="G1212" t="str">
        <f t="shared" si="258"/>
        <v/>
      </c>
      <c r="I1212" t="e">
        <f>VLOOKUP(F1212,'1PROJE'!$B$7:$F$26,2,0)</f>
        <v>#N/A</v>
      </c>
      <c r="J1212" t="e">
        <f>VLOOKUP(F1212,'1PROJE'!$B$7:$F$26,4,0)</f>
        <v>#N/A</v>
      </c>
      <c r="K1212" t="e">
        <f>VLOOKUP(F1212,'1PROJE'!$B$7:$F$26,5,0)</f>
        <v>#N/A</v>
      </c>
    </row>
    <row r="1213" spans="2:11">
      <c r="B1213">
        <f t="shared" si="259"/>
        <v>0</v>
      </c>
      <c r="F1213" s="57" t="e">
        <f t="shared" si="257"/>
        <v>#N/A</v>
      </c>
      <c r="G1213" t="str">
        <f t="shared" si="258"/>
        <v/>
      </c>
      <c r="I1213" t="e">
        <f>VLOOKUP(F1213,'1PROJE'!$B$7:$F$26,2,0)</f>
        <v>#N/A</v>
      </c>
      <c r="J1213" t="e">
        <f>VLOOKUP(F1213,'1PROJE'!$B$7:$F$26,4,0)</f>
        <v>#N/A</v>
      </c>
      <c r="K1213" t="e">
        <f>VLOOKUP(F1213,'1PROJE'!$B$7:$F$26,5,0)</f>
        <v>#N/A</v>
      </c>
    </row>
    <row r="1214" spans="2:11">
      <c r="B1214">
        <f t="shared" si="259"/>
        <v>0</v>
      </c>
      <c r="F1214" s="57" t="e">
        <f t="shared" si="257"/>
        <v>#N/A</v>
      </c>
      <c r="G1214" t="str">
        <f t="shared" si="258"/>
        <v/>
      </c>
      <c r="I1214" t="e">
        <f>VLOOKUP(F1214,'1PROJE'!$B$7:$F$26,2,0)</f>
        <v>#N/A</v>
      </c>
      <c r="J1214" t="e">
        <f>VLOOKUP(F1214,'1PROJE'!$B$7:$F$26,4,0)</f>
        <v>#N/A</v>
      </c>
      <c r="K1214" t="e">
        <f>VLOOKUP(F1214,'1PROJE'!$B$7:$F$26,5,0)</f>
        <v>#N/A</v>
      </c>
    </row>
    <row r="1215" spans="2:11">
      <c r="B1215">
        <f t="shared" si="259"/>
        <v>0</v>
      </c>
      <c r="F1215" s="57" t="e">
        <f t="shared" si="257"/>
        <v>#N/A</v>
      </c>
      <c r="G1215" t="str">
        <f t="shared" si="258"/>
        <v/>
      </c>
      <c r="I1215" t="e">
        <f>VLOOKUP(F1215,'1PROJE'!$B$7:$F$26,2,0)</f>
        <v>#N/A</v>
      </c>
      <c r="J1215" t="e">
        <f>VLOOKUP(F1215,'1PROJE'!$B$7:$F$26,4,0)</f>
        <v>#N/A</v>
      </c>
      <c r="K1215" t="e">
        <f>VLOOKUP(F1215,'1PROJE'!$B$7:$F$26,5,0)</f>
        <v>#N/A</v>
      </c>
    </row>
    <row r="1216" spans="2:11">
      <c r="B1216">
        <f t="shared" si="259"/>
        <v>0</v>
      </c>
      <c r="F1216" s="57" t="e">
        <f t="shared" si="257"/>
        <v>#N/A</v>
      </c>
      <c r="G1216" t="str">
        <f t="shared" si="258"/>
        <v/>
      </c>
      <c r="I1216" t="e">
        <f>VLOOKUP(F1216,'1PROJE'!$B$7:$F$26,2,0)</f>
        <v>#N/A</v>
      </c>
      <c r="J1216" t="e">
        <f>VLOOKUP(F1216,'1PROJE'!$B$7:$F$26,4,0)</f>
        <v>#N/A</v>
      </c>
      <c r="K1216" t="e">
        <f>VLOOKUP(F1216,'1PROJE'!$B$7:$F$26,5,0)</f>
        <v>#N/A</v>
      </c>
    </row>
    <row r="1217" spans="2:11">
      <c r="B1217">
        <f t="shared" si="259"/>
        <v>0</v>
      </c>
      <c r="F1217" s="57" t="e">
        <f t="shared" si="257"/>
        <v>#N/A</v>
      </c>
      <c r="G1217" t="str">
        <f t="shared" si="258"/>
        <v/>
      </c>
      <c r="I1217" t="e">
        <f>VLOOKUP(F1217,'1PROJE'!$B$7:$F$26,2,0)</f>
        <v>#N/A</v>
      </c>
      <c r="J1217" t="e">
        <f>VLOOKUP(F1217,'1PROJE'!$B$7:$F$26,4,0)</f>
        <v>#N/A</v>
      </c>
      <c r="K1217" t="e">
        <f>VLOOKUP(F1217,'1PROJE'!$B$7:$F$26,5,0)</f>
        <v>#N/A</v>
      </c>
    </row>
    <row r="1218" spans="2:11">
      <c r="B1218">
        <f t="shared" si="259"/>
        <v>0</v>
      </c>
      <c r="F1218" s="57" t="e">
        <f t="shared" si="257"/>
        <v>#N/A</v>
      </c>
      <c r="G1218" t="str">
        <f t="shared" si="258"/>
        <v/>
      </c>
      <c r="I1218" t="e">
        <f>VLOOKUP(F1218,'1PROJE'!$B$7:$F$26,2,0)</f>
        <v>#N/A</v>
      </c>
      <c r="J1218" t="e">
        <f>VLOOKUP(F1218,'1PROJE'!$B$7:$F$26,4,0)</f>
        <v>#N/A</v>
      </c>
      <c r="K1218" t="e">
        <f>VLOOKUP(F1218,'1PROJE'!$B$7:$F$26,5,0)</f>
        <v>#N/A</v>
      </c>
    </row>
    <row r="1219" spans="2:11">
      <c r="B1219">
        <f t="shared" si="259"/>
        <v>0</v>
      </c>
      <c r="F1219" s="57" t="e">
        <f t="shared" si="257"/>
        <v>#N/A</v>
      </c>
      <c r="G1219" t="str">
        <f t="shared" si="258"/>
        <v/>
      </c>
      <c r="I1219" t="e">
        <f>VLOOKUP(F1219,'1PROJE'!$B$7:$F$26,2,0)</f>
        <v>#N/A</v>
      </c>
      <c r="J1219" t="e">
        <f>VLOOKUP(F1219,'1PROJE'!$B$7:$F$26,4,0)</f>
        <v>#N/A</v>
      </c>
      <c r="K1219" t="e">
        <f>VLOOKUP(F1219,'1PROJE'!$B$7:$F$26,5,0)</f>
        <v>#N/A</v>
      </c>
    </row>
    <row r="1220" spans="2:11">
      <c r="B1220">
        <f t="shared" si="259"/>
        <v>0</v>
      </c>
      <c r="F1220" s="57" t="e">
        <f t="shared" si="257"/>
        <v>#N/A</v>
      </c>
      <c r="G1220" t="str">
        <f t="shared" si="258"/>
        <v/>
      </c>
      <c r="I1220" t="e">
        <f>VLOOKUP(F1220,'1PROJE'!$B$7:$F$26,2,0)</f>
        <v>#N/A</v>
      </c>
      <c r="J1220" t="e">
        <f>VLOOKUP(F1220,'1PROJE'!$B$7:$F$26,4,0)</f>
        <v>#N/A</v>
      </c>
      <c r="K1220" t="e">
        <f>VLOOKUP(F1220,'1PROJE'!$B$7:$F$26,5,0)</f>
        <v>#N/A</v>
      </c>
    </row>
    <row r="1221" spans="2:11">
      <c r="B1221">
        <f t="shared" si="259"/>
        <v>0</v>
      </c>
      <c r="F1221" s="57" t="e">
        <f t="shared" si="257"/>
        <v>#N/A</v>
      </c>
      <c r="G1221" t="str">
        <f t="shared" si="258"/>
        <v/>
      </c>
      <c r="I1221" t="e">
        <f>VLOOKUP(F1221,'1PROJE'!$B$7:$F$26,2,0)</f>
        <v>#N/A</v>
      </c>
      <c r="J1221" t="e">
        <f>VLOOKUP(F1221,'1PROJE'!$B$7:$F$26,4,0)</f>
        <v>#N/A</v>
      </c>
      <c r="K1221" t="e">
        <f>VLOOKUP(F1221,'1PROJE'!$B$7:$F$26,5,0)</f>
        <v>#N/A</v>
      </c>
    </row>
    <row r="1222" spans="2:11">
      <c r="B1222">
        <f t="shared" si="259"/>
        <v>0</v>
      </c>
      <c r="F1222" s="57" t="e">
        <f t="shared" si="257"/>
        <v>#N/A</v>
      </c>
      <c r="G1222" t="str">
        <f t="shared" si="258"/>
        <v/>
      </c>
      <c r="I1222" t="e">
        <f>VLOOKUP(F1222,'1PROJE'!$B$7:$F$26,2,0)</f>
        <v>#N/A</v>
      </c>
      <c r="J1222" t="e">
        <f>VLOOKUP(F1222,'1PROJE'!$B$7:$F$26,4,0)</f>
        <v>#N/A</v>
      </c>
      <c r="K1222" t="e">
        <f>VLOOKUP(F1222,'1PROJE'!$B$7:$F$26,5,0)</f>
        <v>#N/A</v>
      </c>
    </row>
    <row r="1223" spans="2:11">
      <c r="B1223">
        <f t="shared" si="259"/>
        <v>0</v>
      </c>
      <c r="F1223" s="57" t="e">
        <f t="shared" si="257"/>
        <v>#N/A</v>
      </c>
      <c r="G1223" t="str">
        <f t="shared" si="258"/>
        <v/>
      </c>
      <c r="I1223" t="e">
        <f>VLOOKUP(F1223,'1PROJE'!$B$7:$F$26,2,0)</f>
        <v>#N/A</v>
      </c>
      <c r="J1223" t="e">
        <f>VLOOKUP(F1223,'1PROJE'!$B$7:$F$26,4,0)</f>
        <v>#N/A</v>
      </c>
      <c r="K1223" t="e">
        <f>VLOOKUP(F1223,'1PROJE'!$B$7:$F$26,5,0)</f>
        <v>#N/A</v>
      </c>
    </row>
    <row r="1224" spans="2:11">
      <c r="B1224">
        <f t="shared" si="259"/>
        <v>0</v>
      </c>
      <c r="F1224" s="57" t="e">
        <f t="shared" si="257"/>
        <v>#N/A</v>
      </c>
      <c r="G1224" t="str">
        <f t="shared" si="258"/>
        <v/>
      </c>
      <c r="I1224" t="e">
        <f>VLOOKUP(F1224,'1PROJE'!$B$7:$F$26,2,0)</f>
        <v>#N/A</v>
      </c>
      <c r="J1224" t="e">
        <f>VLOOKUP(F1224,'1PROJE'!$B$7:$F$26,4,0)</f>
        <v>#N/A</v>
      </c>
      <c r="K1224" t="e">
        <f>VLOOKUP(F1224,'1PROJE'!$B$7:$F$26,5,0)</f>
        <v>#N/A</v>
      </c>
    </row>
    <row r="1225" spans="2:11">
      <c r="B1225">
        <f t="shared" si="259"/>
        <v>0</v>
      </c>
      <c r="F1225" s="57" t="e">
        <f t="shared" si="257"/>
        <v>#N/A</v>
      </c>
      <c r="G1225" t="str">
        <f t="shared" si="258"/>
        <v/>
      </c>
      <c r="I1225" t="e">
        <f>VLOOKUP(F1225,'1PROJE'!$B$7:$F$26,2,0)</f>
        <v>#N/A</v>
      </c>
      <c r="J1225" t="e">
        <f>VLOOKUP(F1225,'1PROJE'!$B$7:$F$26,4,0)</f>
        <v>#N/A</v>
      </c>
      <c r="K1225" t="e">
        <f>VLOOKUP(F1225,'1PROJE'!$B$7:$F$26,5,0)</f>
        <v>#N/A</v>
      </c>
    </row>
    <row r="1226" spans="2:11">
      <c r="B1226">
        <f t="shared" si="259"/>
        <v>0</v>
      </c>
      <c r="F1226" s="57" t="e">
        <f t="shared" si="257"/>
        <v>#N/A</v>
      </c>
      <c r="G1226" t="str">
        <f t="shared" si="258"/>
        <v/>
      </c>
      <c r="I1226" t="e">
        <f>VLOOKUP(F1226,'1PROJE'!$B$7:$F$26,2,0)</f>
        <v>#N/A</v>
      </c>
      <c r="J1226" t="e">
        <f>VLOOKUP(F1226,'1PROJE'!$B$7:$F$26,4,0)</f>
        <v>#N/A</v>
      </c>
      <c r="K1226" t="e">
        <f>VLOOKUP(F1226,'1PROJE'!$B$7:$F$26,5,0)</f>
        <v>#N/A</v>
      </c>
    </row>
    <row r="1227" spans="2:11">
      <c r="B1227">
        <f t="shared" ref="B1227:B1258" si="260">IF(($C$38-A127)&lt;0,0,"POZ"&amp;" "&amp;$M$61&amp;"."&amp;A127)</f>
        <v>0</v>
      </c>
      <c r="F1227" s="57" t="e">
        <f t="shared" ref="F1227:F1290" si="261">VLOOKUP(G1227,$C$64:$D$83,2,0)</f>
        <v>#N/A</v>
      </c>
      <c r="G1227" t="str">
        <f t="shared" ref="G1227:G1290" si="262">LEFT(H1227,6)</f>
        <v/>
      </c>
      <c r="I1227" t="e">
        <f>VLOOKUP(F1227,'1PROJE'!$B$7:$F$26,2,0)</f>
        <v>#N/A</v>
      </c>
      <c r="J1227" t="e">
        <f>VLOOKUP(F1227,'1PROJE'!$B$7:$F$26,4,0)</f>
        <v>#N/A</v>
      </c>
      <c r="K1227" t="e">
        <f>VLOOKUP(F1227,'1PROJE'!$B$7:$F$26,5,0)</f>
        <v>#N/A</v>
      </c>
    </row>
    <row r="1228" spans="2:11">
      <c r="B1228">
        <f t="shared" si="260"/>
        <v>0</v>
      </c>
      <c r="F1228" s="57" t="e">
        <f t="shared" si="261"/>
        <v>#N/A</v>
      </c>
      <c r="G1228" t="str">
        <f t="shared" si="262"/>
        <v/>
      </c>
      <c r="I1228" t="e">
        <f>VLOOKUP(F1228,'1PROJE'!$B$7:$F$26,2,0)</f>
        <v>#N/A</v>
      </c>
      <c r="J1228" t="e">
        <f>VLOOKUP(F1228,'1PROJE'!$B$7:$F$26,4,0)</f>
        <v>#N/A</v>
      </c>
      <c r="K1228" t="e">
        <f>VLOOKUP(F1228,'1PROJE'!$B$7:$F$26,5,0)</f>
        <v>#N/A</v>
      </c>
    </row>
    <row r="1229" spans="2:11">
      <c r="B1229">
        <f t="shared" si="260"/>
        <v>0</v>
      </c>
      <c r="F1229" s="57" t="e">
        <f t="shared" si="261"/>
        <v>#N/A</v>
      </c>
      <c r="G1229" t="str">
        <f t="shared" si="262"/>
        <v/>
      </c>
      <c r="I1229" t="e">
        <f>VLOOKUP(F1229,'1PROJE'!$B$7:$F$26,2,0)</f>
        <v>#N/A</v>
      </c>
      <c r="J1229" t="e">
        <f>VLOOKUP(F1229,'1PROJE'!$B$7:$F$26,4,0)</f>
        <v>#N/A</v>
      </c>
      <c r="K1229" t="e">
        <f>VLOOKUP(F1229,'1PROJE'!$B$7:$F$26,5,0)</f>
        <v>#N/A</v>
      </c>
    </row>
    <row r="1230" spans="2:11">
      <c r="B1230">
        <f t="shared" si="260"/>
        <v>0</v>
      </c>
      <c r="F1230" s="57" t="e">
        <f t="shared" si="261"/>
        <v>#N/A</v>
      </c>
      <c r="G1230" t="str">
        <f t="shared" si="262"/>
        <v/>
      </c>
      <c r="I1230" t="e">
        <f>VLOOKUP(F1230,'1PROJE'!$B$7:$F$26,2,0)</f>
        <v>#N/A</v>
      </c>
      <c r="J1230" t="e">
        <f>VLOOKUP(F1230,'1PROJE'!$B$7:$F$26,4,0)</f>
        <v>#N/A</v>
      </c>
      <c r="K1230" t="e">
        <f>VLOOKUP(F1230,'1PROJE'!$B$7:$F$26,5,0)</f>
        <v>#N/A</v>
      </c>
    </row>
    <row r="1231" spans="2:11">
      <c r="B1231">
        <f t="shared" si="260"/>
        <v>0</v>
      </c>
      <c r="F1231" s="57" t="e">
        <f t="shared" si="261"/>
        <v>#N/A</v>
      </c>
      <c r="G1231" t="str">
        <f t="shared" si="262"/>
        <v/>
      </c>
      <c r="I1231" t="e">
        <f>VLOOKUP(F1231,'1PROJE'!$B$7:$F$26,2,0)</f>
        <v>#N/A</v>
      </c>
      <c r="J1231" t="e">
        <f>VLOOKUP(F1231,'1PROJE'!$B$7:$F$26,4,0)</f>
        <v>#N/A</v>
      </c>
      <c r="K1231" t="e">
        <f>VLOOKUP(F1231,'1PROJE'!$B$7:$F$26,5,0)</f>
        <v>#N/A</v>
      </c>
    </row>
    <row r="1232" spans="2:11">
      <c r="B1232">
        <f t="shared" si="260"/>
        <v>0</v>
      </c>
      <c r="F1232" s="57" t="e">
        <f t="shared" si="261"/>
        <v>#N/A</v>
      </c>
      <c r="G1232" t="str">
        <f t="shared" si="262"/>
        <v/>
      </c>
      <c r="I1232" t="e">
        <f>VLOOKUP(F1232,'1PROJE'!$B$7:$F$26,2,0)</f>
        <v>#N/A</v>
      </c>
      <c r="J1232" t="e">
        <f>VLOOKUP(F1232,'1PROJE'!$B$7:$F$26,4,0)</f>
        <v>#N/A</v>
      </c>
      <c r="K1232" t="e">
        <f>VLOOKUP(F1232,'1PROJE'!$B$7:$F$26,5,0)</f>
        <v>#N/A</v>
      </c>
    </row>
    <row r="1233" spans="2:11">
      <c r="B1233">
        <f t="shared" si="260"/>
        <v>0</v>
      </c>
      <c r="F1233" s="57" t="e">
        <f t="shared" si="261"/>
        <v>#N/A</v>
      </c>
      <c r="G1233" t="str">
        <f t="shared" si="262"/>
        <v/>
      </c>
      <c r="I1233" t="e">
        <f>VLOOKUP(F1233,'1PROJE'!$B$7:$F$26,2,0)</f>
        <v>#N/A</v>
      </c>
      <c r="J1233" t="e">
        <f>VLOOKUP(F1233,'1PROJE'!$B$7:$F$26,4,0)</f>
        <v>#N/A</v>
      </c>
      <c r="K1233" t="e">
        <f>VLOOKUP(F1233,'1PROJE'!$B$7:$F$26,5,0)</f>
        <v>#N/A</v>
      </c>
    </row>
    <row r="1234" spans="2:11">
      <c r="B1234">
        <f t="shared" si="260"/>
        <v>0</v>
      </c>
      <c r="F1234" s="57" t="e">
        <f t="shared" si="261"/>
        <v>#N/A</v>
      </c>
      <c r="G1234" t="str">
        <f t="shared" si="262"/>
        <v/>
      </c>
      <c r="I1234" t="e">
        <f>VLOOKUP(F1234,'1PROJE'!$B$7:$F$26,2,0)</f>
        <v>#N/A</v>
      </c>
      <c r="J1234" t="e">
        <f>VLOOKUP(F1234,'1PROJE'!$B$7:$F$26,4,0)</f>
        <v>#N/A</v>
      </c>
      <c r="K1234" t="e">
        <f>VLOOKUP(F1234,'1PROJE'!$B$7:$F$26,5,0)</f>
        <v>#N/A</v>
      </c>
    </row>
    <row r="1235" spans="2:11">
      <c r="B1235">
        <f t="shared" si="260"/>
        <v>0</v>
      </c>
      <c r="F1235" s="57" t="e">
        <f t="shared" si="261"/>
        <v>#N/A</v>
      </c>
      <c r="G1235" t="str">
        <f t="shared" si="262"/>
        <v/>
      </c>
      <c r="I1235" t="e">
        <f>VLOOKUP(F1235,'1PROJE'!$B$7:$F$26,2,0)</f>
        <v>#N/A</v>
      </c>
      <c r="J1235" t="e">
        <f>VLOOKUP(F1235,'1PROJE'!$B$7:$F$26,4,0)</f>
        <v>#N/A</v>
      </c>
      <c r="K1235" t="e">
        <f>VLOOKUP(F1235,'1PROJE'!$B$7:$F$26,5,0)</f>
        <v>#N/A</v>
      </c>
    </row>
    <row r="1236" spans="2:11">
      <c r="B1236">
        <f t="shared" si="260"/>
        <v>0</v>
      </c>
      <c r="F1236" s="57" t="e">
        <f t="shared" si="261"/>
        <v>#N/A</v>
      </c>
      <c r="G1236" t="str">
        <f t="shared" si="262"/>
        <v/>
      </c>
      <c r="I1236" t="e">
        <f>VLOOKUP(F1236,'1PROJE'!$B$7:$F$26,2,0)</f>
        <v>#N/A</v>
      </c>
      <c r="J1236" t="e">
        <f>VLOOKUP(F1236,'1PROJE'!$B$7:$F$26,4,0)</f>
        <v>#N/A</v>
      </c>
      <c r="K1236" t="e">
        <f>VLOOKUP(F1236,'1PROJE'!$B$7:$F$26,5,0)</f>
        <v>#N/A</v>
      </c>
    </row>
    <row r="1237" spans="2:11">
      <c r="B1237">
        <f t="shared" si="260"/>
        <v>0</v>
      </c>
      <c r="F1237" s="57" t="e">
        <f t="shared" si="261"/>
        <v>#N/A</v>
      </c>
      <c r="G1237" t="str">
        <f t="shared" si="262"/>
        <v/>
      </c>
      <c r="I1237" t="e">
        <f>VLOOKUP(F1237,'1PROJE'!$B$7:$F$26,2,0)</f>
        <v>#N/A</v>
      </c>
      <c r="J1237" t="e">
        <f>VLOOKUP(F1237,'1PROJE'!$B$7:$F$26,4,0)</f>
        <v>#N/A</v>
      </c>
      <c r="K1237" t="e">
        <f>VLOOKUP(F1237,'1PROJE'!$B$7:$F$26,5,0)</f>
        <v>#N/A</v>
      </c>
    </row>
    <row r="1238" spans="2:11">
      <c r="B1238">
        <f t="shared" si="260"/>
        <v>0</v>
      </c>
      <c r="F1238" s="57" t="e">
        <f t="shared" si="261"/>
        <v>#N/A</v>
      </c>
      <c r="G1238" t="str">
        <f t="shared" si="262"/>
        <v/>
      </c>
      <c r="I1238" t="e">
        <f>VLOOKUP(F1238,'1PROJE'!$B$7:$F$26,2,0)</f>
        <v>#N/A</v>
      </c>
      <c r="J1238" t="e">
        <f>VLOOKUP(F1238,'1PROJE'!$B$7:$F$26,4,0)</f>
        <v>#N/A</v>
      </c>
      <c r="K1238" t="e">
        <f>VLOOKUP(F1238,'1PROJE'!$B$7:$F$26,5,0)</f>
        <v>#N/A</v>
      </c>
    </row>
    <row r="1239" spans="2:11">
      <c r="B1239">
        <f t="shared" si="260"/>
        <v>0</v>
      </c>
      <c r="F1239" s="57" t="e">
        <f t="shared" si="261"/>
        <v>#N/A</v>
      </c>
      <c r="G1239" t="str">
        <f t="shared" si="262"/>
        <v/>
      </c>
      <c r="I1239" t="e">
        <f>VLOOKUP(F1239,'1PROJE'!$B$7:$F$26,2,0)</f>
        <v>#N/A</v>
      </c>
      <c r="J1239" t="e">
        <f>VLOOKUP(F1239,'1PROJE'!$B$7:$F$26,4,0)</f>
        <v>#N/A</v>
      </c>
      <c r="K1239" t="e">
        <f>VLOOKUP(F1239,'1PROJE'!$B$7:$F$26,5,0)</f>
        <v>#N/A</v>
      </c>
    </row>
    <row r="1240" spans="2:11">
      <c r="B1240">
        <f t="shared" si="260"/>
        <v>0</v>
      </c>
      <c r="F1240" s="57" t="e">
        <f t="shared" si="261"/>
        <v>#N/A</v>
      </c>
      <c r="G1240" t="str">
        <f t="shared" si="262"/>
        <v/>
      </c>
      <c r="I1240" t="e">
        <f>VLOOKUP(F1240,'1PROJE'!$B$7:$F$26,2,0)</f>
        <v>#N/A</v>
      </c>
      <c r="J1240" t="e">
        <f>VLOOKUP(F1240,'1PROJE'!$B$7:$F$26,4,0)</f>
        <v>#N/A</v>
      </c>
      <c r="K1240" t="e">
        <f>VLOOKUP(F1240,'1PROJE'!$B$7:$F$26,5,0)</f>
        <v>#N/A</v>
      </c>
    </row>
    <row r="1241" spans="2:11">
      <c r="B1241">
        <f t="shared" si="260"/>
        <v>0</v>
      </c>
      <c r="F1241" s="57" t="e">
        <f t="shared" si="261"/>
        <v>#N/A</v>
      </c>
      <c r="G1241" t="str">
        <f t="shared" si="262"/>
        <v/>
      </c>
      <c r="I1241" t="e">
        <f>VLOOKUP(F1241,'1PROJE'!$B$7:$F$26,2,0)</f>
        <v>#N/A</v>
      </c>
      <c r="J1241" t="e">
        <f>VLOOKUP(F1241,'1PROJE'!$B$7:$F$26,4,0)</f>
        <v>#N/A</v>
      </c>
      <c r="K1241" t="e">
        <f>VLOOKUP(F1241,'1PROJE'!$B$7:$F$26,5,0)</f>
        <v>#N/A</v>
      </c>
    </row>
    <row r="1242" spans="2:11">
      <c r="B1242">
        <f t="shared" si="260"/>
        <v>0</v>
      </c>
      <c r="F1242" s="57" t="e">
        <f t="shared" si="261"/>
        <v>#N/A</v>
      </c>
      <c r="G1242" t="str">
        <f t="shared" si="262"/>
        <v/>
      </c>
      <c r="I1242" t="e">
        <f>VLOOKUP(F1242,'1PROJE'!$B$7:$F$26,2,0)</f>
        <v>#N/A</v>
      </c>
      <c r="J1242" t="e">
        <f>VLOOKUP(F1242,'1PROJE'!$B$7:$F$26,4,0)</f>
        <v>#N/A</v>
      </c>
      <c r="K1242" t="e">
        <f>VLOOKUP(F1242,'1PROJE'!$B$7:$F$26,5,0)</f>
        <v>#N/A</v>
      </c>
    </row>
    <row r="1243" spans="2:11">
      <c r="B1243">
        <f t="shared" si="260"/>
        <v>0</v>
      </c>
      <c r="F1243" s="57" t="e">
        <f t="shared" si="261"/>
        <v>#N/A</v>
      </c>
      <c r="G1243" t="str">
        <f t="shared" si="262"/>
        <v/>
      </c>
      <c r="I1243" t="e">
        <f>VLOOKUP(F1243,'1PROJE'!$B$7:$F$26,2,0)</f>
        <v>#N/A</v>
      </c>
      <c r="J1243" t="e">
        <f>VLOOKUP(F1243,'1PROJE'!$B$7:$F$26,4,0)</f>
        <v>#N/A</v>
      </c>
      <c r="K1243" t="e">
        <f>VLOOKUP(F1243,'1PROJE'!$B$7:$F$26,5,0)</f>
        <v>#N/A</v>
      </c>
    </row>
    <row r="1244" spans="2:11">
      <c r="B1244">
        <f t="shared" si="260"/>
        <v>0</v>
      </c>
      <c r="F1244" s="57" t="e">
        <f t="shared" si="261"/>
        <v>#N/A</v>
      </c>
      <c r="G1244" t="str">
        <f t="shared" si="262"/>
        <v/>
      </c>
      <c r="I1244" t="e">
        <f>VLOOKUP(F1244,'1PROJE'!$B$7:$F$26,2,0)</f>
        <v>#N/A</v>
      </c>
      <c r="J1244" t="e">
        <f>VLOOKUP(F1244,'1PROJE'!$B$7:$F$26,4,0)</f>
        <v>#N/A</v>
      </c>
      <c r="K1244" t="e">
        <f>VLOOKUP(F1244,'1PROJE'!$B$7:$F$26,5,0)</f>
        <v>#N/A</v>
      </c>
    </row>
    <row r="1245" spans="2:11">
      <c r="B1245">
        <f t="shared" si="260"/>
        <v>0</v>
      </c>
      <c r="F1245" s="57" t="e">
        <f t="shared" si="261"/>
        <v>#N/A</v>
      </c>
      <c r="G1245" t="str">
        <f t="shared" si="262"/>
        <v/>
      </c>
      <c r="I1245" t="e">
        <f>VLOOKUP(F1245,'1PROJE'!$B$7:$F$26,2,0)</f>
        <v>#N/A</v>
      </c>
      <c r="J1245" t="e">
        <f>VLOOKUP(F1245,'1PROJE'!$B$7:$F$26,4,0)</f>
        <v>#N/A</v>
      </c>
      <c r="K1245" t="e">
        <f>VLOOKUP(F1245,'1PROJE'!$B$7:$F$26,5,0)</f>
        <v>#N/A</v>
      </c>
    </row>
    <row r="1246" spans="2:11">
      <c r="B1246">
        <f t="shared" si="260"/>
        <v>0</v>
      </c>
      <c r="F1246" s="57" t="e">
        <f t="shared" si="261"/>
        <v>#N/A</v>
      </c>
      <c r="G1246" t="str">
        <f t="shared" si="262"/>
        <v/>
      </c>
      <c r="I1246" t="e">
        <f>VLOOKUP(F1246,'1PROJE'!$B$7:$F$26,2,0)</f>
        <v>#N/A</v>
      </c>
      <c r="J1246" t="e">
        <f>VLOOKUP(F1246,'1PROJE'!$B$7:$F$26,4,0)</f>
        <v>#N/A</v>
      </c>
      <c r="K1246" t="e">
        <f>VLOOKUP(F1246,'1PROJE'!$B$7:$F$26,5,0)</f>
        <v>#N/A</v>
      </c>
    </row>
    <row r="1247" spans="2:11">
      <c r="B1247">
        <f t="shared" si="260"/>
        <v>0</v>
      </c>
      <c r="F1247" s="57" t="e">
        <f t="shared" si="261"/>
        <v>#N/A</v>
      </c>
      <c r="G1247" t="str">
        <f t="shared" si="262"/>
        <v/>
      </c>
      <c r="I1247" t="e">
        <f>VLOOKUP(F1247,'1PROJE'!$B$7:$F$26,2,0)</f>
        <v>#N/A</v>
      </c>
      <c r="J1247" t="e">
        <f>VLOOKUP(F1247,'1PROJE'!$B$7:$F$26,4,0)</f>
        <v>#N/A</v>
      </c>
      <c r="K1247" t="e">
        <f>VLOOKUP(F1247,'1PROJE'!$B$7:$F$26,5,0)</f>
        <v>#N/A</v>
      </c>
    </row>
    <row r="1248" spans="2:11">
      <c r="B1248">
        <f t="shared" si="260"/>
        <v>0</v>
      </c>
      <c r="F1248" s="57" t="e">
        <f t="shared" si="261"/>
        <v>#N/A</v>
      </c>
      <c r="G1248" t="str">
        <f t="shared" si="262"/>
        <v/>
      </c>
      <c r="I1248" t="e">
        <f>VLOOKUP(F1248,'1PROJE'!$B$7:$F$26,2,0)</f>
        <v>#N/A</v>
      </c>
      <c r="J1248" t="e">
        <f>VLOOKUP(F1248,'1PROJE'!$B$7:$F$26,4,0)</f>
        <v>#N/A</v>
      </c>
      <c r="K1248" t="e">
        <f>VLOOKUP(F1248,'1PROJE'!$B$7:$F$26,5,0)</f>
        <v>#N/A</v>
      </c>
    </row>
    <row r="1249" spans="2:11">
      <c r="B1249">
        <f t="shared" si="260"/>
        <v>0</v>
      </c>
      <c r="F1249" s="57" t="e">
        <f t="shared" si="261"/>
        <v>#N/A</v>
      </c>
      <c r="G1249" t="str">
        <f t="shared" si="262"/>
        <v/>
      </c>
      <c r="I1249" t="e">
        <f>VLOOKUP(F1249,'1PROJE'!$B$7:$F$26,2,0)</f>
        <v>#N/A</v>
      </c>
      <c r="J1249" t="e">
        <f>VLOOKUP(F1249,'1PROJE'!$B$7:$F$26,4,0)</f>
        <v>#N/A</v>
      </c>
      <c r="K1249" t="e">
        <f>VLOOKUP(F1249,'1PROJE'!$B$7:$F$26,5,0)</f>
        <v>#N/A</v>
      </c>
    </row>
    <row r="1250" spans="2:11">
      <c r="B1250">
        <f t="shared" si="260"/>
        <v>0</v>
      </c>
      <c r="F1250" s="57" t="e">
        <f t="shared" si="261"/>
        <v>#N/A</v>
      </c>
      <c r="G1250" t="str">
        <f t="shared" si="262"/>
        <v/>
      </c>
      <c r="I1250" t="e">
        <f>VLOOKUP(F1250,'1PROJE'!$B$7:$F$26,2,0)</f>
        <v>#N/A</v>
      </c>
      <c r="J1250" t="e">
        <f>VLOOKUP(F1250,'1PROJE'!$B$7:$F$26,4,0)</f>
        <v>#N/A</v>
      </c>
      <c r="K1250" t="e">
        <f>VLOOKUP(F1250,'1PROJE'!$B$7:$F$26,5,0)</f>
        <v>#N/A</v>
      </c>
    </row>
    <row r="1251" spans="2:11">
      <c r="B1251">
        <f t="shared" si="260"/>
        <v>0</v>
      </c>
      <c r="F1251" s="57" t="e">
        <f t="shared" si="261"/>
        <v>#N/A</v>
      </c>
      <c r="G1251" t="str">
        <f t="shared" si="262"/>
        <v/>
      </c>
      <c r="I1251" t="e">
        <f>VLOOKUP(F1251,'1PROJE'!$B$7:$F$26,2,0)</f>
        <v>#N/A</v>
      </c>
      <c r="J1251" t="e">
        <f>VLOOKUP(F1251,'1PROJE'!$B$7:$F$26,4,0)</f>
        <v>#N/A</v>
      </c>
      <c r="K1251" t="e">
        <f>VLOOKUP(F1251,'1PROJE'!$B$7:$F$26,5,0)</f>
        <v>#N/A</v>
      </c>
    </row>
    <row r="1252" spans="2:11">
      <c r="B1252">
        <f t="shared" si="260"/>
        <v>0</v>
      </c>
      <c r="F1252" s="57" t="e">
        <f t="shared" si="261"/>
        <v>#N/A</v>
      </c>
      <c r="G1252" t="str">
        <f t="shared" si="262"/>
        <v/>
      </c>
      <c r="I1252" t="e">
        <f>VLOOKUP(F1252,'1PROJE'!$B$7:$F$26,2,0)</f>
        <v>#N/A</v>
      </c>
      <c r="J1252" t="e">
        <f>VLOOKUP(F1252,'1PROJE'!$B$7:$F$26,4,0)</f>
        <v>#N/A</v>
      </c>
      <c r="K1252" t="e">
        <f>VLOOKUP(F1252,'1PROJE'!$B$7:$F$26,5,0)</f>
        <v>#N/A</v>
      </c>
    </row>
    <row r="1253" spans="2:11">
      <c r="B1253">
        <f t="shared" si="260"/>
        <v>0</v>
      </c>
      <c r="F1253" s="57" t="e">
        <f t="shared" si="261"/>
        <v>#N/A</v>
      </c>
      <c r="G1253" t="str">
        <f t="shared" si="262"/>
        <v/>
      </c>
      <c r="I1253" t="e">
        <f>VLOOKUP(F1253,'1PROJE'!$B$7:$F$26,2,0)</f>
        <v>#N/A</v>
      </c>
      <c r="J1253" t="e">
        <f>VLOOKUP(F1253,'1PROJE'!$B$7:$F$26,4,0)</f>
        <v>#N/A</v>
      </c>
      <c r="K1253" t="e">
        <f>VLOOKUP(F1253,'1PROJE'!$B$7:$F$26,5,0)</f>
        <v>#N/A</v>
      </c>
    </row>
    <row r="1254" spans="2:11">
      <c r="B1254">
        <f t="shared" si="260"/>
        <v>0</v>
      </c>
      <c r="F1254" s="57" t="e">
        <f t="shared" si="261"/>
        <v>#N/A</v>
      </c>
      <c r="G1254" t="str">
        <f t="shared" si="262"/>
        <v/>
      </c>
      <c r="I1254" t="e">
        <f>VLOOKUP(F1254,'1PROJE'!$B$7:$F$26,2,0)</f>
        <v>#N/A</v>
      </c>
      <c r="J1254" t="e">
        <f>VLOOKUP(F1254,'1PROJE'!$B$7:$F$26,4,0)</f>
        <v>#N/A</v>
      </c>
      <c r="K1254" t="e">
        <f>VLOOKUP(F1254,'1PROJE'!$B$7:$F$26,5,0)</f>
        <v>#N/A</v>
      </c>
    </row>
    <row r="1255" spans="2:11">
      <c r="B1255">
        <f t="shared" si="260"/>
        <v>0</v>
      </c>
      <c r="F1255" s="57" t="e">
        <f t="shared" si="261"/>
        <v>#N/A</v>
      </c>
      <c r="G1255" t="str">
        <f t="shared" si="262"/>
        <v/>
      </c>
      <c r="I1255" t="e">
        <f>VLOOKUP(F1255,'1PROJE'!$B$7:$F$26,2,0)</f>
        <v>#N/A</v>
      </c>
      <c r="J1255" t="e">
        <f>VLOOKUP(F1255,'1PROJE'!$B$7:$F$26,4,0)</f>
        <v>#N/A</v>
      </c>
      <c r="K1255" t="e">
        <f>VLOOKUP(F1255,'1PROJE'!$B$7:$F$26,5,0)</f>
        <v>#N/A</v>
      </c>
    </row>
    <row r="1256" spans="2:11">
      <c r="B1256">
        <f t="shared" si="260"/>
        <v>0</v>
      </c>
      <c r="F1256" s="57" t="e">
        <f t="shared" si="261"/>
        <v>#N/A</v>
      </c>
      <c r="G1256" t="str">
        <f t="shared" si="262"/>
        <v/>
      </c>
      <c r="I1256" t="e">
        <f>VLOOKUP(F1256,'1PROJE'!$B$7:$F$26,2,0)</f>
        <v>#N/A</v>
      </c>
      <c r="J1256" t="e">
        <f>VLOOKUP(F1256,'1PROJE'!$B$7:$F$26,4,0)</f>
        <v>#N/A</v>
      </c>
      <c r="K1256" t="e">
        <f>VLOOKUP(F1256,'1PROJE'!$B$7:$F$26,5,0)</f>
        <v>#N/A</v>
      </c>
    </row>
    <row r="1257" spans="2:11">
      <c r="B1257">
        <f t="shared" si="260"/>
        <v>0</v>
      </c>
      <c r="F1257" s="57" t="e">
        <f t="shared" si="261"/>
        <v>#N/A</v>
      </c>
      <c r="G1257" t="str">
        <f t="shared" si="262"/>
        <v/>
      </c>
      <c r="I1257" t="e">
        <f>VLOOKUP(F1257,'1PROJE'!$B$7:$F$26,2,0)</f>
        <v>#N/A</v>
      </c>
      <c r="J1257" t="e">
        <f>VLOOKUP(F1257,'1PROJE'!$B$7:$F$26,4,0)</f>
        <v>#N/A</v>
      </c>
      <c r="K1257" t="e">
        <f>VLOOKUP(F1257,'1PROJE'!$B$7:$F$26,5,0)</f>
        <v>#N/A</v>
      </c>
    </row>
    <row r="1258" spans="2:11">
      <c r="B1258">
        <f t="shared" si="260"/>
        <v>0</v>
      </c>
      <c r="F1258" s="57" t="e">
        <f t="shared" si="261"/>
        <v>#N/A</v>
      </c>
      <c r="G1258" t="str">
        <f t="shared" si="262"/>
        <v/>
      </c>
      <c r="I1258" t="e">
        <f>VLOOKUP(F1258,'1PROJE'!$B$7:$F$26,2,0)</f>
        <v>#N/A</v>
      </c>
      <c r="J1258" t="e">
        <f>VLOOKUP(F1258,'1PROJE'!$B$7:$F$26,4,0)</f>
        <v>#N/A</v>
      </c>
      <c r="K1258" t="e">
        <f>VLOOKUP(F1258,'1PROJE'!$B$7:$F$26,5,0)</f>
        <v>#N/A</v>
      </c>
    </row>
    <row r="1259" spans="2:11">
      <c r="B1259">
        <f t="shared" ref="B1259:B1261" si="263">IF(($C$38-A159)&lt;0,0,"POZ"&amp;" "&amp;$M$61&amp;"."&amp;A159)</f>
        <v>0</v>
      </c>
      <c r="F1259" s="57" t="e">
        <f t="shared" si="261"/>
        <v>#N/A</v>
      </c>
      <c r="G1259" t="str">
        <f t="shared" si="262"/>
        <v/>
      </c>
      <c r="I1259" t="e">
        <f>VLOOKUP(F1259,'1PROJE'!$B$7:$F$26,2,0)</f>
        <v>#N/A</v>
      </c>
      <c r="J1259" t="e">
        <f>VLOOKUP(F1259,'1PROJE'!$B$7:$F$26,4,0)</f>
        <v>#N/A</v>
      </c>
      <c r="K1259" t="e">
        <f>VLOOKUP(F1259,'1PROJE'!$B$7:$F$26,5,0)</f>
        <v>#N/A</v>
      </c>
    </row>
    <row r="1260" spans="2:11">
      <c r="B1260">
        <f t="shared" si="263"/>
        <v>0</v>
      </c>
      <c r="F1260" s="57" t="e">
        <f t="shared" si="261"/>
        <v>#N/A</v>
      </c>
      <c r="G1260" t="str">
        <f t="shared" si="262"/>
        <v/>
      </c>
      <c r="I1260" t="e">
        <f>VLOOKUP(F1260,'1PROJE'!$B$7:$F$26,2,0)</f>
        <v>#N/A</v>
      </c>
      <c r="J1260" t="e">
        <f>VLOOKUP(F1260,'1PROJE'!$B$7:$F$26,4,0)</f>
        <v>#N/A</v>
      </c>
      <c r="K1260" t="e">
        <f>VLOOKUP(F1260,'1PROJE'!$B$7:$F$26,5,0)</f>
        <v>#N/A</v>
      </c>
    </row>
    <row r="1261" spans="2:11">
      <c r="B1261">
        <f t="shared" si="263"/>
        <v>0</v>
      </c>
      <c r="F1261" s="57" t="e">
        <f t="shared" si="261"/>
        <v>#N/A</v>
      </c>
      <c r="G1261" t="str">
        <f t="shared" si="262"/>
        <v/>
      </c>
      <c r="I1261" t="e">
        <f>VLOOKUP(F1261,'1PROJE'!$B$7:$F$26,2,0)</f>
        <v>#N/A</v>
      </c>
      <c r="J1261" t="e">
        <f>VLOOKUP(F1261,'1PROJE'!$B$7:$F$26,4,0)</f>
        <v>#N/A</v>
      </c>
      <c r="K1261" t="e">
        <f>VLOOKUP(F1261,'1PROJE'!$B$7:$F$26,5,0)</f>
        <v>#N/A</v>
      </c>
    </row>
    <row r="1262" spans="2:11">
      <c r="B1262">
        <f>IF(C39=0,0,IF(($C$39-A62)=0,"POZ 13.","POZ"&amp;" "&amp;$N$61&amp;"."&amp;A62))</f>
        <v>0</v>
      </c>
      <c r="F1262" s="57" t="e">
        <f t="shared" si="261"/>
        <v>#N/A</v>
      </c>
      <c r="G1262" t="str">
        <f t="shared" si="262"/>
        <v/>
      </c>
      <c r="I1262" t="e">
        <f>VLOOKUP(F1262,'1PROJE'!$B$7:$F$26,2,0)</f>
        <v>#N/A</v>
      </c>
      <c r="J1262" t="e">
        <f>VLOOKUP(F1262,'1PROJE'!$B$7:$F$26,4,0)</f>
        <v>#N/A</v>
      </c>
      <c r="K1262" t="e">
        <f>VLOOKUP(F1262,'1PROJE'!$B$7:$F$26,5,0)</f>
        <v>#N/A</v>
      </c>
    </row>
    <row r="1263" spans="2:11">
      <c r="B1263">
        <f t="shared" ref="B1263:B1294" si="264">IF(($C$39-A63)&lt;0,0,"POZ"&amp;" "&amp;$N$61&amp;"."&amp;A63)</f>
        <v>0</v>
      </c>
      <c r="F1263" s="57" t="e">
        <f t="shared" si="261"/>
        <v>#N/A</v>
      </c>
      <c r="G1263" t="str">
        <f t="shared" si="262"/>
        <v/>
      </c>
      <c r="I1263" t="e">
        <f>VLOOKUP(F1263,'1PROJE'!$B$7:$F$26,2,0)</f>
        <v>#N/A</v>
      </c>
      <c r="J1263" t="e">
        <f>VLOOKUP(F1263,'1PROJE'!$B$7:$F$26,4,0)</f>
        <v>#N/A</v>
      </c>
      <c r="K1263" t="e">
        <f>VLOOKUP(F1263,'1PROJE'!$B$7:$F$26,5,0)</f>
        <v>#N/A</v>
      </c>
    </row>
    <row r="1264" spans="2:11">
      <c r="B1264">
        <f t="shared" si="264"/>
        <v>0</v>
      </c>
      <c r="F1264" s="57" t="e">
        <f t="shared" si="261"/>
        <v>#N/A</v>
      </c>
      <c r="G1264" t="str">
        <f t="shared" si="262"/>
        <v/>
      </c>
      <c r="I1264" t="e">
        <f>VLOOKUP(F1264,'1PROJE'!$B$7:$F$26,2,0)</f>
        <v>#N/A</v>
      </c>
      <c r="J1264" t="e">
        <f>VLOOKUP(F1264,'1PROJE'!$B$7:$F$26,4,0)</f>
        <v>#N/A</v>
      </c>
      <c r="K1264" t="e">
        <f>VLOOKUP(F1264,'1PROJE'!$B$7:$F$26,5,0)</f>
        <v>#N/A</v>
      </c>
    </row>
    <row r="1265" spans="2:11">
      <c r="B1265">
        <f t="shared" si="264"/>
        <v>0</v>
      </c>
      <c r="F1265" s="57" t="e">
        <f t="shared" si="261"/>
        <v>#N/A</v>
      </c>
      <c r="G1265" t="str">
        <f t="shared" si="262"/>
        <v/>
      </c>
      <c r="I1265" t="e">
        <f>VLOOKUP(F1265,'1PROJE'!$B$7:$F$26,2,0)</f>
        <v>#N/A</v>
      </c>
      <c r="J1265" t="e">
        <f>VLOOKUP(F1265,'1PROJE'!$B$7:$F$26,4,0)</f>
        <v>#N/A</v>
      </c>
      <c r="K1265" t="e">
        <f>VLOOKUP(F1265,'1PROJE'!$B$7:$F$26,5,0)</f>
        <v>#N/A</v>
      </c>
    </row>
    <row r="1266" spans="2:11">
      <c r="B1266">
        <f t="shared" si="264"/>
        <v>0</v>
      </c>
      <c r="F1266" s="57" t="e">
        <f t="shared" si="261"/>
        <v>#N/A</v>
      </c>
      <c r="G1266" t="str">
        <f t="shared" si="262"/>
        <v/>
      </c>
      <c r="I1266" t="e">
        <f>VLOOKUP(F1266,'1PROJE'!$B$7:$F$26,2,0)</f>
        <v>#N/A</v>
      </c>
      <c r="J1266" t="e">
        <f>VLOOKUP(F1266,'1PROJE'!$B$7:$F$26,4,0)</f>
        <v>#N/A</v>
      </c>
      <c r="K1266" t="e">
        <f>VLOOKUP(F1266,'1PROJE'!$B$7:$F$26,5,0)</f>
        <v>#N/A</v>
      </c>
    </row>
    <row r="1267" spans="2:11">
      <c r="B1267">
        <f t="shared" si="264"/>
        <v>0</v>
      </c>
      <c r="F1267" s="57" t="e">
        <f t="shared" si="261"/>
        <v>#N/A</v>
      </c>
      <c r="G1267" t="str">
        <f t="shared" si="262"/>
        <v/>
      </c>
      <c r="I1267" t="e">
        <f>VLOOKUP(F1267,'1PROJE'!$B$7:$F$26,2,0)</f>
        <v>#N/A</v>
      </c>
      <c r="J1267" t="e">
        <f>VLOOKUP(F1267,'1PROJE'!$B$7:$F$26,4,0)</f>
        <v>#N/A</v>
      </c>
      <c r="K1267" t="e">
        <f>VLOOKUP(F1267,'1PROJE'!$B$7:$F$26,5,0)</f>
        <v>#N/A</v>
      </c>
    </row>
    <row r="1268" spans="2:11">
      <c r="B1268">
        <f t="shared" si="264"/>
        <v>0</v>
      </c>
      <c r="F1268" s="57" t="e">
        <f t="shared" si="261"/>
        <v>#N/A</v>
      </c>
      <c r="G1268" t="str">
        <f t="shared" si="262"/>
        <v/>
      </c>
      <c r="I1268" t="e">
        <f>VLOOKUP(F1268,'1PROJE'!$B$7:$F$26,2,0)</f>
        <v>#N/A</v>
      </c>
      <c r="J1268" t="e">
        <f>VLOOKUP(F1268,'1PROJE'!$B$7:$F$26,4,0)</f>
        <v>#N/A</v>
      </c>
      <c r="K1268" t="e">
        <f>VLOOKUP(F1268,'1PROJE'!$B$7:$F$26,5,0)</f>
        <v>#N/A</v>
      </c>
    </row>
    <row r="1269" spans="2:11">
      <c r="B1269">
        <f t="shared" si="264"/>
        <v>0</v>
      </c>
      <c r="F1269" s="57" t="e">
        <f t="shared" si="261"/>
        <v>#N/A</v>
      </c>
      <c r="G1269" t="str">
        <f t="shared" si="262"/>
        <v/>
      </c>
      <c r="I1269" t="e">
        <f>VLOOKUP(F1269,'1PROJE'!$B$7:$F$26,2,0)</f>
        <v>#N/A</v>
      </c>
      <c r="J1269" t="e">
        <f>VLOOKUP(F1269,'1PROJE'!$B$7:$F$26,4,0)</f>
        <v>#N/A</v>
      </c>
      <c r="K1269" t="e">
        <f>VLOOKUP(F1269,'1PROJE'!$B$7:$F$26,5,0)</f>
        <v>#N/A</v>
      </c>
    </row>
    <row r="1270" spans="2:11">
      <c r="B1270">
        <f t="shared" si="264"/>
        <v>0</v>
      </c>
      <c r="F1270" s="57" t="e">
        <f t="shared" si="261"/>
        <v>#N/A</v>
      </c>
      <c r="G1270" t="str">
        <f t="shared" si="262"/>
        <v/>
      </c>
      <c r="I1270" t="e">
        <f>VLOOKUP(F1270,'1PROJE'!$B$7:$F$26,2,0)</f>
        <v>#N/A</v>
      </c>
      <c r="J1270" t="e">
        <f>VLOOKUP(F1270,'1PROJE'!$B$7:$F$26,4,0)</f>
        <v>#N/A</v>
      </c>
      <c r="K1270" t="e">
        <f>VLOOKUP(F1270,'1PROJE'!$B$7:$F$26,5,0)</f>
        <v>#N/A</v>
      </c>
    </row>
    <row r="1271" spans="2:11">
      <c r="B1271">
        <f t="shared" si="264"/>
        <v>0</v>
      </c>
      <c r="F1271" s="57" t="e">
        <f t="shared" si="261"/>
        <v>#N/A</v>
      </c>
      <c r="G1271" t="str">
        <f t="shared" si="262"/>
        <v/>
      </c>
      <c r="I1271" t="e">
        <f>VLOOKUP(F1271,'1PROJE'!$B$7:$F$26,2,0)</f>
        <v>#N/A</v>
      </c>
      <c r="J1271" t="e">
        <f>VLOOKUP(F1271,'1PROJE'!$B$7:$F$26,4,0)</f>
        <v>#N/A</v>
      </c>
      <c r="K1271" t="e">
        <f>VLOOKUP(F1271,'1PROJE'!$B$7:$F$26,5,0)</f>
        <v>#N/A</v>
      </c>
    </row>
    <row r="1272" spans="2:11">
      <c r="B1272">
        <f t="shared" si="264"/>
        <v>0</v>
      </c>
      <c r="F1272" s="57" t="e">
        <f t="shared" si="261"/>
        <v>#N/A</v>
      </c>
      <c r="G1272" t="str">
        <f t="shared" si="262"/>
        <v/>
      </c>
      <c r="I1272" t="e">
        <f>VLOOKUP(F1272,'1PROJE'!$B$7:$F$26,2,0)</f>
        <v>#N/A</v>
      </c>
      <c r="J1272" t="e">
        <f>VLOOKUP(F1272,'1PROJE'!$B$7:$F$26,4,0)</f>
        <v>#N/A</v>
      </c>
      <c r="K1272" t="e">
        <f>VLOOKUP(F1272,'1PROJE'!$B$7:$F$26,5,0)</f>
        <v>#N/A</v>
      </c>
    </row>
    <row r="1273" spans="2:11">
      <c r="B1273">
        <f t="shared" si="264"/>
        <v>0</v>
      </c>
      <c r="F1273" s="57" t="e">
        <f t="shared" si="261"/>
        <v>#N/A</v>
      </c>
      <c r="G1273" t="str">
        <f t="shared" si="262"/>
        <v/>
      </c>
      <c r="I1273" t="e">
        <f>VLOOKUP(F1273,'1PROJE'!$B$7:$F$26,2,0)</f>
        <v>#N/A</v>
      </c>
      <c r="J1273" t="e">
        <f>VLOOKUP(F1273,'1PROJE'!$B$7:$F$26,4,0)</f>
        <v>#N/A</v>
      </c>
      <c r="K1273" t="e">
        <f>VLOOKUP(F1273,'1PROJE'!$B$7:$F$26,5,0)</f>
        <v>#N/A</v>
      </c>
    </row>
    <row r="1274" spans="2:11">
      <c r="B1274">
        <f t="shared" si="264"/>
        <v>0</v>
      </c>
      <c r="F1274" s="57" t="e">
        <f t="shared" si="261"/>
        <v>#N/A</v>
      </c>
      <c r="G1274" t="str">
        <f t="shared" si="262"/>
        <v/>
      </c>
      <c r="I1274" t="e">
        <f>VLOOKUP(F1274,'1PROJE'!$B$7:$F$26,2,0)</f>
        <v>#N/A</v>
      </c>
      <c r="J1274" t="e">
        <f>VLOOKUP(F1274,'1PROJE'!$B$7:$F$26,4,0)</f>
        <v>#N/A</v>
      </c>
      <c r="K1274" t="e">
        <f>VLOOKUP(F1274,'1PROJE'!$B$7:$F$26,5,0)</f>
        <v>#N/A</v>
      </c>
    </row>
    <row r="1275" spans="2:11">
      <c r="B1275">
        <f t="shared" si="264"/>
        <v>0</v>
      </c>
      <c r="F1275" s="57" t="e">
        <f t="shared" si="261"/>
        <v>#N/A</v>
      </c>
      <c r="G1275" t="str">
        <f t="shared" si="262"/>
        <v/>
      </c>
      <c r="I1275" t="e">
        <f>VLOOKUP(F1275,'1PROJE'!$B$7:$F$26,2,0)</f>
        <v>#N/A</v>
      </c>
      <c r="J1275" t="e">
        <f>VLOOKUP(F1275,'1PROJE'!$B$7:$F$26,4,0)</f>
        <v>#N/A</v>
      </c>
      <c r="K1275" t="e">
        <f>VLOOKUP(F1275,'1PROJE'!$B$7:$F$26,5,0)</f>
        <v>#N/A</v>
      </c>
    </row>
    <row r="1276" spans="2:11">
      <c r="B1276">
        <f t="shared" si="264"/>
        <v>0</v>
      </c>
      <c r="F1276" s="57" t="e">
        <f t="shared" si="261"/>
        <v>#N/A</v>
      </c>
      <c r="G1276" t="str">
        <f t="shared" si="262"/>
        <v/>
      </c>
      <c r="I1276" t="e">
        <f>VLOOKUP(F1276,'1PROJE'!$B$7:$F$26,2,0)</f>
        <v>#N/A</v>
      </c>
      <c r="J1276" t="e">
        <f>VLOOKUP(F1276,'1PROJE'!$B$7:$F$26,4,0)</f>
        <v>#N/A</v>
      </c>
      <c r="K1276" t="e">
        <f>VLOOKUP(F1276,'1PROJE'!$B$7:$F$26,5,0)</f>
        <v>#N/A</v>
      </c>
    </row>
    <row r="1277" spans="2:11">
      <c r="B1277">
        <f t="shared" si="264"/>
        <v>0</v>
      </c>
      <c r="F1277" s="57" t="e">
        <f t="shared" si="261"/>
        <v>#N/A</v>
      </c>
      <c r="G1277" t="str">
        <f t="shared" si="262"/>
        <v/>
      </c>
      <c r="I1277" t="e">
        <f>VLOOKUP(F1277,'1PROJE'!$B$7:$F$26,2,0)</f>
        <v>#N/A</v>
      </c>
      <c r="J1277" t="e">
        <f>VLOOKUP(F1277,'1PROJE'!$B$7:$F$26,4,0)</f>
        <v>#N/A</v>
      </c>
      <c r="K1277" t="e">
        <f>VLOOKUP(F1277,'1PROJE'!$B$7:$F$26,5,0)</f>
        <v>#N/A</v>
      </c>
    </row>
    <row r="1278" spans="2:11">
      <c r="B1278">
        <f t="shared" si="264"/>
        <v>0</v>
      </c>
      <c r="F1278" s="57" t="e">
        <f t="shared" si="261"/>
        <v>#N/A</v>
      </c>
      <c r="G1278" t="str">
        <f t="shared" si="262"/>
        <v/>
      </c>
      <c r="I1278" t="e">
        <f>VLOOKUP(F1278,'1PROJE'!$B$7:$F$26,2,0)</f>
        <v>#N/A</v>
      </c>
      <c r="J1278" t="e">
        <f>VLOOKUP(F1278,'1PROJE'!$B$7:$F$26,4,0)</f>
        <v>#N/A</v>
      </c>
      <c r="K1278" t="e">
        <f>VLOOKUP(F1278,'1PROJE'!$B$7:$F$26,5,0)</f>
        <v>#N/A</v>
      </c>
    </row>
    <row r="1279" spans="2:11">
      <c r="B1279">
        <f t="shared" si="264"/>
        <v>0</v>
      </c>
      <c r="F1279" s="57" t="e">
        <f t="shared" si="261"/>
        <v>#N/A</v>
      </c>
      <c r="G1279" t="str">
        <f t="shared" si="262"/>
        <v/>
      </c>
      <c r="I1279" t="e">
        <f>VLOOKUP(F1279,'1PROJE'!$B$7:$F$26,2,0)</f>
        <v>#N/A</v>
      </c>
      <c r="J1279" t="e">
        <f>VLOOKUP(F1279,'1PROJE'!$B$7:$F$26,4,0)</f>
        <v>#N/A</v>
      </c>
      <c r="K1279" t="e">
        <f>VLOOKUP(F1279,'1PROJE'!$B$7:$F$26,5,0)</f>
        <v>#N/A</v>
      </c>
    </row>
    <row r="1280" spans="2:11">
      <c r="B1280">
        <f t="shared" si="264"/>
        <v>0</v>
      </c>
      <c r="F1280" s="57" t="e">
        <f t="shared" si="261"/>
        <v>#N/A</v>
      </c>
      <c r="G1280" t="str">
        <f t="shared" si="262"/>
        <v/>
      </c>
      <c r="I1280" t="e">
        <f>VLOOKUP(F1280,'1PROJE'!$B$7:$F$26,2,0)</f>
        <v>#N/A</v>
      </c>
      <c r="J1280" t="e">
        <f>VLOOKUP(F1280,'1PROJE'!$B$7:$F$26,4,0)</f>
        <v>#N/A</v>
      </c>
      <c r="K1280" t="e">
        <f>VLOOKUP(F1280,'1PROJE'!$B$7:$F$26,5,0)</f>
        <v>#N/A</v>
      </c>
    </row>
    <row r="1281" spans="2:11">
      <c r="B1281">
        <f t="shared" si="264"/>
        <v>0</v>
      </c>
      <c r="F1281" s="57" t="e">
        <f t="shared" si="261"/>
        <v>#N/A</v>
      </c>
      <c r="G1281" t="str">
        <f t="shared" si="262"/>
        <v/>
      </c>
      <c r="I1281" t="e">
        <f>VLOOKUP(F1281,'1PROJE'!$B$7:$F$26,2,0)</f>
        <v>#N/A</v>
      </c>
      <c r="J1281" t="e">
        <f>VLOOKUP(F1281,'1PROJE'!$B$7:$F$26,4,0)</f>
        <v>#N/A</v>
      </c>
      <c r="K1281" t="e">
        <f>VLOOKUP(F1281,'1PROJE'!$B$7:$F$26,5,0)</f>
        <v>#N/A</v>
      </c>
    </row>
    <row r="1282" spans="2:11">
      <c r="B1282">
        <f t="shared" si="264"/>
        <v>0</v>
      </c>
      <c r="F1282" s="57" t="e">
        <f t="shared" si="261"/>
        <v>#N/A</v>
      </c>
      <c r="G1282" t="str">
        <f t="shared" si="262"/>
        <v/>
      </c>
      <c r="I1282" t="e">
        <f>VLOOKUP(F1282,'1PROJE'!$B$7:$F$26,2,0)</f>
        <v>#N/A</v>
      </c>
      <c r="J1282" t="e">
        <f>VLOOKUP(F1282,'1PROJE'!$B$7:$F$26,4,0)</f>
        <v>#N/A</v>
      </c>
      <c r="K1282" t="e">
        <f>VLOOKUP(F1282,'1PROJE'!$B$7:$F$26,5,0)</f>
        <v>#N/A</v>
      </c>
    </row>
    <row r="1283" spans="2:11">
      <c r="B1283">
        <f t="shared" si="264"/>
        <v>0</v>
      </c>
      <c r="F1283" s="57" t="e">
        <f t="shared" si="261"/>
        <v>#N/A</v>
      </c>
      <c r="G1283" t="str">
        <f t="shared" si="262"/>
        <v/>
      </c>
      <c r="I1283" t="e">
        <f>VLOOKUP(F1283,'1PROJE'!$B$7:$F$26,2,0)</f>
        <v>#N/A</v>
      </c>
      <c r="J1283" t="e">
        <f>VLOOKUP(F1283,'1PROJE'!$B$7:$F$26,4,0)</f>
        <v>#N/A</v>
      </c>
      <c r="K1283" t="e">
        <f>VLOOKUP(F1283,'1PROJE'!$B$7:$F$26,5,0)</f>
        <v>#N/A</v>
      </c>
    </row>
    <row r="1284" spans="2:11">
      <c r="B1284">
        <f t="shared" si="264"/>
        <v>0</v>
      </c>
      <c r="F1284" s="57" t="e">
        <f t="shared" si="261"/>
        <v>#N/A</v>
      </c>
      <c r="G1284" t="str">
        <f t="shared" si="262"/>
        <v/>
      </c>
      <c r="I1284" t="e">
        <f>VLOOKUP(F1284,'1PROJE'!$B$7:$F$26,2,0)</f>
        <v>#N/A</v>
      </c>
      <c r="J1284" t="e">
        <f>VLOOKUP(F1284,'1PROJE'!$B$7:$F$26,4,0)</f>
        <v>#N/A</v>
      </c>
      <c r="K1284" t="e">
        <f>VLOOKUP(F1284,'1PROJE'!$B$7:$F$26,5,0)</f>
        <v>#N/A</v>
      </c>
    </row>
    <row r="1285" spans="2:11">
      <c r="B1285">
        <f t="shared" si="264"/>
        <v>0</v>
      </c>
      <c r="F1285" s="57" t="e">
        <f t="shared" si="261"/>
        <v>#N/A</v>
      </c>
      <c r="G1285" t="str">
        <f t="shared" si="262"/>
        <v/>
      </c>
      <c r="I1285" t="e">
        <f>VLOOKUP(F1285,'1PROJE'!$B$7:$F$26,2,0)</f>
        <v>#N/A</v>
      </c>
      <c r="J1285" t="e">
        <f>VLOOKUP(F1285,'1PROJE'!$B$7:$F$26,4,0)</f>
        <v>#N/A</v>
      </c>
      <c r="K1285" t="e">
        <f>VLOOKUP(F1285,'1PROJE'!$B$7:$F$26,5,0)</f>
        <v>#N/A</v>
      </c>
    </row>
    <row r="1286" spans="2:11">
      <c r="B1286">
        <f t="shared" si="264"/>
        <v>0</v>
      </c>
      <c r="F1286" s="57" t="e">
        <f t="shared" si="261"/>
        <v>#N/A</v>
      </c>
      <c r="G1286" t="str">
        <f t="shared" si="262"/>
        <v/>
      </c>
      <c r="I1286" t="e">
        <f>VLOOKUP(F1286,'1PROJE'!$B$7:$F$26,2,0)</f>
        <v>#N/A</v>
      </c>
      <c r="J1286" t="e">
        <f>VLOOKUP(F1286,'1PROJE'!$B$7:$F$26,4,0)</f>
        <v>#N/A</v>
      </c>
      <c r="K1286" t="e">
        <f>VLOOKUP(F1286,'1PROJE'!$B$7:$F$26,5,0)</f>
        <v>#N/A</v>
      </c>
    </row>
    <row r="1287" spans="2:11">
      <c r="B1287">
        <f t="shared" si="264"/>
        <v>0</v>
      </c>
      <c r="F1287" s="57" t="e">
        <f t="shared" si="261"/>
        <v>#N/A</v>
      </c>
      <c r="G1287" t="str">
        <f t="shared" si="262"/>
        <v/>
      </c>
      <c r="I1287" t="e">
        <f>VLOOKUP(F1287,'1PROJE'!$B$7:$F$26,2,0)</f>
        <v>#N/A</v>
      </c>
      <c r="J1287" t="e">
        <f>VLOOKUP(F1287,'1PROJE'!$B$7:$F$26,4,0)</f>
        <v>#N/A</v>
      </c>
      <c r="K1287" t="e">
        <f>VLOOKUP(F1287,'1PROJE'!$B$7:$F$26,5,0)</f>
        <v>#N/A</v>
      </c>
    </row>
    <row r="1288" spans="2:11">
      <c r="B1288">
        <f t="shared" si="264"/>
        <v>0</v>
      </c>
      <c r="F1288" s="57" t="e">
        <f t="shared" si="261"/>
        <v>#N/A</v>
      </c>
      <c r="G1288" t="str">
        <f t="shared" si="262"/>
        <v/>
      </c>
      <c r="I1288" t="e">
        <f>VLOOKUP(F1288,'1PROJE'!$B$7:$F$26,2,0)</f>
        <v>#N/A</v>
      </c>
      <c r="J1288" t="e">
        <f>VLOOKUP(F1288,'1PROJE'!$B$7:$F$26,4,0)</f>
        <v>#N/A</v>
      </c>
      <c r="K1288" t="e">
        <f>VLOOKUP(F1288,'1PROJE'!$B$7:$F$26,5,0)</f>
        <v>#N/A</v>
      </c>
    </row>
    <row r="1289" spans="2:11">
      <c r="B1289">
        <f t="shared" si="264"/>
        <v>0</v>
      </c>
      <c r="F1289" s="57" t="e">
        <f t="shared" si="261"/>
        <v>#N/A</v>
      </c>
      <c r="G1289" t="str">
        <f t="shared" si="262"/>
        <v/>
      </c>
      <c r="I1289" t="e">
        <f>VLOOKUP(F1289,'1PROJE'!$B$7:$F$26,2,0)</f>
        <v>#N/A</v>
      </c>
      <c r="J1289" t="e">
        <f>VLOOKUP(F1289,'1PROJE'!$B$7:$F$26,4,0)</f>
        <v>#N/A</v>
      </c>
      <c r="K1289" t="e">
        <f>VLOOKUP(F1289,'1PROJE'!$B$7:$F$26,5,0)</f>
        <v>#N/A</v>
      </c>
    </row>
    <row r="1290" spans="2:11">
      <c r="B1290">
        <f t="shared" si="264"/>
        <v>0</v>
      </c>
      <c r="F1290" s="57" t="e">
        <f t="shared" si="261"/>
        <v>#N/A</v>
      </c>
      <c r="G1290" t="str">
        <f t="shared" si="262"/>
        <v/>
      </c>
      <c r="I1290" t="e">
        <f>VLOOKUP(F1290,'1PROJE'!$B$7:$F$26,2,0)</f>
        <v>#N/A</v>
      </c>
      <c r="J1290" t="e">
        <f>VLOOKUP(F1290,'1PROJE'!$B$7:$F$26,4,0)</f>
        <v>#N/A</v>
      </c>
      <c r="K1290" t="e">
        <f>VLOOKUP(F1290,'1PROJE'!$B$7:$F$26,5,0)</f>
        <v>#N/A</v>
      </c>
    </row>
    <row r="1291" spans="2:11">
      <c r="B1291">
        <f t="shared" si="264"/>
        <v>0</v>
      </c>
      <c r="F1291" s="57" t="e">
        <f t="shared" ref="F1291:F1354" si="265">VLOOKUP(G1291,$C$64:$D$83,2,0)</f>
        <v>#N/A</v>
      </c>
      <c r="G1291" t="str">
        <f t="shared" ref="G1291:G1354" si="266">LEFT(H1291,6)</f>
        <v/>
      </c>
      <c r="I1291" t="e">
        <f>VLOOKUP(F1291,'1PROJE'!$B$7:$F$26,2,0)</f>
        <v>#N/A</v>
      </c>
      <c r="J1291" t="e">
        <f>VLOOKUP(F1291,'1PROJE'!$B$7:$F$26,4,0)</f>
        <v>#N/A</v>
      </c>
      <c r="K1291" t="e">
        <f>VLOOKUP(F1291,'1PROJE'!$B$7:$F$26,5,0)</f>
        <v>#N/A</v>
      </c>
    </row>
    <row r="1292" spans="2:11">
      <c r="B1292">
        <f t="shared" si="264"/>
        <v>0</v>
      </c>
      <c r="F1292" s="57" t="e">
        <f t="shared" si="265"/>
        <v>#N/A</v>
      </c>
      <c r="G1292" t="str">
        <f t="shared" si="266"/>
        <v/>
      </c>
      <c r="I1292" t="e">
        <f>VLOOKUP(F1292,'1PROJE'!$B$7:$F$26,2,0)</f>
        <v>#N/A</v>
      </c>
      <c r="J1292" t="e">
        <f>VLOOKUP(F1292,'1PROJE'!$B$7:$F$26,4,0)</f>
        <v>#N/A</v>
      </c>
      <c r="K1292" t="e">
        <f>VLOOKUP(F1292,'1PROJE'!$B$7:$F$26,5,0)</f>
        <v>#N/A</v>
      </c>
    </row>
    <row r="1293" spans="2:11">
      <c r="B1293">
        <f t="shared" si="264"/>
        <v>0</v>
      </c>
      <c r="F1293" s="57" t="e">
        <f t="shared" si="265"/>
        <v>#N/A</v>
      </c>
      <c r="G1293" t="str">
        <f t="shared" si="266"/>
        <v/>
      </c>
      <c r="I1293" t="e">
        <f>VLOOKUP(F1293,'1PROJE'!$B$7:$F$26,2,0)</f>
        <v>#N/A</v>
      </c>
      <c r="J1293" t="e">
        <f>VLOOKUP(F1293,'1PROJE'!$B$7:$F$26,4,0)</f>
        <v>#N/A</v>
      </c>
      <c r="K1293" t="e">
        <f>VLOOKUP(F1293,'1PROJE'!$B$7:$F$26,5,0)</f>
        <v>#N/A</v>
      </c>
    </row>
    <row r="1294" spans="2:11">
      <c r="B1294">
        <f t="shared" si="264"/>
        <v>0</v>
      </c>
      <c r="F1294" s="57" t="e">
        <f t="shared" si="265"/>
        <v>#N/A</v>
      </c>
      <c r="G1294" t="str">
        <f t="shared" si="266"/>
        <v/>
      </c>
      <c r="I1294" t="e">
        <f>VLOOKUP(F1294,'1PROJE'!$B$7:$F$26,2,0)</f>
        <v>#N/A</v>
      </c>
      <c r="J1294" t="e">
        <f>VLOOKUP(F1294,'1PROJE'!$B$7:$F$26,4,0)</f>
        <v>#N/A</v>
      </c>
      <c r="K1294" t="e">
        <f>VLOOKUP(F1294,'1PROJE'!$B$7:$F$26,5,0)</f>
        <v>#N/A</v>
      </c>
    </row>
    <row r="1295" spans="2:11">
      <c r="B1295">
        <f t="shared" ref="B1295:B1326" si="267">IF(($C$39-A95)&lt;0,0,"POZ"&amp;" "&amp;$N$61&amp;"."&amp;A95)</f>
        <v>0</v>
      </c>
      <c r="F1295" s="57" t="e">
        <f t="shared" si="265"/>
        <v>#N/A</v>
      </c>
      <c r="G1295" t="str">
        <f t="shared" si="266"/>
        <v/>
      </c>
      <c r="I1295" t="e">
        <f>VLOOKUP(F1295,'1PROJE'!$B$7:$F$26,2,0)</f>
        <v>#N/A</v>
      </c>
      <c r="J1295" t="e">
        <f>VLOOKUP(F1295,'1PROJE'!$B$7:$F$26,4,0)</f>
        <v>#N/A</v>
      </c>
      <c r="K1295" t="e">
        <f>VLOOKUP(F1295,'1PROJE'!$B$7:$F$26,5,0)</f>
        <v>#N/A</v>
      </c>
    </row>
    <row r="1296" spans="2:11">
      <c r="B1296">
        <f t="shared" si="267"/>
        <v>0</v>
      </c>
      <c r="F1296" s="57" t="e">
        <f t="shared" si="265"/>
        <v>#N/A</v>
      </c>
      <c r="G1296" t="str">
        <f t="shared" si="266"/>
        <v/>
      </c>
      <c r="I1296" t="e">
        <f>VLOOKUP(F1296,'1PROJE'!$B$7:$F$26,2,0)</f>
        <v>#N/A</v>
      </c>
      <c r="J1296" t="e">
        <f>VLOOKUP(F1296,'1PROJE'!$B$7:$F$26,4,0)</f>
        <v>#N/A</v>
      </c>
      <c r="K1296" t="e">
        <f>VLOOKUP(F1296,'1PROJE'!$B$7:$F$26,5,0)</f>
        <v>#N/A</v>
      </c>
    </row>
    <row r="1297" spans="2:11">
      <c r="B1297">
        <f t="shared" si="267"/>
        <v>0</v>
      </c>
      <c r="F1297" s="57" t="e">
        <f t="shared" si="265"/>
        <v>#N/A</v>
      </c>
      <c r="G1297" t="str">
        <f t="shared" si="266"/>
        <v/>
      </c>
      <c r="I1297" t="e">
        <f>VLOOKUP(F1297,'1PROJE'!$B$7:$F$26,2,0)</f>
        <v>#N/A</v>
      </c>
      <c r="J1297" t="e">
        <f>VLOOKUP(F1297,'1PROJE'!$B$7:$F$26,4,0)</f>
        <v>#N/A</v>
      </c>
      <c r="K1297" t="e">
        <f>VLOOKUP(F1297,'1PROJE'!$B$7:$F$26,5,0)</f>
        <v>#N/A</v>
      </c>
    </row>
    <row r="1298" spans="2:11">
      <c r="B1298">
        <f t="shared" si="267"/>
        <v>0</v>
      </c>
      <c r="F1298" s="57" t="e">
        <f t="shared" si="265"/>
        <v>#N/A</v>
      </c>
      <c r="G1298" t="str">
        <f t="shared" si="266"/>
        <v/>
      </c>
      <c r="I1298" t="e">
        <f>VLOOKUP(F1298,'1PROJE'!$B$7:$F$26,2,0)</f>
        <v>#N/A</v>
      </c>
      <c r="J1298" t="e">
        <f>VLOOKUP(F1298,'1PROJE'!$B$7:$F$26,4,0)</f>
        <v>#N/A</v>
      </c>
      <c r="K1298" t="e">
        <f>VLOOKUP(F1298,'1PROJE'!$B$7:$F$26,5,0)</f>
        <v>#N/A</v>
      </c>
    </row>
    <row r="1299" spans="2:11">
      <c r="B1299">
        <f t="shared" si="267"/>
        <v>0</v>
      </c>
      <c r="F1299" s="57" t="e">
        <f t="shared" si="265"/>
        <v>#N/A</v>
      </c>
      <c r="G1299" t="str">
        <f t="shared" si="266"/>
        <v/>
      </c>
      <c r="I1299" t="e">
        <f>VLOOKUP(F1299,'1PROJE'!$B$7:$F$26,2,0)</f>
        <v>#N/A</v>
      </c>
      <c r="J1299" t="e">
        <f>VLOOKUP(F1299,'1PROJE'!$B$7:$F$26,4,0)</f>
        <v>#N/A</v>
      </c>
      <c r="K1299" t="e">
        <f>VLOOKUP(F1299,'1PROJE'!$B$7:$F$26,5,0)</f>
        <v>#N/A</v>
      </c>
    </row>
    <row r="1300" spans="2:11">
      <c r="B1300">
        <f t="shared" si="267"/>
        <v>0</v>
      </c>
      <c r="F1300" s="57" t="e">
        <f t="shared" si="265"/>
        <v>#N/A</v>
      </c>
      <c r="G1300" t="str">
        <f t="shared" si="266"/>
        <v/>
      </c>
      <c r="I1300" t="e">
        <f>VLOOKUP(F1300,'1PROJE'!$B$7:$F$26,2,0)</f>
        <v>#N/A</v>
      </c>
      <c r="J1300" t="e">
        <f>VLOOKUP(F1300,'1PROJE'!$B$7:$F$26,4,0)</f>
        <v>#N/A</v>
      </c>
      <c r="K1300" t="e">
        <f>VLOOKUP(F1300,'1PROJE'!$B$7:$F$26,5,0)</f>
        <v>#N/A</v>
      </c>
    </row>
    <row r="1301" spans="2:11">
      <c r="B1301">
        <f t="shared" si="267"/>
        <v>0</v>
      </c>
      <c r="F1301" s="57" t="e">
        <f t="shared" si="265"/>
        <v>#N/A</v>
      </c>
      <c r="G1301" t="str">
        <f t="shared" si="266"/>
        <v/>
      </c>
      <c r="I1301" t="e">
        <f>VLOOKUP(F1301,'1PROJE'!$B$7:$F$26,2,0)</f>
        <v>#N/A</v>
      </c>
      <c r="J1301" t="e">
        <f>VLOOKUP(F1301,'1PROJE'!$B$7:$F$26,4,0)</f>
        <v>#N/A</v>
      </c>
      <c r="K1301" t="e">
        <f>VLOOKUP(F1301,'1PROJE'!$B$7:$F$26,5,0)</f>
        <v>#N/A</v>
      </c>
    </row>
    <row r="1302" spans="2:11">
      <c r="B1302">
        <f t="shared" si="267"/>
        <v>0</v>
      </c>
      <c r="F1302" s="57" t="e">
        <f t="shared" si="265"/>
        <v>#N/A</v>
      </c>
      <c r="G1302" t="str">
        <f t="shared" si="266"/>
        <v/>
      </c>
      <c r="I1302" t="e">
        <f>VLOOKUP(F1302,'1PROJE'!$B$7:$F$26,2,0)</f>
        <v>#N/A</v>
      </c>
      <c r="J1302" t="e">
        <f>VLOOKUP(F1302,'1PROJE'!$B$7:$F$26,4,0)</f>
        <v>#N/A</v>
      </c>
      <c r="K1302" t="e">
        <f>VLOOKUP(F1302,'1PROJE'!$B$7:$F$26,5,0)</f>
        <v>#N/A</v>
      </c>
    </row>
    <row r="1303" spans="2:11">
      <c r="B1303">
        <f t="shared" si="267"/>
        <v>0</v>
      </c>
      <c r="F1303" s="57" t="e">
        <f t="shared" si="265"/>
        <v>#N/A</v>
      </c>
      <c r="G1303" t="str">
        <f t="shared" si="266"/>
        <v/>
      </c>
      <c r="I1303" t="e">
        <f>VLOOKUP(F1303,'1PROJE'!$B$7:$F$26,2,0)</f>
        <v>#N/A</v>
      </c>
      <c r="J1303" t="e">
        <f>VLOOKUP(F1303,'1PROJE'!$B$7:$F$26,4,0)</f>
        <v>#N/A</v>
      </c>
      <c r="K1303" t="e">
        <f>VLOOKUP(F1303,'1PROJE'!$B$7:$F$26,5,0)</f>
        <v>#N/A</v>
      </c>
    </row>
    <row r="1304" spans="2:11">
      <c r="B1304">
        <f t="shared" si="267"/>
        <v>0</v>
      </c>
      <c r="F1304" s="57" t="e">
        <f t="shared" si="265"/>
        <v>#N/A</v>
      </c>
      <c r="G1304" t="str">
        <f t="shared" si="266"/>
        <v/>
      </c>
      <c r="I1304" t="e">
        <f>VLOOKUP(F1304,'1PROJE'!$B$7:$F$26,2,0)</f>
        <v>#N/A</v>
      </c>
      <c r="J1304" t="e">
        <f>VLOOKUP(F1304,'1PROJE'!$B$7:$F$26,4,0)</f>
        <v>#N/A</v>
      </c>
      <c r="K1304" t="e">
        <f>VLOOKUP(F1304,'1PROJE'!$B$7:$F$26,5,0)</f>
        <v>#N/A</v>
      </c>
    </row>
    <row r="1305" spans="2:11">
      <c r="B1305">
        <f t="shared" si="267"/>
        <v>0</v>
      </c>
      <c r="F1305" s="57" t="e">
        <f t="shared" si="265"/>
        <v>#N/A</v>
      </c>
      <c r="G1305" t="str">
        <f t="shared" si="266"/>
        <v/>
      </c>
      <c r="I1305" t="e">
        <f>VLOOKUP(F1305,'1PROJE'!$B$7:$F$26,2,0)</f>
        <v>#N/A</v>
      </c>
      <c r="J1305" t="e">
        <f>VLOOKUP(F1305,'1PROJE'!$B$7:$F$26,4,0)</f>
        <v>#N/A</v>
      </c>
      <c r="K1305" t="e">
        <f>VLOOKUP(F1305,'1PROJE'!$B$7:$F$26,5,0)</f>
        <v>#N/A</v>
      </c>
    </row>
    <row r="1306" spans="2:11">
      <c r="B1306">
        <f t="shared" si="267"/>
        <v>0</v>
      </c>
      <c r="F1306" s="57" t="e">
        <f t="shared" si="265"/>
        <v>#N/A</v>
      </c>
      <c r="G1306" t="str">
        <f t="shared" si="266"/>
        <v/>
      </c>
      <c r="I1306" t="e">
        <f>VLOOKUP(F1306,'1PROJE'!$B$7:$F$26,2,0)</f>
        <v>#N/A</v>
      </c>
      <c r="J1306" t="e">
        <f>VLOOKUP(F1306,'1PROJE'!$B$7:$F$26,4,0)</f>
        <v>#N/A</v>
      </c>
      <c r="K1306" t="e">
        <f>VLOOKUP(F1306,'1PROJE'!$B$7:$F$26,5,0)</f>
        <v>#N/A</v>
      </c>
    </row>
    <row r="1307" spans="2:11">
      <c r="B1307">
        <f t="shared" si="267"/>
        <v>0</v>
      </c>
      <c r="F1307" s="57" t="e">
        <f t="shared" si="265"/>
        <v>#N/A</v>
      </c>
      <c r="G1307" t="str">
        <f t="shared" si="266"/>
        <v/>
      </c>
      <c r="I1307" t="e">
        <f>VLOOKUP(F1307,'1PROJE'!$B$7:$F$26,2,0)</f>
        <v>#N/A</v>
      </c>
      <c r="J1307" t="e">
        <f>VLOOKUP(F1307,'1PROJE'!$B$7:$F$26,4,0)</f>
        <v>#N/A</v>
      </c>
      <c r="K1307" t="e">
        <f>VLOOKUP(F1307,'1PROJE'!$B$7:$F$26,5,0)</f>
        <v>#N/A</v>
      </c>
    </row>
    <row r="1308" spans="2:11">
      <c r="B1308">
        <f t="shared" si="267"/>
        <v>0</v>
      </c>
      <c r="F1308" s="57" t="e">
        <f t="shared" si="265"/>
        <v>#N/A</v>
      </c>
      <c r="G1308" t="str">
        <f t="shared" si="266"/>
        <v/>
      </c>
      <c r="I1308" t="e">
        <f>VLOOKUP(F1308,'1PROJE'!$B$7:$F$26,2,0)</f>
        <v>#N/A</v>
      </c>
      <c r="J1308" t="e">
        <f>VLOOKUP(F1308,'1PROJE'!$B$7:$F$26,4,0)</f>
        <v>#N/A</v>
      </c>
      <c r="K1308" t="e">
        <f>VLOOKUP(F1308,'1PROJE'!$B$7:$F$26,5,0)</f>
        <v>#N/A</v>
      </c>
    </row>
    <row r="1309" spans="2:11">
      <c r="B1309">
        <f t="shared" si="267"/>
        <v>0</v>
      </c>
      <c r="F1309" s="57" t="e">
        <f t="shared" si="265"/>
        <v>#N/A</v>
      </c>
      <c r="G1309" t="str">
        <f t="shared" si="266"/>
        <v/>
      </c>
      <c r="I1309" t="e">
        <f>VLOOKUP(F1309,'1PROJE'!$B$7:$F$26,2,0)</f>
        <v>#N/A</v>
      </c>
      <c r="J1309" t="e">
        <f>VLOOKUP(F1309,'1PROJE'!$B$7:$F$26,4,0)</f>
        <v>#N/A</v>
      </c>
      <c r="K1309" t="e">
        <f>VLOOKUP(F1309,'1PROJE'!$B$7:$F$26,5,0)</f>
        <v>#N/A</v>
      </c>
    </row>
    <row r="1310" spans="2:11">
      <c r="B1310">
        <f t="shared" si="267"/>
        <v>0</v>
      </c>
      <c r="F1310" s="57" t="e">
        <f t="shared" si="265"/>
        <v>#N/A</v>
      </c>
      <c r="G1310" t="str">
        <f t="shared" si="266"/>
        <v/>
      </c>
      <c r="I1310" t="e">
        <f>VLOOKUP(F1310,'1PROJE'!$B$7:$F$26,2,0)</f>
        <v>#N/A</v>
      </c>
      <c r="J1310" t="e">
        <f>VLOOKUP(F1310,'1PROJE'!$B$7:$F$26,4,0)</f>
        <v>#N/A</v>
      </c>
      <c r="K1310" t="e">
        <f>VLOOKUP(F1310,'1PROJE'!$B$7:$F$26,5,0)</f>
        <v>#N/A</v>
      </c>
    </row>
    <row r="1311" spans="2:11">
      <c r="B1311">
        <f t="shared" si="267"/>
        <v>0</v>
      </c>
      <c r="F1311" s="57" t="e">
        <f t="shared" si="265"/>
        <v>#N/A</v>
      </c>
      <c r="G1311" t="str">
        <f t="shared" si="266"/>
        <v/>
      </c>
      <c r="I1311" t="e">
        <f>VLOOKUP(F1311,'1PROJE'!$B$7:$F$26,2,0)</f>
        <v>#N/A</v>
      </c>
      <c r="J1311" t="e">
        <f>VLOOKUP(F1311,'1PROJE'!$B$7:$F$26,4,0)</f>
        <v>#N/A</v>
      </c>
      <c r="K1311" t="e">
        <f>VLOOKUP(F1311,'1PROJE'!$B$7:$F$26,5,0)</f>
        <v>#N/A</v>
      </c>
    </row>
    <row r="1312" spans="2:11">
      <c r="B1312">
        <f t="shared" si="267"/>
        <v>0</v>
      </c>
      <c r="F1312" s="57" t="e">
        <f t="shared" si="265"/>
        <v>#N/A</v>
      </c>
      <c r="G1312" t="str">
        <f t="shared" si="266"/>
        <v/>
      </c>
      <c r="I1312" t="e">
        <f>VLOOKUP(F1312,'1PROJE'!$B$7:$F$26,2,0)</f>
        <v>#N/A</v>
      </c>
      <c r="J1312" t="e">
        <f>VLOOKUP(F1312,'1PROJE'!$B$7:$F$26,4,0)</f>
        <v>#N/A</v>
      </c>
      <c r="K1312" t="e">
        <f>VLOOKUP(F1312,'1PROJE'!$B$7:$F$26,5,0)</f>
        <v>#N/A</v>
      </c>
    </row>
    <row r="1313" spans="2:11">
      <c r="B1313">
        <f t="shared" si="267"/>
        <v>0</v>
      </c>
      <c r="F1313" s="57" t="e">
        <f t="shared" si="265"/>
        <v>#N/A</v>
      </c>
      <c r="G1313" t="str">
        <f t="shared" si="266"/>
        <v/>
      </c>
      <c r="I1313" t="e">
        <f>VLOOKUP(F1313,'1PROJE'!$B$7:$F$26,2,0)</f>
        <v>#N/A</v>
      </c>
      <c r="J1313" t="e">
        <f>VLOOKUP(F1313,'1PROJE'!$B$7:$F$26,4,0)</f>
        <v>#N/A</v>
      </c>
      <c r="K1313" t="e">
        <f>VLOOKUP(F1313,'1PROJE'!$B$7:$F$26,5,0)</f>
        <v>#N/A</v>
      </c>
    </row>
    <row r="1314" spans="2:11">
      <c r="B1314">
        <f t="shared" si="267"/>
        <v>0</v>
      </c>
      <c r="F1314" s="57" t="e">
        <f t="shared" si="265"/>
        <v>#N/A</v>
      </c>
      <c r="G1314" t="str">
        <f t="shared" si="266"/>
        <v/>
      </c>
      <c r="I1314" t="e">
        <f>VLOOKUP(F1314,'1PROJE'!$B$7:$F$26,2,0)</f>
        <v>#N/A</v>
      </c>
      <c r="J1314" t="e">
        <f>VLOOKUP(F1314,'1PROJE'!$B$7:$F$26,4,0)</f>
        <v>#N/A</v>
      </c>
      <c r="K1314" t="e">
        <f>VLOOKUP(F1314,'1PROJE'!$B$7:$F$26,5,0)</f>
        <v>#N/A</v>
      </c>
    </row>
    <row r="1315" spans="2:11">
      <c r="B1315">
        <f t="shared" si="267"/>
        <v>0</v>
      </c>
      <c r="F1315" s="57" t="e">
        <f t="shared" si="265"/>
        <v>#N/A</v>
      </c>
      <c r="G1315" t="str">
        <f t="shared" si="266"/>
        <v/>
      </c>
      <c r="I1315" t="e">
        <f>VLOOKUP(F1315,'1PROJE'!$B$7:$F$26,2,0)</f>
        <v>#N/A</v>
      </c>
      <c r="J1315" t="e">
        <f>VLOOKUP(F1315,'1PROJE'!$B$7:$F$26,4,0)</f>
        <v>#N/A</v>
      </c>
      <c r="K1315" t="e">
        <f>VLOOKUP(F1315,'1PROJE'!$B$7:$F$26,5,0)</f>
        <v>#N/A</v>
      </c>
    </row>
    <row r="1316" spans="2:11">
      <c r="B1316">
        <f t="shared" si="267"/>
        <v>0</v>
      </c>
      <c r="F1316" s="57" t="e">
        <f t="shared" si="265"/>
        <v>#N/A</v>
      </c>
      <c r="G1316" t="str">
        <f t="shared" si="266"/>
        <v/>
      </c>
      <c r="I1316" t="e">
        <f>VLOOKUP(F1316,'1PROJE'!$B$7:$F$26,2,0)</f>
        <v>#N/A</v>
      </c>
      <c r="J1316" t="e">
        <f>VLOOKUP(F1316,'1PROJE'!$B$7:$F$26,4,0)</f>
        <v>#N/A</v>
      </c>
      <c r="K1316" t="e">
        <f>VLOOKUP(F1316,'1PROJE'!$B$7:$F$26,5,0)</f>
        <v>#N/A</v>
      </c>
    </row>
    <row r="1317" spans="2:11">
      <c r="B1317">
        <f t="shared" si="267"/>
        <v>0</v>
      </c>
      <c r="F1317" s="57" t="e">
        <f t="shared" si="265"/>
        <v>#N/A</v>
      </c>
      <c r="G1317" t="str">
        <f t="shared" si="266"/>
        <v/>
      </c>
      <c r="I1317" t="e">
        <f>VLOOKUP(F1317,'1PROJE'!$B$7:$F$26,2,0)</f>
        <v>#N/A</v>
      </c>
      <c r="J1317" t="e">
        <f>VLOOKUP(F1317,'1PROJE'!$B$7:$F$26,4,0)</f>
        <v>#N/A</v>
      </c>
      <c r="K1317" t="e">
        <f>VLOOKUP(F1317,'1PROJE'!$B$7:$F$26,5,0)</f>
        <v>#N/A</v>
      </c>
    </row>
    <row r="1318" spans="2:11">
      <c r="B1318">
        <f t="shared" si="267"/>
        <v>0</v>
      </c>
      <c r="F1318" s="57" t="e">
        <f t="shared" si="265"/>
        <v>#N/A</v>
      </c>
      <c r="G1318" t="str">
        <f t="shared" si="266"/>
        <v/>
      </c>
      <c r="I1318" t="e">
        <f>VLOOKUP(F1318,'1PROJE'!$B$7:$F$26,2,0)</f>
        <v>#N/A</v>
      </c>
      <c r="J1318" t="e">
        <f>VLOOKUP(F1318,'1PROJE'!$B$7:$F$26,4,0)</f>
        <v>#N/A</v>
      </c>
      <c r="K1318" t="e">
        <f>VLOOKUP(F1318,'1PROJE'!$B$7:$F$26,5,0)</f>
        <v>#N/A</v>
      </c>
    </row>
    <row r="1319" spans="2:11">
      <c r="B1319">
        <f t="shared" si="267"/>
        <v>0</v>
      </c>
      <c r="F1319" s="57" t="e">
        <f t="shared" si="265"/>
        <v>#N/A</v>
      </c>
      <c r="G1319" t="str">
        <f t="shared" si="266"/>
        <v/>
      </c>
      <c r="I1319" t="e">
        <f>VLOOKUP(F1319,'1PROJE'!$B$7:$F$26,2,0)</f>
        <v>#N/A</v>
      </c>
      <c r="J1319" t="e">
        <f>VLOOKUP(F1319,'1PROJE'!$B$7:$F$26,4,0)</f>
        <v>#N/A</v>
      </c>
      <c r="K1319" t="e">
        <f>VLOOKUP(F1319,'1PROJE'!$B$7:$F$26,5,0)</f>
        <v>#N/A</v>
      </c>
    </row>
    <row r="1320" spans="2:11">
      <c r="B1320">
        <f t="shared" si="267"/>
        <v>0</v>
      </c>
      <c r="F1320" s="57" t="e">
        <f t="shared" si="265"/>
        <v>#N/A</v>
      </c>
      <c r="G1320" t="str">
        <f t="shared" si="266"/>
        <v/>
      </c>
      <c r="I1320" t="e">
        <f>VLOOKUP(F1320,'1PROJE'!$B$7:$F$26,2,0)</f>
        <v>#N/A</v>
      </c>
      <c r="J1320" t="e">
        <f>VLOOKUP(F1320,'1PROJE'!$B$7:$F$26,4,0)</f>
        <v>#N/A</v>
      </c>
      <c r="K1320" t="e">
        <f>VLOOKUP(F1320,'1PROJE'!$B$7:$F$26,5,0)</f>
        <v>#N/A</v>
      </c>
    </row>
    <row r="1321" spans="2:11">
      <c r="B1321">
        <f t="shared" si="267"/>
        <v>0</v>
      </c>
      <c r="F1321" s="57" t="e">
        <f t="shared" si="265"/>
        <v>#N/A</v>
      </c>
      <c r="G1321" t="str">
        <f t="shared" si="266"/>
        <v/>
      </c>
      <c r="I1321" t="e">
        <f>VLOOKUP(F1321,'1PROJE'!$B$7:$F$26,2,0)</f>
        <v>#N/A</v>
      </c>
      <c r="J1321" t="e">
        <f>VLOOKUP(F1321,'1PROJE'!$B$7:$F$26,4,0)</f>
        <v>#N/A</v>
      </c>
      <c r="K1321" t="e">
        <f>VLOOKUP(F1321,'1PROJE'!$B$7:$F$26,5,0)</f>
        <v>#N/A</v>
      </c>
    </row>
    <row r="1322" spans="2:11">
      <c r="B1322">
        <f t="shared" si="267"/>
        <v>0</v>
      </c>
      <c r="F1322" s="57" t="e">
        <f t="shared" si="265"/>
        <v>#N/A</v>
      </c>
      <c r="G1322" t="str">
        <f t="shared" si="266"/>
        <v/>
      </c>
      <c r="I1322" t="e">
        <f>VLOOKUP(F1322,'1PROJE'!$B$7:$F$26,2,0)</f>
        <v>#N/A</v>
      </c>
      <c r="J1322" t="e">
        <f>VLOOKUP(F1322,'1PROJE'!$B$7:$F$26,4,0)</f>
        <v>#N/A</v>
      </c>
      <c r="K1322" t="e">
        <f>VLOOKUP(F1322,'1PROJE'!$B$7:$F$26,5,0)</f>
        <v>#N/A</v>
      </c>
    </row>
    <row r="1323" spans="2:11">
      <c r="B1323">
        <f t="shared" si="267"/>
        <v>0</v>
      </c>
      <c r="F1323" s="57" t="e">
        <f t="shared" si="265"/>
        <v>#N/A</v>
      </c>
      <c r="G1323" t="str">
        <f t="shared" si="266"/>
        <v/>
      </c>
      <c r="I1323" t="e">
        <f>VLOOKUP(F1323,'1PROJE'!$B$7:$F$26,2,0)</f>
        <v>#N/A</v>
      </c>
      <c r="J1323" t="e">
        <f>VLOOKUP(F1323,'1PROJE'!$B$7:$F$26,4,0)</f>
        <v>#N/A</v>
      </c>
      <c r="K1323" t="e">
        <f>VLOOKUP(F1323,'1PROJE'!$B$7:$F$26,5,0)</f>
        <v>#N/A</v>
      </c>
    </row>
    <row r="1324" spans="2:11">
      <c r="B1324">
        <f t="shared" si="267"/>
        <v>0</v>
      </c>
      <c r="F1324" s="57" t="e">
        <f t="shared" si="265"/>
        <v>#N/A</v>
      </c>
      <c r="G1324" t="str">
        <f t="shared" si="266"/>
        <v/>
      </c>
      <c r="I1324" t="e">
        <f>VLOOKUP(F1324,'1PROJE'!$B$7:$F$26,2,0)</f>
        <v>#N/A</v>
      </c>
      <c r="J1324" t="e">
        <f>VLOOKUP(F1324,'1PROJE'!$B$7:$F$26,4,0)</f>
        <v>#N/A</v>
      </c>
      <c r="K1324" t="e">
        <f>VLOOKUP(F1324,'1PROJE'!$B$7:$F$26,5,0)</f>
        <v>#N/A</v>
      </c>
    </row>
    <row r="1325" spans="2:11">
      <c r="B1325">
        <f t="shared" si="267"/>
        <v>0</v>
      </c>
      <c r="F1325" s="57" t="e">
        <f t="shared" si="265"/>
        <v>#N/A</v>
      </c>
      <c r="G1325" t="str">
        <f t="shared" si="266"/>
        <v/>
      </c>
      <c r="I1325" t="e">
        <f>VLOOKUP(F1325,'1PROJE'!$B$7:$F$26,2,0)</f>
        <v>#N/A</v>
      </c>
      <c r="J1325" t="e">
        <f>VLOOKUP(F1325,'1PROJE'!$B$7:$F$26,4,0)</f>
        <v>#N/A</v>
      </c>
      <c r="K1325" t="e">
        <f>VLOOKUP(F1325,'1PROJE'!$B$7:$F$26,5,0)</f>
        <v>#N/A</v>
      </c>
    </row>
    <row r="1326" spans="2:11">
      <c r="B1326">
        <f t="shared" si="267"/>
        <v>0</v>
      </c>
      <c r="F1326" s="57" t="e">
        <f t="shared" si="265"/>
        <v>#N/A</v>
      </c>
      <c r="G1326" t="str">
        <f t="shared" si="266"/>
        <v/>
      </c>
      <c r="I1326" t="e">
        <f>VLOOKUP(F1326,'1PROJE'!$B$7:$F$26,2,0)</f>
        <v>#N/A</v>
      </c>
      <c r="J1326" t="e">
        <f>VLOOKUP(F1326,'1PROJE'!$B$7:$F$26,4,0)</f>
        <v>#N/A</v>
      </c>
      <c r="K1326" t="e">
        <f>VLOOKUP(F1326,'1PROJE'!$B$7:$F$26,5,0)</f>
        <v>#N/A</v>
      </c>
    </row>
    <row r="1327" spans="2:11">
      <c r="B1327">
        <f t="shared" ref="B1327:B1358" si="268">IF(($C$39-A127)&lt;0,0,"POZ"&amp;" "&amp;$N$61&amp;"."&amp;A127)</f>
        <v>0</v>
      </c>
      <c r="F1327" s="57" t="e">
        <f t="shared" si="265"/>
        <v>#N/A</v>
      </c>
      <c r="G1327" t="str">
        <f t="shared" si="266"/>
        <v/>
      </c>
      <c r="I1327" t="e">
        <f>VLOOKUP(F1327,'1PROJE'!$B$7:$F$26,2,0)</f>
        <v>#N/A</v>
      </c>
      <c r="J1327" t="e">
        <f>VLOOKUP(F1327,'1PROJE'!$B$7:$F$26,4,0)</f>
        <v>#N/A</v>
      </c>
      <c r="K1327" t="e">
        <f>VLOOKUP(F1327,'1PROJE'!$B$7:$F$26,5,0)</f>
        <v>#N/A</v>
      </c>
    </row>
    <row r="1328" spans="2:11">
      <c r="B1328">
        <f t="shared" si="268"/>
        <v>0</v>
      </c>
      <c r="F1328" s="57" t="e">
        <f t="shared" si="265"/>
        <v>#N/A</v>
      </c>
      <c r="G1328" t="str">
        <f t="shared" si="266"/>
        <v/>
      </c>
      <c r="I1328" t="e">
        <f>VLOOKUP(F1328,'1PROJE'!$B$7:$F$26,2,0)</f>
        <v>#N/A</v>
      </c>
      <c r="J1328" t="e">
        <f>VLOOKUP(F1328,'1PROJE'!$B$7:$F$26,4,0)</f>
        <v>#N/A</v>
      </c>
      <c r="K1328" t="e">
        <f>VLOOKUP(F1328,'1PROJE'!$B$7:$F$26,5,0)</f>
        <v>#N/A</v>
      </c>
    </row>
    <row r="1329" spans="2:11">
      <c r="B1329">
        <f t="shared" si="268"/>
        <v>0</v>
      </c>
      <c r="F1329" s="57" t="e">
        <f t="shared" si="265"/>
        <v>#N/A</v>
      </c>
      <c r="G1329" t="str">
        <f t="shared" si="266"/>
        <v/>
      </c>
      <c r="I1329" t="e">
        <f>VLOOKUP(F1329,'1PROJE'!$B$7:$F$26,2,0)</f>
        <v>#N/A</v>
      </c>
      <c r="J1329" t="e">
        <f>VLOOKUP(F1329,'1PROJE'!$B$7:$F$26,4,0)</f>
        <v>#N/A</v>
      </c>
      <c r="K1329" t="e">
        <f>VLOOKUP(F1329,'1PROJE'!$B$7:$F$26,5,0)</f>
        <v>#N/A</v>
      </c>
    </row>
    <row r="1330" spans="2:11">
      <c r="B1330">
        <f t="shared" si="268"/>
        <v>0</v>
      </c>
      <c r="F1330" s="57" t="e">
        <f t="shared" si="265"/>
        <v>#N/A</v>
      </c>
      <c r="G1330" t="str">
        <f t="shared" si="266"/>
        <v/>
      </c>
      <c r="I1330" t="e">
        <f>VLOOKUP(F1330,'1PROJE'!$B$7:$F$26,2,0)</f>
        <v>#N/A</v>
      </c>
      <c r="J1330" t="e">
        <f>VLOOKUP(F1330,'1PROJE'!$B$7:$F$26,4,0)</f>
        <v>#N/A</v>
      </c>
      <c r="K1330" t="e">
        <f>VLOOKUP(F1330,'1PROJE'!$B$7:$F$26,5,0)</f>
        <v>#N/A</v>
      </c>
    </row>
    <row r="1331" spans="2:11">
      <c r="B1331">
        <f t="shared" si="268"/>
        <v>0</v>
      </c>
      <c r="F1331" s="57" t="e">
        <f t="shared" si="265"/>
        <v>#N/A</v>
      </c>
      <c r="G1331" t="str">
        <f t="shared" si="266"/>
        <v/>
      </c>
      <c r="I1331" t="e">
        <f>VLOOKUP(F1331,'1PROJE'!$B$7:$F$26,2,0)</f>
        <v>#N/A</v>
      </c>
      <c r="J1331" t="e">
        <f>VLOOKUP(F1331,'1PROJE'!$B$7:$F$26,4,0)</f>
        <v>#N/A</v>
      </c>
      <c r="K1331" t="e">
        <f>VLOOKUP(F1331,'1PROJE'!$B$7:$F$26,5,0)</f>
        <v>#N/A</v>
      </c>
    </row>
    <row r="1332" spans="2:11">
      <c r="B1332">
        <f t="shared" si="268"/>
        <v>0</v>
      </c>
      <c r="F1332" s="57" t="e">
        <f t="shared" si="265"/>
        <v>#N/A</v>
      </c>
      <c r="G1332" t="str">
        <f t="shared" si="266"/>
        <v/>
      </c>
      <c r="I1332" t="e">
        <f>VLOOKUP(F1332,'1PROJE'!$B$7:$F$26,2,0)</f>
        <v>#N/A</v>
      </c>
      <c r="J1332" t="e">
        <f>VLOOKUP(F1332,'1PROJE'!$B$7:$F$26,4,0)</f>
        <v>#N/A</v>
      </c>
      <c r="K1332" t="e">
        <f>VLOOKUP(F1332,'1PROJE'!$B$7:$F$26,5,0)</f>
        <v>#N/A</v>
      </c>
    </row>
    <row r="1333" spans="2:11">
      <c r="B1333">
        <f t="shared" si="268"/>
        <v>0</v>
      </c>
      <c r="F1333" s="57" t="e">
        <f t="shared" si="265"/>
        <v>#N/A</v>
      </c>
      <c r="G1333" t="str">
        <f t="shared" si="266"/>
        <v/>
      </c>
      <c r="I1333" t="e">
        <f>VLOOKUP(F1333,'1PROJE'!$B$7:$F$26,2,0)</f>
        <v>#N/A</v>
      </c>
      <c r="J1333" t="e">
        <f>VLOOKUP(F1333,'1PROJE'!$B$7:$F$26,4,0)</f>
        <v>#N/A</v>
      </c>
      <c r="K1333" t="e">
        <f>VLOOKUP(F1333,'1PROJE'!$B$7:$F$26,5,0)</f>
        <v>#N/A</v>
      </c>
    </row>
    <row r="1334" spans="2:11">
      <c r="B1334">
        <f t="shared" si="268"/>
        <v>0</v>
      </c>
      <c r="F1334" s="57" t="e">
        <f t="shared" si="265"/>
        <v>#N/A</v>
      </c>
      <c r="G1334" t="str">
        <f t="shared" si="266"/>
        <v/>
      </c>
      <c r="I1334" t="e">
        <f>VLOOKUP(F1334,'1PROJE'!$B$7:$F$26,2,0)</f>
        <v>#N/A</v>
      </c>
      <c r="J1334" t="e">
        <f>VLOOKUP(F1334,'1PROJE'!$B$7:$F$26,4,0)</f>
        <v>#N/A</v>
      </c>
      <c r="K1334" t="e">
        <f>VLOOKUP(F1334,'1PROJE'!$B$7:$F$26,5,0)</f>
        <v>#N/A</v>
      </c>
    </row>
    <row r="1335" spans="2:11">
      <c r="B1335">
        <f t="shared" si="268"/>
        <v>0</v>
      </c>
      <c r="F1335" s="57" t="e">
        <f t="shared" si="265"/>
        <v>#N/A</v>
      </c>
      <c r="G1335" t="str">
        <f t="shared" si="266"/>
        <v/>
      </c>
      <c r="I1335" t="e">
        <f>VLOOKUP(F1335,'1PROJE'!$B$7:$F$26,2,0)</f>
        <v>#N/A</v>
      </c>
      <c r="J1335" t="e">
        <f>VLOOKUP(F1335,'1PROJE'!$B$7:$F$26,4,0)</f>
        <v>#N/A</v>
      </c>
      <c r="K1335" t="e">
        <f>VLOOKUP(F1335,'1PROJE'!$B$7:$F$26,5,0)</f>
        <v>#N/A</v>
      </c>
    </row>
    <row r="1336" spans="2:11">
      <c r="B1336">
        <f t="shared" si="268"/>
        <v>0</v>
      </c>
      <c r="F1336" s="57" t="e">
        <f t="shared" si="265"/>
        <v>#N/A</v>
      </c>
      <c r="G1336" t="str">
        <f t="shared" si="266"/>
        <v/>
      </c>
      <c r="I1336" t="e">
        <f>VLOOKUP(F1336,'1PROJE'!$B$7:$F$26,2,0)</f>
        <v>#N/A</v>
      </c>
      <c r="J1336" t="e">
        <f>VLOOKUP(F1336,'1PROJE'!$B$7:$F$26,4,0)</f>
        <v>#N/A</v>
      </c>
      <c r="K1336" t="e">
        <f>VLOOKUP(F1336,'1PROJE'!$B$7:$F$26,5,0)</f>
        <v>#N/A</v>
      </c>
    </row>
    <row r="1337" spans="2:11">
      <c r="B1337">
        <f t="shared" si="268"/>
        <v>0</v>
      </c>
      <c r="F1337" s="57" t="e">
        <f t="shared" si="265"/>
        <v>#N/A</v>
      </c>
      <c r="G1337" t="str">
        <f t="shared" si="266"/>
        <v/>
      </c>
      <c r="I1337" t="e">
        <f>VLOOKUP(F1337,'1PROJE'!$B$7:$F$26,2,0)</f>
        <v>#N/A</v>
      </c>
      <c r="J1337" t="e">
        <f>VLOOKUP(F1337,'1PROJE'!$B$7:$F$26,4,0)</f>
        <v>#N/A</v>
      </c>
      <c r="K1337" t="e">
        <f>VLOOKUP(F1337,'1PROJE'!$B$7:$F$26,5,0)</f>
        <v>#N/A</v>
      </c>
    </row>
    <row r="1338" spans="2:11">
      <c r="B1338">
        <f t="shared" si="268"/>
        <v>0</v>
      </c>
      <c r="F1338" s="57" t="e">
        <f t="shared" si="265"/>
        <v>#N/A</v>
      </c>
      <c r="G1338" t="str">
        <f t="shared" si="266"/>
        <v/>
      </c>
      <c r="I1338" t="e">
        <f>VLOOKUP(F1338,'1PROJE'!$B$7:$F$26,2,0)</f>
        <v>#N/A</v>
      </c>
      <c r="J1338" t="e">
        <f>VLOOKUP(F1338,'1PROJE'!$B$7:$F$26,4,0)</f>
        <v>#N/A</v>
      </c>
      <c r="K1338" t="e">
        <f>VLOOKUP(F1338,'1PROJE'!$B$7:$F$26,5,0)</f>
        <v>#N/A</v>
      </c>
    </row>
    <row r="1339" spans="2:11">
      <c r="B1339">
        <f t="shared" si="268"/>
        <v>0</v>
      </c>
      <c r="F1339" s="57" t="e">
        <f t="shared" si="265"/>
        <v>#N/A</v>
      </c>
      <c r="G1339" t="str">
        <f t="shared" si="266"/>
        <v/>
      </c>
      <c r="I1339" t="e">
        <f>VLOOKUP(F1339,'1PROJE'!$B$7:$F$26,2,0)</f>
        <v>#N/A</v>
      </c>
      <c r="J1339" t="e">
        <f>VLOOKUP(F1339,'1PROJE'!$B$7:$F$26,4,0)</f>
        <v>#N/A</v>
      </c>
      <c r="K1339" t="e">
        <f>VLOOKUP(F1339,'1PROJE'!$B$7:$F$26,5,0)</f>
        <v>#N/A</v>
      </c>
    </row>
    <row r="1340" spans="2:11">
      <c r="B1340">
        <f t="shared" si="268"/>
        <v>0</v>
      </c>
      <c r="F1340" s="57" t="e">
        <f t="shared" si="265"/>
        <v>#N/A</v>
      </c>
      <c r="G1340" t="str">
        <f t="shared" si="266"/>
        <v/>
      </c>
      <c r="I1340" t="e">
        <f>VLOOKUP(F1340,'1PROJE'!$B$7:$F$26,2,0)</f>
        <v>#N/A</v>
      </c>
      <c r="J1340" t="e">
        <f>VLOOKUP(F1340,'1PROJE'!$B$7:$F$26,4,0)</f>
        <v>#N/A</v>
      </c>
      <c r="K1340" t="e">
        <f>VLOOKUP(F1340,'1PROJE'!$B$7:$F$26,5,0)</f>
        <v>#N/A</v>
      </c>
    </row>
    <row r="1341" spans="2:11">
      <c r="B1341">
        <f t="shared" si="268"/>
        <v>0</v>
      </c>
      <c r="F1341" s="57" t="e">
        <f t="shared" si="265"/>
        <v>#N/A</v>
      </c>
      <c r="G1341" t="str">
        <f t="shared" si="266"/>
        <v/>
      </c>
      <c r="I1341" t="e">
        <f>VLOOKUP(F1341,'1PROJE'!$B$7:$F$26,2,0)</f>
        <v>#N/A</v>
      </c>
      <c r="J1341" t="e">
        <f>VLOOKUP(F1341,'1PROJE'!$B$7:$F$26,4,0)</f>
        <v>#N/A</v>
      </c>
      <c r="K1341" t="e">
        <f>VLOOKUP(F1341,'1PROJE'!$B$7:$F$26,5,0)</f>
        <v>#N/A</v>
      </c>
    </row>
    <row r="1342" spans="2:11">
      <c r="B1342">
        <f t="shared" si="268"/>
        <v>0</v>
      </c>
      <c r="F1342" s="57" t="e">
        <f t="shared" si="265"/>
        <v>#N/A</v>
      </c>
      <c r="G1342" t="str">
        <f t="shared" si="266"/>
        <v/>
      </c>
      <c r="I1342" t="e">
        <f>VLOOKUP(F1342,'1PROJE'!$B$7:$F$26,2,0)</f>
        <v>#N/A</v>
      </c>
      <c r="J1342" t="e">
        <f>VLOOKUP(F1342,'1PROJE'!$B$7:$F$26,4,0)</f>
        <v>#N/A</v>
      </c>
      <c r="K1342" t="e">
        <f>VLOOKUP(F1342,'1PROJE'!$B$7:$F$26,5,0)</f>
        <v>#N/A</v>
      </c>
    </row>
    <row r="1343" spans="2:11">
      <c r="B1343">
        <f t="shared" si="268"/>
        <v>0</v>
      </c>
      <c r="F1343" s="57" t="e">
        <f t="shared" si="265"/>
        <v>#N/A</v>
      </c>
      <c r="G1343" t="str">
        <f t="shared" si="266"/>
        <v/>
      </c>
      <c r="I1343" t="e">
        <f>VLOOKUP(F1343,'1PROJE'!$B$7:$F$26,2,0)</f>
        <v>#N/A</v>
      </c>
      <c r="J1343" t="e">
        <f>VLOOKUP(F1343,'1PROJE'!$B$7:$F$26,4,0)</f>
        <v>#N/A</v>
      </c>
      <c r="K1343" t="e">
        <f>VLOOKUP(F1343,'1PROJE'!$B$7:$F$26,5,0)</f>
        <v>#N/A</v>
      </c>
    </row>
    <row r="1344" spans="2:11">
      <c r="B1344">
        <f t="shared" si="268"/>
        <v>0</v>
      </c>
      <c r="F1344" s="57" t="e">
        <f t="shared" si="265"/>
        <v>#N/A</v>
      </c>
      <c r="G1344" t="str">
        <f t="shared" si="266"/>
        <v/>
      </c>
      <c r="I1344" t="e">
        <f>VLOOKUP(F1344,'1PROJE'!$B$7:$F$26,2,0)</f>
        <v>#N/A</v>
      </c>
      <c r="J1344" t="e">
        <f>VLOOKUP(F1344,'1PROJE'!$B$7:$F$26,4,0)</f>
        <v>#N/A</v>
      </c>
      <c r="K1344" t="e">
        <f>VLOOKUP(F1344,'1PROJE'!$B$7:$F$26,5,0)</f>
        <v>#N/A</v>
      </c>
    </row>
    <row r="1345" spans="2:11">
      <c r="B1345">
        <f t="shared" si="268"/>
        <v>0</v>
      </c>
      <c r="F1345" s="57" t="e">
        <f t="shared" si="265"/>
        <v>#N/A</v>
      </c>
      <c r="G1345" t="str">
        <f t="shared" si="266"/>
        <v/>
      </c>
      <c r="I1345" t="e">
        <f>VLOOKUP(F1345,'1PROJE'!$B$7:$F$26,2,0)</f>
        <v>#N/A</v>
      </c>
      <c r="J1345" t="e">
        <f>VLOOKUP(F1345,'1PROJE'!$B$7:$F$26,4,0)</f>
        <v>#N/A</v>
      </c>
      <c r="K1345" t="e">
        <f>VLOOKUP(F1345,'1PROJE'!$B$7:$F$26,5,0)</f>
        <v>#N/A</v>
      </c>
    </row>
    <row r="1346" spans="2:11">
      <c r="B1346">
        <f t="shared" si="268"/>
        <v>0</v>
      </c>
      <c r="F1346" s="57" t="e">
        <f t="shared" si="265"/>
        <v>#N/A</v>
      </c>
      <c r="G1346" t="str">
        <f t="shared" si="266"/>
        <v/>
      </c>
      <c r="I1346" t="e">
        <f>VLOOKUP(F1346,'1PROJE'!$B$7:$F$26,2,0)</f>
        <v>#N/A</v>
      </c>
      <c r="J1346" t="e">
        <f>VLOOKUP(F1346,'1PROJE'!$B$7:$F$26,4,0)</f>
        <v>#N/A</v>
      </c>
      <c r="K1346" t="e">
        <f>VLOOKUP(F1346,'1PROJE'!$B$7:$F$26,5,0)</f>
        <v>#N/A</v>
      </c>
    </row>
    <row r="1347" spans="2:11">
      <c r="B1347">
        <f t="shared" si="268"/>
        <v>0</v>
      </c>
      <c r="F1347" s="57" t="e">
        <f t="shared" si="265"/>
        <v>#N/A</v>
      </c>
      <c r="G1347" t="str">
        <f t="shared" si="266"/>
        <v/>
      </c>
      <c r="I1347" t="e">
        <f>VLOOKUP(F1347,'1PROJE'!$B$7:$F$26,2,0)</f>
        <v>#N/A</v>
      </c>
      <c r="J1347" t="e">
        <f>VLOOKUP(F1347,'1PROJE'!$B$7:$F$26,4,0)</f>
        <v>#N/A</v>
      </c>
      <c r="K1347" t="e">
        <f>VLOOKUP(F1347,'1PROJE'!$B$7:$F$26,5,0)</f>
        <v>#N/A</v>
      </c>
    </row>
    <row r="1348" spans="2:11">
      <c r="B1348">
        <f t="shared" si="268"/>
        <v>0</v>
      </c>
      <c r="F1348" s="57" t="e">
        <f t="shared" si="265"/>
        <v>#N/A</v>
      </c>
      <c r="G1348" t="str">
        <f t="shared" si="266"/>
        <v/>
      </c>
      <c r="I1348" t="e">
        <f>VLOOKUP(F1348,'1PROJE'!$B$7:$F$26,2,0)</f>
        <v>#N/A</v>
      </c>
      <c r="J1348" t="e">
        <f>VLOOKUP(F1348,'1PROJE'!$B$7:$F$26,4,0)</f>
        <v>#N/A</v>
      </c>
      <c r="K1348" t="e">
        <f>VLOOKUP(F1348,'1PROJE'!$B$7:$F$26,5,0)</f>
        <v>#N/A</v>
      </c>
    </row>
    <row r="1349" spans="2:11">
      <c r="B1349">
        <f t="shared" si="268"/>
        <v>0</v>
      </c>
      <c r="F1349" s="57" t="e">
        <f t="shared" si="265"/>
        <v>#N/A</v>
      </c>
      <c r="G1349" t="str">
        <f t="shared" si="266"/>
        <v/>
      </c>
      <c r="I1349" t="e">
        <f>VLOOKUP(F1349,'1PROJE'!$B$7:$F$26,2,0)</f>
        <v>#N/A</v>
      </c>
      <c r="J1349" t="e">
        <f>VLOOKUP(F1349,'1PROJE'!$B$7:$F$26,4,0)</f>
        <v>#N/A</v>
      </c>
      <c r="K1349" t="e">
        <f>VLOOKUP(F1349,'1PROJE'!$B$7:$F$26,5,0)</f>
        <v>#N/A</v>
      </c>
    </row>
    <row r="1350" spans="2:11">
      <c r="B1350">
        <f t="shared" si="268"/>
        <v>0</v>
      </c>
      <c r="F1350" s="57" t="e">
        <f t="shared" si="265"/>
        <v>#N/A</v>
      </c>
      <c r="G1350" t="str">
        <f t="shared" si="266"/>
        <v/>
      </c>
      <c r="I1350" t="e">
        <f>VLOOKUP(F1350,'1PROJE'!$B$7:$F$26,2,0)</f>
        <v>#N/A</v>
      </c>
      <c r="J1350" t="e">
        <f>VLOOKUP(F1350,'1PROJE'!$B$7:$F$26,4,0)</f>
        <v>#N/A</v>
      </c>
      <c r="K1350" t="e">
        <f>VLOOKUP(F1350,'1PROJE'!$B$7:$F$26,5,0)</f>
        <v>#N/A</v>
      </c>
    </row>
    <row r="1351" spans="2:11">
      <c r="B1351">
        <f t="shared" si="268"/>
        <v>0</v>
      </c>
      <c r="F1351" s="57" t="e">
        <f t="shared" si="265"/>
        <v>#N/A</v>
      </c>
      <c r="G1351" t="str">
        <f t="shared" si="266"/>
        <v/>
      </c>
      <c r="I1351" t="e">
        <f>VLOOKUP(F1351,'1PROJE'!$B$7:$F$26,2,0)</f>
        <v>#N/A</v>
      </c>
      <c r="J1351" t="e">
        <f>VLOOKUP(F1351,'1PROJE'!$B$7:$F$26,4,0)</f>
        <v>#N/A</v>
      </c>
      <c r="K1351" t="e">
        <f>VLOOKUP(F1351,'1PROJE'!$B$7:$F$26,5,0)</f>
        <v>#N/A</v>
      </c>
    </row>
    <row r="1352" spans="2:11">
      <c r="B1352">
        <f t="shared" si="268"/>
        <v>0</v>
      </c>
      <c r="F1352" s="57" t="e">
        <f t="shared" si="265"/>
        <v>#N/A</v>
      </c>
      <c r="G1352" t="str">
        <f t="shared" si="266"/>
        <v/>
      </c>
      <c r="I1352" t="e">
        <f>VLOOKUP(F1352,'1PROJE'!$B$7:$F$26,2,0)</f>
        <v>#N/A</v>
      </c>
      <c r="J1352" t="e">
        <f>VLOOKUP(F1352,'1PROJE'!$B$7:$F$26,4,0)</f>
        <v>#N/A</v>
      </c>
      <c r="K1352" t="e">
        <f>VLOOKUP(F1352,'1PROJE'!$B$7:$F$26,5,0)</f>
        <v>#N/A</v>
      </c>
    </row>
    <row r="1353" spans="2:11">
      <c r="B1353">
        <f t="shared" si="268"/>
        <v>0</v>
      </c>
      <c r="F1353" s="57" t="e">
        <f t="shared" si="265"/>
        <v>#N/A</v>
      </c>
      <c r="G1353" t="str">
        <f t="shared" si="266"/>
        <v/>
      </c>
      <c r="I1353" t="e">
        <f>VLOOKUP(F1353,'1PROJE'!$B$7:$F$26,2,0)</f>
        <v>#N/A</v>
      </c>
      <c r="J1353" t="e">
        <f>VLOOKUP(F1353,'1PROJE'!$B$7:$F$26,4,0)</f>
        <v>#N/A</v>
      </c>
      <c r="K1353" t="e">
        <f>VLOOKUP(F1353,'1PROJE'!$B$7:$F$26,5,0)</f>
        <v>#N/A</v>
      </c>
    </row>
    <row r="1354" spans="2:11">
      <c r="B1354">
        <f t="shared" si="268"/>
        <v>0</v>
      </c>
      <c r="F1354" s="57" t="e">
        <f t="shared" si="265"/>
        <v>#N/A</v>
      </c>
      <c r="G1354" t="str">
        <f t="shared" si="266"/>
        <v/>
      </c>
      <c r="I1354" t="e">
        <f>VLOOKUP(F1354,'1PROJE'!$B$7:$F$26,2,0)</f>
        <v>#N/A</v>
      </c>
      <c r="J1354" t="e">
        <f>VLOOKUP(F1354,'1PROJE'!$B$7:$F$26,4,0)</f>
        <v>#N/A</v>
      </c>
      <c r="K1354" t="e">
        <f>VLOOKUP(F1354,'1PROJE'!$B$7:$F$26,5,0)</f>
        <v>#N/A</v>
      </c>
    </row>
    <row r="1355" spans="2:11">
      <c r="B1355">
        <f t="shared" si="268"/>
        <v>0</v>
      </c>
      <c r="F1355" s="57" t="e">
        <f t="shared" ref="F1355:F1418" si="269">VLOOKUP(G1355,$C$64:$D$83,2,0)</f>
        <v>#N/A</v>
      </c>
      <c r="G1355" t="str">
        <f t="shared" ref="G1355:G1418" si="270">LEFT(H1355,6)</f>
        <v/>
      </c>
      <c r="I1355" t="e">
        <f>VLOOKUP(F1355,'1PROJE'!$B$7:$F$26,2,0)</f>
        <v>#N/A</v>
      </c>
      <c r="J1355" t="e">
        <f>VLOOKUP(F1355,'1PROJE'!$B$7:$F$26,4,0)</f>
        <v>#N/A</v>
      </c>
      <c r="K1355" t="e">
        <f>VLOOKUP(F1355,'1PROJE'!$B$7:$F$26,5,0)</f>
        <v>#N/A</v>
      </c>
    </row>
    <row r="1356" spans="2:11">
      <c r="B1356">
        <f t="shared" si="268"/>
        <v>0</v>
      </c>
      <c r="F1356" s="57" t="e">
        <f t="shared" si="269"/>
        <v>#N/A</v>
      </c>
      <c r="G1356" t="str">
        <f t="shared" si="270"/>
        <v/>
      </c>
      <c r="I1356" t="e">
        <f>VLOOKUP(F1356,'1PROJE'!$B$7:$F$26,2,0)</f>
        <v>#N/A</v>
      </c>
      <c r="J1356" t="e">
        <f>VLOOKUP(F1356,'1PROJE'!$B$7:$F$26,4,0)</f>
        <v>#N/A</v>
      </c>
      <c r="K1356" t="e">
        <f>VLOOKUP(F1356,'1PROJE'!$B$7:$F$26,5,0)</f>
        <v>#N/A</v>
      </c>
    </row>
    <row r="1357" spans="2:11">
      <c r="B1357">
        <f t="shared" si="268"/>
        <v>0</v>
      </c>
      <c r="F1357" s="57" t="e">
        <f t="shared" si="269"/>
        <v>#N/A</v>
      </c>
      <c r="G1357" t="str">
        <f t="shared" si="270"/>
        <v/>
      </c>
      <c r="I1357" t="e">
        <f>VLOOKUP(F1357,'1PROJE'!$B$7:$F$26,2,0)</f>
        <v>#N/A</v>
      </c>
      <c r="J1357" t="e">
        <f>VLOOKUP(F1357,'1PROJE'!$B$7:$F$26,4,0)</f>
        <v>#N/A</v>
      </c>
      <c r="K1357" t="e">
        <f>VLOOKUP(F1357,'1PROJE'!$B$7:$F$26,5,0)</f>
        <v>#N/A</v>
      </c>
    </row>
    <row r="1358" spans="2:11">
      <c r="B1358">
        <f t="shared" si="268"/>
        <v>0</v>
      </c>
      <c r="F1358" s="57" t="e">
        <f t="shared" si="269"/>
        <v>#N/A</v>
      </c>
      <c r="G1358" t="str">
        <f t="shared" si="270"/>
        <v/>
      </c>
      <c r="I1358" t="e">
        <f>VLOOKUP(F1358,'1PROJE'!$B$7:$F$26,2,0)</f>
        <v>#N/A</v>
      </c>
      <c r="J1358" t="e">
        <f>VLOOKUP(F1358,'1PROJE'!$B$7:$F$26,4,0)</f>
        <v>#N/A</v>
      </c>
      <c r="K1358" t="e">
        <f>VLOOKUP(F1358,'1PROJE'!$B$7:$F$26,5,0)</f>
        <v>#N/A</v>
      </c>
    </row>
    <row r="1359" spans="2:11">
      <c r="B1359">
        <f t="shared" ref="B1359:B1361" si="271">IF(($C$39-A159)&lt;0,0,"POZ"&amp;" "&amp;$N$61&amp;"."&amp;A159)</f>
        <v>0</v>
      </c>
      <c r="F1359" s="57" t="e">
        <f t="shared" si="269"/>
        <v>#N/A</v>
      </c>
      <c r="G1359" t="str">
        <f t="shared" si="270"/>
        <v/>
      </c>
      <c r="I1359" t="e">
        <f>VLOOKUP(F1359,'1PROJE'!$B$7:$F$26,2,0)</f>
        <v>#N/A</v>
      </c>
      <c r="J1359" t="e">
        <f>VLOOKUP(F1359,'1PROJE'!$B$7:$F$26,4,0)</f>
        <v>#N/A</v>
      </c>
      <c r="K1359" t="e">
        <f>VLOOKUP(F1359,'1PROJE'!$B$7:$F$26,5,0)</f>
        <v>#N/A</v>
      </c>
    </row>
    <row r="1360" spans="2:11">
      <c r="B1360">
        <f t="shared" si="271"/>
        <v>0</v>
      </c>
      <c r="F1360" s="57" t="e">
        <f t="shared" si="269"/>
        <v>#N/A</v>
      </c>
      <c r="G1360" t="str">
        <f t="shared" si="270"/>
        <v/>
      </c>
      <c r="I1360" t="e">
        <f>VLOOKUP(F1360,'1PROJE'!$B$7:$F$26,2,0)</f>
        <v>#N/A</v>
      </c>
      <c r="J1360" t="e">
        <f>VLOOKUP(F1360,'1PROJE'!$B$7:$F$26,4,0)</f>
        <v>#N/A</v>
      </c>
      <c r="K1360" t="e">
        <f>VLOOKUP(F1360,'1PROJE'!$B$7:$F$26,5,0)</f>
        <v>#N/A</v>
      </c>
    </row>
    <row r="1361" spans="2:11">
      <c r="B1361">
        <f t="shared" si="271"/>
        <v>0</v>
      </c>
      <c r="F1361" s="57" t="e">
        <f t="shared" si="269"/>
        <v>#N/A</v>
      </c>
      <c r="G1361" t="str">
        <f t="shared" si="270"/>
        <v/>
      </c>
      <c r="I1361" t="e">
        <f>VLOOKUP(F1361,'1PROJE'!$B$7:$F$26,2,0)</f>
        <v>#N/A</v>
      </c>
      <c r="J1361" t="e">
        <f>VLOOKUP(F1361,'1PROJE'!$B$7:$F$26,4,0)</f>
        <v>#N/A</v>
      </c>
      <c r="K1361" t="e">
        <f>VLOOKUP(F1361,'1PROJE'!$B$7:$F$26,5,0)</f>
        <v>#N/A</v>
      </c>
    </row>
    <row r="1362" spans="2:11">
      <c r="B1362">
        <f>IF(C40=0,0,IF(($C$40-A62)=0,"POZ 14.","POZ"&amp;" "&amp;$O$61&amp;"."&amp;A62))</f>
        <v>0</v>
      </c>
      <c r="F1362" s="57" t="e">
        <f t="shared" si="269"/>
        <v>#N/A</v>
      </c>
      <c r="G1362" t="str">
        <f t="shared" si="270"/>
        <v/>
      </c>
      <c r="I1362" t="e">
        <f>VLOOKUP(F1362,'1PROJE'!$B$7:$F$26,2,0)</f>
        <v>#N/A</v>
      </c>
      <c r="J1362" t="e">
        <f>VLOOKUP(F1362,'1PROJE'!$B$7:$F$26,4,0)</f>
        <v>#N/A</v>
      </c>
      <c r="K1362" t="e">
        <f>VLOOKUP(F1362,'1PROJE'!$B$7:$F$26,5,0)</f>
        <v>#N/A</v>
      </c>
    </row>
    <row r="1363" spans="2:11">
      <c r="B1363">
        <f t="shared" ref="B1363:B1394" si="272">IF(($C$40-A63)&lt;0,0,"POZ"&amp;" "&amp;$O$61&amp;"."&amp;A63)</f>
        <v>0</v>
      </c>
      <c r="F1363" s="57" t="e">
        <f t="shared" si="269"/>
        <v>#N/A</v>
      </c>
      <c r="G1363" t="str">
        <f t="shared" si="270"/>
        <v/>
      </c>
      <c r="I1363" t="e">
        <f>VLOOKUP(F1363,'1PROJE'!$B$7:$F$26,2,0)</f>
        <v>#N/A</v>
      </c>
      <c r="J1363" t="e">
        <f>VLOOKUP(F1363,'1PROJE'!$B$7:$F$26,4,0)</f>
        <v>#N/A</v>
      </c>
      <c r="K1363" t="e">
        <f>VLOOKUP(F1363,'1PROJE'!$B$7:$F$26,5,0)</f>
        <v>#N/A</v>
      </c>
    </row>
    <row r="1364" spans="2:11">
      <c r="B1364">
        <f t="shared" si="272"/>
        <v>0</v>
      </c>
      <c r="F1364" s="57" t="e">
        <f t="shared" si="269"/>
        <v>#N/A</v>
      </c>
      <c r="G1364" t="str">
        <f t="shared" si="270"/>
        <v/>
      </c>
      <c r="I1364" t="e">
        <f>VLOOKUP(F1364,'1PROJE'!$B$7:$F$26,2,0)</f>
        <v>#N/A</v>
      </c>
      <c r="J1364" t="e">
        <f>VLOOKUP(F1364,'1PROJE'!$B$7:$F$26,4,0)</f>
        <v>#N/A</v>
      </c>
      <c r="K1364" t="e">
        <f>VLOOKUP(F1364,'1PROJE'!$B$7:$F$26,5,0)</f>
        <v>#N/A</v>
      </c>
    </row>
    <row r="1365" spans="2:11">
      <c r="B1365">
        <f t="shared" si="272"/>
        <v>0</v>
      </c>
      <c r="F1365" s="57" t="e">
        <f t="shared" si="269"/>
        <v>#N/A</v>
      </c>
      <c r="G1365" t="str">
        <f t="shared" si="270"/>
        <v/>
      </c>
      <c r="I1365" t="e">
        <f>VLOOKUP(F1365,'1PROJE'!$B$7:$F$26,2,0)</f>
        <v>#N/A</v>
      </c>
      <c r="J1365" t="e">
        <f>VLOOKUP(F1365,'1PROJE'!$B$7:$F$26,4,0)</f>
        <v>#N/A</v>
      </c>
      <c r="K1365" t="e">
        <f>VLOOKUP(F1365,'1PROJE'!$B$7:$F$26,5,0)</f>
        <v>#N/A</v>
      </c>
    </row>
    <row r="1366" spans="2:11">
      <c r="B1366">
        <f t="shared" si="272"/>
        <v>0</v>
      </c>
      <c r="F1366" s="57" t="e">
        <f t="shared" si="269"/>
        <v>#N/A</v>
      </c>
      <c r="G1366" t="str">
        <f t="shared" si="270"/>
        <v/>
      </c>
      <c r="I1366" t="e">
        <f>VLOOKUP(F1366,'1PROJE'!$B$7:$F$26,2,0)</f>
        <v>#N/A</v>
      </c>
      <c r="J1366" t="e">
        <f>VLOOKUP(F1366,'1PROJE'!$B$7:$F$26,4,0)</f>
        <v>#N/A</v>
      </c>
      <c r="K1366" t="e">
        <f>VLOOKUP(F1366,'1PROJE'!$B$7:$F$26,5,0)</f>
        <v>#N/A</v>
      </c>
    </row>
    <row r="1367" spans="2:11">
      <c r="B1367">
        <f t="shared" si="272"/>
        <v>0</v>
      </c>
      <c r="F1367" s="57" t="e">
        <f t="shared" si="269"/>
        <v>#N/A</v>
      </c>
      <c r="G1367" t="str">
        <f t="shared" si="270"/>
        <v/>
      </c>
      <c r="I1367" t="e">
        <f>VLOOKUP(F1367,'1PROJE'!$B$7:$F$26,2,0)</f>
        <v>#N/A</v>
      </c>
      <c r="J1367" t="e">
        <f>VLOOKUP(F1367,'1PROJE'!$B$7:$F$26,4,0)</f>
        <v>#N/A</v>
      </c>
      <c r="K1367" t="e">
        <f>VLOOKUP(F1367,'1PROJE'!$B$7:$F$26,5,0)</f>
        <v>#N/A</v>
      </c>
    </row>
    <row r="1368" spans="2:11">
      <c r="B1368">
        <f t="shared" si="272"/>
        <v>0</v>
      </c>
      <c r="F1368" s="57" t="e">
        <f t="shared" si="269"/>
        <v>#N/A</v>
      </c>
      <c r="G1368" t="str">
        <f t="shared" si="270"/>
        <v/>
      </c>
      <c r="I1368" t="e">
        <f>VLOOKUP(F1368,'1PROJE'!$B$7:$F$26,2,0)</f>
        <v>#N/A</v>
      </c>
      <c r="J1368" t="e">
        <f>VLOOKUP(F1368,'1PROJE'!$B$7:$F$26,4,0)</f>
        <v>#N/A</v>
      </c>
      <c r="K1368" t="e">
        <f>VLOOKUP(F1368,'1PROJE'!$B$7:$F$26,5,0)</f>
        <v>#N/A</v>
      </c>
    </row>
    <row r="1369" spans="2:11">
      <c r="B1369">
        <f t="shared" si="272"/>
        <v>0</v>
      </c>
      <c r="F1369" s="57" t="e">
        <f t="shared" si="269"/>
        <v>#N/A</v>
      </c>
      <c r="G1369" t="str">
        <f t="shared" si="270"/>
        <v/>
      </c>
      <c r="I1369" t="e">
        <f>VLOOKUP(F1369,'1PROJE'!$B$7:$F$26,2,0)</f>
        <v>#N/A</v>
      </c>
      <c r="J1369" t="e">
        <f>VLOOKUP(F1369,'1PROJE'!$B$7:$F$26,4,0)</f>
        <v>#N/A</v>
      </c>
      <c r="K1369" t="e">
        <f>VLOOKUP(F1369,'1PROJE'!$B$7:$F$26,5,0)</f>
        <v>#N/A</v>
      </c>
    </row>
    <row r="1370" spans="2:11">
      <c r="B1370">
        <f t="shared" si="272"/>
        <v>0</v>
      </c>
      <c r="F1370" s="57" t="e">
        <f t="shared" si="269"/>
        <v>#N/A</v>
      </c>
      <c r="G1370" t="str">
        <f t="shared" si="270"/>
        <v/>
      </c>
      <c r="I1370" t="e">
        <f>VLOOKUP(F1370,'1PROJE'!$B$7:$F$26,2,0)</f>
        <v>#N/A</v>
      </c>
      <c r="J1370" t="e">
        <f>VLOOKUP(F1370,'1PROJE'!$B$7:$F$26,4,0)</f>
        <v>#N/A</v>
      </c>
      <c r="K1370" t="e">
        <f>VLOOKUP(F1370,'1PROJE'!$B$7:$F$26,5,0)</f>
        <v>#N/A</v>
      </c>
    </row>
    <row r="1371" spans="2:11">
      <c r="B1371">
        <f t="shared" si="272"/>
        <v>0</v>
      </c>
      <c r="F1371" s="57" t="e">
        <f t="shared" si="269"/>
        <v>#N/A</v>
      </c>
      <c r="G1371" t="str">
        <f t="shared" si="270"/>
        <v/>
      </c>
      <c r="I1371" t="e">
        <f>VLOOKUP(F1371,'1PROJE'!$B$7:$F$26,2,0)</f>
        <v>#N/A</v>
      </c>
      <c r="J1371" t="e">
        <f>VLOOKUP(F1371,'1PROJE'!$B$7:$F$26,4,0)</f>
        <v>#N/A</v>
      </c>
      <c r="K1371" t="e">
        <f>VLOOKUP(F1371,'1PROJE'!$B$7:$F$26,5,0)</f>
        <v>#N/A</v>
      </c>
    </row>
    <row r="1372" spans="2:11">
      <c r="B1372">
        <f t="shared" si="272"/>
        <v>0</v>
      </c>
      <c r="F1372" s="57" t="e">
        <f t="shared" si="269"/>
        <v>#N/A</v>
      </c>
      <c r="G1372" t="str">
        <f t="shared" si="270"/>
        <v/>
      </c>
      <c r="I1372" t="e">
        <f>VLOOKUP(F1372,'1PROJE'!$B$7:$F$26,2,0)</f>
        <v>#N/A</v>
      </c>
      <c r="J1372" t="e">
        <f>VLOOKUP(F1372,'1PROJE'!$B$7:$F$26,4,0)</f>
        <v>#N/A</v>
      </c>
      <c r="K1372" t="e">
        <f>VLOOKUP(F1372,'1PROJE'!$B$7:$F$26,5,0)</f>
        <v>#N/A</v>
      </c>
    </row>
    <row r="1373" spans="2:11">
      <c r="B1373">
        <f t="shared" si="272"/>
        <v>0</v>
      </c>
      <c r="F1373" s="57" t="e">
        <f t="shared" si="269"/>
        <v>#N/A</v>
      </c>
      <c r="G1373" t="str">
        <f t="shared" si="270"/>
        <v/>
      </c>
      <c r="I1373" t="e">
        <f>VLOOKUP(F1373,'1PROJE'!$B$7:$F$26,2,0)</f>
        <v>#N/A</v>
      </c>
      <c r="J1373" t="e">
        <f>VLOOKUP(F1373,'1PROJE'!$B$7:$F$26,4,0)</f>
        <v>#N/A</v>
      </c>
      <c r="K1373" t="e">
        <f>VLOOKUP(F1373,'1PROJE'!$B$7:$F$26,5,0)</f>
        <v>#N/A</v>
      </c>
    </row>
    <row r="1374" spans="2:11">
      <c r="B1374">
        <f t="shared" si="272"/>
        <v>0</v>
      </c>
      <c r="F1374" s="57" t="e">
        <f t="shared" si="269"/>
        <v>#N/A</v>
      </c>
      <c r="G1374" t="str">
        <f t="shared" si="270"/>
        <v/>
      </c>
      <c r="I1374" t="e">
        <f>VLOOKUP(F1374,'1PROJE'!$B$7:$F$26,2,0)</f>
        <v>#N/A</v>
      </c>
      <c r="J1374" t="e">
        <f>VLOOKUP(F1374,'1PROJE'!$B$7:$F$26,4,0)</f>
        <v>#N/A</v>
      </c>
      <c r="K1374" t="e">
        <f>VLOOKUP(F1374,'1PROJE'!$B$7:$F$26,5,0)</f>
        <v>#N/A</v>
      </c>
    </row>
    <row r="1375" spans="2:11">
      <c r="B1375">
        <f t="shared" si="272"/>
        <v>0</v>
      </c>
      <c r="F1375" s="57" t="e">
        <f t="shared" si="269"/>
        <v>#N/A</v>
      </c>
      <c r="G1375" t="str">
        <f t="shared" si="270"/>
        <v/>
      </c>
      <c r="I1375" t="e">
        <f>VLOOKUP(F1375,'1PROJE'!$B$7:$F$26,2,0)</f>
        <v>#N/A</v>
      </c>
      <c r="J1375" t="e">
        <f>VLOOKUP(F1375,'1PROJE'!$B$7:$F$26,4,0)</f>
        <v>#N/A</v>
      </c>
      <c r="K1375" t="e">
        <f>VLOOKUP(F1375,'1PROJE'!$B$7:$F$26,5,0)</f>
        <v>#N/A</v>
      </c>
    </row>
    <row r="1376" spans="2:11">
      <c r="B1376">
        <f t="shared" si="272"/>
        <v>0</v>
      </c>
      <c r="F1376" s="57" t="e">
        <f t="shared" si="269"/>
        <v>#N/A</v>
      </c>
      <c r="G1376" t="str">
        <f t="shared" si="270"/>
        <v/>
      </c>
      <c r="I1376" t="e">
        <f>VLOOKUP(F1376,'1PROJE'!$B$7:$F$26,2,0)</f>
        <v>#N/A</v>
      </c>
      <c r="J1376" t="e">
        <f>VLOOKUP(F1376,'1PROJE'!$B$7:$F$26,4,0)</f>
        <v>#N/A</v>
      </c>
      <c r="K1376" t="e">
        <f>VLOOKUP(F1376,'1PROJE'!$B$7:$F$26,5,0)</f>
        <v>#N/A</v>
      </c>
    </row>
    <row r="1377" spans="2:11">
      <c r="B1377">
        <f t="shared" si="272"/>
        <v>0</v>
      </c>
      <c r="F1377" s="57" t="e">
        <f t="shared" si="269"/>
        <v>#N/A</v>
      </c>
      <c r="G1377" t="str">
        <f t="shared" si="270"/>
        <v/>
      </c>
      <c r="I1377" t="e">
        <f>VLOOKUP(F1377,'1PROJE'!$B$7:$F$26,2,0)</f>
        <v>#N/A</v>
      </c>
      <c r="J1377" t="e">
        <f>VLOOKUP(F1377,'1PROJE'!$B$7:$F$26,4,0)</f>
        <v>#N/A</v>
      </c>
      <c r="K1377" t="e">
        <f>VLOOKUP(F1377,'1PROJE'!$B$7:$F$26,5,0)</f>
        <v>#N/A</v>
      </c>
    </row>
    <row r="1378" spans="2:11">
      <c r="B1378">
        <f t="shared" si="272"/>
        <v>0</v>
      </c>
      <c r="F1378" s="57" t="e">
        <f t="shared" si="269"/>
        <v>#N/A</v>
      </c>
      <c r="G1378" t="str">
        <f t="shared" si="270"/>
        <v/>
      </c>
      <c r="I1378" t="e">
        <f>VLOOKUP(F1378,'1PROJE'!$B$7:$F$26,2,0)</f>
        <v>#N/A</v>
      </c>
      <c r="J1378" t="e">
        <f>VLOOKUP(F1378,'1PROJE'!$B$7:$F$26,4,0)</f>
        <v>#N/A</v>
      </c>
      <c r="K1378" t="e">
        <f>VLOOKUP(F1378,'1PROJE'!$B$7:$F$26,5,0)</f>
        <v>#N/A</v>
      </c>
    </row>
    <row r="1379" spans="2:11">
      <c r="B1379">
        <f t="shared" si="272"/>
        <v>0</v>
      </c>
      <c r="F1379" s="57" t="e">
        <f t="shared" si="269"/>
        <v>#N/A</v>
      </c>
      <c r="G1379" t="str">
        <f t="shared" si="270"/>
        <v/>
      </c>
      <c r="I1379" t="e">
        <f>VLOOKUP(F1379,'1PROJE'!$B$7:$F$26,2,0)</f>
        <v>#N/A</v>
      </c>
      <c r="J1379" t="e">
        <f>VLOOKUP(F1379,'1PROJE'!$B$7:$F$26,4,0)</f>
        <v>#N/A</v>
      </c>
      <c r="K1379" t="e">
        <f>VLOOKUP(F1379,'1PROJE'!$B$7:$F$26,5,0)</f>
        <v>#N/A</v>
      </c>
    </row>
    <row r="1380" spans="2:11">
      <c r="B1380">
        <f t="shared" si="272"/>
        <v>0</v>
      </c>
      <c r="F1380" s="57" t="e">
        <f t="shared" si="269"/>
        <v>#N/A</v>
      </c>
      <c r="G1380" t="str">
        <f t="shared" si="270"/>
        <v/>
      </c>
      <c r="I1380" t="e">
        <f>VLOOKUP(F1380,'1PROJE'!$B$7:$F$26,2,0)</f>
        <v>#N/A</v>
      </c>
      <c r="J1380" t="e">
        <f>VLOOKUP(F1380,'1PROJE'!$B$7:$F$26,4,0)</f>
        <v>#N/A</v>
      </c>
      <c r="K1380" t="e">
        <f>VLOOKUP(F1380,'1PROJE'!$B$7:$F$26,5,0)</f>
        <v>#N/A</v>
      </c>
    </row>
    <row r="1381" spans="2:11">
      <c r="B1381">
        <f t="shared" si="272"/>
        <v>0</v>
      </c>
      <c r="F1381" s="57" t="e">
        <f t="shared" si="269"/>
        <v>#N/A</v>
      </c>
      <c r="G1381" t="str">
        <f t="shared" si="270"/>
        <v/>
      </c>
      <c r="I1381" t="e">
        <f>VLOOKUP(F1381,'1PROJE'!$B$7:$F$26,2,0)</f>
        <v>#N/A</v>
      </c>
      <c r="J1381" t="e">
        <f>VLOOKUP(F1381,'1PROJE'!$B$7:$F$26,4,0)</f>
        <v>#N/A</v>
      </c>
      <c r="K1381" t="e">
        <f>VLOOKUP(F1381,'1PROJE'!$B$7:$F$26,5,0)</f>
        <v>#N/A</v>
      </c>
    </row>
    <row r="1382" spans="2:11">
      <c r="B1382">
        <f t="shared" si="272"/>
        <v>0</v>
      </c>
      <c r="F1382" s="57" t="e">
        <f t="shared" si="269"/>
        <v>#N/A</v>
      </c>
      <c r="G1382" t="str">
        <f t="shared" si="270"/>
        <v/>
      </c>
      <c r="I1382" t="e">
        <f>VLOOKUP(F1382,'1PROJE'!$B$7:$F$26,2,0)</f>
        <v>#N/A</v>
      </c>
      <c r="J1382" t="e">
        <f>VLOOKUP(F1382,'1PROJE'!$B$7:$F$26,4,0)</f>
        <v>#N/A</v>
      </c>
      <c r="K1382" t="e">
        <f>VLOOKUP(F1382,'1PROJE'!$B$7:$F$26,5,0)</f>
        <v>#N/A</v>
      </c>
    </row>
    <row r="1383" spans="2:11">
      <c r="B1383">
        <f t="shared" si="272"/>
        <v>0</v>
      </c>
      <c r="F1383" s="57" t="e">
        <f t="shared" si="269"/>
        <v>#N/A</v>
      </c>
      <c r="G1383" t="str">
        <f t="shared" si="270"/>
        <v/>
      </c>
      <c r="I1383" t="e">
        <f>VLOOKUP(F1383,'1PROJE'!$B$7:$F$26,2,0)</f>
        <v>#N/A</v>
      </c>
      <c r="J1383" t="e">
        <f>VLOOKUP(F1383,'1PROJE'!$B$7:$F$26,4,0)</f>
        <v>#N/A</v>
      </c>
      <c r="K1383" t="e">
        <f>VLOOKUP(F1383,'1PROJE'!$B$7:$F$26,5,0)</f>
        <v>#N/A</v>
      </c>
    </row>
    <row r="1384" spans="2:11">
      <c r="B1384">
        <f t="shared" si="272"/>
        <v>0</v>
      </c>
      <c r="F1384" s="57" t="e">
        <f t="shared" si="269"/>
        <v>#N/A</v>
      </c>
      <c r="G1384" t="str">
        <f t="shared" si="270"/>
        <v/>
      </c>
      <c r="I1384" t="e">
        <f>VLOOKUP(F1384,'1PROJE'!$B$7:$F$26,2,0)</f>
        <v>#N/A</v>
      </c>
      <c r="J1384" t="e">
        <f>VLOOKUP(F1384,'1PROJE'!$B$7:$F$26,4,0)</f>
        <v>#N/A</v>
      </c>
      <c r="K1384" t="e">
        <f>VLOOKUP(F1384,'1PROJE'!$B$7:$F$26,5,0)</f>
        <v>#N/A</v>
      </c>
    </row>
    <row r="1385" spans="2:11">
      <c r="B1385">
        <f t="shared" si="272"/>
        <v>0</v>
      </c>
      <c r="F1385" s="57" t="e">
        <f t="shared" si="269"/>
        <v>#N/A</v>
      </c>
      <c r="G1385" t="str">
        <f t="shared" si="270"/>
        <v/>
      </c>
      <c r="I1385" t="e">
        <f>VLOOKUP(F1385,'1PROJE'!$B$7:$F$26,2,0)</f>
        <v>#N/A</v>
      </c>
      <c r="J1385" t="e">
        <f>VLOOKUP(F1385,'1PROJE'!$B$7:$F$26,4,0)</f>
        <v>#N/A</v>
      </c>
      <c r="K1385" t="e">
        <f>VLOOKUP(F1385,'1PROJE'!$B$7:$F$26,5,0)</f>
        <v>#N/A</v>
      </c>
    </row>
    <row r="1386" spans="2:11">
      <c r="B1386">
        <f t="shared" si="272"/>
        <v>0</v>
      </c>
      <c r="F1386" s="57" t="e">
        <f t="shared" si="269"/>
        <v>#N/A</v>
      </c>
      <c r="G1386" t="str">
        <f t="shared" si="270"/>
        <v/>
      </c>
      <c r="I1386" t="e">
        <f>VLOOKUP(F1386,'1PROJE'!$B$7:$F$26,2,0)</f>
        <v>#N/A</v>
      </c>
      <c r="J1386" t="e">
        <f>VLOOKUP(F1386,'1PROJE'!$B$7:$F$26,4,0)</f>
        <v>#N/A</v>
      </c>
      <c r="K1386" t="e">
        <f>VLOOKUP(F1386,'1PROJE'!$B$7:$F$26,5,0)</f>
        <v>#N/A</v>
      </c>
    </row>
    <row r="1387" spans="2:11">
      <c r="B1387">
        <f t="shared" si="272"/>
        <v>0</v>
      </c>
      <c r="F1387" s="57" t="e">
        <f t="shared" si="269"/>
        <v>#N/A</v>
      </c>
      <c r="G1387" t="str">
        <f t="shared" si="270"/>
        <v/>
      </c>
      <c r="I1387" t="e">
        <f>VLOOKUP(F1387,'1PROJE'!$B$7:$F$26,2,0)</f>
        <v>#N/A</v>
      </c>
      <c r="J1387" t="e">
        <f>VLOOKUP(F1387,'1PROJE'!$B$7:$F$26,4,0)</f>
        <v>#N/A</v>
      </c>
      <c r="K1387" t="e">
        <f>VLOOKUP(F1387,'1PROJE'!$B$7:$F$26,5,0)</f>
        <v>#N/A</v>
      </c>
    </row>
    <row r="1388" spans="2:11">
      <c r="B1388">
        <f t="shared" si="272"/>
        <v>0</v>
      </c>
      <c r="F1388" s="57" t="e">
        <f t="shared" si="269"/>
        <v>#N/A</v>
      </c>
      <c r="G1388" t="str">
        <f t="shared" si="270"/>
        <v/>
      </c>
      <c r="I1388" t="e">
        <f>VLOOKUP(F1388,'1PROJE'!$B$7:$F$26,2,0)</f>
        <v>#N/A</v>
      </c>
      <c r="J1388" t="e">
        <f>VLOOKUP(F1388,'1PROJE'!$B$7:$F$26,4,0)</f>
        <v>#N/A</v>
      </c>
      <c r="K1388" t="e">
        <f>VLOOKUP(F1388,'1PROJE'!$B$7:$F$26,5,0)</f>
        <v>#N/A</v>
      </c>
    </row>
    <row r="1389" spans="2:11">
      <c r="B1389">
        <f t="shared" si="272"/>
        <v>0</v>
      </c>
      <c r="F1389" s="57" t="e">
        <f t="shared" si="269"/>
        <v>#N/A</v>
      </c>
      <c r="G1389" t="str">
        <f t="shared" si="270"/>
        <v/>
      </c>
      <c r="I1389" t="e">
        <f>VLOOKUP(F1389,'1PROJE'!$B$7:$F$26,2,0)</f>
        <v>#N/A</v>
      </c>
      <c r="J1389" t="e">
        <f>VLOOKUP(F1389,'1PROJE'!$B$7:$F$26,4,0)</f>
        <v>#N/A</v>
      </c>
      <c r="K1389" t="e">
        <f>VLOOKUP(F1389,'1PROJE'!$B$7:$F$26,5,0)</f>
        <v>#N/A</v>
      </c>
    </row>
    <row r="1390" spans="2:11">
      <c r="B1390">
        <f t="shared" si="272"/>
        <v>0</v>
      </c>
      <c r="F1390" s="57" t="e">
        <f t="shared" si="269"/>
        <v>#N/A</v>
      </c>
      <c r="G1390" t="str">
        <f t="shared" si="270"/>
        <v/>
      </c>
      <c r="I1390" t="e">
        <f>VLOOKUP(F1390,'1PROJE'!$B$7:$F$26,2,0)</f>
        <v>#N/A</v>
      </c>
      <c r="J1390" t="e">
        <f>VLOOKUP(F1390,'1PROJE'!$B$7:$F$26,4,0)</f>
        <v>#N/A</v>
      </c>
      <c r="K1390" t="e">
        <f>VLOOKUP(F1390,'1PROJE'!$B$7:$F$26,5,0)</f>
        <v>#N/A</v>
      </c>
    </row>
    <row r="1391" spans="2:11">
      <c r="B1391">
        <f t="shared" si="272"/>
        <v>0</v>
      </c>
      <c r="F1391" s="57" t="e">
        <f t="shared" si="269"/>
        <v>#N/A</v>
      </c>
      <c r="G1391" t="str">
        <f t="shared" si="270"/>
        <v/>
      </c>
      <c r="I1391" t="e">
        <f>VLOOKUP(F1391,'1PROJE'!$B$7:$F$26,2,0)</f>
        <v>#N/A</v>
      </c>
      <c r="J1391" t="e">
        <f>VLOOKUP(F1391,'1PROJE'!$B$7:$F$26,4,0)</f>
        <v>#N/A</v>
      </c>
      <c r="K1391" t="e">
        <f>VLOOKUP(F1391,'1PROJE'!$B$7:$F$26,5,0)</f>
        <v>#N/A</v>
      </c>
    </row>
    <row r="1392" spans="2:11">
      <c r="B1392">
        <f t="shared" si="272"/>
        <v>0</v>
      </c>
      <c r="F1392" s="57" t="e">
        <f t="shared" si="269"/>
        <v>#N/A</v>
      </c>
      <c r="G1392" t="str">
        <f t="shared" si="270"/>
        <v/>
      </c>
      <c r="I1392" t="e">
        <f>VLOOKUP(F1392,'1PROJE'!$B$7:$F$26,2,0)</f>
        <v>#N/A</v>
      </c>
      <c r="J1392" t="e">
        <f>VLOOKUP(F1392,'1PROJE'!$B$7:$F$26,4,0)</f>
        <v>#N/A</v>
      </c>
      <c r="K1392" t="e">
        <f>VLOOKUP(F1392,'1PROJE'!$B$7:$F$26,5,0)</f>
        <v>#N/A</v>
      </c>
    </row>
    <row r="1393" spans="2:11">
      <c r="B1393">
        <f t="shared" si="272"/>
        <v>0</v>
      </c>
      <c r="F1393" s="57" t="e">
        <f t="shared" si="269"/>
        <v>#N/A</v>
      </c>
      <c r="G1393" t="str">
        <f t="shared" si="270"/>
        <v/>
      </c>
      <c r="I1393" t="e">
        <f>VLOOKUP(F1393,'1PROJE'!$B$7:$F$26,2,0)</f>
        <v>#N/A</v>
      </c>
      <c r="J1393" t="e">
        <f>VLOOKUP(F1393,'1PROJE'!$B$7:$F$26,4,0)</f>
        <v>#N/A</v>
      </c>
      <c r="K1393" t="e">
        <f>VLOOKUP(F1393,'1PROJE'!$B$7:$F$26,5,0)</f>
        <v>#N/A</v>
      </c>
    </row>
    <row r="1394" spans="2:11">
      <c r="B1394">
        <f t="shared" si="272"/>
        <v>0</v>
      </c>
      <c r="F1394" s="57" t="e">
        <f t="shared" si="269"/>
        <v>#N/A</v>
      </c>
      <c r="G1394" t="str">
        <f t="shared" si="270"/>
        <v/>
      </c>
      <c r="I1394" t="e">
        <f>VLOOKUP(F1394,'1PROJE'!$B$7:$F$26,2,0)</f>
        <v>#N/A</v>
      </c>
      <c r="J1394" t="e">
        <f>VLOOKUP(F1394,'1PROJE'!$B$7:$F$26,4,0)</f>
        <v>#N/A</v>
      </c>
      <c r="K1394" t="e">
        <f>VLOOKUP(F1394,'1PROJE'!$B$7:$F$26,5,0)</f>
        <v>#N/A</v>
      </c>
    </row>
    <row r="1395" spans="2:11">
      <c r="B1395">
        <f t="shared" ref="B1395:B1426" si="273">IF(($C$40-A95)&lt;0,0,"POZ"&amp;" "&amp;$O$61&amp;"."&amp;A95)</f>
        <v>0</v>
      </c>
      <c r="F1395" s="57" t="e">
        <f t="shared" si="269"/>
        <v>#N/A</v>
      </c>
      <c r="G1395" t="str">
        <f t="shared" si="270"/>
        <v/>
      </c>
      <c r="I1395" t="e">
        <f>VLOOKUP(F1395,'1PROJE'!$B$7:$F$26,2,0)</f>
        <v>#N/A</v>
      </c>
      <c r="J1395" t="e">
        <f>VLOOKUP(F1395,'1PROJE'!$B$7:$F$26,4,0)</f>
        <v>#N/A</v>
      </c>
      <c r="K1395" t="e">
        <f>VLOOKUP(F1395,'1PROJE'!$B$7:$F$26,5,0)</f>
        <v>#N/A</v>
      </c>
    </row>
    <row r="1396" spans="2:11">
      <c r="B1396">
        <f t="shared" si="273"/>
        <v>0</v>
      </c>
      <c r="F1396" s="57" t="e">
        <f t="shared" si="269"/>
        <v>#N/A</v>
      </c>
      <c r="G1396" t="str">
        <f t="shared" si="270"/>
        <v/>
      </c>
      <c r="I1396" t="e">
        <f>VLOOKUP(F1396,'1PROJE'!$B$7:$F$26,2,0)</f>
        <v>#N/A</v>
      </c>
      <c r="J1396" t="e">
        <f>VLOOKUP(F1396,'1PROJE'!$B$7:$F$26,4,0)</f>
        <v>#N/A</v>
      </c>
      <c r="K1396" t="e">
        <f>VLOOKUP(F1396,'1PROJE'!$B$7:$F$26,5,0)</f>
        <v>#N/A</v>
      </c>
    </row>
    <row r="1397" spans="2:11">
      <c r="B1397">
        <f t="shared" si="273"/>
        <v>0</v>
      </c>
      <c r="F1397" s="57" t="e">
        <f t="shared" si="269"/>
        <v>#N/A</v>
      </c>
      <c r="G1397" t="str">
        <f t="shared" si="270"/>
        <v/>
      </c>
      <c r="I1397" t="e">
        <f>VLOOKUP(F1397,'1PROJE'!$B$7:$F$26,2,0)</f>
        <v>#N/A</v>
      </c>
      <c r="J1397" t="e">
        <f>VLOOKUP(F1397,'1PROJE'!$B$7:$F$26,4,0)</f>
        <v>#N/A</v>
      </c>
      <c r="K1397" t="e">
        <f>VLOOKUP(F1397,'1PROJE'!$B$7:$F$26,5,0)</f>
        <v>#N/A</v>
      </c>
    </row>
    <row r="1398" spans="2:11">
      <c r="B1398">
        <f t="shared" si="273"/>
        <v>0</v>
      </c>
      <c r="F1398" s="57" t="e">
        <f t="shared" si="269"/>
        <v>#N/A</v>
      </c>
      <c r="G1398" t="str">
        <f t="shared" si="270"/>
        <v/>
      </c>
      <c r="I1398" t="e">
        <f>VLOOKUP(F1398,'1PROJE'!$B$7:$F$26,2,0)</f>
        <v>#N/A</v>
      </c>
      <c r="J1398" t="e">
        <f>VLOOKUP(F1398,'1PROJE'!$B$7:$F$26,4,0)</f>
        <v>#N/A</v>
      </c>
      <c r="K1398" t="e">
        <f>VLOOKUP(F1398,'1PROJE'!$B$7:$F$26,5,0)</f>
        <v>#N/A</v>
      </c>
    </row>
    <row r="1399" spans="2:11">
      <c r="B1399">
        <f t="shared" si="273"/>
        <v>0</v>
      </c>
      <c r="F1399" s="57" t="e">
        <f t="shared" si="269"/>
        <v>#N/A</v>
      </c>
      <c r="G1399" t="str">
        <f t="shared" si="270"/>
        <v/>
      </c>
      <c r="I1399" t="e">
        <f>VLOOKUP(F1399,'1PROJE'!$B$7:$F$26,2,0)</f>
        <v>#N/A</v>
      </c>
      <c r="J1399" t="e">
        <f>VLOOKUP(F1399,'1PROJE'!$B$7:$F$26,4,0)</f>
        <v>#N/A</v>
      </c>
      <c r="K1399" t="e">
        <f>VLOOKUP(F1399,'1PROJE'!$B$7:$F$26,5,0)</f>
        <v>#N/A</v>
      </c>
    </row>
    <row r="1400" spans="2:11">
      <c r="B1400">
        <f t="shared" si="273"/>
        <v>0</v>
      </c>
      <c r="F1400" s="57" t="e">
        <f t="shared" si="269"/>
        <v>#N/A</v>
      </c>
      <c r="G1400" t="str">
        <f t="shared" si="270"/>
        <v/>
      </c>
      <c r="I1400" t="e">
        <f>VLOOKUP(F1400,'1PROJE'!$B$7:$F$26,2,0)</f>
        <v>#N/A</v>
      </c>
      <c r="J1400" t="e">
        <f>VLOOKUP(F1400,'1PROJE'!$B$7:$F$26,4,0)</f>
        <v>#N/A</v>
      </c>
      <c r="K1400" t="e">
        <f>VLOOKUP(F1400,'1PROJE'!$B$7:$F$26,5,0)</f>
        <v>#N/A</v>
      </c>
    </row>
    <row r="1401" spans="2:11">
      <c r="B1401">
        <f t="shared" si="273"/>
        <v>0</v>
      </c>
      <c r="F1401" s="57" t="e">
        <f t="shared" si="269"/>
        <v>#N/A</v>
      </c>
      <c r="G1401" t="str">
        <f t="shared" si="270"/>
        <v/>
      </c>
      <c r="I1401" t="e">
        <f>VLOOKUP(F1401,'1PROJE'!$B$7:$F$26,2,0)</f>
        <v>#N/A</v>
      </c>
      <c r="J1401" t="e">
        <f>VLOOKUP(F1401,'1PROJE'!$B$7:$F$26,4,0)</f>
        <v>#N/A</v>
      </c>
      <c r="K1401" t="e">
        <f>VLOOKUP(F1401,'1PROJE'!$B$7:$F$26,5,0)</f>
        <v>#N/A</v>
      </c>
    </row>
    <row r="1402" spans="2:11">
      <c r="B1402">
        <f t="shared" si="273"/>
        <v>0</v>
      </c>
      <c r="F1402" s="57" t="e">
        <f t="shared" si="269"/>
        <v>#N/A</v>
      </c>
      <c r="G1402" t="str">
        <f t="shared" si="270"/>
        <v/>
      </c>
      <c r="I1402" t="e">
        <f>VLOOKUP(F1402,'1PROJE'!$B$7:$F$26,2,0)</f>
        <v>#N/A</v>
      </c>
      <c r="J1402" t="e">
        <f>VLOOKUP(F1402,'1PROJE'!$B$7:$F$26,4,0)</f>
        <v>#N/A</v>
      </c>
      <c r="K1402" t="e">
        <f>VLOOKUP(F1402,'1PROJE'!$B$7:$F$26,5,0)</f>
        <v>#N/A</v>
      </c>
    </row>
    <row r="1403" spans="2:11">
      <c r="B1403">
        <f t="shared" si="273"/>
        <v>0</v>
      </c>
      <c r="F1403" s="57" t="e">
        <f t="shared" si="269"/>
        <v>#N/A</v>
      </c>
      <c r="G1403" t="str">
        <f t="shared" si="270"/>
        <v/>
      </c>
      <c r="I1403" t="e">
        <f>VLOOKUP(F1403,'1PROJE'!$B$7:$F$26,2,0)</f>
        <v>#N/A</v>
      </c>
      <c r="J1403" t="e">
        <f>VLOOKUP(F1403,'1PROJE'!$B$7:$F$26,4,0)</f>
        <v>#N/A</v>
      </c>
      <c r="K1403" t="e">
        <f>VLOOKUP(F1403,'1PROJE'!$B$7:$F$26,5,0)</f>
        <v>#N/A</v>
      </c>
    </row>
    <row r="1404" spans="2:11">
      <c r="B1404">
        <f t="shared" si="273"/>
        <v>0</v>
      </c>
      <c r="F1404" s="57" t="e">
        <f t="shared" si="269"/>
        <v>#N/A</v>
      </c>
      <c r="G1404" t="str">
        <f t="shared" si="270"/>
        <v/>
      </c>
      <c r="I1404" t="e">
        <f>VLOOKUP(F1404,'1PROJE'!$B$7:$F$26,2,0)</f>
        <v>#N/A</v>
      </c>
      <c r="J1404" t="e">
        <f>VLOOKUP(F1404,'1PROJE'!$B$7:$F$26,4,0)</f>
        <v>#N/A</v>
      </c>
      <c r="K1404" t="e">
        <f>VLOOKUP(F1404,'1PROJE'!$B$7:$F$26,5,0)</f>
        <v>#N/A</v>
      </c>
    </row>
    <row r="1405" spans="2:11">
      <c r="B1405">
        <f t="shared" si="273"/>
        <v>0</v>
      </c>
      <c r="F1405" s="57" t="e">
        <f t="shared" si="269"/>
        <v>#N/A</v>
      </c>
      <c r="G1405" t="str">
        <f t="shared" si="270"/>
        <v/>
      </c>
      <c r="I1405" t="e">
        <f>VLOOKUP(F1405,'1PROJE'!$B$7:$F$26,2,0)</f>
        <v>#N/A</v>
      </c>
      <c r="J1405" t="e">
        <f>VLOOKUP(F1405,'1PROJE'!$B$7:$F$26,4,0)</f>
        <v>#N/A</v>
      </c>
      <c r="K1405" t="e">
        <f>VLOOKUP(F1405,'1PROJE'!$B$7:$F$26,5,0)</f>
        <v>#N/A</v>
      </c>
    </row>
    <row r="1406" spans="2:11">
      <c r="B1406">
        <f t="shared" si="273"/>
        <v>0</v>
      </c>
      <c r="F1406" s="57" t="e">
        <f t="shared" si="269"/>
        <v>#N/A</v>
      </c>
      <c r="G1406" t="str">
        <f t="shared" si="270"/>
        <v/>
      </c>
      <c r="I1406" t="e">
        <f>VLOOKUP(F1406,'1PROJE'!$B$7:$F$26,2,0)</f>
        <v>#N/A</v>
      </c>
      <c r="J1406" t="e">
        <f>VLOOKUP(F1406,'1PROJE'!$B$7:$F$26,4,0)</f>
        <v>#N/A</v>
      </c>
      <c r="K1406" t="e">
        <f>VLOOKUP(F1406,'1PROJE'!$B$7:$F$26,5,0)</f>
        <v>#N/A</v>
      </c>
    </row>
    <row r="1407" spans="2:11">
      <c r="B1407">
        <f t="shared" si="273"/>
        <v>0</v>
      </c>
      <c r="F1407" s="57" t="e">
        <f t="shared" si="269"/>
        <v>#N/A</v>
      </c>
      <c r="G1407" t="str">
        <f t="shared" si="270"/>
        <v/>
      </c>
      <c r="I1407" t="e">
        <f>VLOOKUP(F1407,'1PROJE'!$B$7:$F$26,2,0)</f>
        <v>#N/A</v>
      </c>
      <c r="J1407" t="e">
        <f>VLOOKUP(F1407,'1PROJE'!$B$7:$F$26,4,0)</f>
        <v>#N/A</v>
      </c>
      <c r="K1407" t="e">
        <f>VLOOKUP(F1407,'1PROJE'!$B$7:$F$26,5,0)</f>
        <v>#N/A</v>
      </c>
    </row>
    <row r="1408" spans="2:11">
      <c r="B1408">
        <f t="shared" si="273"/>
        <v>0</v>
      </c>
      <c r="F1408" s="57" t="e">
        <f t="shared" si="269"/>
        <v>#N/A</v>
      </c>
      <c r="G1408" t="str">
        <f t="shared" si="270"/>
        <v/>
      </c>
      <c r="I1408" t="e">
        <f>VLOOKUP(F1408,'1PROJE'!$B$7:$F$26,2,0)</f>
        <v>#N/A</v>
      </c>
      <c r="J1408" t="e">
        <f>VLOOKUP(F1408,'1PROJE'!$B$7:$F$26,4,0)</f>
        <v>#N/A</v>
      </c>
      <c r="K1408" t="e">
        <f>VLOOKUP(F1408,'1PROJE'!$B$7:$F$26,5,0)</f>
        <v>#N/A</v>
      </c>
    </row>
    <row r="1409" spans="2:11">
      <c r="B1409">
        <f t="shared" si="273"/>
        <v>0</v>
      </c>
      <c r="F1409" s="57" t="e">
        <f t="shared" si="269"/>
        <v>#N/A</v>
      </c>
      <c r="G1409" t="str">
        <f t="shared" si="270"/>
        <v/>
      </c>
      <c r="I1409" t="e">
        <f>VLOOKUP(F1409,'1PROJE'!$B$7:$F$26,2,0)</f>
        <v>#N/A</v>
      </c>
      <c r="J1409" t="e">
        <f>VLOOKUP(F1409,'1PROJE'!$B$7:$F$26,4,0)</f>
        <v>#N/A</v>
      </c>
      <c r="K1409" t="e">
        <f>VLOOKUP(F1409,'1PROJE'!$B$7:$F$26,5,0)</f>
        <v>#N/A</v>
      </c>
    </row>
    <row r="1410" spans="2:11">
      <c r="B1410">
        <f t="shared" si="273"/>
        <v>0</v>
      </c>
      <c r="F1410" s="57" t="e">
        <f t="shared" si="269"/>
        <v>#N/A</v>
      </c>
      <c r="G1410" t="str">
        <f t="shared" si="270"/>
        <v/>
      </c>
      <c r="I1410" t="e">
        <f>VLOOKUP(F1410,'1PROJE'!$B$7:$F$26,2,0)</f>
        <v>#N/A</v>
      </c>
      <c r="J1410" t="e">
        <f>VLOOKUP(F1410,'1PROJE'!$B$7:$F$26,4,0)</f>
        <v>#N/A</v>
      </c>
      <c r="K1410" t="e">
        <f>VLOOKUP(F1410,'1PROJE'!$B$7:$F$26,5,0)</f>
        <v>#N/A</v>
      </c>
    </row>
    <row r="1411" spans="2:11">
      <c r="B1411">
        <f t="shared" si="273"/>
        <v>0</v>
      </c>
      <c r="F1411" s="57" t="e">
        <f t="shared" si="269"/>
        <v>#N/A</v>
      </c>
      <c r="G1411" t="str">
        <f t="shared" si="270"/>
        <v/>
      </c>
      <c r="I1411" t="e">
        <f>VLOOKUP(F1411,'1PROJE'!$B$7:$F$26,2,0)</f>
        <v>#N/A</v>
      </c>
      <c r="J1411" t="e">
        <f>VLOOKUP(F1411,'1PROJE'!$B$7:$F$26,4,0)</f>
        <v>#N/A</v>
      </c>
      <c r="K1411" t="e">
        <f>VLOOKUP(F1411,'1PROJE'!$B$7:$F$26,5,0)</f>
        <v>#N/A</v>
      </c>
    </row>
    <row r="1412" spans="2:11">
      <c r="B1412">
        <f t="shared" si="273"/>
        <v>0</v>
      </c>
      <c r="F1412" s="57" t="e">
        <f t="shared" si="269"/>
        <v>#N/A</v>
      </c>
      <c r="G1412" t="str">
        <f t="shared" si="270"/>
        <v/>
      </c>
      <c r="I1412" t="e">
        <f>VLOOKUP(F1412,'1PROJE'!$B$7:$F$26,2,0)</f>
        <v>#N/A</v>
      </c>
      <c r="J1412" t="e">
        <f>VLOOKUP(F1412,'1PROJE'!$B$7:$F$26,4,0)</f>
        <v>#N/A</v>
      </c>
      <c r="K1412" t="e">
        <f>VLOOKUP(F1412,'1PROJE'!$B$7:$F$26,5,0)</f>
        <v>#N/A</v>
      </c>
    </row>
    <row r="1413" spans="2:11">
      <c r="B1413">
        <f t="shared" si="273"/>
        <v>0</v>
      </c>
      <c r="F1413" s="57" t="e">
        <f t="shared" si="269"/>
        <v>#N/A</v>
      </c>
      <c r="G1413" t="str">
        <f t="shared" si="270"/>
        <v/>
      </c>
      <c r="I1413" t="e">
        <f>VLOOKUP(F1413,'1PROJE'!$B$7:$F$26,2,0)</f>
        <v>#N/A</v>
      </c>
      <c r="J1413" t="e">
        <f>VLOOKUP(F1413,'1PROJE'!$B$7:$F$26,4,0)</f>
        <v>#N/A</v>
      </c>
      <c r="K1413" t="e">
        <f>VLOOKUP(F1413,'1PROJE'!$B$7:$F$26,5,0)</f>
        <v>#N/A</v>
      </c>
    </row>
    <row r="1414" spans="2:11">
      <c r="B1414">
        <f t="shared" si="273"/>
        <v>0</v>
      </c>
      <c r="F1414" s="57" t="e">
        <f t="shared" si="269"/>
        <v>#N/A</v>
      </c>
      <c r="G1414" t="str">
        <f t="shared" si="270"/>
        <v/>
      </c>
      <c r="I1414" t="e">
        <f>VLOOKUP(F1414,'1PROJE'!$B$7:$F$26,2,0)</f>
        <v>#N/A</v>
      </c>
      <c r="J1414" t="e">
        <f>VLOOKUP(F1414,'1PROJE'!$B$7:$F$26,4,0)</f>
        <v>#N/A</v>
      </c>
      <c r="K1414" t="e">
        <f>VLOOKUP(F1414,'1PROJE'!$B$7:$F$26,5,0)</f>
        <v>#N/A</v>
      </c>
    </row>
    <row r="1415" spans="2:11">
      <c r="B1415">
        <f t="shared" si="273"/>
        <v>0</v>
      </c>
      <c r="F1415" s="57" t="e">
        <f t="shared" si="269"/>
        <v>#N/A</v>
      </c>
      <c r="G1415" t="str">
        <f t="shared" si="270"/>
        <v/>
      </c>
      <c r="I1415" t="e">
        <f>VLOOKUP(F1415,'1PROJE'!$B$7:$F$26,2,0)</f>
        <v>#N/A</v>
      </c>
      <c r="J1415" t="e">
        <f>VLOOKUP(F1415,'1PROJE'!$B$7:$F$26,4,0)</f>
        <v>#N/A</v>
      </c>
      <c r="K1415" t="e">
        <f>VLOOKUP(F1415,'1PROJE'!$B$7:$F$26,5,0)</f>
        <v>#N/A</v>
      </c>
    </row>
    <row r="1416" spans="2:11">
      <c r="B1416">
        <f t="shared" si="273"/>
        <v>0</v>
      </c>
      <c r="F1416" s="57" t="e">
        <f t="shared" si="269"/>
        <v>#N/A</v>
      </c>
      <c r="G1416" t="str">
        <f t="shared" si="270"/>
        <v/>
      </c>
      <c r="I1416" t="e">
        <f>VLOOKUP(F1416,'1PROJE'!$B$7:$F$26,2,0)</f>
        <v>#N/A</v>
      </c>
      <c r="J1416" t="e">
        <f>VLOOKUP(F1416,'1PROJE'!$B$7:$F$26,4,0)</f>
        <v>#N/A</v>
      </c>
      <c r="K1416" t="e">
        <f>VLOOKUP(F1416,'1PROJE'!$B$7:$F$26,5,0)</f>
        <v>#N/A</v>
      </c>
    </row>
    <row r="1417" spans="2:11">
      <c r="B1417">
        <f t="shared" si="273"/>
        <v>0</v>
      </c>
      <c r="F1417" s="57" t="e">
        <f t="shared" si="269"/>
        <v>#N/A</v>
      </c>
      <c r="G1417" t="str">
        <f t="shared" si="270"/>
        <v/>
      </c>
      <c r="I1417" t="e">
        <f>VLOOKUP(F1417,'1PROJE'!$B$7:$F$26,2,0)</f>
        <v>#N/A</v>
      </c>
      <c r="J1417" t="e">
        <f>VLOOKUP(F1417,'1PROJE'!$B$7:$F$26,4,0)</f>
        <v>#N/A</v>
      </c>
      <c r="K1417" t="e">
        <f>VLOOKUP(F1417,'1PROJE'!$B$7:$F$26,5,0)</f>
        <v>#N/A</v>
      </c>
    </row>
    <row r="1418" spans="2:11">
      <c r="B1418">
        <f t="shared" si="273"/>
        <v>0</v>
      </c>
      <c r="F1418" s="57" t="e">
        <f t="shared" si="269"/>
        <v>#N/A</v>
      </c>
      <c r="G1418" t="str">
        <f t="shared" si="270"/>
        <v/>
      </c>
      <c r="I1418" t="e">
        <f>VLOOKUP(F1418,'1PROJE'!$B$7:$F$26,2,0)</f>
        <v>#N/A</v>
      </c>
      <c r="J1418" t="e">
        <f>VLOOKUP(F1418,'1PROJE'!$B$7:$F$26,4,0)</f>
        <v>#N/A</v>
      </c>
      <c r="K1418" t="e">
        <f>VLOOKUP(F1418,'1PROJE'!$B$7:$F$26,5,0)</f>
        <v>#N/A</v>
      </c>
    </row>
    <row r="1419" spans="2:11">
      <c r="B1419">
        <f t="shared" si="273"/>
        <v>0</v>
      </c>
      <c r="F1419" s="57" t="e">
        <f t="shared" ref="F1419:F1482" si="274">VLOOKUP(G1419,$C$64:$D$83,2,0)</f>
        <v>#N/A</v>
      </c>
      <c r="G1419" t="str">
        <f t="shared" ref="G1419:G1482" si="275">LEFT(H1419,6)</f>
        <v/>
      </c>
      <c r="I1419" t="e">
        <f>VLOOKUP(F1419,'1PROJE'!$B$7:$F$26,2,0)</f>
        <v>#N/A</v>
      </c>
      <c r="J1419" t="e">
        <f>VLOOKUP(F1419,'1PROJE'!$B$7:$F$26,4,0)</f>
        <v>#N/A</v>
      </c>
      <c r="K1419" t="e">
        <f>VLOOKUP(F1419,'1PROJE'!$B$7:$F$26,5,0)</f>
        <v>#N/A</v>
      </c>
    </row>
    <row r="1420" spans="2:11">
      <c r="B1420">
        <f t="shared" si="273"/>
        <v>0</v>
      </c>
      <c r="F1420" s="57" t="e">
        <f t="shared" si="274"/>
        <v>#N/A</v>
      </c>
      <c r="G1420" t="str">
        <f t="shared" si="275"/>
        <v/>
      </c>
      <c r="I1420" t="e">
        <f>VLOOKUP(F1420,'1PROJE'!$B$7:$F$26,2,0)</f>
        <v>#N/A</v>
      </c>
      <c r="J1420" t="e">
        <f>VLOOKUP(F1420,'1PROJE'!$B$7:$F$26,4,0)</f>
        <v>#N/A</v>
      </c>
      <c r="K1420" t="e">
        <f>VLOOKUP(F1420,'1PROJE'!$B$7:$F$26,5,0)</f>
        <v>#N/A</v>
      </c>
    </row>
    <row r="1421" spans="2:11">
      <c r="B1421">
        <f t="shared" si="273"/>
        <v>0</v>
      </c>
      <c r="F1421" s="57" t="e">
        <f t="shared" si="274"/>
        <v>#N/A</v>
      </c>
      <c r="G1421" t="str">
        <f t="shared" si="275"/>
        <v/>
      </c>
      <c r="I1421" t="e">
        <f>VLOOKUP(F1421,'1PROJE'!$B$7:$F$26,2,0)</f>
        <v>#N/A</v>
      </c>
      <c r="J1421" t="e">
        <f>VLOOKUP(F1421,'1PROJE'!$B$7:$F$26,4,0)</f>
        <v>#N/A</v>
      </c>
      <c r="K1421" t="e">
        <f>VLOOKUP(F1421,'1PROJE'!$B$7:$F$26,5,0)</f>
        <v>#N/A</v>
      </c>
    </row>
    <row r="1422" spans="2:11">
      <c r="B1422">
        <f t="shared" si="273"/>
        <v>0</v>
      </c>
      <c r="F1422" s="57" t="e">
        <f t="shared" si="274"/>
        <v>#N/A</v>
      </c>
      <c r="G1422" t="str">
        <f t="shared" si="275"/>
        <v/>
      </c>
      <c r="I1422" t="e">
        <f>VLOOKUP(F1422,'1PROJE'!$B$7:$F$26,2,0)</f>
        <v>#N/A</v>
      </c>
      <c r="J1422" t="e">
        <f>VLOOKUP(F1422,'1PROJE'!$B$7:$F$26,4,0)</f>
        <v>#N/A</v>
      </c>
      <c r="K1422" t="e">
        <f>VLOOKUP(F1422,'1PROJE'!$B$7:$F$26,5,0)</f>
        <v>#N/A</v>
      </c>
    </row>
    <row r="1423" spans="2:11">
      <c r="B1423">
        <f t="shared" si="273"/>
        <v>0</v>
      </c>
      <c r="F1423" s="57" t="e">
        <f t="shared" si="274"/>
        <v>#N/A</v>
      </c>
      <c r="G1423" t="str">
        <f t="shared" si="275"/>
        <v/>
      </c>
      <c r="I1423" t="e">
        <f>VLOOKUP(F1423,'1PROJE'!$B$7:$F$26,2,0)</f>
        <v>#N/A</v>
      </c>
      <c r="J1423" t="e">
        <f>VLOOKUP(F1423,'1PROJE'!$B$7:$F$26,4,0)</f>
        <v>#N/A</v>
      </c>
      <c r="K1423" t="e">
        <f>VLOOKUP(F1423,'1PROJE'!$B$7:$F$26,5,0)</f>
        <v>#N/A</v>
      </c>
    </row>
    <row r="1424" spans="2:11">
      <c r="B1424">
        <f t="shared" si="273"/>
        <v>0</v>
      </c>
      <c r="F1424" s="57" t="e">
        <f t="shared" si="274"/>
        <v>#N/A</v>
      </c>
      <c r="G1424" t="str">
        <f t="shared" si="275"/>
        <v/>
      </c>
      <c r="I1424" t="e">
        <f>VLOOKUP(F1424,'1PROJE'!$B$7:$F$26,2,0)</f>
        <v>#N/A</v>
      </c>
      <c r="J1424" t="e">
        <f>VLOOKUP(F1424,'1PROJE'!$B$7:$F$26,4,0)</f>
        <v>#N/A</v>
      </c>
      <c r="K1424" t="e">
        <f>VLOOKUP(F1424,'1PROJE'!$B$7:$F$26,5,0)</f>
        <v>#N/A</v>
      </c>
    </row>
    <row r="1425" spans="2:11">
      <c r="B1425">
        <f t="shared" si="273"/>
        <v>0</v>
      </c>
      <c r="F1425" s="57" t="e">
        <f t="shared" si="274"/>
        <v>#N/A</v>
      </c>
      <c r="G1425" t="str">
        <f t="shared" si="275"/>
        <v/>
      </c>
      <c r="I1425" t="e">
        <f>VLOOKUP(F1425,'1PROJE'!$B$7:$F$26,2,0)</f>
        <v>#N/A</v>
      </c>
      <c r="J1425" t="e">
        <f>VLOOKUP(F1425,'1PROJE'!$B$7:$F$26,4,0)</f>
        <v>#N/A</v>
      </c>
      <c r="K1425" t="e">
        <f>VLOOKUP(F1425,'1PROJE'!$B$7:$F$26,5,0)</f>
        <v>#N/A</v>
      </c>
    </row>
    <row r="1426" spans="2:11">
      <c r="B1426">
        <f t="shared" si="273"/>
        <v>0</v>
      </c>
      <c r="F1426" s="57" t="e">
        <f t="shared" si="274"/>
        <v>#N/A</v>
      </c>
      <c r="G1426" t="str">
        <f t="shared" si="275"/>
        <v/>
      </c>
      <c r="I1426" t="e">
        <f>VLOOKUP(F1426,'1PROJE'!$B$7:$F$26,2,0)</f>
        <v>#N/A</v>
      </c>
      <c r="J1426" t="e">
        <f>VLOOKUP(F1426,'1PROJE'!$B$7:$F$26,4,0)</f>
        <v>#N/A</v>
      </c>
      <c r="K1426" t="e">
        <f>VLOOKUP(F1426,'1PROJE'!$B$7:$F$26,5,0)</f>
        <v>#N/A</v>
      </c>
    </row>
    <row r="1427" spans="2:11">
      <c r="B1427">
        <f t="shared" ref="B1427:B1458" si="276">IF(($C$40-A127)&lt;0,0,"POZ"&amp;" "&amp;$O$61&amp;"."&amp;A127)</f>
        <v>0</v>
      </c>
      <c r="F1427" s="57" t="e">
        <f t="shared" si="274"/>
        <v>#N/A</v>
      </c>
      <c r="G1427" t="str">
        <f t="shared" si="275"/>
        <v/>
      </c>
      <c r="I1427" t="e">
        <f>VLOOKUP(F1427,'1PROJE'!$B$7:$F$26,2,0)</f>
        <v>#N/A</v>
      </c>
      <c r="J1427" t="e">
        <f>VLOOKUP(F1427,'1PROJE'!$B$7:$F$26,4,0)</f>
        <v>#N/A</v>
      </c>
      <c r="K1427" t="e">
        <f>VLOOKUP(F1427,'1PROJE'!$B$7:$F$26,5,0)</f>
        <v>#N/A</v>
      </c>
    </row>
    <row r="1428" spans="2:11">
      <c r="B1428">
        <f t="shared" si="276"/>
        <v>0</v>
      </c>
      <c r="F1428" s="57" t="e">
        <f t="shared" si="274"/>
        <v>#N/A</v>
      </c>
      <c r="G1428" t="str">
        <f t="shared" si="275"/>
        <v/>
      </c>
      <c r="I1428" t="e">
        <f>VLOOKUP(F1428,'1PROJE'!$B$7:$F$26,2,0)</f>
        <v>#N/A</v>
      </c>
      <c r="J1428" t="e">
        <f>VLOOKUP(F1428,'1PROJE'!$B$7:$F$26,4,0)</f>
        <v>#N/A</v>
      </c>
      <c r="K1428" t="e">
        <f>VLOOKUP(F1428,'1PROJE'!$B$7:$F$26,5,0)</f>
        <v>#N/A</v>
      </c>
    </row>
    <row r="1429" spans="2:11">
      <c r="B1429">
        <f t="shared" si="276"/>
        <v>0</v>
      </c>
      <c r="F1429" s="57" t="e">
        <f t="shared" si="274"/>
        <v>#N/A</v>
      </c>
      <c r="G1429" t="str">
        <f t="shared" si="275"/>
        <v/>
      </c>
      <c r="I1429" t="e">
        <f>VLOOKUP(F1429,'1PROJE'!$B$7:$F$26,2,0)</f>
        <v>#N/A</v>
      </c>
      <c r="J1429" t="e">
        <f>VLOOKUP(F1429,'1PROJE'!$B$7:$F$26,4,0)</f>
        <v>#N/A</v>
      </c>
      <c r="K1429" t="e">
        <f>VLOOKUP(F1429,'1PROJE'!$B$7:$F$26,5,0)</f>
        <v>#N/A</v>
      </c>
    </row>
    <row r="1430" spans="2:11">
      <c r="B1430">
        <f t="shared" si="276"/>
        <v>0</v>
      </c>
      <c r="F1430" s="57" t="e">
        <f t="shared" si="274"/>
        <v>#N/A</v>
      </c>
      <c r="G1430" t="str">
        <f t="shared" si="275"/>
        <v/>
      </c>
      <c r="I1430" t="e">
        <f>VLOOKUP(F1430,'1PROJE'!$B$7:$F$26,2,0)</f>
        <v>#N/A</v>
      </c>
      <c r="J1430" t="e">
        <f>VLOOKUP(F1430,'1PROJE'!$B$7:$F$26,4,0)</f>
        <v>#N/A</v>
      </c>
      <c r="K1430" t="e">
        <f>VLOOKUP(F1430,'1PROJE'!$B$7:$F$26,5,0)</f>
        <v>#N/A</v>
      </c>
    </row>
    <row r="1431" spans="2:11">
      <c r="B1431">
        <f t="shared" si="276"/>
        <v>0</v>
      </c>
      <c r="F1431" s="57" t="e">
        <f t="shared" si="274"/>
        <v>#N/A</v>
      </c>
      <c r="G1431" t="str">
        <f t="shared" si="275"/>
        <v/>
      </c>
      <c r="I1431" t="e">
        <f>VLOOKUP(F1431,'1PROJE'!$B$7:$F$26,2,0)</f>
        <v>#N/A</v>
      </c>
      <c r="J1431" t="e">
        <f>VLOOKUP(F1431,'1PROJE'!$B$7:$F$26,4,0)</f>
        <v>#N/A</v>
      </c>
      <c r="K1431" t="e">
        <f>VLOOKUP(F1431,'1PROJE'!$B$7:$F$26,5,0)</f>
        <v>#N/A</v>
      </c>
    </row>
    <row r="1432" spans="2:11">
      <c r="B1432">
        <f t="shared" si="276"/>
        <v>0</v>
      </c>
      <c r="F1432" s="57" t="e">
        <f t="shared" si="274"/>
        <v>#N/A</v>
      </c>
      <c r="G1432" t="str">
        <f t="shared" si="275"/>
        <v/>
      </c>
      <c r="I1432" t="e">
        <f>VLOOKUP(F1432,'1PROJE'!$B$7:$F$26,2,0)</f>
        <v>#N/A</v>
      </c>
      <c r="J1432" t="e">
        <f>VLOOKUP(F1432,'1PROJE'!$B$7:$F$26,4,0)</f>
        <v>#N/A</v>
      </c>
      <c r="K1432" t="e">
        <f>VLOOKUP(F1432,'1PROJE'!$B$7:$F$26,5,0)</f>
        <v>#N/A</v>
      </c>
    </row>
    <row r="1433" spans="2:11">
      <c r="B1433">
        <f t="shared" si="276"/>
        <v>0</v>
      </c>
      <c r="F1433" s="57" t="e">
        <f t="shared" si="274"/>
        <v>#N/A</v>
      </c>
      <c r="G1433" t="str">
        <f t="shared" si="275"/>
        <v/>
      </c>
      <c r="I1433" t="e">
        <f>VLOOKUP(F1433,'1PROJE'!$B$7:$F$26,2,0)</f>
        <v>#N/A</v>
      </c>
      <c r="J1433" t="e">
        <f>VLOOKUP(F1433,'1PROJE'!$B$7:$F$26,4,0)</f>
        <v>#N/A</v>
      </c>
      <c r="K1433" t="e">
        <f>VLOOKUP(F1433,'1PROJE'!$B$7:$F$26,5,0)</f>
        <v>#N/A</v>
      </c>
    </row>
    <row r="1434" spans="2:11">
      <c r="B1434">
        <f t="shared" si="276"/>
        <v>0</v>
      </c>
      <c r="F1434" s="57" t="e">
        <f t="shared" si="274"/>
        <v>#N/A</v>
      </c>
      <c r="G1434" t="str">
        <f t="shared" si="275"/>
        <v/>
      </c>
      <c r="I1434" t="e">
        <f>VLOOKUP(F1434,'1PROJE'!$B$7:$F$26,2,0)</f>
        <v>#N/A</v>
      </c>
      <c r="J1434" t="e">
        <f>VLOOKUP(F1434,'1PROJE'!$B$7:$F$26,4,0)</f>
        <v>#N/A</v>
      </c>
      <c r="K1434" t="e">
        <f>VLOOKUP(F1434,'1PROJE'!$B$7:$F$26,5,0)</f>
        <v>#N/A</v>
      </c>
    </row>
    <row r="1435" spans="2:11">
      <c r="B1435">
        <f t="shared" si="276"/>
        <v>0</v>
      </c>
      <c r="F1435" s="57" t="e">
        <f t="shared" si="274"/>
        <v>#N/A</v>
      </c>
      <c r="G1435" t="str">
        <f t="shared" si="275"/>
        <v/>
      </c>
      <c r="I1435" t="e">
        <f>VLOOKUP(F1435,'1PROJE'!$B$7:$F$26,2,0)</f>
        <v>#N/A</v>
      </c>
      <c r="J1435" t="e">
        <f>VLOOKUP(F1435,'1PROJE'!$B$7:$F$26,4,0)</f>
        <v>#N/A</v>
      </c>
      <c r="K1435" t="e">
        <f>VLOOKUP(F1435,'1PROJE'!$B$7:$F$26,5,0)</f>
        <v>#N/A</v>
      </c>
    </row>
    <row r="1436" spans="2:11">
      <c r="B1436">
        <f t="shared" si="276"/>
        <v>0</v>
      </c>
      <c r="F1436" s="57" t="e">
        <f t="shared" si="274"/>
        <v>#N/A</v>
      </c>
      <c r="G1436" t="str">
        <f t="shared" si="275"/>
        <v/>
      </c>
      <c r="I1436" t="e">
        <f>VLOOKUP(F1436,'1PROJE'!$B$7:$F$26,2,0)</f>
        <v>#N/A</v>
      </c>
      <c r="J1436" t="e">
        <f>VLOOKUP(F1436,'1PROJE'!$B$7:$F$26,4,0)</f>
        <v>#N/A</v>
      </c>
      <c r="K1436" t="e">
        <f>VLOOKUP(F1436,'1PROJE'!$B$7:$F$26,5,0)</f>
        <v>#N/A</v>
      </c>
    </row>
    <row r="1437" spans="2:11">
      <c r="B1437">
        <f t="shared" si="276"/>
        <v>0</v>
      </c>
      <c r="F1437" s="57" t="e">
        <f t="shared" si="274"/>
        <v>#N/A</v>
      </c>
      <c r="G1437" t="str">
        <f t="shared" si="275"/>
        <v/>
      </c>
      <c r="I1437" t="e">
        <f>VLOOKUP(F1437,'1PROJE'!$B$7:$F$26,2,0)</f>
        <v>#N/A</v>
      </c>
      <c r="J1437" t="e">
        <f>VLOOKUP(F1437,'1PROJE'!$B$7:$F$26,4,0)</f>
        <v>#N/A</v>
      </c>
      <c r="K1437" t="e">
        <f>VLOOKUP(F1437,'1PROJE'!$B$7:$F$26,5,0)</f>
        <v>#N/A</v>
      </c>
    </row>
    <row r="1438" spans="2:11">
      <c r="B1438">
        <f t="shared" si="276"/>
        <v>0</v>
      </c>
      <c r="F1438" s="57" t="e">
        <f t="shared" si="274"/>
        <v>#N/A</v>
      </c>
      <c r="G1438" t="str">
        <f t="shared" si="275"/>
        <v/>
      </c>
      <c r="I1438" t="e">
        <f>VLOOKUP(F1438,'1PROJE'!$B$7:$F$26,2,0)</f>
        <v>#N/A</v>
      </c>
      <c r="J1438" t="e">
        <f>VLOOKUP(F1438,'1PROJE'!$B$7:$F$26,4,0)</f>
        <v>#N/A</v>
      </c>
      <c r="K1438" t="e">
        <f>VLOOKUP(F1438,'1PROJE'!$B$7:$F$26,5,0)</f>
        <v>#N/A</v>
      </c>
    </row>
    <row r="1439" spans="2:11">
      <c r="B1439">
        <f t="shared" si="276"/>
        <v>0</v>
      </c>
      <c r="F1439" s="57" t="e">
        <f t="shared" si="274"/>
        <v>#N/A</v>
      </c>
      <c r="G1439" t="str">
        <f t="shared" si="275"/>
        <v/>
      </c>
      <c r="I1439" t="e">
        <f>VLOOKUP(F1439,'1PROJE'!$B$7:$F$26,2,0)</f>
        <v>#N/A</v>
      </c>
      <c r="J1439" t="e">
        <f>VLOOKUP(F1439,'1PROJE'!$B$7:$F$26,4,0)</f>
        <v>#N/A</v>
      </c>
      <c r="K1439" t="e">
        <f>VLOOKUP(F1439,'1PROJE'!$B$7:$F$26,5,0)</f>
        <v>#N/A</v>
      </c>
    </row>
    <row r="1440" spans="2:11">
      <c r="B1440">
        <f t="shared" si="276"/>
        <v>0</v>
      </c>
      <c r="F1440" s="57" t="e">
        <f t="shared" si="274"/>
        <v>#N/A</v>
      </c>
      <c r="G1440" t="str">
        <f t="shared" si="275"/>
        <v/>
      </c>
      <c r="I1440" t="e">
        <f>VLOOKUP(F1440,'1PROJE'!$B$7:$F$26,2,0)</f>
        <v>#N/A</v>
      </c>
      <c r="J1440" t="e">
        <f>VLOOKUP(F1440,'1PROJE'!$B$7:$F$26,4,0)</f>
        <v>#N/A</v>
      </c>
      <c r="K1440" t="e">
        <f>VLOOKUP(F1440,'1PROJE'!$B$7:$F$26,5,0)</f>
        <v>#N/A</v>
      </c>
    </row>
    <row r="1441" spans="2:11">
      <c r="B1441">
        <f t="shared" si="276"/>
        <v>0</v>
      </c>
      <c r="F1441" s="57" t="e">
        <f t="shared" si="274"/>
        <v>#N/A</v>
      </c>
      <c r="G1441" t="str">
        <f t="shared" si="275"/>
        <v/>
      </c>
      <c r="I1441" t="e">
        <f>VLOOKUP(F1441,'1PROJE'!$B$7:$F$26,2,0)</f>
        <v>#N/A</v>
      </c>
      <c r="J1441" t="e">
        <f>VLOOKUP(F1441,'1PROJE'!$B$7:$F$26,4,0)</f>
        <v>#N/A</v>
      </c>
      <c r="K1441" t="e">
        <f>VLOOKUP(F1441,'1PROJE'!$B$7:$F$26,5,0)</f>
        <v>#N/A</v>
      </c>
    </row>
    <row r="1442" spans="2:11">
      <c r="B1442">
        <f t="shared" si="276"/>
        <v>0</v>
      </c>
      <c r="F1442" s="57" t="e">
        <f t="shared" si="274"/>
        <v>#N/A</v>
      </c>
      <c r="G1442" t="str">
        <f t="shared" si="275"/>
        <v/>
      </c>
      <c r="I1442" t="e">
        <f>VLOOKUP(F1442,'1PROJE'!$B$7:$F$26,2,0)</f>
        <v>#N/A</v>
      </c>
      <c r="J1442" t="e">
        <f>VLOOKUP(F1442,'1PROJE'!$B$7:$F$26,4,0)</f>
        <v>#N/A</v>
      </c>
      <c r="K1442" t="e">
        <f>VLOOKUP(F1442,'1PROJE'!$B$7:$F$26,5,0)</f>
        <v>#N/A</v>
      </c>
    </row>
    <row r="1443" spans="2:11">
      <c r="B1443">
        <f t="shared" si="276"/>
        <v>0</v>
      </c>
      <c r="F1443" s="57" t="e">
        <f t="shared" si="274"/>
        <v>#N/A</v>
      </c>
      <c r="G1443" t="str">
        <f t="shared" si="275"/>
        <v/>
      </c>
      <c r="I1443" t="e">
        <f>VLOOKUP(F1443,'1PROJE'!$B$7:$F$26,2,0)</f>
        <v>#N/A</v>
      </c>
      <c r="J1443" t="e">
        <f>VLOOKUP(F1443,'1PROJE'!$B$7:$F$26,4,0)</f>
        <v>#N/A</v>
      </c>
      <c r="K1443" t="e">
        <f>VLOOKUP(F1443,'1PROJE'!$B$7:$F$26,5,0)</f>
        <v>#N/A</v>
      </c>
    </row>
    <row r="1444" spans="2:11">
      <c r="B1444">
        <f t="shared" si="276"/>
        <v>0</v>
      </c>
      <c r="F1444" s="57" t="e">
        <f t="shared" si="274"/>
        <v>#N/A</v>
      </c>
      <c r="G1444" t="str">
        <f t="shared" si="275"/>
        <v/>
      </c>
      <c r="I1444" t="e">
        <f>VLOOKUP(F1444,'1PROJE'!$B$7:$F$26,2,0)</f>
        <v>#N/A</v>
      </c>
      <c r="J1444" t="e">
        <f>VLOOKUP(F1444,'1PROJE'!$B$7:$F$26,4,0)</f>
        <v>#N/A</v>
      </c>
      <c r="K1444" t="e">
        <f>VLOOKUP(F1444,'1PROJE'!$B$7:$F$26,5,0)</f>
        <v>#N/A</v>
      </c>
    </row>
    <row r="1445" spans="2:11">
      <c r="B1445">
        <f t="shared" si="276"/>
        <v>0</v>
      </c>
      <c r="F1445" s="57" t="e">
        <f t="shared" si="274"/>
        <v>#N/A</v>
      </c>
      <c r="G1445" t="str">
        <f t="shared" si="275"/>
        <v/>
      </c>
      <c r="I1445" t="e">
        <f>VLOOKUP(F1445,'1PROJE'!$B$7:$F$26,2,0)</f>
        <v>#N/A</v>
      </c>
      <c r="J1445" t="e">
        <f>VLOOKUP(F1445,'1PROJE'!$B$7:$F$26,4,0)</f>
        <v>#N/A</v>
      </c>
      <c r="K1445" t="e">
        <f>VLOOKUP(F1445,'1PROJE'!$B$7:$F$26,5,0)</f>
        <v>#N/A</v>
      </c>
    </row>
    <row r="1446" spans="2:11">
      <c r="B1446">
        <f t="shared" si="276"/>
        <v>0</v>
      </c>
      <c r="F1446" s="57" t="e">
        <f t="shared" si="274"/>
        <v>#N/A</v>
      </c>
      <c r="G1446" t="str">
        <f t="shared" si="275"/>
        <v/>
      </c>
      <c r="I1446" t="e">
        <f>VLOOKUP(F1446,'1PROJE'!$B$7:$F$26,2,0)</f>
        <v>#N/A</v>
      </c>
      <c r="J1446" t="e">
        <f>VLOOKUP(F1446,'1PROJE'!$B$7:$F$26,4,0)</f>
        <v>#N/A</v>
      </c>
      <c r="K1446" t="e">
        <f>VLOOKUP(F1446,'1PROJE'!$B$7:$F$26,5,0)</f>
        <v>#N/A</v>
      </c>
    </row>
    <row r="1447" spans="2:11">
      <c r="B1447">
        <f t="shared" si="276"/>
        <v>0</v>
      </c>
      <c r="F1447" s="57" t="e">
        <f t="shared" si="274"/>
        <v>#N/A</v>
      </c>
      <c r="G1447" t="str">
        <f t="shared" si="275"/>
        <v/>
      </c>
      <c r="I1447" t="e">
        <f>VLOOKUP(F1447,'1PROJE'!$B$7:$F$26,2,0)</f>
        <v>#N/A</v>
      </c>
      <c r="J1447" t="e">
        <f>VLOOKUP(F1447,'1PROJE'!$B$7:$F$26,4,0)</f>
        <v>#N/A</v>
      </c>
      <c r="K1447" t="e">
        <f>VLOOKUP(F1447,'1PROJE'!$B$7:$F$26,5,0)</f>
        <v>#N/A</v>
      </c>
    </row>
    <row r="1448" spans="2:11">
      <c r="B1448">
        <f t="shared" si="276"/>
        <v>0</v>
      </c>
      <c r="F1448" s="57" t="e">
        <f t="shared" si="274"/>
        <v>#N/A</v>
      </c>
      <c r="G1448" t="str">
        <f t="shared" si="275"/>
        <v/>
      </c>
      <c r="I1448" t="e">
        <f>VLOOKUP(F1448,'1PROJE'!$B$7:$F$26,2,0)</f>
        <v>#N/A</v>
      </c>
      <c r="J1448" t="e">
        <f>VLOOKUP(F1448,'1PROJE'!$B$7:$F$26,4,0)</f>
        <v>#N/A</v>
      </c>
      <c r="K1448" t="e">
        <f>VLOOKUP(F1448,'1PROJE'!$B$7:$F$26,5,0)</f>
        <v>#N/A</v>
      </c>
    </row>
    <row r="1449" spans="2:11">
      <c r="B1449">
        <f t="shared" si="276"/>
        <v>0</v>
      </c>
      <c r="F1449" s="57" t="e">
        <f t="shared" si="274"/>
        <v>#N/A</v>
      </c>
      <c r="G1449" t="str">
        <f t="shared" si="275"/>
        <v/>
      </c>
      <c r="I1449" t="e">
        <f>VLOOKUP(F1449,'1PROJE'!$B$7:$F$26,2,0)</f>
        <v>#N/A</v>
      </c>
      <c r="J1449" t="e">
        <f>VLOOKUP(F1449,'1PROJE'!$B$7:$F$26,4,0)</f>
        <v>#N/A</v>
      </c>
      <c r="K1449" t="e">
        <f>VLOOKUP(F1449,'1PROJE'!$B$7:$F$26,5,0)</f>
        <v>#N/A</v>
      </c>
    </row>
    <row r="1450" spans="2:11">
      <c r="B1450">
        <f t="shared" si="276"/>
        <v>0</v>
      </c>
      <c r="F1450" s="57" t="e">
        <f t="shared" si="274"/>
        <v>#N/A</v>
      </c>
      <c r="G1450" t="str">
        <f t="shared" si="275"/>
        <v/>
      </c>
      <c r="I1450" t="e">
        <f>VLOOKUP(F1450,'1PROJE'!$B$7:$F$26,2,0)</f>
        <v>#N/A</v>
      </c>
      <c r="J1450" t="e">
        <f>VLOOKUP(F1450,'1PROJE'!$B$7:$F$26,4,0)</f>
        <v>#N/A</v>
      </c>
      <c r="K1450" t="e">
        <f>VLOOKUP(F1450,'1PROJE'!$B$7:$F$26,5,0)</f>
        <v>#N/A</v>
      </c>
    </row>
    <row r="1451" spans="2:11">
      <c r="B1451">
        <f t="shared" si="276"/>
        <v>0</v>
      </c>
      <c r="F1451" s="57" t="e">
        <f t="shared" si="274"/>
        <v>#N/A</v>
      </c>
      <c r="G1451" t="str">
        <f t="shared" si="275"/>
        <v/>
      </c>
      <c r="I1451" t="e">
        <f>VLOOKUP(F1451,'1PROJE'!$B$7:$F$26,2,0)</f>
        <v>#N/A</v>
      </c>
      <c r="J1451" t="e">
        <f>VLOOKUP(F1451,'1PROJE'!$B$7:$F$26,4,0)</f>
        <v>#N/A</v>
      </c>
      <c r="K1451" t="e">
        <f>VLOOKUP(F1451,'1PROJE'!$B$7:$F$26,5,0)</f>
        <v>#N/A</v>
      </c>
    </row>
    <row r="1452" spans="2:11">
      <c r="B1452">
        <f t="shared" si="276"/>
        <v>0</v>
      </c>
      <c r="F1452" s="57" t="e">
        <f t="shared" si="274"/>
        <v>#N/A</v>
      </c>
      <c r="G1452" t="str">
        <f t="shared" si="275"/>
        <v/>
      </c>
      <c r="I1452" t="e">
        <f>VLOOKUP(F1452,'1PROJE'!$B$7:$F$26,2,0)</f>
        <v>#N/A</v>
      </c>
      <c r="J1452" t="e">
        <f>VLOOKUP(F1452,'1PROJE'!$B$7:$F$26,4,0)</f>
        <v>#N/A</v>
      </c>
      <c r="K1452" t="e">
        <f>VLOOKUP(F1452,'1PROJE'!$B$7:$F$26,5,0)</f>
        <v>#N/A</v>
      </c>
    </row>
    <row r="1453" spans="2:11">
      <c r="B1453">
        <f t="shared" si="276"/>
        <v>0</v>
      </c>
      <c r="F1453" s="57" t="e">
        <f t="shared" si="274"/>
        <v>#N/A</v>
      </c>
      <c r="G1453" t="str">
        <f t="shared" si="275"/>
        <v/>
      </c>
      <c r="I1453" t="e">
        <f>VLOOKUP(F1453,'1PROJE'!$B$7:$F$26,2,0)</f>
        <v>#N/A</v>
      </c>
      <c r="J1453" t="e">
        <f>VLOOKUP(F1453,'1PROJE'!$B$7:$F$26,4,0)</f>
        <v>#N/A</v>
      </c>
      <c r="K1453" t="e">
        <f>VLOOKUP(F1453,'1PROJE'!$B$7:$F$26,5,0)</f>
        <v>#N/A</v>
      </c>
    </row>
    <row r="1454" spans="2:11">
      <c r="B1454">
        <f t="shared" si="276"/>
        <v>0</v>
      </c>
      <c r="F1454" s="57" t="e">
        <f t="shared" si="274"/>
        <v>#N/A</v>
      </c>
      <c r="G1454" t="str">
        <f t="shared" si="275"/>
        <v/>
      </c>
      <c r="I1454" t="e">
        <f>VLOOKUP(F1454,'1PROJE'!$B$7:$F$26,2,0)</f>
        <v>#N/A</v>
      </c>
      <c r="J1454" t="e">
        <f>VLOOKUP(F1454,'1PROJE'!$B$7:$F$26,4,0)</f>
        <v>#N/A</v>
      </c>
      <c r="K1454" t="e">
        <f>VLOOKUP(F1454,'1PROJE'!$B$7:$F$26,5,0)</f>
        <v>#N/A</v>
      </c>
    </row>
    <row r="1455" spans="2:11">
      <c r="B1455">
        <f t="shared" si="276"/>
        <v>0</v>
      </c>
      <c r="F1455" s="57" t="e">
        <f t="shared" si="274"/>
        <v>#N/A</v>
      </c>
      <c r="G1455" t="str">
        <f t="shared" si="275"/>
        <v/>
      </c>
      <c r="I1455" t="e">
        <f>VLOOKUP(F1455,'1PROJE'!$B$7:$F$26,2,0)</f>
        <v>#N/A</v>
      </c>
      <c r="J1455" t="e">
        <f>VLOOKUP(F1455,'1PROJE'!$B$7:$F$26,4,0)</f>
        <v>#N/A</v>
      </c>
      <c r="K1455" t="e">
        <f>VLOOKUP(F1455,'1PROJE'!$B$7:$F$26,5,0)</f>
        <v>#N/A</v>
      </c>
    </row>
    <row r="1456" spans="2:11">
      <c r="B1456">
        <f t="shared" si="276"/>
        <v>0</v>
      </c>
      <c r="F1456" s="57" t="e">
        <f t="shared" si="274"/>
        <v>#N/A</v>
      </c>
      <c r="G1456" t="str">
        <f t="shared" si="275"/>
        <v/>
      </c>
      <c r="I1456" t="e">
        <f>VLOOKUP(F1456,'1PROJE'!$B$7:$F$26,2,0)</f>
        <v>#N/A</v>
      </c>
      <c r="J1456" t="e">
        <f>VLOOKUP(F1456,'1PROJE'!$B$7:$F$26,4,0)</f>
        <v>#N/A</v>
      </c>
      <c r="K1456" t="e">
        <f>VLOOKUP(F1456,'1PROJE'!$B$7:$F$26,5,0)</f>
        <v>#N/A</v>
      </c>
    </row>
    <row r="1457" spans="2:11">
      <c r="B1457">
        <f t="shared" si="276"/>
        <v>0</v>
      </c>
      <c r="F1457" s="57" t="e">
        <f t="shared" si="274"/>
        <v>#N/A</v>
      </c>
      <c r="G1457" t="str">
        <f t="shared" si="275"/>
        <v/>
      </c>
      <c r="I1457" t="e">
        <f>VLOOKUP(F1457,'1PROJE'!$B$7:$F$26,2,0)</f>
        <v>#N/A</v>
      </c>
      <c r="J1457" t="e">
        <f>VLOOKUP(F1457,'1PROJE'!$B$7:$F$26,4,0)</f>
        <v>#N/A</v>
      </c>
      <c r="K1457" t="e">
        <f>VLOOKUP(F1457,'1PROJE'!$B$7:$F$26,5,0)</f>
        <v>#N/A</v>
      </c>
    </row>
    <row r="1458" spans="2:11">
      <c r="B1458">
        <f t="shared" si="276"/>
        <v>0</v>
      </c>
      <c r="F1458" s="57" t="e">
        <f t="shared" si="274"/>
        <v>#N/A</v>
      </c>
      <c r="G1458" t="str">
        <f t="shared" si="275"/>
        <v/>
      </c>
      <c r="I1458" t="e">
        <f>VLOOKUP(F1458,'1PROJE'!$B$7:$F$26,2,0)</f>
        <v>#N/A</v>
      </c>
      <c r="J1458" t="e">
        <f>VLOOKUP(F1458,'1PROJE'!$B$7:$F$26,4,0)</f>
        <v>#N/A</v>
      </c>
      <c r="K1458" t="e">
        <f>VLOOKUP(F1458,'1PROJE'!$B$7:$F$26,5,0)</f>
        <v>#N/A</v>
      </c>
    </row>
    <row r="1459" spans="2:11">
      <c r="B1459">
        <f t="shared" ref="B1459:B1461" si="277">IF(($C$40-A159)&lt;0,0,"POZ"&amp;" "&amp;$O$61&amp;"."&amp;A159)</f>
        <v>0</v>
      </c>
      <c r="F1459" s="57" t="e">
        <f t="shared" si="274"/>
        <v>#N/A</v>
      </c>
      <c r="G1459" t="str">
        <f t="shared" si="275"/>
        <v/>
      </c>
      <c r="I1459" t="e">
        <f>VLOOKUP(F1459,'1PROJE'!$B$7:$F$26,2,0)</f>
        <v>#N/A</v>
      </c>
      <c r="J1459" t="e">
        <f>VLOOKUP(F1459,'1PROJE'!$B$7:$F$26,4,0)</f>
        <v>#N/A</v>
      </c>
      <c r="K1459" t="e">
        <f>VLOOKUP(F1459,'1PROJE'!$B$7:$F$26,5,0)</f>
        <v>#N/A</v>
      </c>
    </row>
    <row r="1460" spans="2:11">
      <c r="B1460">
        <f t="shared" si="277"/>
        <v>0</v>
      </c>
      <c r="F1460" s="57" t="e">
        <f t="shared" si="274"/>
        <v>#N/A</v>
      </c>
      <c r="G1460" t="str">
        <f t="shared" si="275"/>
        <v/>
      </c>
      <c r="I1460" t="e">
        <f>VLOOKUP(F1460,'1PROJE'!$B$7:$F$26,2,0)</f>
        <v>#N/A</v>
      </c>
      <c r="J1460" t="e">
        <f>VLOOKUP(F1460,'1PROJE'!$B$7:$F$26,4,0)</f>
        <v>#N/A</v>
      </c>
      <c r="K1460" t="e">
        <f>VLOOKUP(F1460,'1PROJE'!$B$7:$F$26,5,0)</f>
        <v>#N/A</v>
      </c>
    </row>
    <row r="1461" spans="2:11">
      <c r="B1461">
        <f t="shared" si="277"/>
        <v>0</v>
      </c>
      <c r="F1461" s="57" t="e">
        <f t="shared" si="274"/>
        <v>#N/A</v>
      </c>
      <c r="G1461" t="str">
        <f t="shared" si="275"/>
        <v/>
      </c>
      <c r="I1461" t="e">
        <f>VLOOKUP(F1461,'1PROJE'!$B$7:$F$26,2,0)</f>
        <v>#N/A</v>
      </c>
      <c r="J1461" t="e">
        <f>VLOOKUP(F1461,'1PROJE'!$B$7:$F$26,4,0)</f>
        <v>#N/A</v>
      </c>
      <c r="K1461" t="e">
        <f>VLOOKUP(F1461,'1PROJE'!$B$7:$F$26,5,0)</f>
        <v>#N/A</v>
      </c>
    </row>
    <row r="1462" spans="2:11">
      <c r="B1462">
        <f>IF(C41=0,0,IF(($C$41-A62)=0,"POZ 15.","POZ"&amp;" "&amp;$P$61&amp;"."&amp;A62))</f>
        <v>0</v>
      </c>
      <c r="F1462" s="57" t="e">
        <f t="shared" si="274"/>
        <v>#N/A</v>
      </c>
      <c r="G1462" t="str">
        <f t="shared" si="275"/>
        <v/>
      </c>
      <c r="I1462" t="e">
        <f>VLOOKUP(F1462,'1PROJE'!$B$7:$F$26,2,0)</f>
        <v>#N/A</v>
      </c>
      <c r="J1462" t="e">
        <f>VLOOKUP(F1462,'1PROJE'!$B$7:$F$26,4,0)</f>
        <v>#N/A</v>
      </c>
      <c r="K1462" t="e">
        <f>VLOOKUP(F1462,'1PROJE'!$B$7:$F$26,5,0)</f>
        <v>#N/A</v>
      </c>
    </row>
    <row r="1463" spans="2:11">
      <c r="B1463">
        <f t="shared" ref="B1463:B1494" si="278">IF(($C$41-A63)&lt;0,0,"POZ"&amp;" "&amp;$P$61&amp;"."&amp;A63)</f>
        <v>0</v>
      </c>
      <c r="F1463" s="57" t="e">
        <f t="shared" si="274"/>
        <v>#N/A</v>
      </c>
      <c r="G1463" t="str">
        <f t="shared" si="275"/>
        <v/>
      </c>
      <c r="I1463" t="e">
        <f>VLOOKUP(F1463,'1PROJE'!$B$7:$F$26,2,0)</f>
        <v>#N/A</v>
      </c>
      <c r="J1463" t="e">
        <f>VLOOKUP(F1463,'1PROJE'!$B$7:$F$26,4,0)</f>
        <v>#N/A</v>
      </c>
      <c r="K1463" t="e">
        <f>VLOOKUP(F1463,'1PROJE'!$B$7:$F$26,5,0)</f>
        <v>#N/A</v>
      </c>
    </row>
    <row r="1464" spans="2:11">
      <c r="B1464">
        <f t="shared" si="278"/>
        <v>0</v>
      </c>
      <c r="F1464" s="57" t="e">
        <f t="shared" si="274"/>
        <v>#N/A</v>
      </c>
      <c r="G1464" t="str">
        <f t="shared" si="275"/>
        <v/>
      </c>
      <c r="I1464" t="e">
        <f>VLOOKUP(F1464,'1PROJE'!$B$7:$F$26,2,0)</f>
        <v>#N/A</v>
      </c>
      <c r="J1464" t="e">
        <f>VLOOKUP(F1464,'1PROJE'!$B$7:$F$26,4,0)</f>
        <v>#N/A</v>
      </c>
      <c r="K1464" t="e">
        <f>VLOOKUP(F1464,'1PROJE'!$B$7:$F$26,5,0)</f>
        <v>#N/A</v>
      </c>
    </row>
    <row r="1465" spans="2:11">
      <c r="B1465">
        <f t="shared" si="278"/>
        <v>0</v>
      </c>
      <c r="F1465" s="57" t="e">
        <f t="shared" si="274"/>
        <v>#N/A</v>
      </c>
      <c r="G1465" t="str">
        <f t="shared" si="275"/>
        <v/>
      </c>
      <c r="I1465" t="e">
        <f>VLOOKUP(F1465,'1PROJE'!$B$7:$F$26,2,0)</f>
        <v>#N/A</v>
      </c>
      <c r="J1465" t="e">
        <f>VLOOKUP(F1465,'1PROJE'!$B$7:$F$26,4,0)</f>
        <v>#N/A</v>
      </c>
      <c r="K1465" t="e">
        <f>VLOOKUP(F1465,'1PROJE'!$B$7:$F$26,5,0)</f>
        <v>#N/A</v>
      </c>
    </row>
    <row r="1466" spans="2:11">
      <c r="B1466">
        <f t="shared" si="278"/>
        <v>0</v>
      </c>
      <c r="F1466" s="57" t="e">
        <f t="shared" si="274"/>
        <v>#N/A</v>
      </c>
      <c r="G1466" t="str">
        <f t="shared" si="275"/>
        <v/>
      </c>
      <c r="I1466" t="e">
        <f>VLOOKUP(F1466,'1PROJE'!$B$7:$F$26,2,0)</f>
        <v>#N/A</v>
      </c>
      <c r="J1466" t="e">
        <f>VLOOKUP(F1466,'1PROJE'!$B$7:$F$26,4,0)</f>
        <v>#N/A</v>
      </c>
      <c r="K1466" t="e">
        <f>VLOOKUP(F1466,'1PROJE'!$B$7:$F$26,5,0)</f>
        <v>#N/A</v>
      </c>
    </row>
    <row r="1467" spans="2:11">
      <c r="B1467">
        <f t="shared" si="278"/>
        <v>0</v>
      </c>
      <c r="F1467" s="57" t="e">
        <f t="shared" si="274"/>
        <v>#N/A</v>
      </c>
      <c r="G1467" t="str">
        <f t="shared" si="275"/>
        <v/>
      </c>
      <c r="I1467" t="e">
        <f>VLOOKUP(F1467,'1PROJE'!$B$7:$F$26,2,0)</f>
        <v>#N/A</v>
      </c>
      <c r="J1467" t="e">
        <f>VLOOKUP(F1467,'1PROJE'!$B$7:$F$26,4,0)</f>
        <v>#N/A</v>
      </c>
      <c r="K1467" t="e">
        <f>VLOOKUP(F1467,'1PROJE'!$B$7:$F$26,5,0)</f>
        <v>#N/A</v>
      </c>
    </row>
    <row r="1468" spans="2:11">
      <c r="B1468">
        <f t="shared" si="278"/>
        <v>0</v>
      </c>
      <c r="F1468" s="57" t="e">
        <f t="shared" si="274"/>
        <v>#N/A</v>
      </c>
      <c r="G1468" t="str">
        <f t="shared" si="275"/>
        <v/>
      </c>
      <c r="I1468" t="e">
        <f>VLOOKUP(F1468,'1PROJE'!$B$7:$F$26,2,0)</f>
        <v>#N/A</v>
      </c>
      <c r="J1468" t="e">
        <f>VLOOKUP(F1468,'1PROJE'!$B$7:$F$26,4,0)</f>
        <v>#N/A</v>
      </c>
      <c r="K1468" t="e">
        <f>VLOOKUP(F1468,'1PROJE'!$B$7:$F$26,5,0)</f>
        <v>#N/A</v>
      </c>
    </row>
    <row r="1469" spans="2:11">
      <c r="B1469">
        <f t="shared" si="278"/>
        <v>0</v>
      </c>
      <c r="F1469" s="57" t="e">
        <f t="shared" si="274"/>
        <v>#N/A</v>
      </c>
      <c r="G1469" t="str">
        <f t="shared" si="275"/>
        <v/>
      </c>
      <c r="I1469" t="e">
        <f>VLOOKUP(F1469,'1PROJE'!$B$7:$F$26,2,0)</f>
        <v>#N/A</v>
      </c>
      <c r="J1469" t="e">
        <f>VLOOKUP(F1469,'1PROJE'!$B$7:$F$26,4,0)</f>
        <v>#N/A</v>
      </c>
      <c r="K1469" t="e">
        <f>VLOOKUP(F1469,'1PROJE'!$B$7:$F$26,5,0)</f>
        <v>#N/A</v>
      </c>
    </row>
    <row r="1470" spans="2:11">
      <c r="B1470">
        <f t="shared" si="278"/>
        <v>0</v>
      </c>
      <c r="F1470" s="57" t="e">
        <f t="shared" si="274"/>
        <v>#N/A</v>
      </c>
      <c r="G1470" t="str">
        <f t="shared" si="275"/>
        <v/>
      </c>
      <c r="I1470" t="e">
        <f>VLOOKUP(F1470,'1PROJE'!$B$7:$F$26,2,0)</f>
        <v>#N/A</v>
      </c>
      <c r="J1470" t="e">
        <f>VLOOKUP(F1470,'1PROJE'!$B$7:$F$26,4,0)</f>
        <v>#N/A</v>
      </c>
      <c r="K1470" t="e">
        <f>VLOOKUP(F1470,'1PROJE'!$B$7:$F$26,5,0)</f>
        <v>#N/A</v>
      </c>
    </row>
    <row r="1471" spans="2:11">
      <c r="B1471">
        <f t="shared" si="278"/>
        <v>0</v>
      </c>
      <c r="F1471" s="57" t="e">
        <f t="shared" si="274"/>
        <v>#N/A</v>
      </c>
      <c r="G1471" t="str">
        <f t="shared" si="275"/>
        <v/>
      </c>
      <c r="I1471" t="e">
        <f>VLOOKUP(F1471,'1PROJE'!$B$7:$F$26,2,0)</f>
        <v>#N/A</v>
      </c>
      <c r="J1471" t="e">
        <f>VLOOKUP(F1471,'1PROJE'!$B$7:$F$26,4,0)</f>
        <v>#N/A</v>
      </c>
      <c r="K1471" t="e">
        <f>VLOOKUP(F1471,'1PROJE'!$B$7:$F$26,5,0)</f>
        <v>#N/A</v>
      </c>
    </row>
    <row r="1472" spans="2:11">
      <c r="B1472">
        <f t="shared" si="278"/>
        <v>0</v>
      </c>
      <c r="F1472" s="57" t="e">
        <f t="shared" si="274"/>
        <v>#N/A</v>
      </c>
      <c r="G1472" t="str">
        <f t="shared" si="275"/>
        <v/>
      </c>
      <c r="I1472" t="e">
        <f>VLOOKUP(F1472,'1PROJE'!$B$7:$F$26,2,0)</f>
        <v>#N/A</v>
      </c>
      <c r="J1472" t="e">
        <f>VLOOKUP(F1472,'1PROJE'!$B$7:$F$26,4,0)</f>
        <v>#N/A</v>
      </c>
      <c r="K1472" t="e">
        <f>VLOOKUP(F1472,'1PROJE'!$B$7:$F$26,5,0)</f>
        <v>#N/A</v>
      </c>
    </row>
    <row r="1473" spans="2:11">
      <c r="B1473">
        <f t="shared" si="278"/>
        <v>0</v>
      </c>
      <c r="F1473" s="57" t="e">
        <f t="shared" si="274"/>
        <v>#N/A</v>
      </c>
      <c r="G1473" t="str">
        <f t="shared" si="275"/>
        <v/>
      </c>
      <c r="I1473" t="e">
        <f>VLOOKUP(F1473,'1PROJE'!$B$7:$F$26,2,0)</f>
        <v>#N/A</v>
      </c>
      <c r="J1473" t="e">
        <f>VLOOKUP(F1473,'1PROJE'!$B$7:$F$26,4,0)</f>
        <v>#N/A</v>
      </c>
      <c r="K1473" t="e">
        <f>VLOOKUP(F1473,'1PROJE'!$B$7:$F$26,5,0)</f>
        <v>#N/A</v>
      </c>
    </row>
    <row r="1474" spans="2:11">
      <c r="B1474">
        <f t="shared" si="278"/>
        <v>0</v>
      </c>
      <c r="F1474" s="57" t="e">
        <f t="shared" si="274"/>
        <v>#N/A</v>
      </c>
      <c r="G1474" t="str">
        <f t="shared" si="275"/>
        <v/>
      </c>
      <c r="I1474" t="e">
        <f>VLOOKUP(F1474,'1PROJE'!$B$7:$F$26,2,0)</f>
        <v>#N/A</v>
      </c>
      <c r="J1474" t="e">
        <f>VLOOKUP(F1474,'1PROJE'!$B$7:$F$26,4,0)</f>
        <v>#N/A</v>
      </c>
      <c r="K1474" t="e">
        <f>VLOOKUP(F1474,'1PROJE'!$B$7:$F$26,5,0)</f>
        <v>#N/A</v>
      </c>
    </row>
    <row r="1475" spans="2:11">
      <c r="B1475">
        <f t="shared" si="278"/>
        <v>0</v>
      </c>
      <c r="F1475" s="57" t="e">
        <f t="shared" si="274"/>
        <v>#N/A</v>
      </c>
      <c r="G1475" t="str">
        <f t="shared" si="275"/>
        <v/>
      </c>
      <c r="I1475" t="e">
        <f>VLOOKUP(F1475,'1PROJE'!$B$7:$F$26,2,0)</f>
        <v>#N/A</v>
      </c>
      <c r="J1475" t="e">
        <f>VLOOKUP(F1475,'1PROJE'!$B$7:$F$26,4,0)</f>
        <v>#N/A</v>
      </c>
      <c r="K1475" t="e">
        <f>VLOOKUP(F1475,'1PROJE'!$B$7:$F$26,5,0)</f>
        <v>#N/A</v>
      </c>
    </row>
    <row r="1476" spans="2:11">
      <c r="B1476">
        <f t="shared" si="278"/>
        <v>0</v>
      </c>
      <c r="F1476" s="57" t="e">
        <f t="shared" si="274"/>
        <v>#N/A</v>
      </c>
      <c r="G1476" t="str">
        <f t="shared" si="275"/>
        <v/>
      </c>
      <c r="I1476" t="e">
        <f>VLOOKUP(F1476,'1PROJE'!$B$7:$F$26,2,0)</f>
        <v>#N/A</v>
      </c>
      <c r="J1476" t="e">
        <f>VLOOKUP(F1476,'1PROJE'!$B$7:$F$26,4,0)</f>
        <v>#N/A</v>
      </c>
      <c r="K1476" t="e">
        <f>VLOOKUP(F1476,'1PROJE'!$B$7:$F$26,5,0)</f>
        <v>#N/A</v>
      </c>
    </row>
    <row r="1477" spans="2:11">
      <c r="B1477">
        <f t="shared" si="278"/>
        <v>0</v>
      </c>
      <c r="F1477" s="57" t="e">
        <f t="shared" si="274"/>
        <v>#N/A</v>
      </c>
      <c r="G1477" t="str">
        <f t="shared" si="275"/>
        <v/>
      </c>
      <c r="I1477" t="e">
        <f>VLOOKUP(F1477,'1PROJE'!$B$7:$F$26,2,0)</f>
        <v>#N/A</v>
      </c>
      <c r="J1477" t="e">
        <f>VLOOKUP(F1477,'1PROJE'!$B$7:$F$26,4,0)</f>
        <v>#N/A</v>
      </c>
      <c r="K1477" t="e">
        <f>VLOOKUP(F1477,'1PROJE'!$B$7:$F$26,5,0)</f>
        <v>#N/A</v>
      </c>
    </row>
    <row r="1478" spans="2:11">
      <c r="B1478">
        <f t="shared" si="278"/>
        <v>0</v>
      </c>
      <c r="F1478" s="57" t="e">
        <f t="shared" si="274"/>
        <v>#N/A</v>
      </c>
      <c r="G1478" t="str">
        <f t="shared" si="275"/>
        <v/>
      </c>
      <c r="I1478" t="e">
        <f>VLOOKUP(F1478,'1PROJE'!$B$7:$F$26,2,0)</f>
        <v>#N/A</v>
      </c>
      <c r="J1478" t="e">
        <f>VLOOKUP(F1478,'1PROJE'!$B$7:$F$26,4,0)</f>
        <v>#N/A</v>
      </c>
      <c r="K1478" t="e">
        <f>VLOOKUP(F1478,'1PROJE'!$B$7:$F$26,5,0)</f>
        <v>#N/A</v>
      </c>
    </row>
    <row r="1479" spans="2:11">
      <c r="B1479">
        <f t="shared" si="278"/>
        <v>0</v>
      </c>
      <c r="F1479" s="57" t="e">
        <f t="shared" si="274"/>
        <v>#N/A</v>
      </c>
      <c r="G1479" t="str">
        <f t="shared" si="275"/>
        <v/>
      </c>
      <c r="I1479" t="e">
        <f>VLOOKUP(F1479,'1PROJE'!$B$7:$F$26,2,0)</f>
        <v>#N/A</v>
      </c>
      <c r="J1479" t="e">
        <f>VLOOKUP(F1479,'1PROJE'!$B$7:$F$26,4,0)</f>
        <v>#N/A</v>
      </c>
      <c r="K1479" t="e">
        <f>VLOOKUP(F1479,'1PROJE'!$B$7:$F$26,5,0)</f>
        <v>#N/A</v>
      </c>
    </row>
    <row r="1480" spans="2:11">
      <c r="B1480">
        <f t="shared" si="278"/>
        <v>0</v>
      </c>
      <c r="F1480" s="57" t="e">
        <f t="shared" si="274"/>
        <v>#N/A</v>
      </c>
      <c r="G1480" t="str">
        <f t="shared" si="275"/>
        <v/>
      </c>
      <c r="I1480" t="e">
        <f>VLOOKUP(F1480,'1PROJE'!$B$7:$F$26,2,0)</f>
        <v>#N/A</v>
      </c>
      <c r="J1480" t="e">
        <f>VLOOKUP(F1480,'1PROJE'!$B$7:$F$26,4,0)</f>
        <v>#N/A</v>
      </c>
      <c r="K1480" t="e">
        <f>VLOOKUP(F1480,'1PROJE'!$B$7:$F$26,5,0)</f>
        <v>#N/A</v>
      </c>
    </row>
    <row r="1481" spans="2:11">
      <c r="B1481">
        <f t="shared" si="278"/>
        <v>0</v>
      </c>
      <c r="F1481" s="57" t="e">
        <f t="shared" si="274"/>
        <v>#N/A</v>
      </c>
      <c r="G1481" t="str">
        <f t="shared" si="275"/>
        <v/>
      </c>
      <c r="I1481" t="e">
        <f>VLOOKUP(F1481,'1PROJE'!$B$7:$F$26,2,0)</f>
        <v>#N/A</v>
      </c>
      <c r="J1481" t="e">
        <f>VLOOKUP(F1481,'1PROJE'!$B$7:$F$26,4,0)</f>
        <v>#N/A</v>
      </c>
      <c r="K1481" t="e">
        <f>VLOOKUP(F1481,'1PROJE'!$B$7:$F$26,5,0)</f>
        <v>#N/A</v>
      </c>
    </row>
    <row r="1482" spans="2:11">
      <c r="B1482">
        <f t="shared" si="278"/>
        <v>0</v>
      </c>
      <c r="F1482" s="57" t="e">
        <f t="shared" si="274"/>
        <v>#N/A</v>
      </c>
      <c r="G1482" t="str">
        <f t="shared" si="275"/>
        <v/>
      </c>
      <c r="I1482" t="e">
        <f>VLOOKUP(F1482,'1PROJE'!$B$7:$F$26,2,0)</f>
        <v>#N/A</v>
      </c>
      <c r="J1482" t="e">
        <f>VLOOKUP(F1482,'1PROJE'!$B$7:$F$26,4,0)</f>
        <v>#N/A</v>
      </c>
      <c r="K1482" t="e">
        <f>VLOOKUP(F1482,'1PROJE'!$B$7:$F$26,5,0)</f>
        <v>#N/A</v>
      </c>
    </row>
    <row r="1483" spans="2:11">
      <c r="B1483">
        <f t="shared" si="278"/>
        <v>0</v>
      </c>
      <c r="F1483" s="57" t="e">
        <f t="shared" ref="F1483:F1546" si="279">VLOOKUP(G1483,$C$64:$D$83,2,0)</f>
        <v>#N/A</v>
      </c>
      <c r="G1483" t="str">
        <f t="shared" ref="G1483:G1546" si="280">LEFT(H1483,6)</f>
        <v/>
      </c>
      <c r="I1483" t="e">
        <f>VLOOKUP(F1483,'1PROJE'!$B$7:$F$26,2,0)</f>
        <v>#N/A</v>
      </c>
      <c r="J1483" t="e">
        <f>VLOOKUP(F1483,'1PROJE'!$B$7:$F$26,4,0)</f>
        <v>#N/A</v>
      </c>
      <c r="K1483" t="e">
        <f>VLOOKUP(F1483,'1PROJE'!$B$7:$F$26,5,0)</f>
        <v>#N/A</v>
      </c>
    </row>
    <row r="1484" spans="2:11">
      <c r="B1484">
        <f t="shared" si="278"/>
        <v>0</v>
      </c>
      <c r="F1484" s="57" t="e">
        <f t="shared" si="279"/>
        <v>#N/A</v>
      </c>
      <c r="G1484" t="str">
        <f t="shared" si="280"/>
        <v/>
      </c>
      <c r="I1484" t="e">
        <f>VLOOKUP(F1484,'1PROJE'!$B$7:$F$26,2,0)</f>
        <v>#N/A</v>
      </c>
      <c r="J1484" t="e">
        <f>VLOOKUP(F1484,'1PROJE'!$B$7:$F$26,4,0)</f>
        <v>#N/A</v>
      </c>
      <c r="K1484" t="e">
        <f>VLOOKUP(F1484,'1PROJE'!$B$7:$F$26,5,0)</f>
        <v>#N/A</v>
      </c>
    </row>
    <row r="1485" spans="2:11">
      <c r="B1485">
        <f t="shared" si="278"/>
        <v>0</v>
      </c>
      <c r="F1485" s="57" t="e">
        <f t="shared" si="279"/>
        <v>#N/A</v>
      </c>
      <c r="G1485" t="str">
        <f t="shared" si="280"/>
        <v/>
      </c>
      <c r="I1485" t="e">
        <f>VLOOKUP(F1485,'1PROJE'!$B$7:$F$26,2,0)</f>
        <v>#N/A</v>
      </c>
      <c r="J1485" t="e">
        <f>VLOOKUP(F1485,'1PROJE'!$B$7:$F$26,4,0)</f>
        <v>#N/A</v>
      </c>
      <c r="K1485" t="e">
        <f>VLOOKUP(F1485,'1PROJE'!$B$7:$F$26,5,0)</f>
        <v>#N/A</v>
      </c>
    </row>
    <row r="1486" spans="2:11">
      <c r="B1486">
        <f t="shared" si="278"/>
        <v>0</v>
      </c>
      <c r="F1486" s="57" t="e">
        <f t="shared" si="279"/>
        <v>#N/A</v>
      </c>
      <c r="G1486" t="str">
        <f t="shared" si="280"/>
        <v/>
      </c>
      <c r="I1486" t="e">
        <f>VLOOKUP(F1486,'1PROJE'!$B$7:$F$26,2,0)</f>
        <v>#N/A</v>
      </c>
      <c r="J1486" t="e">
        <f>VLOOKUP(F1486,'1PROJE'!$B$7:$F$26,4,0)</f>
        <v>#N/A</v>
      </c>
      <c r="K1486" t="e">
        <f>VLOOKUP(F1486,'1PROJE'!$B$7:$F$26,5,0)</f>
        <v>#N/A</v>
      </c>
    </row>
    <row r="1487" spans="2:11">
      <c r="B1487">
        <f t="shared" si="278"/>
        <v>0</v>
      </c>
      <c r="F1487" s="57" t="e">
        <f t="shared" si="279"/>
        <v>#N/A</v>
      </c>
      <c r="G1487" t="str">
        <f t="shared" si="280"/>
        <v/>
      </c>
      <c r="I1487" t="e">
        <f>VLOOKUP(F1487,'1PROJE'!$B$7:$F$26,2,0)</f>
        <v>#N/A</v>
      </c>
      <c r="J1487" t="e">
        <f>VLOOKUP(F1487,'1PROJE'!$B$7:$F$26,4,0)</f>
        <v>#N/A</v>
      </c>
      <c r="K1487" t="e">
        <f>VLOOKUP(F1487,'1PROJE'!$B$7:$F$26,5,0)</f>
        <v>#N/A</v>
      </c>
    </row>
    <row r="1488" spans="2:11">
      <c r="B1488">
        <f t="shared" si="278"/>
        <v>0</v>
      </c>
      <c r="F1488" s="57" t="e">
        <f t="shared" si="279"/>
        <v>#N/A</v>
      </c>
      <c r="G1488" t="str">
        <f t="shared" si="280"/>
        <v/>
      </c>
      <c r="I1488" t="e">
        <f>VLOOKUP(F1488,'1PROJE'!$B$7:$F$26,2,0)</f>
        <v>#N/A</v>
      </c>
      <c r="J1488" t="e">
        <f>VLOOKUP(F1488,'1PROJE'!$B$7:$F$26,4,0)</f>
        <v>#N/A</v>
      </c>
      <c r="K1488" t="e">
        <f>VLOOKUP(F1488,'1PROJE'!$B$7:$F$26,5,0)</f>
        <v>#N/A</v>
      </c>
    </row>
    <row r="1489" spans="2:11">
      <c r="B1489">
        <f t="shared" si="278"/>
        <v>0</v>
      </c>
      <c r="F1489" s="57" t="e">
        <f t="shared" si="279"/>
        <v>#N/A</v>
      </c>
      <c r="G1489" t="str">
        <f t="shared" si="280"/>
        <v/>
      </c>
      <c r="I1489" t="e">
        <f>VLOOKUP(F1489,'1PROJE'!$B$7:$F$26,2,0)</f>
        <v>#N/A</v>
      </c>
      <c r="J1489" t="e">
        <f>VLOOKUP(F1489,'1PROJE'!$B$7:$F$26,4,0)</f>
        <v>#N/A</v>
      </c>
      <c r="K1489" t="e">
        <f>VLOOKUP(F1489,'1PROJE'!$B$7:$F$26,5,0)</f>
        <v>#N/A</v>
      </c>
    </row>
    <row r="1490" spans="2:11">
      <c r="B1490">
        <f t="shared" si="278"/>
        <v>0</v>
      </c>
      <c r="F1490" s="57" t="e">
        <f t="shared" si="279"/>
        <v>#N/A</v>
      </c>
      <c r="G1490" t="str">
        <f t="shared" si="280"/>
        <v/>
      </c>
      <c r="I1490" t="e">
        <f>VLOOKUP(F1490,'1PROJE'!$B$7:$F$26,2,0)</f>
        <v>#N/A</v>
      </c>
      <c r="J1490" t="e">
        <f>VLOOKUP(F1490,'1PROJE'!$B$7:$F$26,4,0)</f>
        <v>#N/A</v>
      </c>
      <c r="K1490" t="e">
        <f>VLOOKUP(F1490,'1PROJE'!$B$7:$F$26,5,0)</f>
        <v>#N/A</v>
      </c>
    </row>
    <row r="1491" spans="2:11">
      <c r="B1491">
        <f t="shared" si="278"/>
        <v>0</v>
      </c>
      <c r="F1491" s="57" t="e">
        <f t="shared" si="279"/>
        <v>#N/A</v>
      </c>
      <c r="G1491" t="str">
        <f t="shared" si="280"/>
        <v/>
      </c>
      <c r="I1491" t="e">
        <f>VLOOKUP(F1491,'1PROJE'!$B$7:$F$26,2,0)</f>
        <v>#N/A</v>
      </c>
      <c r="J1491" t="e">
        <f>VLOOKUP(F1491,'1PROJE'!$B$7:$F$26,4,0)</f>
        <v>#N/A</v>
      </c>
      <c r="K1491" t="e">
        <f>VLOOKUP(F1491,'1PROJE'!$B$7:$F$26,5,0)</f>
        <v>#N/A</v>
      </c>
    </row>
    <row r="1492" spans="2:11">
      <c r="B1492">
        <f t="shared" si="278"/>
        <v>0</v>
      </c>
      <c r="F1492" s="57" t="e">
        <f t="shared" si="279"/>
        <v>#N/A</v>
      </c>
      <c r="G1492" t="str">
        <f t="shared" si="280"/>
        <v/>
      </c>
      <c r="I1492" t="e">
        <f>VLOOKUP(F1492,'1PROJE'!$B$7:$F$26,2,0)</f>
        <v>#N/A</v>
      </c>
      <c r="J1492" t="e">
        <f>VLOOKUP(F1492,'1PROJE'!$B$7:$F$26,4,0)</f>
        <v>#N/A</v>
      </c>
      <c r="K1492" t="e">
        <f>VLOOKUP(F1492,'1PROJE'!$B$7:$F$26,5,0)</f>
        <v>#N/A</v>
      </c>
    </row>
    <row r="1493" spans="2:11">
      <c r="B1493">
        <f t="shared" si="278"/>
        <v>0</v>
      </c>
      <c r="F1493" s="57" t="e">
        <f t="shared" si="279"/>
        <v>#N/A</v>
      </c>
      <c r="G1493" t="str">
        <f t="shared" si="280"/>
        <v/>
      </c>
      <c r="I1493" t="e">
        <f>VLOOKUP(F1493,'1PROJE'!$B$7:$F$26,2,0)</f>
        <v>#N/A</v>
      </c>
      <c r="J1493" t="e">
        <f>VLOOKUP(F1493,'1PROJE'!$B$7:$F$26,4,0)</f>
        <v>#N/A</v>
      </c>
      <c r="K1493" t="e">
        <f>VLOOKUP(F1493,'1PROJE'!$B$7:$F$26,5,0)</f>
        <v>#N/A</v>
      </c>
    </row>
    <row r="1494" spans="2:11">
      <c r="B1494">
        <f t="shared" si="278"/>
        <v>0</v>
      </c>
      <c r="F1494" s="57" t="e">
        <f t="shared" si="279"/>
        <v>#N/A</v>
      </c>
      <c r="G1494" t="str">
        <f t="shared" si="280"/>
        <v/>
      </c>
      <c r="I1494" t="e">
        <f>VLOOKUP(F1494,'1PROJE'!$B$7:$F$26,2,0)</f>
        <v>#N/A</v>
      </c>
      <c r="J1494" t="e">
        <f>VLOOKUP(F1494,'1PROJE'!$B$7:$F$26,4,0)</f>
        <v>#N/A</v>
      </c>
      <c r="K1494" t="e">
        <f>VLOOKUP(F1494,'1PROJE'!$B$7:$F$26,5,0)</f>
        <v>#N/A</v>
      </c>
    </row>
    <row r="1495" spans="2:11">
      <c r="B1495">
        <f t="shared" ref="B1495:B1526" si="281">IF(($C$41-A95)&lt;0,0,"POZ"&amp;" "&amp;$P$61&amp;"."&amp;A95)</f>
        <v>0</v>
      </c>
      <c r="F1495" s="57" t="e">
        <f t="shared" si="279"/>
        <v>#N/A</v>
      </c>
      <c r="G1495" t="str">
        <f t="shared" si="280"/>
        <v/>
      </c>
      <c r="I1495" t="e">
        <f>VLOOKUP(F1495,'1PROJE'!$B$7:$F$26,2,0)</f>
        <v>#N/A</v>
      </c>
      <c r="J1495" t="e">
        <f>VLOOKUP(F1495,'1PROJE'!$B$7:$F$26,4,0)</f>
        <v>#N/A</v>
      </c>
      <c r="K1495" t="e">
        <f>VLOOKUP(F1495,'1PROJE'!$B$7:$F$26,5,0)</f>
        <v>#N/A</v>
      </c>
    </row>
    <row r="1496" spans="2:11">
      <c r="B1496">
        <f t="shared" si="281"/>
        <v>0</v>
      </c>
      <c r="F1496" s="57" t="e">
        <f t="shared" si="279"/>
        <v>#N/A</v>
      </c>
      <c r="G1496" t="str">
        <f t="shared" si="280"/>
        <v/>
      </c>
      <c r="I1496" t="e">
        <f>VLOOKUP(F1496,'1PROJE'!$B$7:$F$26,2,0)</f>
        <v>#N/A</v>
      </c>
      <c r="J1496" t="e">
        <f>VLOOKUP(F1496,'1PROJE'!$B$7:$F$26,4,0)</f>
        <v>#N/A</v>
      </c>
      <c r="K1496" t="e">
        <f>VLOOKUP(F1496,'1PROJE'!$B$7:$F$26,5,0)</f>
        <v>#N/A</v>
      </c>
    </row>
    <row r="1497" spans="2:11">
      <c r="B1497">
        <f t="shared" si="281"/>
        <v>0</v>
      </c>
      <c r="F1497" s="57" t="e">
        <f t="shared" si="279"/>
        <v>#N/A</v>
      </c>
      <c r="G1497" t="str">
        <f t="shared" si="280"/>
        <v/>
      </c>
      <c r="I1497" t="e">
        <f>VLOOKUP(F1497,'1PROJE'!$B$7:$F$26,2,0)</f>
        <v>#N/A</v>
      </c>
      <c r="J1497" t="e">
        <f>VLOOKUP(F1497,'1PROJE'!$B$7:$F$26,4,0)</f>
        <v>#N/A</v>
      </c>
      <c r="K1497" t="e">
        <f>VLOOKUP(F1497,'1PROJE'!$B$7:$F$26,5,0)</f>
        <v>#N/A</v>
      </c>
    </row>
    <row r="1498" spans="2:11">
      <c r="B1498">
        <f t="shared" si="281"/>
        <v>0</v>
      </c>
      <c r="F1498" s="57" t="e">
        <f t="shared" si="279"/>
        <v>#N/A</v>
      </c>
      <c r="G1498" t="str">
        <f t="shared" si="280"/>
        <v/>
      </c>
      <c r="I1498" t="e">
        <f>VLOOKUP(F1498,'1PROJE'!$B$7:$F$26,2,0)</f>
        <v>#N/A</v>
      </c>
      <c r="J1498" t="e">
        <f>VLOOKUP(F1498,'1PROJE'!$B$7:$F$26,4,0)</f>
        <v>#N/A</v>
      </c>
      <c r="K1498" t="e">
        <f>VLOOKUP(F1498,'1PROJE'!$B$7:$F$26,5,0)</f>
        <v>#N/A</v>
      </c>
    </row>
    <row r="1499" spans="2:11">
      <c r="B1499">
        <f t="shared" si="281"/>
        <v>0</v>
      </c>
      <c r="F1499" s="57" t="e">
        <f t="shared" si="279"/>
        <v>#N/A</v>
      </c>
      <c r="G1499" t="str">
        <f t="shared" si="280"/>
        <v/>
      </c>
      <c r="I1499" t="e">
        <f>VLOOKUP(F1499,'1PROJE'!$B$7:$F$26,2,0)</f>
        <v>#N/A</v>
      </c>
      <c r="J1499" t="e">
        <f>VLOOKUP(F1499,'1PROJE'!$B$7:$F$26,4,0)</f>
        <v>#N/A</v>
      </c>
      <c r="K1499" t="e">
        <f>VLOOKUP(F1499,'1PROJE'!$B$7:$F$26,5,0)</f>
        <v>#N/A</v>
      </c>
    </row>
    <row r="1500" spans="2:11">
      <c r="B1500">
        <f t="shared" si="281"/>
        <v>0</v>
      </c>
      <c r="F1500" s="57" t="e">
        <f t="shared" si="279"/>
        <v>#N/A</v>
      </c>
      <c r="G1500" t="str">
        <f t="shared" si="280"/>
        <v/>
      </c>
      <c r="I1500" t="e">
        <f>VLOOKUP(F1500,'1PROJE'!$B$7:$F$26,2,0)</f>
        <v>#N/A</v>
      </c>
      <c r="J1500" t="e">
        <f>VLOOKUP(F1500,'1PROJE'!$B$7:$F$26,4,0)</f>
        <v>#N/A</v>
      </c>
      <c r="K1500" t="e">
        <f>VLOOKUP(F1500,'1PROJE'!$B$7:$F$26,5,0)</f>
        <v>#N/A</v>
      </c>
    </row>
    <row r="1501" spans="2:11">
      <c r="B1501">
        <f t="shared" si="281"/>
        <v>0</v>
      </c>
      <c r="F1501" s="57" t="e">
        <f t="shared" si="279"/>
        <v>#N/A</v>
      </c>
      <c r="G1501" t="str">
        <f t="shared" si="280"/>
        <v/>
      </c>
      <c r="I1501" t="e">
        <f>VLOOKUP(F1501,'1PROJE'!$B$7:$F$26,2,0)</f>
        <v>#N/A</v>
      </c>
      <c r="J1501" t="e">
        <f>VLOOKUP(F1501,'1PROJE'!$B$7:$F$26,4,0)</f>
        <v>#N/A</v>
      </c>
      <c r="K1501" t="e">
        <f>VLOOKUP(F1501,'1PROJE'!$B$7:$F$26,5,0)</f>
        <v>#N/A</v>
      </c>
    </row>
    <row r="1502" spans="2:11">
      <c r="B1502">
        <f t="shared" si="281"/>
        <v>0</v>
      </c>
      <c r="F1502" s="57" t="e">
        <f t="shared" si="279"/>
        <v>#N/A</v>
      </c>
      <c r="G1502" t="str">
        <f t="shared" si="280"/>
        <v/>
      </c>
      <c r="I1502" t="e">
        <f>VLOOKUP(F1502,'1PROJE'!$B$7:$F$26,2,0)</f>
        <v>#N/A</v>
      </c>
      <c r="J1502" t="e">
        <f>VLOOKUP(F1502,'1PROJE'!$B$7:$F$26,4,0)</f>
        <v>#N/A</v>
      </c>
      <c r="K1502" t="e">
        <f>VLOOKUP(F1502,'1PROJE'!$B$7:$F$26,5,0)</f>
        <v>#N/A</v>
      </c>
    </row>
    <row r="1503" spans="2:11">
      <c r="B1503">
        <f t="shared" si="281"/>
        <v>0</v>
      </c>
      <c r="F1503" s="57" t="e">
        <f t="shared" si="279"/>
        <v>#N/A</v>
      </c>
      <c r="G1503" t="str">
        <f t="shared" si="280"/>
        <v/>
      </c>
      <c r="I1503" t="e">
        <f>VLOOKUP(F1503,'1PROJE'!$B$7:$F$26,2,0)</f>
        <v>#N/A</v>
      </c>
      <c r="J1503" t="e">
        <f>VLOOKUP(F1503,'1PROJE'!$B$7:$F$26,4,0)</f>
        <v>#N/A</v>
      </c>
      <c r="K1503" t="e">
        <f>VLOOKUP(F1503,'1PROJE'!$B$7:$F$26,5,0)</f>
        <v>#N/A</v>
      </c>
    </row>
    <row r="1504" spans="2:11">
      <c r="B1504">
        <f t="shared" si="281"/>
        <v>0</v>
      </c>
      <c r="F1504" s="57" t="e">
        <f t="shared" si="279"/>
        <v>#N/A</v>
      </c>
      <c r="G1504" t="str">
        <f t="shared" si="280"/>
        <v/>
      </c>
      <c r="I1504" t="e">
        <f>VLOOKUP(F1504,'1PROJE'!$B$7:$F$26,2,0)</f>
        <v>#N/A</v>
      </c>
      <c r="J1504" t="e">
        <f>VLOOKUP(F1504,'1PROJE'!$B$7:$F$26,4,0)</f>
        <v>#N/A</v>
      </c>
      <c r="K1504" t="e">
        <f>VLOOKUP(F1504,'1PROJE'!$B$7:$F$26,5,0)</f>
        <v>#N/A</v>
      </c>
    </row>
    <row r="1505" spans="2:11">
      <c r="B1505">
        <f t="shared" si="281"/>
        <v>0</v>
      </c>
      <c r="F1505" s="57" t="e">
        <f t="shared" si="279"/>
        <v>#N/A</v>
      </c>
      <c r="G1505" t="str">
        <f t="shared" si="280"/>
        <v/>
      </c>
      <c r="I1505" t="e">
        <f>VLOOKUP(F1505,'1PROJE'!$B$7:$F$26,2,0)</f>
        <v>#N/A</v>
      </c>
      <c r="J1505" t="e">
        <f>VLOOKUP(F1505,'1PROJE'!$B$7:$F$26,4,0)</f>
        <v>#N/A</v>
      </c>
      <c r="K1505" t="e">
        <f>VLOOKUP(F1505,'1PROJE'!$B$7:$F$26,5,0)</f>
        <v>#N/A</v>
      </c>
    </row>
    <row r="1506" spans="2:11">
      <c r="B1506">
        <f t="shared" si="281"/>
        <v>0</v>
      </c>
      <c r="F1506" s="57" t="e">
        <f t="shared" si="279"/>
        <v>#N/A</v>
      </c>
      <c r="G1506" t="str">
        <f t="shared" si="280"/>
        <v/>
      </c>
      <c r="I1506" t="e">
        <f>VLOOKUP(F1506,'1PROJE'!$B$7:$F$26,2,0)</f>
        <v>#N/A</v>
      </c>
      <c r="J1506" t="e">
        <f>VLOOKUP(F1506,'1PROJE'!$B$7:$F$26,4,0)</f>
        <v>#N/A</v>
      </c>
      <c r="K1506" t="e">
        <f>VLOOKUP(F1506,'1PROJE'!$B$7:$F$26,5,0)</f>
        <v>#N/A</v>
      </c>
    </row>
    <row r="1507" spans="2:11">
      <c r="B1507">
        <f t="shared" si="281"/>
        <v>0</v>
      </c>
      <c r="F1507" s="57" t="e">
        <f t="shared" si="279"/>
        <v>#N/A</v>
      </c>
      <c r="G1507" t="str">
        <f t="shared" si="280"/>
        <v/>
      </c>
      <c r="I1507" t="e">
        <f>VLOOKUP(F1507,'1PROJE'!$B$7:$F$26,2,0)</f>
        <v>#N/A</v>
      </c>
      <c r="J1507" t="e">
        <f>VLOOKUP(F1507,'1PROJE'!$B$7:$F$26,4,0)</f>
        <v>#N/A</v>
      </c>
      <c r="K1507" t="e">
        <f>VLOOKUP(F1507,'1PROJE'!$B$7:$F$26,5,0)</f>
        <v>#N/A</v>
      </c>
    </row>
    <row r="1508" spans="2:11">
      <c r="B1508">
        <f t="shared" si="281"/>
        <v>0</v>
      </c>
      <c r="F1508" s="57" t="e">
        <f t="shared" si="279"/>
        <v>#N/A</v>
      </c>
      <c r="G1508" t="str">
        <f t="shared" si="280"/>
        <v/>
      </c>
      <c r="I1508" t="e">
        <f>VLOOKUP(F1508,'1PROJE'!$B$7:$F$26,2,0)</f>
        <v>#N/A</v>
      </c>
      <c r="J1508" t="e">
        <f>VLOOKUP(F1508,'1PROJE'!$B$7:$F$26,4,0)</f>
        <v>#N/A</v>
      </c>
      <c r="K1508" t="e">
        <f>VLOOKUP(F1508,'1PROJE'!$B$7:$F$26,5,0)</f>
        <v>#N/A</v>
      </c>
    </row>
    <row r="1509" spans="2:11">
      <c r="B1509">
        <f t="shared" si="281"/>
        <v>0</v>
      </c>
      <c r="F1509" s="57" t="e">
        <f t="shared" si="279"/>
        <v>#N/A</v>
      </c>
      <c r="G1509" t="str">
        <f t="shared" si="280"/>
        <v/>
      </c>
      <c r="I1509" t="e">
        <f>VLOOKUP(F1509,'1PROJE'!$B$7:$F$26,2,0)</f>
        <v>#N/A</v>
      </c>
      <c r="J1509" t="e">
        <f>VLOOKUP(F1509,'1PROJE'!$B$7:$F$26,4,0)</f>
        <v>#N/A</v>
      </c>
      <c r="K1509" t="e">
        <f>VLOOKUP(F1509,'1PROJE'!$B$7:$F$26,5,0)</f>
        <v>#N/A</v>
      </c>
    </row>
    <row r="1510" spans="2:11">
      <c r="B1510">
        <f t="shared" si="281"/>
        <v>0</v>
      </c>
      <c r="F1510" s="57" t="e">
        <f t="shared" si="279"/>
        <v>#N/A</v>
      </c>
      <c r="G1510" t="str">
        <f t="shared" si="280"/>
        <v/>
      </c>
      <c r="I1510" t="e">
        <f>VLOOKUP(F1510,'1PROJE'!$B$7:$F$26,2,0)</f>
        <v>#N/A</v>
      </c>
      <c r="J1510" t="e">
        <f>VLOOKUP(F1510,'1PROJE'!$B$7:$F$26,4,0)</f>
        <v>#N/A</v>
      </c>
      <c r="K1510" t="e">
        <f>VLOOKUP(F1510,'1PROJE'!$B$7:$F$26,5,0)</f>
        <v>#N/A</v>
      </c>
    </row>
    <row r="1511" spans="2:11">
      <c r="B1511">
        <f t="shared" si="281"/>
        <v>0</v>
      </c>
      <c r="F1511" s="57" t="e">
        <f t="shared" si="279"/>
        <v>#N/A</v>
      </c>
      <c r="G1511" t="str">
        <f t="shared" si="280"/>
        <v/>
      </c>
      <c r="I1511" t="e">
        <f>VLOOKUP(F1511,'1PROJE'!$B$7:$F$26,2,0)</f>
        <v>#N/A</v>
      </c>
      <c r="J1511" t="e">
        <f>VLOOKUP(F1511,'1PROJE'!$B$7:$F$26,4,0)</f>
        <v>#N/A</v>
      </c>
      <c r="K1511" t="e">
        <f>VLOOKUP(F1511,'1PROJE'!$B$7:$F$26,5,0)</f>
        <v>#N/A</v>
      </c>
    </row>
    <row r="1512" spans="2:11">
      <c r="B1512">
        <f t="shared" si="281"/>
        <v>0</v>
      </c>
      <c r="F1512" s="57" t="e">
        <f t="shared" si="279"/>
        <v>#N/A</v>
      </c>
      <c r="G1512" t="str">
        <f t="shared" si="280"/>
        <v/>
      </c>
      <c r="I1512" t="e">
        <f>VLOOKUP(F1512,'1PROJE'!$B$7:$F$26,2,0)</f>
        <v>#N/A</v>
      </c>
      <c r="J1512" t="e">
        <f>VLOOKUP(F1512,'1PROJE'!$B$7:$F$26,4,0)</f>
        <v>#N/A</v>
      </c>
      <c r="K1512" t="e">
        <f>VLOOKUP(F1512,'1PROJE'!$B$7:$F$26,5,0)</f>
        <v>#N/A</v>
      </c>
    </row>
    <row r="1513" spans="2:11">
      <c r="B1513">
        <f t="shared" si="281"/>
        <v>0</v>
      </c>
      <c r="F1513" s="57" t="e">
        <f t="shared" si="279"/>
        <v>#N/A</v>
      </c>
      <c r="G1513" t="str">
        <f t="shared" si="280"/>
        <v/>
      </c>
      <c r="I1513" t="e">
        <f>VLOOKUP(F1513,'1PROJE'!$B$7:$F$26,2,0)</f>
        <v>#N/A</v>
      </c>
      <c r="J1513" t="e">
        <f>VLOOKUP(F1513,'1PROJE'!$B$7:$F$26,4,0)</f>
        <v>#N/A</v>
      </c>
      <c r="K1513" t="e">
        <f>VLOOKUP(F1513,'1PROJE'!$B$7:$F$26,5,0)</f>
        <v>#N/A</v>
      </c>
    </row>
    <row r="1514" spans="2:11">
      <c r="B1514">
        <f t="shared" si="281"/>
        <v>0</v>
      </c>
      <c r="F1514" s="57" t="e">
        <f t="shared" si="279"/>
        <v>#N/A</v>
      </c>
      <c r="G1514" t="str">
        <f t="shared" si="280"/>
        <v/>
      </c>
      <c r="I1514" t="e">
        <f>VLOOKUP(F1514,'1PROJE'!$B$7:$F$26,2,0)</f>
        <v>#N/A</v>
      </c>
      <c r="J1514" t="e">
        <f>VLOOKUP(F1514,'1PROJE'!$B$7:$F$26,4,0)</f>
        <v>#N/A</v>
      </c>
      <c r="K1514" t="e">
        <f>VLOOKUP(F1514,'1PROJE'!$B$7:$F$26,5,0)</f>
        <v>#N/A</v>
      </c>
    </row>
    <row r="1515" spans="2:11">
      <c r="B1515">
        <f t="shared" si="281"/>
        <v>0</v>
      </c>
      <c r="F1515" s="57" t="e">
        <f t="shared" si="279"/>
        <v>#N/A</v>
      </c>
      <c r="G1515" t="str">
        <f t="shared" si="280"/>
        <v/>
      </c>
      <c r="I1515" t="e">
        <f>VLOOKUP(F1515,'1PROJE'!$B$7:$F$26,2,0)</f>
        <v>#N/A</v>
      </c>
      <c r="J1515" t="e">
        <f>VLOOKUP(F1515,'1PROJE'!$B$7:$F$26,4,0)</f>
        <v>#N/A</v>
      </c>
      <c r="K1515" t="e">
        <f>VLOOKUP(F1515,'1PROJE'!$B$7:$F$26,5,0)</f>
        <v>#N/A</v>
      </c>
    </row>
    <row r="1516" spans="2:11">
      <c r="B1516">
        <f t="shared" si="281"/>
        <v>0</v>
      </c>
      <c r="F1516" s="57" t="e">
        <f t="shared" si="279"/>
        <v>#N/A</v>
      </c>
      <c r="G1516" t="str">
        <f t="shared" si="280"/>
        <v/>
      </c>
      <c r="I1516" t="e">
        <f>VLOOKUP(F1516,'1PROJE'!$B$7:$F$26,2,0)</f>
        <v>#N/A</v>
      </c>
      <c r="J1516" t="e">
        <f>VLOOKUP(F1516,'1PROJE'!$B$7:$F$26,4,0)</f>
        <v>#N/A</v>
      </c>
      <c r="K1516" t="e">
        <f>VLOOKUP(F1516,'1PROJE'!$B$7:$F$26,5,0)</f>
        <v>#N/A</v>
      </c>
    </row>
    <row r="1517" spans="2:11">
      <c r="B1517">
        <f t="shared" si="281"/>
        <v>0</v>
      </c>
      <c r="F1517" s="57" t="e">
        <f t="shared" si="279"/>
        <v>#N/A</v>
      </c>
      <c r="G1517" t="str">
        <f t="shared" si="280"/>
        <v/>
      </c>
      <c r="I1517" t="e">
        <f>VLOOKUP(F1517,'1PROJE'!$B$7:$F$26,2,0)</f>
        <v>#N/A</v>
      </c>
      <c r="J1517" t="e">
        <f>VLOOKUP(F1517,'1PROJE'!$B$7:$F$26,4,0)</f>
        <v>#N/A</v>
      </c>
      <c r="K1517" t="e">
        <f>VLOOKUP(F1517,'1PROJE'!$B$7:$F$26,5,0)</f>
        <v>#N/A</v>
      </c>
    </row>
    <row r="1518" spans="2:11">
      <c r="B1518">
        <f t="shared" si="281"/>
        <v>0</v>
      </c>
      <c r="F1518" s="57" t="e">
        <f t="shared" si="279"/>
        <v>#N/A</v>
      </c>
      <c r="G1518" t="str">
        <f t="shared" si="280"/>
        <v/>
      </c>
      <c r="I1518" t="e">
        <f>VLOOKUP(F1518,'1PROJE'!$B$7:$F$26,2,0)</f>
        <v>#N/A</v>
      </c>
      <c r="J1518" t="e">
        <f>VLOOKUP(F1518,'1PROJE'!$B$7:$F$26,4,0)</f>
        <v>#N/A</v>
      </c>
      <c r="K1518" t="e">
        <f>VLOOKUP(F1518,'1PROJE'!$B$7:$F$26,5,0)</f>
        <v>#N/A</v>
      </c>
    </row>
    <row r="1519" spans="2:11">
      <c r="B1519">
        <f t="shared" si="281"/>
        <v>0</v>
      </c>
      <c r="F1519" s="57" t="e">
        <f t="shared" si="279"/>
        <v>#N/A</v>
      </c>
      <c r="G1519" t="str">
        <f t="shared" si="280"/>
        <v/>
      </c>
      <c r="I1519" t="e">
        <f>VLOOKUP(F1519,'1PROJE'!$B$7:$F$26,2,0)</f>
        <v>#N/A</v>
      </c>
      <c r="J1519" t="e">
        <f>VLOOKUP(F1519,'1PROJE'!$B$7:$F$26,4,0)</f>
        <v>#N/A</v>
      </c>
      <c r="K1519" t="e">
        <f>VLOOKUP(F1519,'1PROJE'!$B$7:$F$26,5,0)</f>
        <v>#N/A</v>
      </c>
    </row>
    <row r="1520" spans="2:11">
      <c r="B1520">
        <f t="shared" si="281"/>
        <v>0</v>
      </c>
      <c r="F1520" s="57" t="e">
        <f t="shared" si="279"/>
        <v>#N/A</v>
      </c>
      <c r="G1520" t="str">
        <f t="shared" si="280"/>
        <v/>
      </c>
      <c r="I1520" t="e">
        <f>VLOOKUP(F1520,'1PROJE'!$B$7:$F$26,2,0)</f>
        <v>#N/A</v>
      </c>
      <c r="J1520" t="e">
        <f>VLOOKUP(F1520,'1PROJE'!$B$7:$F$26,4,0)</f>
        <v>#N/A</v>
      </c>
      <c r="K1520" t="e">
        <f>VLOOKUP(F1520,'1PROJE'!$B$7:$F$26,5,0)</f>
        <v>#N/A</v>
      </c>
    </row>
    <row r="1521" spans="2:11">
      <c r="B1521">
        <f t="shared" si="281"/>
        <v>0</v>
      </c>
      <c r="F1521" s="57" t="e">
        <f t="shared" si="279"/>
        <v>#N/A</v>
      </c>
      <c r="G1521" t="str">
        <f t="shared" si="280"/>
        <v/>
      </c>
      <c r="I1521" t="e">
        <f>VLOOKUP(F1521,'1PROJE'!$B$7:$F$26,2,0)</f>
        <v>#N/A</v>
      </c>
      <c r="J1521" t="e">
        <f>VLOOKUP(F1521,'1PROJE'!$B$7:$F$26,4,0)</f>
        <v>#N/A</v>
      </c>
      <c r="K1521" t="e">
        <f>VLOOKUP(F1521,'1PROJE'!$B$7:$F$26,5,0)</f>
        <v>#N/A</v>
      </c>
    </row>
    <row r="1522" spans="2:11">
      <c r="B1522">
        <f t="shared" si="281"/>
        <v>0</v>
      </c>
      <c r="F1522" s="57" t="e">
        <f t="shared" si="279"/>
        <v>#N/A</v>
      </c>
      <c r="G1522" t="str">
        <f t="shared" si="280"/>
        <v/>
      </c>
      <c r="I1522" t="e">
        <f>VLOOKUP(F1522,'1PROJE'!$B$7:$F$26,2,0)</f>
        <v>#N/A</v>
      </c>
      <c r="J1522" t="e">
        <f>VLOOKUP(F1522,'1PROJE'!$B$7:$F$26,4,0)</f>
        <v>#N/A</v>
      </c>
      <c r="K1522" t="e">
        <f>VLOOKUP(F1522,'1PROJE'!$B$7:$F$26,5,0)</f>
        <v>#N/A</v>
      </c>
    </row>
    <row r="1523" spans="2:11">
      <c r="B1523">
        <f t="shared" si="281"/>
        <v>0</v>
      </c>
      <c r="F1523" s="57" t="e">
        <f t="shared" si="279"/>
        <v>#N/A</v>
      </c>
      <c r="G1523" t="str">
        <f t="shared" si="280"/>
        <v/>
      </c>
      <c r="I1523" t="e">
        <f>VLOOKUP(F1523,'1PROJE'!$B$7:$F$26,2,0)</f>
        <v>#N/A</v>
      </c>
      <c r="J1523" t="e">
        <f>VLOOKUP(F1523,'1PROJE'!$B$7:$F$26,4,0)</f>
        <v>#N/A</v>
      </c>
      <c r="K1523" t="e">
        <f>VLOOKUP(F1523,'1PROJE'!$B$7:$F$26,5,0)</f>
        <v>#N/A</v>
      </c>
    </row>
    <row r="1524" spans="2:11">
      <c r="B1524">
        <f t="shared" si="281"/>
        <v>0</v>
      </c>
      <c r="F1524" s="57" t="e">
        <f t="shared" si="279"/>
        <v>#N/A</v>
      </c>
      <c r="G1524" t="str">
        <f t="shared" si="280"/>
        <v/>
      </c>
      <c r="I1524" t="e">
        <f>VLOOKUP(F1524,'1PROJE'!$B$7:$F$26,2,0)</f>
        <v>#N/A</v>
      </c>
      <c r="J1524" t="e">
        <f>VLOOKUP(F1524,'1PROJE'!$B$7:$F$26,4,0)</f>
        <v>#N/A</v>
      </c>
      <c r="K1524" t="e">
        <f>VLOOKUP(F1524,'1PROJE'!$B$7:$F$26,5,0)</f>
        <v>#N/A</v>
      </c>
    </row>
    <row r="1525" spans="2:11">
      <c r="B1525">
        <f t="shared" si="281"/>
        <v>0</v>
      </c>
      <c r="F1525" s="57" t="e">
        <f t="shared" si="279"/>
        <v>#N/A</v>
      </c>
      <c r="G1525" t="str">
        <f t="shared" si="280"/>
        <v/>
      </c>
      <c r="I1525" t="e">
        <f>VLOOKUP(F1525,'1PROJE'!$B$7:$F$26,2,0)</f>
        <v>#N/A</v>
      </c>
      <c r="J1525" t="e">
        <f>VLOOKUP(F1525,'1PROJE'!$B$7:$F$26,4,0)</f>
        <v>#N/A</v>
      </c>
      <c r="K1525" t="e">
        <f>VLOOKUP(F1525,'1PROJE'!$B$7:$F$26,5,0)</f>
        <v>#N/A</v>
      </c>
    </row>
    <row r="1526" spans="2:11">
      <c r="B1526">
        <f t="shared" si="281"/>
        <v>0</v>
      </c>
      <c r="F1526" s="57" t="e">
        <f t="shared" si="279"/>
        <v>#N/A</v>
      </c>
      <c r="G1526" t="str">
        <f t="shared" si="280"/>
        <v/>
      </c>
      <c r="I1526" t="e">
        <f>VLOOKUP(F1526,'1PROJE'!$B$7:$F$26,2,0)</f>
        <v>#N/A</v>
      </c>
      <c r="J1526" t="e">
        <f>VLOOKUP(F1526,'1PROJE'!$B$7:$F$26,4,0)</f>
        <v>#N/A</v>
      </c>
      <c r="K1526" t="e">
        <f>VLOOKUP(F1526,'1PROJE'!$B$7:$F$26,5,0)</f>
        <v>#N/A</v>
      </c>
    </row>
    <row r="1527" spans="2:11">
      <c r="B1527">
        <f t="shared" ref="B1527:B1558" si="282">IF(($C$41-A127)&lt;0,0,"POZ"&amp;" "&amp;$P$61&amp;"."&amp;A127)</f>
        <v>0</v>
      </c>
      <c r="F1527" s="57" t="e">
        <f t="shared" si="279"/>
        <v>#N/A</v>
      </c>
      <c r="G1527" t="str">
        <f t="shared" si="280"/>
        <v/>
      </c>
      <c r="I1527" t="e">
        <f>VLOOKUP(F1527,'1PROJE'!$B$7:$F$26,2,0)</f>
        <v>#N/A</v>
      </c>
      <c r="J1527" t="e">
        <f>VLOOKUP(F1527,'1PROJE'!$B$7:$F$26,4,0)</f>
        <v>#N/A</v>
      </c>
      <c r="K1527" t="e">
        <f>VLOOKUP(F1527,'1PROJE'!$B$7:$F$26,5,0)</f>
        <v>#N/A</v>
      </c>
    </row>
    <row r="1528" spans="2:11">
      <c r="B1528">
        <f t="shared" si="282"/>
        <v>0</v>
      </c>
      <c r="F1528" s="57" t="e">
        <f t="shared" si="279"/>
        <v>#N/A</v>
      </c>
      <c r="G1528" t="str">
        <f t="shared" si="280"/>
        <v/>
      </c>
      <c r="I1528" t="e">
        <f>VLOOKUP(F1528,'1PROJE'!$B$7:$F$26,2,0)</f>
        <v>#N/A</v>
      </c>
      <c r="J1528" t="e">
        <f>VLOOKUP(F1528,'1PROJE'!$B$7:$F$26,4,0)</f>
        <v>#N/A</v>
      </c>
      <c r="K1528" t="e">
        <f>VLOOKUP(F1528,'1PROJE'!$B$7:$F$26,5,0)</f>
        <v>#N/A</v>
      </c>
    </row>
    <row r="1529" spans="2:11">
      <c r="B1529">
        <f t="shared" si="282"/>
        <v>0</v>
      </c>
      <c r="F1529" s="57" t="e">
        <f t="shared" si="279"/>
        <v>#N/A</v>
      </c>
      <c r="G1529" t="str">
        <f t="shared" si="280"/>
        <v/>
      </c>
      <c r="I1529" t="e">
        <f>VLOOKUP(F1529,'1PROJE'!$B$7:$F$26,2,0)</f>
        <v>#N/A</v>
      </c>
      <c r="J1529" t="e">
        <f>VLOOKUP(F1529,'1PROJE'!$B$7:$F$26,4,0)</f>
        <v>#N/A</v>
      </c>
      <c r="K1529" t="e">
        <f>VLOOKUP(F1529,'1PROJE'!$B$7:$F$26,5,0)</f>
        <v>#N/A</v>
      </c>
    </row>
    <row r="1530" spans="2:11">
      <c r="B1530">
        <f t="shared" si="282"/>
        <v>0</v>
      </c>
      <c r="F1530" s="57" t="e">
        <f t="shared" si="279"/>
        <v>#N/A</v>
      </c>
      <c r="G1530" t="str">
        <f t="shared" si="280"/>
        <v/>
      </c>
      <c r="I1530" t="e">
        <f>VLOOKUP(F1530,'1PROJE'!$B$7:$F$26,2,0)</f>
        <v>#N/A</v>
      </c>
      <c r="J1530" t="e">
        <f>VLOOKUP(F1530,'1PROJE'!$B$7:$F$26,4,0)</f>
        <v>#N/A</v>
      </c>
      <c r="K1530" t="e">
        <f>VLOOKUP(F1530,'1PROJE'!$B$7:$F$26,5,0)</f>
        <v>#N/A</v>
      </c>
    </row>
    <row r="1531" spans="2:11">
      <c r="B1531">
        <f t="shared" si="282"/>
        <v>0</v>
      </c>
      <c r="F1531" s="57" t="e">
        <f t="shared" si="279"/>
        <v>#N/A</v>
      </c>
      <c r="G1531" t="str">
        <f t="shared" si="280"/>
        <v/>
      </c>
      <c r="I1531" t="e">
        <f>VLOOKUP(F1531,'1PROJE'!$B$7:$F$26,2,0)</f>
        <v>#N/A</v>
      </c>
      <c r="J1531" t="e">
        <f>VLOOKUP(F1531,'1PROJE'!$B$7:$F$26,4,0)</f>
        <v>#N/A</v>
      </c>
      <c r="K1531" t="e">
        <f>VLOOKUP(F1531,'1PROJE'!$B$7:$F$26,5,0)</f>
        <v>#N/A</v>
      </c>
    </row>
    <row r="1532" spans="2:11">
      <c r="B1532">
        <f t="shared" si="282"/>
        <v>0</v>
      </c>
      <c r="F1532" s="57" t="e">
        <f t="shared" si="279"/>
        <v>#N/A</v>
      </c>
      <c r="G1532" t="str">
        <f t="shared" si="280"/>
        <v/>
      </c>
      <c r="I1532" t="e">
        <f>VLOOKUP(F1532,'1PROJE'!$B$7:$F$26,2,0)</f>
        <v>#N/A</v>
      </c>
      <c r="J1532" t="e">
        <f>VLOOKUP(F1532,'1PROJE'!$B$7:$F$26,4,0)</f>
        <v>#N/A</v>
      </c>
      <c r="K1532" t="e">
        <f>VLOOKUP(F1532,'1PROJE'!$B$7:$F$26,5,0)</f>
        <v>#N/A</v>
      </c>
    </row>
    <row r="1533" spans="2:11">
      <c r="B1533">
        <f t="shared" si="282"/>
        <v>0</v>
      </c>
      <c r="F1533" s="57" t="e">
        <f t="shared" si="279"/>
        <v>#N/A</v>
      </c>
      <c r="G1533" t="str">
        <f t="shared" si="280"/>
        <v/>
      </c>
      <c r="I1533" t="e">
        <f>VLOOKUP(F1533,'1PROJE'!$B$7:$F$26,2,0)</f>
        <v>#N/A</v>
      </c>
      <c r="J1533" t="e">
        <f>VLOOKUP(F1533,'1PROJE'!$B$7:$F$26,4,0)</f>
        <v>#N/A</v>
      </c>
      <c r="K1533" t="e">
        <f>VLOOKUP(F1533,'1PROJE'!$B$7:$F$26,5,0)</f>
        <v>#N/A</v>
      </c>
    </row>
    <row r="1534" spans="2:11">
      <c r="B1534">
        <f t="shared" si="282"/>
        <v>0</v>
      </c>
      <c r="F1534" s="57" t="e">
        <f t="shared" si="279"/>
        <v>#N/A</v>
      </c>
      <c r="G1534" t="str">
        <f t="shared" si="280"/>
        <v/>
      </c>
      <c r="I1534" t="e">
        <f>VLOOKUP(F1534,'1PROJE'!$B$7:$F$26,2,0)</f>
        <v>#N/A</v>
      </c>
      <c r="J1534" t="e">
        <f>VLOOKUP(F1534,'1PROJE'!$B$7:$F$26,4,0)</f>
        <v>#N/A</v>
      </c>
      <c r="K1534" t="e">
        <f>VLOOKUP(F1534,'1PROJE'!$B$7:$F$26,5,0)</f>
        <v>#N/A</v>
      </c>
    </row>
    <row r="1535" spans="2:11">
      <c r="B1535">
        <f t="shared" si="282"/>
        <v>0</v>
      </c>
      <c r="F1535" s="57" t="e">
        <f t="shared" si="279"/>
        <v>#N/A</v>
      </c>
      <c r="G1535" t="str">
        <f t="shared" si="280"/>
        <v/>
      </c>
      <c r="I1535" t="e">
        <f>VLOOKUP(F1535,'1PROJE'!$B$7:$F$26,2,0)</f>
        <v>#N/A</v>
      </c>
      <c r="J1535" t="e">
        <f>VLOOKUP(F1535,'1PROJE'!$B$7:$F$26,4,0)</f>
        <v>#N/A</v>
      </c>
      <c r="K1535" t="e">
        <f>VLOOKUP(F1535,'1PROJE'!$B$7:$F$26,5,0)</f>
        <v>#N/A</v>
      </c>
    </row>
    <row r="1536" spans="2:11">
      <c r="B1536">
        <f t="shared" si="282"/>
        <v>0</v>
      </c>
      <c r="F1536" s="57" t="e">
        <f t="shared" si="279"/>
        <v>#N/A</v>
      </c>
      <c r="G1536" t="str">
        <f t="shared" si="280"/>
        <v/>
      </c>
      <c r="I1536" t="e">
        <f>VLOOKUP(F1536,'1PROJE'!$B$7:$F$26,2,0)</f>
        <v>#N/A</v>
      </c>
      <c r="J1536" t="e">
        <f>VLOOKUP(F1536,'1PROJE'!$B$7:$F$26,4,0)</f>
        <v>#N/A</v>
      </c>
      <c r="K1536" t="e">
        <f>VLOOKUP(F1536,'1PROJE'!$B$7:$F$26,5,0)</f>
        <v>#N/A</v>
      </c>
    </row>
    <row r="1537" spans="2:11">
      <c r="B1537">
        <f t="shared" si="282"/>
        <v>0</v>
      </c>
      <c r="F1537" s="57" t="e">
        <f t="shared" si="279"/>
        <v>#N/A</v>
      </c>
      <c r="G1537" t="str">
        <f t="shared" si="280"/>
        <v/>
      </c>
      <c r="I1537" t="e">
        <f>VLOOKUP(F1537,'1PROJE'!$B$7:$F$26,2,0)</f>
        <v>#N/A</v>
      </c>
      <c r="J1537" t="e">
        <f>VLOOKUP(F1537,'1PROJE'!$B$7:$F$26,4,0)</f>
        <v>#N/A</v>
      </c>
      <c r="K1537" t="e">
        <f>VLOOKUP(F1537,'1PROJE'!$B$7:$F$26,5,0)</f>
        <v>#N/A</v>
      </c>
    </row>
    <row r="1538" spans="2:11">
      <c r="B1538">
        <f t="shared" si="282"/>
        <v>0</v>
      </c>
      <c r="F1538" s="57" t="e">
        <f t="shared" si="279"/>
        <v>#N/A</v>
      </c>
      <c r="G1538" t="str">
        <f t="shared" si="280"/>
        <v/>
      </c>
      <c r="I1538" t="e">
        <f>VLOOKUP(F1538,'1PROJE'!$B$7:$F$26,2,0)</f>
        <v>#N/A</v>
      </c>
      <c r="J1538" t="e">
        <f>VLOOKUP(F1538,'1PROJE'!$B$7:$F$26,4,0)</f>
        <v>#N/A</v>
      </c>
      <c r="K1538" t="e">
        <f>VLOOKUP(F1538,'1PROJE'!$B$7:$F$26,5,0)</f>
        <v>#N/A</v>
      </c>
    </row>
    <row r="1539" spans="2:11">
      <c r="B1539">
        <f t="shared" si="282"/>
        <v>0</v>
      </c>
      <c r="F1539" s="57" t="e">
        <f t="shared" si="279"/>
        <v>#N/A</v>
      </c>
      <c r="G1539" t="str">
        <f t="shared" si="280"/>
        <v/>
      </c>
      <c r="I1539" t="e">
        <f>VLOOKUP(F1539,'1PROJE'!$B$7:$F$26,2,0)</f>
        <v>#N/A</v>
      </c>
      <c r="J1539" t="e">
        <f>VLOOKUP(F1539,'1PROJE'!$B$7:$F$26,4,0)</f>
        <v>#N/A</v>
      </c>
      <c r="K1539" t="e">
        <f>VLOOKUP(F1539,'1PROJE'!$B$7:$F$26,5,0)</f>
        <v>#N/A</v>
      </c>
    </row>
    <row r="1540" spans="2:11">
      <c r="B1540">
        <f t="shared" si="282"/>
        <v>0</v>
      </c>
      <c r="F1540" s="57" t="e">
        <f t="shared" si="279"/>
        <v>#N/A</v>
      </c>
      <c r="G1540" t="str">
        <f t="shared" si="280"/>
        <v/>
      </c>
      <c r="I1540" t="e">
        <f>VLOOKUP(F1540,'1PROJE'!$B$7:$F$26,2,0)</f>
        <v>#N/A</v>
      </c>
      <c r="J1540" t="e">
        <f>VLOOKUP(F1540,'1PROJE'!$B$7:$F$26,4,0)</f>
        <v>#N/A</v>
      </c>
      <c r="K1540" t="e">
        <f>VLOOKUP(F1540,'1PROJE'!$B$7:$F$26,5,0)</f>
        <v>#N/A</v>
      </c>
    </row>
    <row r="1541" spans="2:11">
      <c r="B1541">
        <f t="shared" si="282"/>
        <v>0</v>
      </c>
      <c r="F1541" s="57" t="e">
        <f t="shared" si="279"/>
        <v>#N/A</v>
      </c>
      <c r="G1541" t="str">
        <f t="shared" si="280"/>
        <v/>
      </c>
      <c r="I1541" t="e">
        <f>VLOOKUP(F1541,'1PROJE'!$B$7:$F$26,2,0)</f>
        <v>#N/A</v>
      </c>
      <c r="J1541" t="e">
        <f>VLOOKUP(F1541,'1PROJE'!$B$7:$F$26,4,0)</f>
        <v>#N/A</v>
      </c>
      <c r="K1541" t="e">
        <f>VLOOKUP(F1541,'1PROJE'!$B$7:$F$26,5,0)</f>
        <v>#N/A</v>
      </c>
    </row>
    <row r="1542" spans="2:11">
      <c r="B1542">
        <f t="shared" si="282"/>
        <v>0</v>
      </c>
      <c r="F1542" s="57" t="e">
        <f t="shared" si="279"/>
        <v>#N/A</v>
      </c>
      <c r="G1542" t="str">
        <f t="shared" si="280"/>
        <v/>
      </c>
      <c r="I1542" t="e">
        <f>VLOOKUP(F1542,'1PROJE'!$B$7:$F$26,2,0)</f>
        <v>#N/A</v>
      </c>
      <c r="J1542" t="e">
        <f>VLOOKUP(F1542,'1PROJE'!$B$7:$F$26,4,0)</f>
        <v>#N/A</v>
      </c>
      <c r="K1542" t="e">
        <f>VLOOKUP(F1542,'1PROJE'!$B$7:$F$26,5,0)</f>
        <v>#N/A</v>
      </c>
    </row>
    <row r="1543" spans="2:11">
      <c r="B1543">
        <f t="shared" si="282"/>
        <v>0</v>
      </c>
      <c r="F1543" s="57" t="e">
        <f t="shared" si="279"/>
        <v>#N/A</v>
      </c>
      <c r="G1543" t="str">
        <f t="shared" si="280"/>
        <v/>
      </c>
      <c r="I1543" t="e">
        <f>VLOOKUP(F1543,'1PROJE'!$B$7:$F$26,2,0)</f>
        <v>#N/A</v>
      </c>
      <c r="J1543" t="e">
        <f>VLOOKUP(F1543,'1PROJE'!$B$7:$F$26,4,0)</f>
        <v>#N/A</v>
      </c>
      <c r="K1543" t="e">
        <f>VLOOKUP(F1543,'1PROJE'!$B$7:$F$26,5,0)</f>
        <v>#N/A</v>
      </c>
    </row>
    <row r="1544" spans="2:11">
      <c r="B1544">
        <f t="shared" si="282"/>
        <v>0</v>
      </c>
      <c r="F1544" s="57" t="e">
        <f t="shared" si="279"/>
        <v>#N/A</v>
      </c>
      <c r="G1544" t="str">
        <f t="shared" si="280"/>
        <v/>
      </c>
      <c r="I1544" t="e">
        <f>VLOOKUP(F1544,'1PROJE'!$B$7:$F$26,2,0)</f>
        <v>#N/A</v>
      </c>
      <c r="J1544" t="e">
        <f>VLOOKUP(F1544,'1PROJE'!$B$7:$F$26,4,0)</f>
        <v>#N/A</v>
      </c>
      <c r="K1544" t="e">
        <f>VLOOKUP(F1544,'1PROJE'!$B$7:$F$26,5,0)</f>
        <v>#N/A</v>
      </c>
    </row>
    <row r="1545" spans="2:11">
      <c r="B1545">
        <f t="shared" si="282"/>
        <v>0</v>
      </c>
      <c r="F1545" s="57" t="e">
        <f t="shared" si="279"/>
        <v>#N/A</v>
      </c>
      <c r="G1545" t="str">
        <f t="shared" si="280"/>
        <v/>
      </c>
      <c r="I1545" t="e">
        <f>VLOOKUP(F1545,'1PROJE'!$B$7:$F$26,2,0)</f>
        <v>#N/A</v>
      </c>
      <c r="J1545" t="e">
        <f>VLOOKUP(F1545,'1PROJE'!$B$7:$F$26,4,0)</f>
        <v>#N/A</v>
      </c>
      <c r="K1545" t="e">
        <f>VLOOKUP(F1545,'1PROJE'!$B$7:$F$26,5,0)</f>
        <v>#N/A</v>
      </c>
    </row>
    <row r="1546" spans="2:11">
      <c r="B1546">
        <f t="shared" si="282"/>
        <v>0</v>
      </c>
      <c r="F1546" s="57" t="e">
        <f t="shared" si="279"/>
        <v>#N/A</v>
      </c>
      <c r="G1546" t="str">
        <f t="shared" si="280"/>
        <v/>
      </c>
      <c r="I1546" t="e">
        <f>VLOOKUP(F1546,'1PROJE'!$B$7:$F$26,2,0)</f>
        <v>#N/A</v>
      </c>
      <c r="J1546" t="e">
        <f>VLOOKUP(F1546,'1PROJE'!$B$7:$F$26,4,0)</f>
        <v>#N/A</v>
      </c>
      <c r="K1546" t="e">
        <f>VLOOKUP(F1546,'1PROJE'!$B$7:$F$26,5,0)</f>
        <v>#N/A</v>
      </c>
    </row>
    <row r="1547" spans="2:11">
      <c r="B1547">
        <f t="shared" si="282"/>
        <v>0</v>
      </c>
      <c r="F1547" s="57" t="e">
        <f t="shared" ref="F1547:F1610" si="283">VLOOKUP(G1547,$C$64:$D$83,2,0)</f>
        <v>#N/A</v>
      </c>
      <c r="G1547" t="str">
        <f t="shared" ref="G1547:G1610" si="284">LEFT(H1547,6)</f>
        <v/>
      </c>
      <c r="I1547" t="e">
        <f>VLOOKUP(F1547,'1PROJE'!$B$7:$F$26,2,0)</f>
        <v>#N/A</v>
      </c>
      <c r="J1547" t="e">
        <f>VLOOKUP(F1547,'1PROJE'!$B$7:$F$26,4,0)</f>
        <v>#N/A</v>
      </c>
      <c r="K1547" t="e">
        <f>VLOOKUP(F1547,'1PROJE'!$B$7:$F$26,5,0)</f>
        <v>#N/A</v>
      </c>
    </row>
    <row r="1548" spans="2:11">
      <c r="B1548">
        <f t="shared" si="282"/>
        <v>0</v>
      </c>
      <c r="F1548" s="57" t="e">
        <f t="shared" si="283"/>
        <v>#N/A</v>
      </c>
      <c r="G1548" t="str">
        <f t="shared" si="284"/>
        <v/>
      </c>
      <c r="I1548" t="e">
        <f>VLOOKUP(F1548,'1PROJE'!$B$7:$F$26,2,0)</f>
        <v>#N/A</v>
      </c>
      <c r="J1548" t="e">
        <f>VLOOKUP(F1548,'1PROJE'!$B$7:$F$26,4,0)</f>
        <v>#N/A</v>
      </c>
      <c r="K1548" t="e">
        <f>VLOOKUP(F1548,'1PROJE'!$B$7:$F$26,5,0)</f>
        <v>#N/A</v>
      </c>
    </row>
    <row r="1549" spans="2:11">
      <c r="B1549">
        <f t="shared" si="282"/>
        <v>0</v>
      </c>
      <c r="F1549" s="57" t="e">
        <f t="shared" si="283"/>
        <v>#N/A</v>
      </c>
      <c r="G1549" t="str">
        <f t="shared" si="284"/>
        <v/>
      </c>
      <c r="I1549" t="e">
        <f>VLOOKUP(F1549,'1PROJE'!$B$7:$F$26,2,0)</f>
        <v>#N/A</v>
      </c>
      <c r="J1549" t="e">
        <f>VLOOKUP(F1549,'1PROJE'!$B$7:$F$26,4,0)</f>
        <v>#N/A</v>
      </c>
      <c r="K1549" t="e">
        <f>VLOOKUP(F1549,'1PROJE'!$B$7:$F$26,5,0)</f>
        <v>#N/A</v>
      </c>
    </row>
    <row r="1550" spans="2:11">
      <c r="B1550">
        <f t="shared" si="282"/>
        <v>0</v>
      </c>
      <c r="F1550" s="57" t="e">
        <f t="shared" si="283"/>
        <v>#N/A</v>
      </c>
      <c r="G1550" t="str">
        <f t="shared" si="284"/>
        <v/>
      </c>
      <c r="I1550" t="e">
        <f>VLOOKUP(F1550,'1PROJE'!$B$7:$F$26,2,0)</f>
        <v>#N/A</v>
      </c>
      <c r="J1550" t="e">
        <f>VLOOKUP(F1550,'1PROJE'!$B$7:$F$26,4,0)</f>
        <v>#N/A</v>
      </c>
      <c r="K1550" t="e">
        <f>VLOOKUP(F1550,'1PROJE'!$B$7:$F$26,5,0)</f>
        <v>#N/A</v>
      </c>
    </row>
    <row r="1551" spans="2:11">
      <c r="B1551">
        <f t="shared" si="282"/>
        <v>0</v>
      </c>
      <c r="F1551" s="57" t="e">
        <f t="shared" si="283"/>
        <v>#N/A</v>
      </c>
      <c r="G1551" t="str">
        <f t="shared" si="284"/>
        <v/>
      </c>
      <c r="I1551" t="e">
        <f>VLOOKUP(F1551,'1PROJE'!$B$7:$F$26,2,0)</f>
        <v>#N/A</v>
      </c>
      <c r="J1551" t="e">
        <f>VLOOKUP(F1551,'1PROJE'!$B$7:$F$26,4,0)</f>
        <v>#N/A</v>
      </c>
      <c r="K1551" t="e">
        <f>VLOOKUP(F1551,'1PROJE'!$B$7:$F$26,5,0)</f>
        <v>#N/A</v>
      </c>
    </row>
    <row r="1552" spans="2:11">
      <c r="B1552">
        <f t="shared" si="282"/>
        <v>0</v>
      </c>
      <c r="F1552" s="57" t="e">
        <f t="shared" si="283"/>
        <v>#N/A</v>
      </c>
      <c r="G1552" t="str">
        <f t="shared" si="284"/>
        <v/>
      </c>
      <c r="I1552" t="e">
        <f>VLOOKUP(F1552,'1PROJE'!$B$7:$F$26,2,0)</f>
        <v>#N/A</v>
      </c>
      <c r="J1552" t="e">
        <f>VLOOKUP(F1552,'1PROJE'!$B$7:$F$26,4,0)</f>
        <v>#N/A</v>
      </c>
      <c r="K1552" t="e">
        <f>VLOOKUP(F1552,'1PROJE'!$B$7:$F$26,5,0)</f>
        <v>#N/A</v>
      </c>
    </row>
    <row r="1553" spans="2:11">
      <c r="B1553">
        <f t="shared" si="282"/>
        <v>0</v>
      </c>
      <c r="F1553" s="57" t="e">
        <f t="shared" si="283"/>
        <v>#N/A</v>
      </c>
      <c r="G1553" t="str">
        <f t="shared" si="284"/>
        <v/>
      </c>
      <c r="I1553" t="e">
        <f>VLOOKUP(F1553,'1PROJE'!$B$7:$F$26,2,0)</f>
        <v>#N/A</v>
      </c>
      <c r="J1553" t="e">
        <f>VLOOKUP(F1553,'1PROJE'!$B$7:$F$26,4,0)</f>
        <v>#N/A</v>
      </c>
      <c r="K1553" t="e">
        <f>VLOOKUP(F1553,'1PROJE'!$B$7:$F$26,5,0)</f>
        <v>#N/A</v>
      </c>
    </row>
    <row r="1554" spans="2:11">
      <c r="B1554">
        <f t="shared" si="282"/>
        <v>0</v>
      </c>
      <c r="F1554" s="57" t="e">
        <f t="shared" si="283"/>
        <v>#N/A</v>
      </c>
      <c r="G1554" t="str">
        <f t="shared" si="284"/>
        <v/>
      </c>
      <c r="I1554" t="e">
        <f>VLOOKUP(F1554,'1PROJE'!$B$7:$F$26,2,0)</f>
        <v>#N/A</v>
      </c>
      <c r="J1554" t="e">
        <f>VLOOKUP(F1554,'1PROJE'!$B$7:$F$26,4,0)</f>
        <v>#N/A</v>
      </c>
      <c r="K1554" t="e">
        <f>VLOOKUP(F1554,'1PROJE'!$B$7:$F$26,5,0)</f>
        <v>#N/A</v>
      </c>
    </row>
    <row r="1555" spans="2:11">
      <c r="B1555">
        <f t="shared" si="282"/>
        <v>0</v>
      </c>
      <c r="F1555" s="57" t="e">
        <f t="shared" si="283"/>
        <v>#N/A</v>
      </c>
      <c r="G1555" t="str">
        <f t="shared" si="284"/>
        <v/>
      </c>
      <c r="I1555" t="e">
        <f>VLOOKUP(F1555,'1PROJE'!$B$7:$F$26,2,0)</f>
        <v>#N/A</v>
      </c>
      <c r="J1555" t="e">
        <f>VLOOKUP(F1555,'1PROJE'!$B$7:$F$26,4,0)</f>
        <v>#N/A</v>
      </c>
      <c r="K1555" t="e">
        <f>VLOOKUP(F1555,'1PROJE'!$B$7:$F$26,5,0)</f>
        <v>#N/A</v>
      </c>
    </row>
    <row r="1556" spans="2:11">
      <c r="B1556">
        <f t="shared" si="282"/>
        <v>0</v>
      </c>
      <c r="F1556" s="57" t="e">
        <f t="shared" si="283"/>
        <v>#N/A</v>
      </c>
      <c r="G1556" t="str">
        <f t="shared" si="284"/>
        <v/>
      </c>
      <c r="I1556" t="e">
        <f>VLOOKUP(F1556,'1PROJE'!$B$7:$F$26,2,0)</f>
        <v>#N/A</v>
      </c>
      <c r="J1556" t="e">
        <f>VLOOKUP(F1556,'1PROJE'!$B$7:$F$26,4,0)</f>
        <v>#N/A</v>
      </c>
      <c r="K1556" t="e">
        <f>VLOOKUP(F1556,'1PROJE'!$B$7:$F$26,5,0)</f>
        <v>#N/A</v>
      </c>
    </row>
    <row r="1557" spans="2:11">
      <c r="B1557">
        <f t="shared" si="282"/>
        <v>0</v>
      </c>
      <c r="F1557" s="57" t="e">
        <f t="shared" si="283"/>
        <v>#N/A</v>
      </c>
      <c r="G1557" t="str">
        <f t="shared" si="284"/>
        <v/>
      </c>
      <c r="I1557" t="e">
        <f>VLOOKUP(F1557,'1PROJE'!$B$7:$F$26,2,0)</f>
        <v>#N/A</v>
      </c>
      <c r="J1557" t="e">
        <f>VLOOKUP(F1557,'1PROJE'!$B$7:$F$26,4,0)</f>
        <v>#N/A</v>
      </c>
      <c r="K1557" t="e">
        <f>VLOOKUP(F1557,'1PROJE'!$B$7:$F$26,5,0)</f>
        <v>#N/A</v>
      </c>
    </row>
    <row r="1558" spans="2:11">
      <c r="B1558">
        <f t="shared" si="282"/>
        <v>0</v>
      </c>
      <c r="F1558" s="57" t="e">
        <f t="shared" si="283"/>
        <v>#N/A</v>
      </c>
      <c r="G1558" t="str">
        <f t="shared" si="284"/>
        <v/>
      </c>
      <c r="I1558" t="e">
        <f>VLOOKUP(F1558,'1PROJE'!$B$7:$F$26,2,0)</f>
        <v>#N/A</v>
      </c>
      <c r="J1558" t="e">
        <f>VLOOKUP(F1558,'1PROJE'!$B$7:$F$26,4,0)</f>
        <v>#N/A</v>
      </c>
      <c r="K1558" t="e">
        <f>VLOOKUP(F1558,'1PROJE'!$B$7:$F$26,5,0)</f>
        <v>#N/A</v>
      </c>
    </row>
    <row r="1559" spans="2:11">
      <c r="B1559">
        <f t="shared" ref="B1559:B1561" si="285">IF(($C$41-A159)&lt;0,0,"POZ"&amp;" "&amp;$P$61&amp;"."&amp;A159)</f>
        <v>0</v>
      </c>
      <c r="F1559" s="57" t="e">
        <f t="shared" si="283"/>
        <v>#N/A</v>
      </c>
      <c r="G1559" t="str">
        <f t="shared" si="284"/>
        <v/>
      </c>
      <c r="I1559" t="e">
        <f>VLOOKUP(F1559,'1PROJE'!$B$7:$F$26,2,0)</f>
        <v>#N/A</v>
      </c>
      <c r="J1559" t="e">
        <f>VLOOKUP(F1559,'1PROJE'!$B$7:$F$26,4,0)</f>
        <v>#N/A</v>
      </c>
      <c r="K1559" t="e">
        <f>VLOOKUP(F1559,'1PROJE'!$B$7:$F$26,5,0)</f>
        <v>#N/A</v>
      </c>
    </row>
    <row r="1560" spans="2:11">
      <c r="B1560">
        <f t="shared" si="285"/>
        <v>0</v>
      </c>
      <c r="F1560" s="57" t="e">
        <f t="shared" si="283"/>
        <v>#N/A</v>
      </c>
      <c r="G1560" t="str">
        <f t="shared" si="284"/>
        <v/>
      </c>
      <c r="I1560" t="e">
        <f>VLOOKUP(F1560,'1PROJE'!$B$7:$F$26,2,0)</f>
        <v>#N/A</v>
      </c>
      <c r="J1560" t="e">
        <f>VLOOKUP(F1560,'1PROJE'!$B$7:$F$26,4,0)</f>
        <v>#N/A</v>
      </c>
      <c r="K1560" t="e">
        <f>VLOOKUP(F1560,'1PROJE'!$B$7:$F$26,5,0)</f>
        <v>#N/A</v>
      </c>
    </row>
    <row r="1561" spans="2:11">
      <c r="B1561">
        <f t="shared" si="285"/>
        <v>0</v>
      </c>
      <c r="F1561" s="57" t="e">
        <f t="shared" si="283"/>
        <v>#N/A</v>
      </c>
      <c r="G1561" t="str">
        <f t="shared" si="284"/>
        <v/>
      </c>
      <c r="I1561" t="e">
        <f>VLOOKUP(F1561,'1PROJE'!$B$7:$F$26,2,0)</f>
        <v>#N/A</v>
      </c>
      <c r="J1561" t="e">
        <f>VLOOKUP(F1561,'1PROJE'!$B$7:$F$26,4,0)</f>
        <v>#N/A</v>
      </c>
      <c r="K1561" t="e">
        <f>VLOOKUP(F1561,'1PROJE'!$B$7:$F$26,5,0)</f>
        <v>#N/A</v>
      </c>
    </row>
    <row r="1562" spans="2:11">
      <c r="B1562">
        <f>IF(C42=0,0,IF(($C$42-A62)=0,"POZ 16.","POZ"&amp;" "&amp;$Q$61&amp;"."&amp;A62))</f>
        <v>0</v>
      </c>
      <c r="F1562" s="57" t="e">
        <f t="shared" si="283"/>
        <v>#N/A</v>
      </c>
      <c r="G1562" t="str">
        <f t="shared" si="284"/>
        <v/>
      </c>
      <c r="I1562" t="e">
        <f>VLOOKUP(F1562,'1PROJE'!$B$7:$F$26,2,0)</f>
        <v>#N/A</v>
      </c>
      <c r="J1562" t="e">
        <f>VLOOKUP(F1562,'1PROJE'!$B$7:$F$26,4,0)</f>
        <v>#N/A</v>
      </c>
      <c r="K1562" t="e">
        <f>VLOOKUP(F1562,'1PROJE'!$B$7:$F$26,5,0)</f>
        <v>#N/A</v>
      </c>
    </row>
    <row r="1563" spans="2:11">
      <c r="B1563">
        <f t="shared" ref="B1563:B1594" si="286">IF(($C$42-A63)&lt;0,0,"POZ"&amp;" "&amp;$Q$61&amp;"."&amp;A63)</f>
        <v>0</v>
      </c>
      <c r="F1563" s="57" t="e">
        <f t="shared" si="283"/>
        <v>#N/A</v>
      </c>
      <c r="G1563" t="str">
        <f t="shared" si="284"/>
        <v/>
      </c>
      <c r="I1563" t="e">
        <f>VLOOKUP(F1563,'1PROJE'!$B$7:$F$26,2,0)</f>
        <v>#N/A</v>
      </c>
      <c r="J1563" t="e">
        <f>VLOOKUP(F1563,'1PROJE'!$B$7:$F$26,4,0)</f>
        <v>#N/A</v>
      </c>
      <c r="K1563" t="e">
        <f>VLOOKUP(F1563,'1PROJE'!$B$7:$F$26,5,0)</f>
        <v>#N/A</v>
      </c>
    </row>
    <row r="1564" spans="2:11">
      <c r="B1564">
        <f t="shared" si="286"/>
        <v>0</v>
      </c>
      <c r="F1564" s="57" t="e">
        <f t="shared" si="283"/>
        <v>#N/A</v>
      </c>
      <c r="G1564" t="str">
        <f t="shared" si="284"/>
        <v/>
      </c>
      <c r="I1564" t="e">
        <f>VLOOKUP(F1564,'1PROJE'!$B$7:$F$26,2,0)</f>
        <v>#N/A</v>
      </c>
      <c r="J1564" t="e">
        <f>VLOOKUP(F1564,'1PROJE'!$B$7:$F$26,4,0)</f>
        <v>#N/A</v>
      </c>
      <c r="K1564" t="e">
        <f>VLOOKUP(F1564,'1PROJE'!$B$7:$F$26,5,0)</f>
        <v>#N/A</v>
      </c>
    </row>
    <row r="1565" spans="2:11">
      <c r="B1565">
        <f t="shared" si="286"/>
        <v>0</v>
      </c>
      <c r="F1565" s="57" t="e">
        <f t="shared" si="283"/>
        <v>#N/A</v>
      </c>
      <c r="G1565" t="str">
        <f t="shared" si="284"/>
        <v/>
      </c>
      <c r="I1565" t="e">
        <f>VLOOKUP(F1565,'1PROJE'!$B$7:$F$26,2,0)</f>
        <v>#N/A</v>
      </c>
      <c r="J1565" t="e">
        <f>VLOOKUP(F1565,'1PROJE'!$B$7:$F$26,4,0)</f>
        <v>#N/A</v>
      </c>
      <c r="K1565" t="e">
        <f>VLOOKUP(F1565,'1PROJE'!$B$7:$F$26,5,0)</f>
        <v>#N/A</v>
      </c>
    </row>
    <row r="1566" spans="2:11">
      <c r="B1566">
        <f t="shared" si="286"/>
        <v>0</v>
      </c>
      <c r="F1566" s="57" t="e">
        <f t="shared" si="283"/>
        <v>#N/A</v>
      </c>
      <c r="G1566" t="str">
        <f t="shared" si="284"/>
        <v/>
      </c>
      <c r="I1566" t="e">
        <f>VLOOKUP(F1566,'1PROJE'!$B$7:$F$26,2,0)</f>
        <v>#N/A</v>
      </c>
      <c r="J1566" t="e">
        <f>VLOOKUP(F1566,'1PROJE'!$B$7:$F$26,4,0)</f>
        <v>#N/A</v>
      </c>
      <c r="K1566" t="e">
        <f>VLOOKUP(F1566,'1PROJE'!$B$7:$F$26,5,0)</f>
        <v>#N/A</v>
      </c>
    </row>
    <row r="1567" spans="2:11">
      <c r="B1567">
        <f t="shared" si="286"/>
        <v>0</v>
      </c>
      <c r="F1567" s="57" t="e">
        <f t="shared" si="283"/>
        <v>#N/A</v>
      </c>
      <c r="G1567" t="str">
        <f t="shared" si="284"/>
        <v/>
      </c>
      <c r="I1567" t="e">
        <f>VLOOKUP(F1567,'1PROJE'!$B$7:$F$26,2,0)</f>
        <v>#N/A</v>
      </c>
      <c r="J1567" t="e">
        <f>VLOOKUP(F1567,'1PROJE'!$B$7:$F$26,4,0)</f>
        <v>#N/A</v>
      </c>
      <c r="K1567" t="e">
        <f>VLOOKUP(F1567,'1PROJE'!$B$7:$F$26,5,0)</f>
        <v>#N/A</v>
      </c>
    </row>
    <row r="1568" spans="2:11">
      <c r="B1568">
        <f t="shared" si="286"/>
        <v>0</v>
      </c>
      <c r="F1568" s="57" t="e">
        <f t="shared" si="283"/>
        <v>#N/A</v>
      </c>
      <c r="G1568" t="str">
        <f t="shared" si="284"/>
        <v/>
      </c>
      <c r="I1568" t="e">
        <f>VLOOKUP(F1568,'1PROJE'!$B$7:$F$26,2,0)</f>
        <v>#N/A</v>
      </c>
      <c r="J1568" t="e">
        <f>VLOOKUP(F1568,'1PROJE'!$B$7:$F$26,4,0)</f>
        <v>#N/A</v>
      </c>
      <c r="K1568" t="e">
        <f>VLOOKUP(F1568,'1PROJE'!$B$7:$F$26,5,0)</f>
        <v>#N/A</v>
      </c>
    </row>
    <row r="1569" spans="2:11">
      <c r="B1569">
        <f t="shared" si="286"/>
        <v>0</v>
      </c>
      <c r="F1569" s="57" t="e">
        <f t="shared" si="283"/>
        <v>#N/A</v>
      </c>
      <c r="G1569" t="str">
        <f t="shared" si="284"/>
        <v/>
      </c>
      <c r="I1569" t="e">
        <f>VLOOKUP(F1569,'1PROJE'!$B$7:$F$26,2,0)</f>
        <v>#N/A</v>
      </c>
      <c r="J1569" t="e">
        <f>VLOOKUP(F1569,'1PROJE'!$B$7:$F$26,4,0)</f>
        <v>#N/A</v>
      </c>
      <c r="K1569" t="e">
        <f>VLOOKUP(F1569,'1PROJE'!$B$7:$F$26,5,0)</f>
        <v>#N/A</v>
      </c>
    </row>
    <row r="1570" spans="2:11">
      <c r="B1570">
        <f t="shared" si="286"/>
        <v>0</v>
      </c>
      <c r="F1570" s="57" t="e">
        <f t="shared" si="283"/>
        <v>#N/A</v>
      </c>
      <c r="G1570" t="str">
        <f t="shared" si="284"/>
        <v/>
      </c>
      <c r="I1570" t="e">
        <f>VLOOKUP(F1570,'1PROJE'!$B$7:$F$26,2,0)</f>
        <v>#N/A</v>
      </c>
      <c r="J1570" t="e">
        <f>VLOOKUP(F1570,'1PROJE'!$B$7:$F$26,4,0)</f>
        <v>#N/A</v>
      </c>
      <c r="K1570" t="e">
        <f>VLOOKUP(F1570,'1PROJE'!$B$7:$F$26,5,0)</f>
        <v>#N/A</v>
      </c>
    </row>
    <row r="1571" spans="2:11">
      <c r="B1571">
        <f t="shared" si="286"/>
        <v>0</v>
      </c>
      <c r="F1571" s="57" t="e">
        <f t="shared" si="283"/>
        <v>#N/A</v>
      </c>
      <c r="G1571" t="str">
        <f t="shared" si="284"/>
        <v/>
      </c>
      <c r="I1571" t="e">
        <f>VLOOKUP(F1571,'1PROJE'!$B$7:$F$26,2,0)</f>
        <v>#N/A</v>
      </c>
      <c r="J1571" t="e">
        <f>VLOOKUP(F1571,'1PROJE'!$B$7:$F$26,4,0)</f>
        <v>#N/A</v>
      </c>
      <c r="K1571" t="e">
        <f>VLOOKUP(F1571,'1PROJE'!$B$7:$F$26,5,0)</f>
        <v>#N/A</v>
      </c>
    </row>
    <row r="1572" spans="2:11">
      <c r="B1572">
        <f t="shared" si="286"/>
        <v>0</v>
      </c>
      <c r="F1572" s="57" t="e">
        <f t="shared" si="283"/>
        <v>#N/A</v>
      </c>
      <c r="G1572" t="str">
        <f t="shared" si="284"/>
        <v/>
      </c>
      <c r="I1572" t="e">
        <f>VLOOKUP(F1572,'1PROJE'!$B$7:$F$26,2,0)</f>
        <v>#N/A</v>
      </c>
      <c r="J1572" t="e">
        <f>VLOOKUP(F1572,'1PROJE'!$B$7:$F$26,4,0)</f>
        <v>#N/A</v>
      </c>
      <c r="K1572" t="e">
        <f>VLOOKUP(F1572,'1PROJE'!$B$7:$F$26,5,0)</f>
        <v>#N/A</v>
      </c>
    </row>
    <row r="1573" spans="2:11">
      <c r="B1573">
        <f t="shared" si="286"/>
        <v>0</v>
      </c>
      <c r="F1573" s="57" t="e">
        <f t="shared" si="283"/>
        <v>#N/A</v>
      </c>
      <c r="G1573" t="str">
        <f t="shared" si="284"/>
        <v/>
      </c>
      <c r="I1573" t="e">
        <f>VLOOKUP(F1573,'1PROJE'!$B$7:$F$26,2,0)</f>
        <v>#N/A</v>
      </c>
      <c r="J1573" t="e">
        <f>VLOOKUP(F1573,'1PROJE'!$B$7:$F$26,4,0)</f>
        <v>#N/A</v>
      </c>
      <c r="K1573" t="e">
        <f>VLOOKUP(F1573,'1PROJE'!$B$7:$F$26,5,0)</f>
        <v>#N/A</v>
      </c>
    </row>
    <row r="1574" spans="2:11">
      <c r="B1574">
        <f t="shared" si="286"/>
        <v>0</v>
      </c>
      <c r="F1574" s="57" t="e">
        <f t="shared" si="283"/>
        <v>#N/A</v>
      </c>
      <c r="G1574" t="str">
        <f t="shared" si="284"/>
        <v/>
      </c>
      <c r="I1574" t="e">
        <f>VLOOKUP(F1574,'1PROJE'!$B$7:$F$26,2,0)</f>
        <v>#N/A</v>
      </c>
      <c r="J1574" t="e">
        <f>VLOOKUP(F1574,'1PROJE'!$B$7:$F$26,4,0)</f>
        <v>#N/A</v>
      </c>
      <c r="K1574" t="e">
        <f>VLOOKUP(F1574,'1PROJE'!$B$7:$F$26,5,0)</f>
        <v>#N/A</v>
      </c>
    </row>
    <row r="1575" spans="2:11">
      <c r="B1575">
        <f t="shared" si="286"/>
        <v>0</v>
      </c>
      <c r="F1575" s="57" t="e">
        <f t="shared" si="283"/>
        <v>#N/A</v>
      </c>
      <c r="G1575" t="str">
        <f t="shared" si="284"/>
        <v/>
      </c>
      <c r="I1575" t="e">
        <f>VLOOKUP(F1575,'1PROJE'!$B$7:$F$26,2,0)</f>
        <v>#N/A</v>
      </c>
      <c r="J1575" t="e">
        <f>VLOOKUP(F1575,'1PROJE'!$B$7:$F$26,4,0)</f>
        <v>#N/A</v>
      </c>
      <c r="K1575" t="e">
        <f>VLOOKUP(F1575,'1PROJE'!$B$7:$F$26,5,0)</f>
        <v>#N/A</v>
      </c>
    </row>
    <row r="1576" spans="2:11">
      <c r="B1576">
        <f t="shared" si="286"/>
        <v>0</v>
      </c>
      <c r="F1576" s="57" t="e">
        <f t="shared" si="283"/>
        <v>#N/A</v>
      </c>
      <c r="G1576" t="str">
        <f t="shared" si="284"/>
        <v/>
      </c>
      <c r="I1576" t="e">
        <f>VLOOKUP(F1576,'1PROJE'!$B$7:$F$26,2,0)</f>
        <v>#N/A</v>
      </c>
      <c r="J1576" t="e">
        <f>VLOOKUP(F1576,'1PROJE'!$B$7:$F$26,4,0)</f>
        <v>#N/A</v>
      </c>
      <c r="K1576" t="e">
        <f>VLOOKUP(F1576,'1PROJE'!$B$7:$F$26,5,0)</f>
        <v>#N/A</v>
      </c>
    </row>
    <row r="1577" spans="2:11">
      <c r="B1577">
        <f t="shared" si="286"/>
        <v>0</v>
      </c>
      <c r="F1577" s="57" t="e">
        <f t="shared" si="283"/>
        <v>#N/A</v>
      </c>
      <c r="G1577" t="str">
        <f t="shared" si="284"/>
        <v/>
      </c>
      <c r="I1577" t="e">
        <f>VLOOKUP(F1577,'1PROJE'!$B$7:$F$26,2,0)</f>
        <v>#N/A</v>
      </c>
      <c r="J1577" t="e">
        <f>VLOOKUP(F1577,'1PROJE'!$B$7:$F$26,4,0)</f>
        <v>#N/A</v>
      </c>
      <c r="K1577" t="e">
        <f>VLOOKUP(F1577,'1PROJE'!$B$7:$F$26,5,0)</f>
        <v>#N/A</v>
      </c>
    </row>
    <row r="1578" spans="2:11">
      <c r="B1578">
        <f t="shared" si="286"/>
        <v>0</v>
      </c>
      <c r="F1578" s="57" t="e">
        <f t="shared" si="283"/>
        <v>#N/A</v>
      </c>
      <c r="G1578" t="str">
        <f t="shared" si="284"/>
        <v/>
      </c>
      <c r="I1578" t="e">
        <f>VLOOKUP(F1578,'1PROJE'!$B$7:$F$26,2,0)</f>
        <v>#N/A</v>
      </c>
      <c r="J1578" t="e">
        <f>VLOOKUP(F1578,'1PROJE'!$B$7:$F$26,4,0)</f>
        <v>#N/A</v>
      </c>
      <c r="K1578" t="e">
        <f>VLOOKUP(F1578,'1PROJE'!$B$7:$F$26,5,0)</f>
        <v>#N/A</v>
      </c>
    </row>
    <row r="1579" spans="2:11">
      <c r="B1579">
        <f t="shared" si="286"/>
        <v>0</v>
      </c>
      <c r="F1579" s="57" t="e">
        <f t="shared" si="283"/>
        <v>#N/A</v>
      </c>
      <c r="G1579" t="str">
        <f t="shared" si="284"/>
        <v/>
      </c>
      <c r="I1579" t="e">
        <f>VLOOKUP(F1579,'1PROJE'!$B$7:$F$26,2,0)</f>
        <v>#N/A</v>
      </c>
      <c r="J1579" t="e">
        <f>VLOOKUP(F1579,'1PROJE'!$B$7:$F$26,4,0)</f>
        <v>#N/A</v>
      </c>
      <c r="K1579" t="e">
        <f>VLOOKUP(F1579,'1PROJE'!$B$7:$F$26,5,0)</f>
        <v>#N/A</v>
      </c>
    </row>
    <row r="1580" spans="2:11">
      <c r="B1580">
        <f t="shared" si="286"/>
        <v>0</v>
      </c>
      <c r="F1580" s="57" t="e">
        <f t="shared" si="283"/>
        <v>#N/A</v>
      </c>
      <c r="G1580" t="str">
        <f t="shared" si="284"/>
        <v/>
      </c>
      <c r="I1580" t="e">
        <f>VLOOKUP(F1580,'1PROJE'!$B$7:$F$26,2,0)</f>
        <v>#N/A</v>
      </c>
      <c r="J1580" t="e">
        <f>VLOOKUP(F1580,'1PROJE'!$B$7:$F$26,4,0)</f>
        <v>#N/A</v>
      </c>
      <c r="K1580" t="e">
        <f>VLOOKUP(F1580,'1PROJE'!$B$7:$F$26,5,0)</f>
        <v>#N/A</v>
      </c>
    </row>
    <row r="1581" spans="2:11">
      <c r="B1581">
        <f t="shared" si="286"/>
        <v>0</v>
      </c>
      <c r="F1581" s="57" t="e">
        <f t="shared" si="283"/>
        <v>#N/A</v>
      </c>
      <c r="G1581" t="str">
        <f t="shared" si="284"/>
        <v/>
      </c>
      <c r="I1581" t="e">
        <f>VLOOKUP(F1581,'1PROJE'!$B$7:$F$26,2,0)</f>
        <v>#N/A</v>
      </c>
      <c r="J1581" t="e">
        <f>VLOOKUP(F1581,'1PROJE'!$B$7:$F$26,4,0)</f>
        <v>#N/A</v>
      </c>
      <c r="K1581" t="e">
        <f>VLOOKUP(F1581,'1PROJE'!$B$7:$F$26,5,0)</f>
        <v>#N/A</v>
      </c>
    </row>
    <row r="1582" spans="2:11">
      <c r="B1582">
        <f t="shared" si="286"/>
        <v>0</v>
      </c>
      <c r="F1582" s="57" t="e">
        <f t="shared" si="283"/>
        <v>#N/A</v>
      </c>
      <c r="G1582" t="str">
        <f t="shared" si="284"/>
        <v/>
      </c>
      <c r="I1582" t="e">
        <f>VLOOKUP(F1582,'1PROJE'!$B$7:$F$26,2,0)</f>
        <v>#N/A</v>
      </c>
      <c r="J1582" t="e">
        <f>VLOOKUP(F1582,'1PROJE'!$B$7:$F$26,4,0)</f>
        <v>#N/A</v>
      </c>
      <c r="K1582" t="e">
        <f>VLOOKUP(F1582,'1PROJE'!$B$7:$F$26,5,0)</f>
        <v>#N/A</v>
      </c>
    </row>
    <row r="1583" spans="2:11">
      <c r="B1583">
        <f t="shared" si="286"/>
        <v>0</v>
      </c>
      <c r="F1583" s="57" t="e">
        <f t="shared" si="283"/>
        <v>#N/A</v>
      </c>
      <c r="G1583" t="str">
        <f t="shared" si="284"/>
        <v/>
      </c>
      <c r="I1583" t="e">
        <f>VLOOKUP(F1583,'1PROJE'!$B$7:$F$26,2,0)</f>
        <v>#N/A</v>
      </c>
      <c r="J1583" t="e">
        <f>VLOOKUP(F1583,'1PROJE'!$B$7:$F$26,4,0)</f>
        <v>#N/A</v>
      </c>
      <c r="K1583" t="e">
        <f>VLOOKUP(F1583,'1PROJE'!$B$7:$F$26,5,0)</f>
        <v>#N/A</v>
      </c>
    </row>
    <row r="1584" spans="2:11">
      <c r="B1584">
        <f t="shared" si="286"/>
        <v>0</v>
      </c>
      <c r="F1584" s="57" t="e">
        <f t="shared" si="283"/>
        <v>#N/A</v>
      </c>
      <c r="G1584" t="str">
        <f t="shared" si="284"/>
        <v/>
      </c>
      <c r="I1584" t="e">
        <f>VLOOKUP(F1584,'1PROJE'!$B$7:$F$26,2,0)</f>
        <v>#N/A</v>
      </c>
      <c r="J1584" t="e">
        <f>VLOOKUP(F1584,'1PROJE'!$B$7:$F$26,4,0)</f>
        <v>#N/A</v>
      </c>
      <c r="K1584" t="e">
        <f>VLOOKUP(F1584,'1PROJE'!$B$7:$F$26,5,0)</f>
        <v>#N/A</v>
      </c>
    </row>
    <row r="1585" spans="2:11">
      <c r="B1585">
        <f t="shared" si="286"/>
        <v>0</v>
      </c>
      <c r="F1585" s="57" t="e">
        <f t="shared" si="283"/>
        <v>#N/A</v>
      </c>
      <c r="G1585" t="str">
        <f t="shared" si="284"/>
        <v/>
      </c>
      <c r="I1585" t="e">
        <f>VLOOKUP(F1585,'1PROJE'!$B$7:$F$26,2,0)</f>
        <v>#N/A</v>
      </c>
      <c r="J1585" t="e">
        <f>VLOOKUP(F1585,'1PROJE'!$B$7:$F$26,4,0)</f>
        <v>#N/A</v>
      </c>
      <c r="K1585" t="e">
        <f>VLOOKUP(F1585,'1PROJE'!$B$7:$F$26,5,0)</f>
        <v>#N/A</v>
      </c>
    </row>
    <row r="1586" spans="2:11">
      <c r="B1586">
        <f t="shared" si="286"/>
        <v>0</v>
      </c>
      <c r="F1586" s="57" t="e">
        <f t="shared" si="283"/>
        <v>#N/A</v>
      </c>
      <c r="G1586" t="str">
        <f t="shared" si="284"/>
        <v/>
      </c>
      <c r="I1586" t="e">
        <f>VLOOKUP(F1586,'1PROJE'!$B$7:$F$26,2,0)</f>
        <v>#N/A</v>
      </c>
      <c r="J1586" t="e">
        <f>VLOOKUP(F1586,'1PROJE'!$B$7:$F$26,4,0)</f>
        <v>#N/A</v>
      </c>
      <c r="K1586" t="e">
        <f>VLOOKUP(F1586,'1PROJE'!$B$7:$F$26,5,0)</f>
        <v>#N/A</v>
      </c>
    </row>
    <row r="1587" spans="2:11">
      <c r="B1587">
        <f t="shared" si="286"/>
        <v>0</v>
      </c>
      <c r="F1587" s="57" t="e">
        <f t="shared" si="283"/>
        <v>#N/A</v>
      </c>
      <c r="G1587" t="str">
        <f t="shared" si="284"/>
        <v/>
      </c>
      <c r="I1587" t="e">
        <f>VLOOKUP(F1587,'1PROJE'!$B$7:$F$26,2,0)</f>
        <v>#N/A</v>
      </c>
      <c r="J1587" t="e">
        <f>VLOOKUP(F1587,'1PROJE'!$B$7:$F$26,4,0)</f>
        <v>#N/A</v>
      </c>
      <c r="K1587" t="e">
        <f>VLOOKUP(F1587,'1PROJE'!$B$7:$F$26,5,0)</f>
        <v>#N/A</v>
      </c>
    </row>
    <row r="1588" spans="2:11">
      <c r="B1588">
        <f t="shared" si="286"/>
        <v>0</v>
      </c>
      <c r="F1588" s="57" t="e">
        <f t="shared" si="283"/>
        <v>#N/A</v>
      </c>
      <c r="G1588" t="str">
        <f t="shared" si="284"/>
        <v/>
      </c>
      <c r="I1588" t="e">
        <f>VLOOKUP(F1588,'1PROJE'!$B$7:$F$26,2,0)</f>
        <v>#N/A</v>
      </c>
      <c r="J1588" t="e">
        <f>VLOOKUP(F1588,'1PROJE'!$B$7:$F$26,4,0)</f>
        <v>#N/A</v>
      </c>
      <c r="K1588" t="e">
        <f>VLOOKUP(F1588,'1PROJE'!$B$7:$F$26,5,0)</f>
        <v>#N/A</v>
      </c>
    </row>
    <row r="1589" spans="2:11">
      <c r="B1589">
        <f t="shared" si="286"/>
        <v>0</v>
      </c>
      <c r="F1589" s="57" t="e">
        <f t="shared" si="283"/>
        <v>#N/A</v>
      </c>
      <c r="G1589" t="str">
        <f t="shared" si="284"/>
        <v/>
      </c>
      <c r="I1589" t="e">
        <f>VLOOKUP(F1589,'1PROJE'!$B$7:$F$26,2,0)</f>
        <v>#N/A</v>
      </c>
      <c r="J1589" t="e">
        <f>VLOOKUP(F1589,'1PROJE'!$B$7:$F$26,4,0)</f>
        <v>#N/A</v>
      </c>
      <c r="K1589" t="e">
        <f>VLOOKUP(F1589,'1PROJE'!$B$7:$F$26,5,0)</f>
        <v>#N/A</v>
      </c>
    </row>
    <row r="1590" spans="2:11">
      <c r="B1590">
        <f t="shared" si="286"/>
        <v>0</v>
      </c>
      <c r="F1590" s="57" t="e">
        <f t="shared" si="283"/>
        <v>#N/A</v>
      </c>
      <c r="G1590" t="str">
        <f t="shared" si="284"/>
        <v/>
      </c>
      <c r="I1590" t="e">
        <f>VLOOKUP(F1590,'1PROJE'!$B$7:$F$26,2,0)</f>
        <v>#N/A</v>
      </c>
      <c r="J1590" t="e">
        <f>VLOOKUP(F1590,'1PROJE'!$B$7:$F$26,4,0)</f>
        <v>#N/A</v>
      </c>
      <c r="K1590" t="e">
        <f>VLOOKUP(F1590,'1PROJE'!$B$7:$F$26,5,0)</f>
        <v>#N/A</v>
      </c>
    </row>
    <row r="1591" spans="2:11">
      <c r="B1591">
        <f t="shared" si="286"/>
        <v>0</v>
      </c>
      <c r="F1591" s="57" t="e">
        <f t="shared" si="283"/>
        <v>#N/A</v>
      </c>
      <c r="G1591" t="str">
        <f t="shared" si="284"/>
        <v/>
      </c>
      <c r="I1591" t="e">
        <f>VLOOKUP(F1591,'1PROJE'!$B$7:$F$26,2,0)</f>
        <v>#N/A</v>
      </c>
      <c r="J1591" t="e">
        <f>VLOOKUP(F1591,'1PROJE'!$B$7:$F$26,4,0)</f>
        <v>#N/A</v>
      </c>
      <c r="K1591" t="e">
        <f>VLOOKUP(F1591,'1PROJE'!$B$7:$F$26,5,0)</f>
        <v>#N/A</v>
      </c>
    </row>
    <row r="1592" spans="2:11">
      <c r="B1592">
        <f t="shared" si="286"/>
        <v>0</v>
      </c>
      <c r="F1592" s="57" t="e">
        <f t="shared" si="283"/>
        <v>#N/A</v>
      </c>
      <c r="G1592" t="str">
        <f t="shared" si="284"/>
        <v/>
      </c>
      <c r="I1592" t="e">
        <f>VLOOKUP(F1592,'1PROJE'!$B$7:$F$26,2,0)</f>
        <v>#N/A</v>
      </c>
      <c r="J1592" t="e">
        <f>VLOOKUP(F1592,'1PROJE'!$B$7:$F$26,4,0)</f>
        <v>#N/A</v>
      </c>
      <c r="K1592" t="e">
        <f>VLOOKUP(F1592,'1PROJE'!$B$7:$F$26,5,0)</f>
        <v>#N/A</v>
      </c>
    </row>
    <row r="1593" spans="2:11">
      <c r="B1593">
        <f t="shared" si="286"/>
        <v>0</v>
      </c>
      <c r="F1593" s="57" t="e">
        <f t="shared" si="283"/>
        <v>#N/A</v>
      </c>
      <c r="G1593" t="str">
        <f t="shared" si="284"/>
        <v/>
      </c>
      <c r="I1593" t="e">
        <f>VLOOKUP(F1593,'1PROJE'!$B$7:$F$26,2,0)</f>
        <v>#N/A</v>
      </c>
      <c r="J1593" t="e">
        <f>VLOOKUP(F1593,'1PROJE'!$B$7:$F$26,4,0)</f>
        <v>#N/A</v>
      </c>
      <c r="K1593" t="e">
        <f>VLOOKUP(F1593,'1PROJE'!$B$7:$F$26,5,0)</f>
        <v>#N/A</v>
      </c>
    </row>
    <row r="1594" spans="2:11">
      <c r="B1594">
        <f t="shared" si="286"/>
        <v>0</v>
      </c>
      <c r="F1594" s="57" t="e">
        <f t="shared" si="283"/>
        <v>#N/A</v>
      </c>
      <c r="G1594" t="str">
        <f t="shared" si="284"/>
        <v/>
      </c>
      <c r="I1594" t="e">
        <f>VLOOKUP(F1594,'1PROJE'!$B$7:$F$26,2,0)</f>
        <v>#N/A</v>
      </c>
      <c r="J1594" t="e">
        <f>VLOOKUP(F1594,'1PROJE'!$B$7:$F$26,4,0)</f>
        <v>#N/A</v>
      </c>
      <c r="K1594" t="e">
        <f>VLOOKUP(F1594,'1PROJE'!$B$7:$F$26,5,0)</f>
        <v>#N/A</v>
      </c>
    </row>
    <row r="1595" spans="2:11">
      <c r="B1595">
        <f t="shared" ref="B1595:B1626" si="287">IF(($C$42-A95)&lt;0,0,"POZ"&amp;" "&amp;$Q$61&amp;"."&amp;A95)</f>
        <v>0</v>
      </c>
      <c r="F1595" s="57" t="e">
        <f t="shared" si="283"/>
        <v>#N/A</v>
      </c>
      <c r="G1595" t="str">
        <f t="shared" si="284"/>
        <v/>
      </c>
      <c r="I1595" t="e">
        <f>VLOOKUP(F1595,'1PROJE'!$B$7:$F$26,2,0)</f>
        <v>#N/A</v>
      </c>
      <c r="J1595" t="e">
        <f>VLOOKUP(F1595,'1PROJE'!$B$7:$F$26,4,0)</f>
        <v>#N/A</v>
      </c>
      <c r="K1595" t="e">
        <f>VLOOKUP(F1595,'1PROJE'!$B$7:$F$26,5,0)</f>
        <v>#N/A</v>
      </c>
    </row>
    <row r="1596" spans="2:11">
      <c r="B1596">
        <f t="shared" si="287"/>
        <v>0</v>
      </c>
      <c r="F1596" s="57" t="e">
        <f t="shared" si="283"/>
        <v>#N/A</v>
      </c>
      <c r="G1596" t="str">
        <f t="shared" si="284"/>
        <v/>
      </c>
      <c r="I1596" t="e">
        <f>VLOOKUP(F1596,'1PROJE'!$B$7:$F$26,2,0)</f>
        <v>#N/A</v>
      </c>
      <c r="J1596" t="e">
        <f>VLOOKUP(F1596,'1PROJE'!$B$7:$F$26,4,0)</f>
        <v>#N/A</v>
      </c>
      <c r="K1596" t="e">
        <f>VLOOKUP(F1596,'1PROJE'!$B$7:$F$26,5,0)</f>
        <v>#N/A</v>
      </c>
    </row>
    <row r="1597" spans="2:11">
      <c r="B1597">
        <f t="shared" si="287"/>
        <v>0</v>
      </c>
      <c r="F1597" s="57" t="e">
        <f t="shared" si="283"/>
        <v>#N/A</v>
      </c>
      <c r="G1597" t="str">
        <f t="shared" si="284"/>
        <v/>
      </c>
      <c r="I1597" t="e">
        <f>VLOOKUP(F1597,'1PROJE'!$B$7:$F$26,2,0)</f>
        <v>#N/A</v>
      </c>
      <c r="J1597" t="e">
        <f>VLOOKUP(F1597,'1PROJE'!$B$7:$F$26,4,0)</f>
        <v>#N/A</v>
      </c>
      <c r="K1597" t="e">
        <f>VLOOKUP(F1597,'1PROJE'!$B$7:$F$26,5,0)</f>
        <v>#N/A</v>
      </c>
    </row>
    <row r="1598" spans="2:11">
      <c r="B1598">
        <f t="shared" si="287"/>
        <v>0</v>
      </c>
      <c r="F1598" s="57" t="e">
        <f t="shared" si="283"/>
        <v>#N/A</v>
      </c>
      <c r="G1598" t="str">
        <f t="shared" si="284"/>
        <v/>
      </c>
      <c r="I1598" t="e">
        <f>VLOOKUP(F1598,'1PROJE'!$B$7:$F$26,2,0)</f>
        <v>#N/A</v>
      </c>
      <c r="J1598" t="e">
        <f>VLOOKUP(F1598,'1PROJE'!$B$7:$F$26,4,0)</f>
        <v>#N/A</v>
      </c>
      <c r="K1598" t="e">
        <f>VLOOKUP(F1598,'1PROJE'!$B$7:$F$26,5,0)</f>
        <v>#N/A</v>
      </c>
    </row>
    <row r="1599" spans="2:11">
      <c r="B1599">
        <f t="shared" si="287"/>
        <v>0</v>
      </c>
      <c r="F1599" s="57" t="e">
        <f t="shared" si="283"/>
        <v>#N/A</v>
      </c>
      <c r="G1599" t="str">
        <f t="shared" si="284"/>
        <v/>
      </c>
      <c r="I1599" t="e">
        <f>VLOOKUP(F1599,'1PROJE'!$B$7:$F$26,2,0)</f>
        <v>#N/A</v>
      </c>
      <c r="J1599" t="e">
        <f>VLOOKUP(F1599,'1PROJE'!$B$7:$F$26,4,0)</f>
        <v>#N/A</v>
      </c>
      <c r="K1599" t="e">
        <f>VLOOKUP(F1599,'1PROJE'!$B$7:$F$26,5,0)</f>
        <v>#N/A</v>
      </c>
    </row>
    <row r="1600" spans="2:11">
      <c r="B1600">
        <f t="shared" si="287"/>
        <v>0</v>
      </c>
      <c r="F1600" s="57" t="e">
        <f t="shared" si="283"/>
        <v>#N/A</v>
      </c>
      <c r="G1600" t="str">
        <f t="shared" si="284"/>
        <v/>
      </c>
      <c r="I1600" t="e">
        <f>VLOOKUP(F1600,'1PROJE'!$B$7:$F$26,2,0)</f>
        <v>#N/A</v>
      </c>
      <c r="J1600" t="e">
        <f>VLOOKUP(F1600,'1PROJE'!$B$7:$F$26,4,0)</f>
        <v>#N/A</v>
      </c>
      <c r="K1600" t="e">
        <f>VLOOKUP(F1600,'1PROJE'!$B$7:$F$26,5,0)</f>
        <v>#N/A</v>
      </c>
    </row>
    <row r="1601" spans="2:11">
      <c r="B1601">
        <f t="shared" si="287"/>
        <v>0</v>
      </c>
      <c r="F1601" s="57" t="e">
        <f t="shared" si="283"/>
        <v>#N/A</v>
      </c>
      <c r="G1601" t="str">
        <f t="shared" si="284"/>
        <v/>
      </c>
      <c r="I1601" t="e">
        <f>VLOOKUP(F1601,'1PROJE'!$B$7:$F$26,2,0)</f>
        <v>#N/A</v>
      </c>
      <c r="J1601" t="e">
        <f>VLOOKUP(F1601,'1PROJE'!$B$7:$F$26,4,0)</f>
        <v>#N/A</v>
      </c>
      <c r="K1601" t="e">
        <f>VLOOKUP(F1601,'1PROJE'!$B$7:$F$26,5,0)</f>
        <v>#N/A</v>
      </c>
    </row>
    <row r="1602" spans="2:11">
      <c r="B1602">
        <f t="shared" si="287"/>
        <v>0</v>
      </c>
      <c r="F1602" s="57" t="e">
        <f t="shared" si="283"/>
        <v>#N/A</v>
      </c>
      <c r="G1602" t="str">
        <f t="shared" si="284"/>
        <v/>
      </c>
      <c r="I1602" t="e">
        <f>VLOOKUP(F1602,'1PROJE'!$B$7:$F$26,2,0)</f>
        <v>#N/A</v>
      </c>
      <c r="J1602" t="e">
        <f>VLOOKUP(F1602,'1PROJE'!$B$7:$F$26,4,0)</f>
        <v>#N/A</v>
      </c>
      <c r="K1602" t="e">
        <f>VLOOKUP(F1602,'1PROJE'!$B$7:$F$26,5,0)</f>
        <v>#N/A</v>
      </c>
    </row>
    <row r="1603" spans="2:11">
      <c r="B1603">
        <f t="shared" si="287"/>
        <v>0</v>
      </c>
      <c r="F1603" s="57" t="e">
        <f t="shared" si="283"/>
        <v>#N/A</v>
      </c>
      <c r="G1603" t="str">
        <f t="shared" si="284"/>
        <v/>
      </c>
      <c r="I1603" t="e">
        <f>VLOOKUP(F1603,'1PROJE'!$B$7:$F$26,2,0)</f>
        <v>#N/A</v>
      </c>
      <c r="J1603" t="e">
        <f>VLOOKUP(F1603,'1PROJE'!$B$7:$F$26,4,0)</f>
        <v>#N/A</v>
      </c>
      <c r="K1603" t="e">
        <f>VLOOKUP(F1603,'1PROJE'!$B$7:$F$26,5,0)</f>
        <v>#N/A</v>
      </c>
    </row>
    <row r="1604" spans="2:11">
      <c r="B1604">
        <f t="shared" si="287"/>
        <v>0</v>
      </c>
      <c r="F1604" s="57" t="e">
        <f t="shared" si="283"/>
        <v>#N/A</v>
      </c>
      <c r="G1604" t="str">
        <f t="shared" si="284"/>
        <v/>
      </c>
      <c r="I1604" t="e">
        <f>VLOOKUP(F1604,'1PROJE'!$B$7:$F$26,2,0)</f>
        <v>#N/A</v>
      </c>
      <c r="J1604" t="e">
        <f>VLOOKUP(F1604,'1PROJE'!$B$7:$F$26,4,0)</f>
        <v>#N/A</v>
      </c>
      <c r="K1604" t="e">
        <f>VLOOKUP(F1604,'1PROJE'!$B$7:$F$26,5,0)</f>
        <v>#N/A</v>
      </c>
    </row>
    <row r="1605" spans="2:11">
      <c r="B1605">
        <f t="shared" si="287"/>
        <v>0</v>
      </c>
      <c r="F1605" s="57" t="e">
        <f t="shared" si="283"/>
        <v>#N/A</v>
      </c>
      <c r="G1605" t="str">
        <f t="shared" si="284"/>
        <v/>
      </c>
      <c r="I1605" t="e">
        <f>VLOOKUP(F1605,'1PROJE'!$B$7:$F$26,2,0)</f>
        <v>#N/A</v>
      </c>
      <c r="J1605" t="e">
        <f>VLOOKUP(F1605,'1PROJE'!$B$7:$F$26,4,0)</f>
        <v>#N/A</v>
      </c>
      <c r="K1605" t="e">
        <f>VLOOKUP(F1605,'1PROJE'!$B$7:$F$26,5,0)</f>
        <v>#N/A</v>
      </c>
    </row>
    <row r="1606" spans="2:11">
      <c r="B1606">
        <f t="shared" si="287"/>
        <v>0</v>
      </c>
      <c r="F1606" s="57" t="e">
        <f t="shared" si="283"/>
        <v>#N/A</v>
      </c>
      <c r="G1606" t="str">
        <f t="shared" si="284"/>
        <v/>
      </c>
      <c r="I1606" t="e">
        <f>VLOOKUP(F1606,'1PROJE'!$B$7:$F$26,2,0)</f>
        <v>#N/A</v>
      </c>
      <c r="J1606" t="e">
        <f>VLOOKUP(F1606,'1PROJE'!$B$7:$F$26,4,0)</f>
        <v>#N/A</v>
      </c>
      <c r="K1606" t="e">
        <f>VLOOKUP(F1606,'1PROJE'!$B$7:$F$26,5,0)</f>
        <v>#N/A</v>
      </c>
    </row>
    <row r="1607" spans="2:11">
      <c r="B1607">
        <f t="shared" si="287"/>
        <v>0</v>
      </c>
      <c r="F1607" s="57" t="e">
        <f t="shared" si="283"/>
        <v>#N/A</v>
      </c>
      <c r="G1607" t="str">
        <f t="shared" si="284"/>
        <v/>
      </c>
      <c r="I1607" t="e">
        <f>VLOOKUP(F1607,'1PROJE'!$B$7:$F$26,2,0)</f>
        <v>#N/A</v>
      </c>
      <c r="J1607" t="e">
        <f>VLOOKUP(F1607,'1PROJE'!$B$7:$F$26,4,0)</f>
        <v>#N/A</v>
      </c>
      <c r="K1607" t="e">
        <f>VLOOKUP(F1607,'1PROJE'!$B$7:$F$26,5,0)</f>
        <v>#N/A</v>
      </c>
    </row>
    <row r="1608" spans="2:11">
      <c r="B1608">
        <f t="shared" si="287"/>
        <v>0</v>
      </c>
      <c r="F1608" s="57" t="e">
        <f t="shared" si="283"/>
        <v>#N/A</v>
      </c>
      <c r="G1608" t="str">
        <f t="shared" si="284"/>
        <v/>
      </c>
      <c r="I1608" t="e">
        <f>VLOOKUP(F1608,'1PROJE'!$B$7:$F$26,2,0)</f>
        <v>#N/A</v>
      </c>
      <c r="J1608" t="e">
        <f>VLOOKUP(F1608,'1PROJE'!$B$7:$F$26,4,0)</f>
        <v>#N/A</v>
      </c>
      <c r="K1608" t="e">
        <f>VLOOKUP(F1608,'1PROJE'!$B$7:$F$26,5,0)</f>
        <v>#N/A</v>
      </c>
    </row>
    <row r="1609" spans="2:11">
      <c r="B1609">
        <f t="shared" si="287"/>
        <v>0</v>
      </c>
      <c r="F1609" s="57" t="e">
        <f t="shared" si="283"/>
        <v>#N/A</v>
      </c>
      <c r="G1609" t="str">
        <f t="shared" si="284"/>
        <v/>
      </c>
      <c r="I1609" t="e">
        <f>VLOOKUP(F1609,'1PROJE'!$B$7:$F$26,2,0)</f>
        <v>#N/A</v>
      </c>
      <c r="J1609" t="e">
        <f>VLOOKUP(F1609,'1PROJE'!$B$7:$F$26,4,0)</f>
        <v>#N/A</v>
      </c>
      <c r="K1609" t="e">
        <f>VLOOKUP(F1609,'1PROJE'!$B$7:$F$26,5,0)</f>
        <v>#N/A</v>
      </c>
    </row>
    <row r="1610" spans="2:11">
      <c r="B1610">
        <f t="shared" si="287"/>
        <v>0</v>
      </c>
      <c r="F1610" s="57" t="e">
        <f t="shared" si="283"/>
        <v>#N/A</v>
      </c>
      <c r="G1610" t="str">
        <f t="shared" si="284"/>
        <v/>
      </c>
      <c r="I1610" t="e">
        <f>VLOOKUP(F1610,'1PROJE'!$B$7:$F$26,2,0)</f>
        <v>#N/A</v>
      </c>
      <c r="J1610" t="e">
        <f>VLOOKUP(F1610,'1PROJE'!$B$7:$F$26,4,0)</f>
        <v>#N/A</v>
      </c>
      <c r="K1610" t="e">
        <f>VLOOKUP(F1610,'1PROJE'!$B$7:$F$26,5,0)</f>
        <v>#N/A</v>
      </c>
    </row>
    <row r="1611" spans="2:11">
      <c r="B1611">
        <f t="shared" si="287"/>
        <v>0</v>
      </c>
      <c r="F1611" s="57" t="e">
        <f t="shared" ref="F1611:F1674" si="288">VLOOKUP(G1611,$C$64:$D$83,2,0)</f>
        <v>#N/A</v>
      </c>
      <c r="G1611" t="str">
        <f t="shared" ref="G1611:G1674" si="289">LEFT(H1611,6)</f>
        <v/>
      </c>
      <c r="I1611" t="e">
        <f>VLOOKUP(F1611,'1PROJE'!$B$7:$F$26,2,0)</f>
        <v>#N/A</v>
      </c>
      <c r="J1611" t="e">
        <f>VLOOKUP(F1611,'1PROJE'!$B$7:$F$26,4,0)</f>
        <v>#N/A</v>
      </c>
      <c r="K1611" t="e">
        <f>VLOOKUP(F1611,'1PROJE'!$B$7:$F$26,5,0)</f>
        <v>#N/A</v>
      </c>
    </row>
    <row r="1612" spans="2:11">
      <c r="B1612">
        <f t="shared" si="287"/>
        <v>0</v>
      </c>
      <c r="F1612" s="57" t="e">
        <f t="shared" si="288"/>
        <v>#N/A</v>
      </c>
      <c r="G1612" t="str">
        <f t="shared" si="289"/>
        <v/>
      </c>
      <c r="I1612" t="e">
        <f>VLOOKUP(F1612,'1PROJE'!$B$7:$F$26,2,0)</f>
        <v>#N/A</v>
      </c>
      <c r="J1612" t="e">
        <f>VLOOKUP(F1612,'1PROJE'!$B$7:$F$26,4,0)</f>
        <v>#N/A</v>
      </c>
      <c r="K1612" t="e">
        <f>VLOOKUP(F1612,'1PROJE'!$B$7:$F$26,5,0)</f>
        <v>#N/A</v>
      </c>
    </row>
    <row r="1613" spans="2:11">
      <c r="B1613">
        <f t="shared" si="287"/>
        <v>0</v>
      </c>
      <c r="F1613" s="57" t="e">
        <f t="shared" si="288"/>
        <v>#N/A</v>
      </c>
      <c r="G1613" t="str">
        <f t="shared" si="289"/>
        <v/>
      </c>
      <c r="I1613" t="e">
        <f>VLOOKUP(F1613,'1PROJE'!$B$7:$F$26,2,0)</f>
        <v>#N/A</v>
      </c>
      <c r="J1613" t="e">
        <f>VLOOKUP(F1613,'1PROJE'!$B$7:$F$26,4,0)</f>
        <v>#N/A</v>
      </c>
      <c r="K1613" t="e">
        <f>VLOOKUP(F1613,'1PROJE'!$B$7:$F$26,5,0)</f>
        <v>#N/A</v>
      </c>
    </row>
    <row r="1614" spans="2:11">
      <c r="B1614">
        <f t="shared" si="287"/>
        <v>0</v>
      </c>
      <c r="F1614" s="57" t="e">
        <f t="shared" si="288"/>
        <v>#N/A</v>
      </c>
      <c r="G1614" t="str">
        <f t="shared" si="289"/>
        <v/>
      </c>
      <c r="I1614" t="e">
        <f>VLOOKUP(F1614,'1PROJE'!$B$7:$F$26,2,0)</f>
        <v>#N/A</v>
      </c>
      <c r="J1614" t="e">
        <f>VLOOKUP(F1614,'1PROJE'!$B$7:$F$26,4,0)</f>
        <v>#N/A</v>
      </c>
      <c r="K1614" t="e">
        <f>VLOOKUP(F1614,'1PROJE'!$B$7:$F$26,5,0)</f>
        <v>#N/A</v>
      </c>
    </row>
    <row r="1615" spans="2:11">
      <c r="B1615">
        <f t="shared" si="287"/>
        <v>0</v>
      </c>
      <c r="F1615" s="57" t="e">
        <f t="shared" si="288"/>
        <v>#N/A</v>
      </c>
      <c r="G1615" t="str">
        <f t="shared" si="289"/>
        <v/>
      </c>
      <c r="I1615" t="e">
        <f>VLOOKUP(F1615,'1PROJE'!$B$7:$F$26,2,0)</f>
        <v>#N/A</v>
      </c>
      <c r="J1615" t="e">
        <f>VLOOKUP(F1615,'1PROJE'!$B$7:$F$26,4,0)</f>
        <v>#N/A</v>
      </c>
      <c r="K1615" t="e">
        <f>VLOOKUP(F1615,'1PROJE'!$B$7:$F$26,5,0)</f>
        <v>#N/A</v>
      </c>
    </row>
    <row r="1616" spans="2:11">
      <c r="B1616">
        <f t="shared" si="287"/>
        <v>0</v>
      </c>
      <c r="F1616" s="57" t="e">
        <f t="shared" si="288"/>
        <v>#N/A</v>
      </c>
      <c r="G1616" t="str">
        <f t="shared" si="289"/>
        <v/>
      </c>
      <c r="I1616" t="e">
        <f>VLOOKUP(F1616,'1PROJE'!$B$7:$F$26,2,0)</f>
        <v>#N/A</v>
      </c>
      <c r="J1616" t="e">
        <f>VLOOKUP(F1616,'1PROJE'!$B$7:$F$26,4,0)</f>
        <v>#N/A</v>
      </c>
      <c r="K1616" t="e">
        <f>VLOOKUP(F1616,'1PROJE'!$B$7:$F$26,5,0)</f>
        <v>#N/A</v>
      </c>
    </row>
    <row r="1617" spans="2:11">
      <c r="B1617">
        <f t="shared" si="287"/>
        <v>0</v>
      </c>
      <c r="F1617" s="57" t="e">
        <f t="shared" si="288"/>
        <v>#N/A</v>
      </c>
      <c r="G1617" t="str">
        <f t="shared" si="289"/>
        <v/>
      </c>
      <c r="I1617" t="e">
        <f>VLOOKUP(F1617,'1PROJE'!$B$7:$F$26,2,0)</f>
        <v>#N/A</v>
      </c>
      <c r="J1617" t="e">
        <f>VLOOKUP(F1617,'1PROJE'!$B$7:$F$26,4,0)</f>
        <v>#N/A</v>
      </c>
      <c r="K1617" t="e">
        <f>VLOOKUP(F1617,'1PROJE'!$B$7:$F$26,5,0)</f>
        <v>#N/A</v>
      </c>
    </row>
    <row r="1618" spans="2:11">
      <c r="B1618">
        <f t="shared" si="287"/>
        <v>0</v>
      </c>
      <c r="F1618" s="57" t="e">
        <f t="shared" si="288"/>
        <v>#N/A</v>
      </c>
      <c r="G1618" t="str">
        <f t="shared" si="289"/>
        <v/>
      </c>
      <c r="I1618" t="e">
        <f>VLOOKUP(F1618,'1PROJE'!$B$7:$F$26,2,0)</f>
        <v>#N/A</v>
      </c>
      <c r="J1618" t="e">
        <f>VLOOKUP(F1618,'1PROJE'!$B$7:$F$26,4,0)</f>
        <v>#N/A</v>
      </c>
      <c r="K1618" t="e">
        <f>VLOOKUP(F1618,'1PROJE'!$B$7:$F$26,5,0)</f>
        <v>#N/A</v>
      </c>
    </row>
    <row r="1619" spans="2:11">
      <c r="B1619">
        <f t="shared" si="287"/>
        <v>0</v>
      </c>
      <c r="F1619" s="57" t="e">
        <f t="shared" si="288"/>
        <v>#N/A</v>
      </c>
      <c r="G1619" t="str">
        <f t="shared" si="289"/>
        <v/>
      </c>
      <c r="I1619" t="e">
        <f>VLOOKUP(F1619,'1PROJE'!$B$7:$F$26,2,0)</f>
        <v>#N/A</v>
      </c>
      <c r="J1619" t="e">
        <f>VLOOKUP(F1619,'1PROJE'!$B$7:$F$26,4,0)</f>
        <v>#N/A</v>
      </c>
      <c r="K1619" t="e">
        <f>VLOOKUP(F1619,'1PROJE'!$B$7:$F$26,5,0)</f>
        <v>#N/A</v>
      </c>
    </row>
    <row r="1620" spans="2:11">
      <c r="B1620">
        <f t="shared" si="287"/>
        <v>0</v>
      </c>
      <c r="F1620" s="57" t="e">
        <f t="shared" si="288"/>
        <v>#N/A</v>
      </c>
      <c r="G1620" t="str">
        <f t="shared" si="289"/>
        <v/>
      </c>
      <c r="I1620" t="e">
        <f>VLOOKUP(F1620,'1PROJE'!$B$7:$F$26,2,0)</f>
        <v>#N/A</v>
      </c>
      <c r="J1620" t="e">
        <f>VLOOKUP(F1620,'1PROJE'!$B$7:$F$26,4,0)</f>
        <v>#N/A</v>
      </c>
      <c r="K1620" t="e">
        <f>VLOOKUP(F1620,'1PROJE'!$B$7:$F$26,5,0)</f>
        <v>#N/A</v>
      </c>
    </row>
    <row r="1621" spans="2:11">
      <c r="B1621">
        <f t="shared" si="287"/>
        <v>0</v>
      </c>
      <c r="F1621" s="57" t="e">
        <f t="shared" si="288"/>
        <v>#N/A</v>
      </c>
      <c r="G1621" t="str">
        <f t="shared" si="289"/>
        <v/>
      </c>
      <c r="I1621" t="e">
        <f>VLOOKUP(F1621,'1PROJE'!$B$7:$F$26,2,0)</f>
        <v>#N/A</v>
      </c>
      <c r="J1621" t="e">
        <f>VLOOKUP(F1621,'1PROJE'!$B$7:$F$26,4,0)</f>
        <v>#N/A</v>
      </c>
      <c r="K1621" t="e">
        <f>VLOOKUP(F1621,'1PROJE'!$B$7:$F$26,5,0)</f>
        <v>#N/A</v>
      </c>
    </row>
    <row r="1622" spans="2:11">
      <c r="B1622">
        <f t="shared" si="287"/>
        <v>0</v>
      </c>
      <c r="F1622" s="57" t="e">
        <f t="shared" si="288"/>
        <v>#N/A</v>
      </c>
      <c r="G1622" t="str">
        <f t="shared" si="289"/>
        <v/>
      </c>
      <c r="I1622" t="e">
        <f>VLOOKUP(F1622,'1PROJE'!$B$7:$F$26,2,0)</f>
        <v>#N/A</v>
      </c>
      <c r="J1622" t="e">
        <f>VLOOKUP(F1622,'1PROJE'!$B$7:$F$26,4,0)</f>
        <v>#N/A</v>
      </c>
      <c r="K1622" t="e">
        <f>VLOOKUP(F1622,'1PROJE'!$B$7:$F$26,5,0)</f>
        <v>#N/A</v>
      </c>
    </row>
    <row r="1623" spans="2:11">
      <c r="B1623">
        <f t="shared" si="287"/>
        <v>0</v>
      </c>
      <c r="F1623" s="57" t="e">
        <f t="shared" si="288"/>
        <v>#N/A</v>
      </c>
      <c r="G1623" t="str">
        <f t="shared" si="289"/>
        <v/>
      </c>
      <c r="I1623" t="e">
        <f>VLOOKUP(F1623,'1PROJE'!$B$7:$F$26,2,0)</f>
        <v>#N/A</v>
      </c>
      <c r="J1623" t="e">
        <f>VLOOKUP(F1623,'1PROJE'!$B$7:$F$26,4,0)</f>
        <v>#N/A</v>
      </c>
      <c r="K1623" t="e">
        <f>VLOOKUP(F1623,'1PROJE'!$B$7:$F$26,5,0)</f>
        <v>#N/A</v>
      </c>
    </row>
    <row r="1624" spans="2:11">
      <c r="B1624">
        <f t="shared" si="287"/>
        <v>0</v>
      </c>
      <c r="F1624" s="57" t="e">
        <f t="shared" si="288"/>
        <v>#N/A</v>
      </c>
      <c r="G1624" t="str">
        <f t="shared" si="289"/>
        <v/>
      </c>
      <c r="I1624" t="e">
        <f>VLOOKUP(F1624,'1PROJE'!$B$7:$F$26,2,0)</f>
        <v>#N/A</v>
      </c>
      <c r="J1624" t="e">
        <f>VLOOKUP(F1624,'1PROJE'!$B$7:$F$26,4,0)</f>
        <v>#N/A</v>
      </c>
      <c r="K1624" t="e">
        <f>VLOOKUP(F1624,'1PROJE'!$B$7:$F$26,5,0)</f>
        <v>#N/A</v>
      </c>
    </row>
    <row r="1625" spans="2:11">
      <c r="B1625">
        <f t="shared" si="287"/>
        <v>0</v>
      </c>
      <c r="F1625" s="57" t="e">
        <f t="shared" si="288"/>
        <v>#N/A</v>
      </c>
      <c r="G1625" t="str">
        <f t="shared" si="289"/>
        <v/>
      </c>
      <c r="I1625" t="e">
        <f>VLOOKUP(F1625,'1PROJE'!$B$7:$F$26,2,0)</f>
        <v>#N/A</v>
      </c>
      <c r="J1625" t="e">
        <f>VLOOKUP(F1625,'1PROJE'!$B$7:$F$26,4,0)</f>
        <v>#N/A</v>
      </c>
      <c r="K1625" t="e">
        <f>VLOOKUP(F1625,'1PROJE'!$B$7:$F$26,5,0)</f>
        <v>#N/A</v>
      </c>
    </row>
    <row r="1626" spans="2:11">
      <c r="B1626">
        <f t="shared" si="287"/>
        <v>0</v>
      </c>
      <c r="F1626" s="57" t="e">
        <f t="shared" si="288"/>
        <v>#N/A</v>
      </c>
      <c r="G1626" t="str">
        <f t="shared" si="289"/>
        <v/>
      </c>
      <c r="I1626" t="e">
        <f>VLOOKUP(F1626,'1PROJE'!$B$7:$F$26,2,0)</f>
        <v>#N/A</v>
      </c>
      <c r="J1626" t="e">
        <f>VLOOKUP(F1626,'1PROJE'!$B$7:$F$26,4,0)</f>
        <v>#N/A</v>
      </c>
      <c r="K1626" t="e">
        <f>VLOOKUP(F1626,'1PROJE'!$B$7:$F$26,5,0)</f>
        <v>#N/A</v>
      </c>
    </row>
    <row r="1627" spans="2:11">
      <c r="B1627">
        <f t="shared" ref="B1627:B1658" si="290">IF(($C$42-A127)&lt;0,0,"POZ"&amp;" "&amp;$Q$61&amp;"."&amp;A127)</f>
        <v>0</v>
      </c>
      <c r="F1627" s="57" t="e">
        <f t="shared" si="288"/>
        <v>#N/A</v>
      </c>
      <c r="G1627" t="str">
        <f t="shared" si="289"/>
        <v/>
      </c>
      <c r="I1627" t="e">
        <f>VLOOKUP(F1627,'1PROJE'!$B$7:$F$26,2,0)</f>
        <v>#N/A</v>
      </c>
      <c r="J1627" t="e">
        <f>VLOOKUP(F1627,'1PROJE'!$B$7:$F$26,4,0)</f>
        <v>#N/A</v>
      </c>
      <c r="K1627" t="e">
        <f>VLOOKUP(F1627,'1PROJE'!$B$7:$F$26,5,0)</f>
        <v>#N/A</v>
      </c>
    </row>
    <row r="1628" spans="2:11">
      <c r="B1628">
        <f t="shared" si="290"/>
        <v>0</v>
      </c>
      <c r="F1628" s="57" t="e">
        <f t="shared" si="288"/>
        <v>#N/A</v>
      </c>
      <c r="G1628" t="str">
        <f t="shared" si="289"/>
        <v/>
      </c>
      <c r="I1628" t="e">
        <f>VLOOKUP(F1628,'1PROJE'!$B$7:$F$26,2,0)</f>
        <v>#N/A</v>
      </c>
      <c r="J1628" t="e">
        <f>VLOOKUP(F1628,'1PROJE'!$B$7:$F$26,4,0)</f>
        <v>#N/A</v>
      </c>
      <c r="K1628" t="e">
        <f>VLOOKUP(F1628,'1PROJE'!$B$7:$F$26,5,0)</f>
        <v>#N/A</v>
      </c>
    </row>
    <row r="1629" spans="2:11">
      <c r="B1629">
        <f t="shared" si="290"/>
        <v>0</v>
      </c>
      <c r="F1629" s="57" t="e">
        <f t="shared" si="288"/>
        <v>#N/A</v>
      </c>
      <c r="G1629" t="str">
        <f t="shared" si="289"/>
        <v/>
      </c>
      <c r="I1629" t="e">
        <f>VLOOKUP(F1629,'1PROJE'!$B$7:$F$26,2,0)</f>
        <v>#N/A</v>
      </c>
      <c r="J1629" t="e">
        <f>VLOOKUP(F1629,'1PROJE'!$B$7:$F$26,4,0)</f>
        <v>#N/A</v>
      </c>
      <c r="K1629" t="e">
        <f>VLOOKUP(F1629,'1PROJE'!$B$7:$F$26,5,0)</f>
        <v>#N/A</v>
      </c>
    </row>
    <row r="1630" spans="2:11">
      <c r="B1630">
        <f t="shared" si="290"/>
        <v>0</v>
      </c>
      <c r="F1630" s="57" t="e">
        <f t="shared" si="288"/>
        <v>#N/A</v>
      </c>
      <c r="G1630" t="str">
        <f t="shared" si="289"/>
        <v/>
      </c>
      <c r="I1630" t="e">
        <f>VLOOKUP(F1630,'1PROJE'!$B$7:$F$26,2,0)</f>
        <v>#N/A</v>
      </c>
      <c r="J1630" t="e">
        <f>VLOOKUP(F1630,'1PROJE'!$B$7:$F$26,4,0)</f>
        <v>#N/A</v>
      </c>
      <c r="K1630" t="e">
        <f>VLOOKUP(F1630,'1PROJE'!$B$7:$F$26,5,0)</f>
        <v>#N/A</v>
      </c>
    </row>
    <row r="1631" spans="2:11">
      <c r="B1631">
        <f t="shared" si="290"/>
        <v>0</v>
      </c>
      <c r="F1631" s="57" t="e">
        <f t="shared" si="288"/>
        <v>#N/A</v>
      </c>
      <c r="G1631" t="str">
        <f t="shared" si="289"/>
        <v/>
      </c>
      <c r="I1631" t="e">
        <f>VLOOKUP(F1631,'1PROJE'!$B$7:$F$26,2,0)</f>
        <v>#N/A</v>
      </c>
      <c r="J1631" t="e">
        <f>VLOOKUP(F1631,'1PROJE'!$B$7:$F$26,4,0)</f>
        <v>#N/A</v>
      </c>
      <c r="K1631" t="e">
        <f>VLOOKUP(F1631,'1PROJE'!$B$7:$F$26,5,0)</f>
        <v>#N/A</v>
      </c>
    </row>
    <row r="1632" spans="2:11">
      <c r="B1632">
        <f t="shared" si="290"/>
        <v>0</v>
      </c>
      <c r="F1632" s="57" t="e">
        <f t="shared" si="288"/>
        <v>#N/A</v>
      </c>
      <c r="G1632" t="str">
        <f t="shared" si="289"/>
        <v/>
      </c>
      <c r="I1632" t="e">
        <f>VLOOKUP(F1632,'1PROJE'!$B$7:$F$26,2,0)</f>
        <v>#N/A</v>
      </c>
      <c r="J1632" t="e">
        <f>VLOOKUP(F1632,'1PROJE'!$B$7:$F$26,4,0)</f>
        <v>#N/A</v>
      </c>
      <c r="K1632" t="e">
        <f>VLOOKUP(F1632,'1PROJE'!$B$7:$F$26,5,0)</f>
        <v>#N/A</v>
      </c>
    </row>
    <row r="1633" spans="2:11">
      <c r="B1633">
        <f t="shared" si="290"/>
        <v>0</v>
      </c>
      <c r="F1633" s="57" t="e">
        <f t="shared" si="288"/>
        <v>#N/A</v>
      </c>
      <c r="G1633" t="str">
        <f t="shared" si="289"/>
        <v/>
      </c>
      <c r="I1633" t="e">
        <f>VLOOKUP(F1633,'1PROJE'!$B$7:$F$26,2,0)</f>
        <v>#N/A</v>
      </c>
      <c r="J1633" t="e">
        <f>VLOOKUP(F1633,'1PROJE'!$B$7:$F$26,4,0)</f>
        <v>#N/A</v>
      </c>
      <c r="K1633" t="e">
        <f>VLOOKUP(F1633,'1PROJE'!$B$7:$F$26,5,0)</f>
        <v>#N/A</v>
      </c>
    </row>
    <row r="1634" spans="2:11">
      <c r="B1634">
        <f t="shared" si="290"/>
        <v>0</v>
      </c>
      <c r="F1634" s="57" t="e">
        <f t="shared" si="288"/>
        <v>#N/A</v>
      </c>
      <c r="G1634" t="str">
        <f t="shared" si="289"/>
        <v/>
      </c>
      <c r="I1634" t="e">
        <f>VLOOKUP(F1634,'1PROJE'!$B$7:$F$26,2,0)</f>
        <v>#N/A</v>
      </c>
      <c r="J1634" t="e">
        <f>VLOOKUP(F1634,'1PROJE'!$B$7:$F$26,4,0)</f>
        <v>#N/A</v>
      </c>
      <c r="K1634" t="e">
        <f>VLOOKUP(F1634,'1PROJE'!$B$7:$F$26,5,0)</f>
        <v>#N/A</v>
      </c>
    </row>
    <row r="1635" spans="2:11">
      <c r="B1635">
        <f t="shared" si="290"/>
        <v>0</v>
      </c>
      <c r="F1635" s="57" t="e">
        <f t="shared" si="288"/>
        <v>#N/A</v>
      </c>
      <c r="G1635" t="str">
        <f t="shared" si="289"/>
        <v/>
      </c>
      <c r="I1635" t="e">
        <f>VLOOKUP(F1635,'1PROJE'!$B$7:$F$26,2,0)</f>
        <v>#N/A</v>
      </c>
      <c r="J1635" t="e">
        <f>VLOOKUP(F1635,'1PROJE'!$B$7:$F$26,4,0)</f>
        <v>#N/A</v>
      </c>
      <c r="K1635" t="e">
        <f>VLOOKUP(F1635,'1PROJE'!$B$7:$F$26,5,0)</f>
        <v>#N/A</v>
      </c>
    </row>
    <row r="1636" spans="2:11">
      <c r="B1636">
        <f t="shared" si="290"/>
        <v>0</v>
      </c>
      <c r="F1636" s="57" t="e">
        <f t="shared" si="288"/>
        <v>#N/A</v>
      </c>
      <c r="G1636" t="str">
        <f t="shared" si="289"/>
        <v/>
      </c>
      <c r="I1636" t="e">
        <f>VLOOKUP(F1636,'1PROJE'!$B$7:$F$26,2,0)</f>
        <v>#N/A</v>
      </c>
      <c r="J1636" t="e">
        <f>VLOOKUP(F1636,'1PROJE'!$B$7:$F$26,4,0)</f>
        <v>#N/A</v>
      </c>
      <c r="K1636" t="e">
        <f>VLOOKUP(F1636,'1PROJE'!$B$7:$F$26,5,0)</f>
        <v>#N/A</v>
      </c>
    </row>
    <row r="1637" spans="2:11">
      <c r="B1637">
        <f t="shared" si="290"/>
        <v>0</v>
      </c>
      <c r="F1637" s="57" t="e">
        <f t="shared" si="288"/>
        <v>#N/A</v>
      </c>
      <c r="G1637" t="str">
        <f t="shared" si="289"/>
        <v/>
      </c>
      <c r="I1637" t="e">
        <f>VLOOKUP(F1637,'1PROJE'!$B$7:$F$26,2,0)</f>
        <v>#N/A</v>
      </c>
      <c r="J1637" t="e">
        <f>VLOOKUP(F1637,'1PROJE'!$B$7:$F$26,4,0)</f>
        <v>#N/A</v>
      </c>
      <c r="K1637" t="e">
        <f>VLOOKUP(F1637,'1PROJE'!$B$7:$F$26,5,0)</f>
        <v>#N/A</v>
      </c>
    </row>
    <row r="1638" spans="2:11">
      <c r="B1638">
        <f t="shared" si="290"/>
        <v>0</v>
      </c>
      <c r="F1638" s="57" t="e">
        <f t="shared" si="288"/>
        <v>#N/A</v>
      </c>
      <c r="G1638" t="str">
        <f t="shared" si="289"/>
        <v/>
      </c>
      <c r="I1638" t="e">
        <f>VLOOKUP(F1638,'1PROJE'!$B$7:$F$26,2,0)</f>
        <v>#N/A</v>
      </c>
      <c r="J1638" t="e">
        <f>VLOOKUP(F1638,'1PROJE'!$B$7:$F$26,4,0)</f>
        <v>#N/A</v>
      </c>
      <c r="K1638" t="e">
        <f>VLOOKUP(F1638,'1PROJE'!$B$7:$F$26,5,0)</f>
        <v>#N/A</v>
      </c>
    </row>
    <row r="1639" spans="2:11">
      <c r="B1639">
        <f t="shared" si="290"/>
        <v>0</v>
      </c>
      <c r="F1639" s="57" t="e">
        <f t="shared" si="288"/>
        <v>#N/A</v>
      </c>
      <c r="G1639" t="str">
        <f t="shared" si="289"/>
        <v/>
      </c>
      <c r="I1639" t="e">
        <f>VLOOKUP(F1639,'1PROJE'!$B$7:$F$26,2,0)</f>
        <v>#N/A</v>
      </c>
      <c r="J1639" t="e">
        <f>VLOOKUP(F1639,'1PROJE'!$B$7:$F$26,4,0)</f>
        <v>#N/A</v>
      </c>
      <c r="K1639" t="e">
        <f>VLOOKUP(F1639,'1PROJE'!$B$7:$F$26,5,0)</f>
        <v>#N/A</v>
      </c>
    </row>
    <row r="1640" spans="2:11">
      <c r="B1640">
        <f t="shared" si="290"/>
        <v>0</v>
      </c>
      <c r="F1640" s="57" t="e">
        <f t="shared" si="288"/>
        <v>#N/A</v>
      </c>
      <c r="G1640" t="str">
        <f t="shared" si="289"/>
        <v/>
      </c>
      <c r="I1640" t="e">
        <f>VLOOKUP(F1640,'1PROJE'!$B$7:$F$26,2,0)</f>
        <v>#N/A</v>
      </c>
      <c r="J1640" t="e">
        <f>VLOOKUP(F1640,'1PROJE'!$B$7:$F$26,4,0)</f>
        <v>#N/A</v>
      </c>
      <c r="K1640" t="e">
        <f>VLOOKUP(F1640,'1PROJE'!$B$7:$F$26,5,0)</f>
        <v>#N/A</v>
      </c>
    </row>
    <row r="1641" spans="2:11">
      <c r="B1641">
        <f t="shared" si="290"/>
        <v>0</v>
      </c>
      <c r="F1641" s="57" t="e">
        <f t="shared" si="288"/>
        <v>#N/A</v>
      </c>
      <c r="G1641" t="str">
        <f t="shared" si="289"/>
        <v/>
      </c>
      <c r="I1641" t="e">
        <f>VLOOKUP(F1641,'1PROJE'!$B$7:$F$26,2,0)</f>
        <v>#N/A</v>
      </c>
      <c r="J1641" t="e">
        <f>VLOOKUP(F1641,'1PROJE'!$B$7:$F$26,4,0)</f>
        <v>#N/A</v>
      </c>
      <c r="K1641" t="e">
        <f>VLOOKUP(F1641,'1PROJE'!$B$7:$F$26,5,0)</f>
        <v>#N/A</v>
      </c>
    </row>
    <row r="1642" spans="2:11">
      <c r="B1642">
        <f t="shared" si="290"/>
        <v>0</v>
      </c>
      <c r="F1642" s="57" t="e">
        <f t="shared" si="288"/>
        <v>#N/A</v>
      </c>
      <c r="G1642" t="str">
        <f t="shared" si="289"/>
        <v/>
      </c>
      <c r="I1642" t="e">
        <f>VLOOKUP(F1642,'1PROJE'!$B$7:$F$26,2,0)</f>
        <v>#N/A</v>
      </c>
      <c r="J1642" t="e">
        <f>VLOOKUP(F1642,'1PROJE'!$B$7:$F$26,4,0)</f>
        <v>#N/A</v>
      </c>
      <c r="K1642" t="e">
        <f>VLOOKUP(F1642,'1PROJE'!$B$7:$F$26,5,0)</f>
        <v>#N/A</v>
      </c>
    </row>
    <row r="1643" spans="2:11">
      <c r="B1643">
        <f t="shared" si="290"/>
        <v>0</v>
      </c>
      <c r="F1643" s="57" t="e">
        <f t="shared" si="288"/>
        <v>#N/A</v>
      </c>
      <c r="G1643" t="str">
        <f t="shared" si="289"/>
        <v/>
      </c>
      <c r="I1643" t="e">
        <f>VLOOKUP(F1643,'1PROJE'!$B$7:$F$26,2,0)</f>
        <v>#N/A</v>
      </c>
      <c r="J1643" t="e">
        <f>VLOOKUP(F1643,'1PROJE'!$B$7:$F$26,4,0)</f>
        <v>#N/A</v>
      </c>
      <c r="K1643" t="e">
        <f>VLOOKUP(F1643,'1PROJE'!$B$7:$F$26,5,0)</f>
        <v>#N/A</v>
      </c>
    </row>
    <row r="1644" spans="2:11">
      <c r="B1644">
        <f t="shared" si="290"/>
        <v>0</v>
      </c>
      <c r="F1644" s="57" t="e">
        <f t="shared" si="288"/>
        <v>#N/A</v>
      </c>
      <c r="G1644" t="str">
        <f t="shared" si="289"/>
        <v/>
      </c>
      <c r="I1644" t="e">
        <f>VLOOKUP(F1644,'1PROJE'!$B$7:$F$26,2,0)</f>
        <v>#N/A</v>
      </c>
      <c r="J1644" t="e">
        <f>VLOOKUP(F1644,'1PROJE'!$B$7:$F$26,4,0)</f>
        <v>#N/A</v>
      </c>
      <c r="K1644" t="e">
        <f>VLOOKUP(F1644,'1PROJE'!$B$7:$F$26,5,0)</f>
        <v>#N/A</v>
      </c>
    </row>
    <row r="1645" spans="2:11">
      <c r="B1645">
        <f t="shared" si="290"/>
        <v>0</v>
      </c>
      <c r="F1645" s="57" t="e">
        <f t="shared" si="288"/>
        <v>#N/A</v>
      </c>
      <c r="G1645" t="str">
        <f t="shared" si="289"/>
        <v/>
      </c>
      <c r="I1645" t="e">
        <f>VLOOKUP(F1645,'1PROJE'!$B$7:$F$26,2,0)</f>
        <v>#N/A</v>
      </c>
      <c r="J1645" t="e">
        <f>VLOOKUP(F1645,'1PROJE'!$B$7:$F$26,4,0)</f>
        <v>#N/A</v>
      </c>
      <c r="K1645" t="e">
        <f>VLOOKUP(F1645,'1PROJE'!$B$7:$F$26,5,0)</f>
        <v>#N/A</v>
      </c>
    </row>
    <row r="1646" spans="2:11">
      <c r="B1646">
        <f t="shared" si="290"/>
        <v>0</v>
      </c>
      <c r="F1646" s="57" t="e">
        <f t="shared" si="288"/>
        <v>#N/A</v>
      </c>
      <c r="G1646" t="str">
        <f t="shared" si="289"/>
        <v/>
      </c>
      <c r="I1646" t="e">
        <f>VLOOKUP(F1646,'1PROJE'!$B$7:$F$26,2,0)</f>
        <v>#N/A</v>
      </c>
      <c r="J1646" t="e">
        <f>VLOOKUP(F1646,'1PROJE'!$B$7:$F$26,4,0)</f>
        <v>#N/A</v>
      </c>
      <c r="K1646" t="e">
        <f>VLOOKUP(F1646,'1PROJE'!$B$7:$F$26,5,0)</f>
        <v>#N/A</v>
      </c>
    </row>
    <row r="1647" spans="2:11">
      <c r="B1647">
        <f t="shared" si="290"/>
        <v>0</v>
      </c>
      <c r="F1647" s="57" t="e">
        <f t="shared" si="288"/>
        <v>#N/A</v>
      </c>
      <c r="G1647" t="str">
        <f t="shared" si="289"/>
        <v/>
      </c>
      <c r="I1647" t="e">
        <f>VLOOKUP(F1647,'1PROJE'!$B$7:$F$26,2,0)</f>
        <v>#N/A</v>
      </c>
      <c r="J1647" t="e">
        <f>VLOOKUP(F1647,'1PROJE'!$B$7:$F$26,4,0)</f>
        <v>#N/A</v>
      </c>
      <c r="K1647" t="e">
        <f>VLOOKUP(F1647,'1PROJE'!$B$7:$F$26,5,0)</f>
        <v>#N/A</v>
      </c>
    </row>
    <row r="1648" spans="2:11">
      <c r="B1648">
        <f t="shared" si="290"/>
        <v>0</v>
      </c>
      <c r="F1648" s="57" t="e">
        <f t="shared" si="288"/>
        <v>#N/A</v>
      </c>
      <c r="G1648" t="str">
        <f t="shared" si="289"/>
        <v/>
      </c>
      <c r="I1648" t="e">
        <f>VLOOKUP(F1648,'1PROJE'!$B$7:$F$26,2,0)</f>
        <v>#N/A</v>
      </c>
      <c r="J1648" t="e">
        <f>VLOOKUP(F1648,'1PROJE'!$B$7:$F$26,4,0)</f>
        <v>#N/A</v>
      </c>
      <c r="K1648" t="e">
        <f>VLOOKUP(F1648,'1PROJE'!$B$7:$F$26,5,0)</f>
        <v>#N/A</v>
      </c>
    </row>
    <row r="1649" spans="2:11">
      <c r="B1649">
        <f t="shared" si="290"/>
        <v>0</v>
      </c>
      <c r="F1649" s="57" t="e">
        <f t="shared" si="288"/>
        <v>#N/A</v>
      </c>
      <c r="G1649" t="str">
        <f t="shared" si="289"/>
        <v/>
      </c>
      <c r="I1649" t="e">
        <f>VLOOKUP(F1649,'1PROJE'!$B$7:$F$26,2,0)</f>
        <v>#N/A</v>
      </c>
      <c r="J1649" t="e">
        <f>VLOOKUP(F1649,'1PROJE'!$B$7:$F$26,4,0)</f>
        <v>#N/A</v>
      </c>
      <c r="K1649" t="e">
        <f>VLOOKUP(F1649,'1PROJE'!$B$7:$F$26,5,0)</f>
        <v>#N/A</v>
      </c>
    </row>
    <row r="1650" spans="2:11">
      <c r="B1650">
        <f t="shared" si="290"/>
        <v>0</v>
      </c>
      <c r="F1650" s="57" t="e">
        <f t="shared" si="288"/>
        <v>#N/A</v>
      </c>
      <c r="G1650" t="str">
        <f t="shared" si="289"/>
        <v/>
      </c>
      <c r="I1650" t="e">
        <f>VLOOKUP(F1650,'1PROJE'!$B$7:$F$26,2,0)</f>
        <v>#N/A</v>
      </c>
      <c r="J1650" t="e">
        <f>VLOOKUP(F1650,'1PROJE'!$B$7:$F$26,4,0)</f>
        <v>#N/A</v>
      </c>
      <c r="K1650" t="e">
        <f>VLOOKUP(F1650,'1PROJE'!$B$7:$F$26,5,0)</f>
        <v>#N/A</v>
      </c>
    </row>
    <row r="1651" spans="2:11">
      <c r="B1651">
        <f t="shared" si="290"/>
        <v>0</v>
      </c>
      <c r="F1651" s="57" t="e">
        <f t="shared" si="288"/>
        <v>#N/A</v>
      </c>
      <c r="G1651" t="str">
        <f t="shared" si="289"/>
        <v/>
      </c>
      <c r="I1651" t="e">
        <f>VLOOKUP(F1651,'1PROJE'!$B$7:$F$26,2,0)</f>
        <v>#N/A</v>
      </c>
      <c r="J1651" t="e">
        <f>VLOOKUP(F1651,'1PROJE'!$B$7:$F$26,4,0)</f>
        <v>#N/A</v>
      </c>
      <c r="K1651" t="e">
        <f>VLOOKUP(F1651,'1PROJE'!$B$7:$F$26,5,0)</f>
        <v>#N/A</v>
      </c>
    </row>
    <row r="1652" spans="2:11">
      <c r="B1652">
        <f t="shared" si="290"/>
        <v>0</v>
      </c>
      <c r="F1652" s="57" t="e">
        <f t="shared" si="288"/>
        <v>#N/A</v>
      </c>
      <c r="G1652" t="str">
        <f t="shared" si="289"/>
        <v/>
      </c>
      <c r="I1652" t="e">
        <f>VLOOKUP(F1652,'1PROJE'!$B$7:$F$26,2,0)</f>
        <v>#N/A</v>
      </c>
      <c r="J1652" t="e">
        <f>VLOOKUP(F1652,'1PROJE'!$B$7:$F$26,4,0)</f>
        <v>#N/A</v>
      </c>
      <c r="K1652" t="e">
        <f>VLOOKUP(F1652,'1PROJE'!$B$7:$F$26,5,0)</f>
        <v>#N/A</v>
      </c>
    </row>
    <row r="1653" spans="2:11">
      <c r="B1653">
        <f t="shared" si="290"/>
        <v>0</v>
      </c>
      <c r="F1653" s="57" t="e">
        <f t="shared" si="288"/>
        <v>#N/A</v>
      </c>
      <c r="G1653" t="str">
        <f t="shared" si="289"/>
        <v/>
      </c>
      <c r="I1653" t="e">
        <f>VLOOKUP(F1653,'1PROJE'!$B$7:$F$26,2,0)</f>
        <v>#N/A</v>
      </c>
      <c r="J1653" t="e">
        <f>VLOOKUP(F1653,'1PROJE'!$B$7:$F$26,4,0)</f>
        <v>#N/A</v>
      </c>
      <c r="K1653" t="e">
        <f>VLOOKUP(F1653,'1PROJE'!$B$7:$F$26,5,0)</f>
        <v>#N/A</v>
      </c>
    </row>
    <row r="1654" spans="2:11">
      <c r="B1654">
        <f t="shared" si="290"/>
        <v>0</v>
      </c>
      <c r="F1654" s="57" t="e">
        <f t="shared" si="288"/>
        <v>#N/A</v>
      </c>
      <c r="G1654" t="str">
        <f t="shared" si="289"/>
        <v/>
      </c>
      <c r="I1654" t="e">
        <f>VLOOKUP(F1654,'1PROJE'!$B$7:$F$26,2,0)</f>
        <v>#N/A</v>
      </c>
      <c r="J1654" t="e">
        <f>VLOOKUP(F1654,'1PROJE'!$B$7:$F$26,4,0)</f>
        <v>#N/A</v>
      </c>
      <c r="K1654" t="e">
        <f>VLOOKUP(F1654,'1PROJE'!$B$7:$F$26,5,0)</f>
        <v>#N/A</v>
      </c>
    </row>
    <row r="1655" spans="2:11">
      <c r="B1655">
        <f t="shared" si="290"/>
        <v>0</v>
      </c>
      <c r="F1655" s="57" t="e">
        <f t="shared" si="288"/>
        <v>#N/A</v>
      </c>
      <c r="G1655" t="str">
        <f t="shared" si="289"/>
        <v/>
      </c>
      <c r="I1655" t="e">
        <f>VLOOKUP(F1655,'1PROJE'!$B$7:$F$26,2,0)</f>
        <v>#N/A</v>
      </c>
      <c r="J1655" t="e">
        <f>VLOOKUP(F1655,'1PROJE'!$B$7:$F$26,4,0)</f>
        <v>#N/A</v>
      </c>
      <c r="K1655" t="e">
        <f>VLOOKUP(F1655,'1PROJE'!$B$7:$F$26,5,0)</f>
        <v>#N/A</v>
      </c>
    </row>
    <row r="1656" spans="2:11">
      <c r="B1656">
        <f t="shared" si="290"/>
        <v>0</v>
      </c>
      <c r="F1656" s="57" t="e">
        <f t="shared" si="288"/>
        <v>#N/A</v>
      </c>
      <c r="G1656" t="str">
        <f t="shared" si="289"/>
        <v/>
      </c>
      <c r="I1656" t="e">
        <f>VLOOKUP(F1656,'1PROJE'!$B$7:$F$26,2,0)</f>
        <v>#N/A</v>
      </c>
      <c r="J1656" t="e">
        <f>VLOOKUP(F1656,'1PROJE'!$B$7:$F$26,4,0)</f>
        <v>#N/A</v>
      </c>
      <c r="K1656" t="e">
        <f>VLOOKUP(F1656,'1PROJE'!$B$7:$F$26,5,0)</f>
        <v>#N/A</v>
      </c>
    </row>
    <row r="1657" spans="2:11">
      <c r="B1657">
        <f t="shared" si="290"/>
        <v>0</v>
      </c>
      <c r="F1657" s="57" t="e">
        <f t="shared" si="288"/>
        <v>#N/A</v>
      </c>
      <c r="G1657" t="str">
        <f t="shared" si="289"/>
        <v/>
      </c>
      <c r="I1657" t="e">
        <f>VLOOKUP(F1657,'1PROJE'!$B$7:$F$26,2,0)</f>
        <v>#N/A</v>
      </c>
      <c r="J1657" t="e">
        <f>VLOOKUP(F1657,'1PROJE'!$B$7:$F$26,4,0)</f>
        <v>#N/A</v>
      </c>
      <c r="K1657" t="e">
        <f>VLOOKUP(F1657,'1PROJE'!$B$7:$F$26,5,0)</f>
        <v>#N/A</v>
      </c>
    </row>
    <row r="1658" spans="2:11">
      <c r="B1658">
        <f t="shared" si="290"/>
        <v>0</v>
      </c>
      <c r="F1658" s="57" t="e">
        <f t="shared" si="288"/>
        <v>#N/A</v>
      </c>
      <c r="G1658" t="str">
        <f t="shared" si="289"/>
        <v/>
      </c>
      <c r="I1658" t="e">
        <f>VLOOKUP(F1658,'1PROJE'!$B$7:$F$26,2,0)</f>
        <v>#N/A</v>
      </c>
      <c r="J1658" t="e">
        <f>VLOOKUP(F1658,'1PROJE'!$B$7:$F$26,4,0)</f>
        <v>#N/A</v>
      </c>
      <c r="K1658" t="e">
        <f>VLOOKUP(F1658,'1PROJE'!$B$7:$F$26,5,0)</f>
        <v>#N/A</v>
      </c>
    </row>
    <row r="1659" spans="2:11">
      <c r="B1659">
        <f t="shared" ref="B1659:B1661" si="291">IF(($C$42-A159)&lt;0,0,"POZ"&amp;" "&amp;$Q$61&amp;"."&amp;A159)</f>
        <v>0</v>
      </c>
      <c r="F1659" s="57" t="e">
        <f t="shared" si="288"/>
        <v>#N/A</v>
      </c>
      <c r="G1659" t="str">
        <f t="shared" si="289"/>
        <v/>
      </c>
      <c r="I1659" t="e">
        <f>VLOOKUP(F1659,'1PROJE'!$B$7:$F$26,2,0)</f>
        <v>#N/A</v>
      </c>
      <c r="J1659" t="e">
        <f>VLOOKUP(F1659,'1PROJE'!$B$7:$F$26,4,0)</f>
        <v>#N/A</v>
      </c>
      <c r="K1659" t="e">
        <f>VLOOKUP(F1659,'1PROJE'!$B$7:$F$26,5,0)</f>
        <v>#N/A</v>
      </c>
    </row>
    <row r="1660" spans="2:11">
      <c r="B1660">
        <f t="shared" si="291"/>
        <v>0</v>
      </c>
      <c r="F1660" s="57" t="e">
        <f t="shared" si="288"/>
        <v>#N/A</v>
      </c>
      <c r="G1660" t="str">
        <f t="shared" si="289"/>
        <v/>
      </c>
      <c r="I1660" t="e">
        <f>VLOOKUP(F1660,'1PROJE'!$B$7:$F$26,2,0)</f>
        <v>#N/A</v>
      </c>
      <c r="J1660" t="e">
        <f>VLOOKUP(F1660,'1PROJE'!$B$7:$F$26,4,0)</f>
        <v>#N/A</v>
      </c>
      <c r="K1660" t="e">
        <f>VLOOKUP(F1660,'1PROJE'!$B$7:$F$26,5,0)</f>
        <v>#N/A</v>
      </c>
    </row>
    <row r="1661" spans="2:11">
      <c r="B1661">
        <f t="shared" si="291"/>
        <v>0</v>
      </c>
      <c r="F1661" s="57" t="e">
        <f t="shared" si="288"/>
        <v>#N/A</v>
      </c>
      <c r="G1661" t="str">
        <f t="shared" si="289"/>
        <v/>
      </c>
      <c r="I1661" t="e">
        <f>VLOOKUP(F1661,'1PROJE'!$B$7:$F$26,2,0)</f>
        <v>#N/A</v>
      </c>
      <c r="J1661" t="e">
        <f>VLOOKUP(F1661,'1PROJE'!$B$7:$F$26,4,0)</f>
        <v>#N/A</v>
      </c>
      <c r="K1661" t="e">
        <f>VLOOKUP(F1661,'1PROJE'!$B$7:$F$26,5,0)</f>
        <v>#N/A</v>
      </c>
    </row>
    <row r="1662" spans="2:11">
      <c r="B1662">
        <f>IF(C43=0,0,IF(($C$43-A62)=0,"POZ 17.","POZ"&amp;" "&amp;$R$61&amp;"."&amp;A62))</f>
        <v>0</v>
      </c>
      <c r="F1662" s="57" t="e">
        <f t="shared" si="288"/>
        <v>#N/A</v>
      </c>
      <c r="G1662" t="str">
        <f t="shared" si="289"/>
        <v/>
      </c>
      <c r="I1662" t="e">
        <f>VLOOKUP(F1662,'1PROJE'!$B$7:$F$26,2,0)</f>
        <v>#N/A</v>
      </c>
      <c r="J1662" t="e">
        <f>VLOOKUP(F1662,'1PROJE'!$B$7:$F$26,4,0)</f>
        <v>#N/A</v>
      </c>
      <c r="K1662" t="e">
        <f>VLOOKUP(F1662,'1PROJE'!$B$7:$F$26,5,0)</f>
        <v>#N/A</v>
      </c>
    </row>
    <row r="1663" spans="2:11">
      <c r="B1663">
        <f t="shared" ref="B1663:B1694" si="292">IF(($C$43-A63)&lt;0,0,"POZ"&amp;" "&amp;$R$61&amp;"."&amp;A63)</f>
        <v>0</v>
      </c>
      <c r="F1663" s="57" t="e">
        <f t="shared" si="288"/>
        <v>#N/A</v>
      </c>
      <c r="G1663" t="str">
        <f t="shared" si="289"/>
        <v/>
      </c>
      <c r="I1663" t="e">
        <f>VLOOKUP(F1663,'1PROJE'!$B$7:$F$26,2,0)</f>
        <v>#N/A</v>
      </c>
      <c r="J1663" t="e">
        <f>VLOOKUP(F1663,'1PROJE'!$B$7:$F$26,4,0)</f>
        <v>#N/A</v>
      </c>
      <c r="K1663" t="e">
        <f>VLOOKUP(F1663,'1PROJE'!$B$7:$F$26,5,0)</f>
        <v>#N/A</v>
      </c>
    </row>
    <row r="1664" spans="2:11">
      <c r="B1664">
        <f t="shared" si="292"/>
        <v>0</v>
      </c>
      <c r="F1664" s="57" t="e">
        <f t="shared" si="288"/>
        <v>#N/A</v>
      </c>
      <c r="G1664" t="str">
        <f t="shared" si="289"/>
        <v/>
      </c>
      <c r="I1664" t="e">
        <f>VLOOKUP(F1664,'1PROJE'!$B$7:$F$26,2,0)</f>
        <v>#N/A</v>
      </c>
      <c r="J1664" t="e">
        <f>VLOOKUP(F1664,'1PROJE'!$B$7:$F$26,4,0)</f>
        <v>#N/A</v>
      </c>
      <c r="K1664" t="e">
        <f>VLOOKUP(F1664,'1PROJE'!$B$7:$F$26,5,0)</f>
        <v>#N/A</v>
      </c>
    </row>
    <row r="1665" spans="2:11">
      <c r="B1665">
        <f t="shared" si="292"/>
        <v>0</v>
      </c>
      <c r="F1665" s="57" t="e">
        <f t="shared" si="288"/>
        <v>#N/A</v>
      </c>
      <c r="G1665" t="str">
        <f t="shared" si="289"/>
        <v/>
      </c>
      <c r="I1665" t="e">
        <f>VLOOKUP(F1665,'1PROJE'!$B$7:$F$26,2,0)</f>
        <v>#N/A</v>
      </c>
      <c r="J1665" t="e">
        <f>VLOOKUP(F1665,'1PROJE'!$B$7:$F$26,4,0)</f>
        <v>#N/A</v>
      </c>
      <c r="K1665" t="e">
        <f>VLOOKUP(F1665,'1PROJE'!$B$7:$F$26,5,0)</f>
        <v>#N/A</v>
      </c>
    </row>
    <row r="1666" spans="2:11">
      <c r="B1666">
        <f t="shared" si="292"/>
        <v>0</v>
      </c>
      <c r="F1666" s="57" t="e">
        <f t="shared" si="288"/>
        <v>#N/A</v>
      </c>
      <c r="G1666" t="str">
        <f t="shared" si="289"/>
        <v/>
      </c>
      <c r="I1666" t="e">
        <f>VLOOKUP(F1666,'1PROJE'!$B$7:$F$26,2,0)</f>
        <v>#N/A</v>
      </c>
      <c r="J1666" t="e">
        <f>VLOOKUP(F1666,'1PROJE'!$B$7:$F$26,4,0)</f>
        <v>#N/A</v>
      </c>
      <c r="K1666" t="e">
        <f>VLOOKUP(F1666,'1PROJE'!$B$7:$F$26,5,0)</f>
        <v>#N/A</v>
      </c>
    </row>
    <row r="1667" spans="2:11">
      <c r="B1667">
        <f t="shared" si="292"/>
        <v>0</v>
      </c>
      <c r="F1667" s="57" t="e">
        <f t="shared" si="288"/>
        <v>#N/A</v>
      </c>
      <c r="G1667" t="str">
        <f t="shared" si="289"/>
        <v/>
      </c>
      <c r="I1667" t="e">
        <f>VLOOKUP(F1667,'1PROJE'!$B$7:$F$26,2,0)</f>
        <v>#N/A</v>
      </c>
      <c r="J1667" t="e">
        <f>VLOOKUP(F1667,'1PROJE'!$B$7:$F$26,4,0)</f>
        <v>#N/A</v>
      </c>
      <c r="K1667" t="e">
        <f>VLOOKUP(F1667,'1PROJE'!$B$7:$F$26,5,0)</f>
        <v>#N/A</v>
      </c>
    </row>
    <row r="1668" spans="2:11">
      <c r="B1668">
        <f t="shared" si="292"/>
        <v>0</v>
      </c>
      <c r="F1668" s="57" t="e">
        <f t="shared" si="288"/>
        <v>#N/A</v>
      </c>
      <c r="G1668" t="str">
        <f t="shared" si="289"/>
        <v/>
      </c>
      <c r="I1668" t="e">
        <f>VLOOKUP(F1668,'1PROJE'!$B$7:$F$26,2,0)</f>
        <v>#N/A</v>
      </c>
      <c r="J1668" t="e">
        <f>VLOOKUP(F1668,'1PROJE'!$B$7:$F$26,4,0)</f>
        <v>#N/A</v>
      </c>
      <c r="K1668" t="e">
        <f>VLOOKUP(F1668,'1PROJE'!$B$7:$F$26,5,0)</f>
        <v>#N/A</v>
      </c>
    </row>
    <row r="1669" spans="2:11">
      <c r="B1669">
        <f t="shared" si="292"/>
        <v>0</v>
      </c>
      <c r="F1669" s="57" t="e">
        <f t="shared" si="288"/>
        <v>#N/A</v>
      </c>
      <c r="G1669" t="str">
        <f t="shared" si="289"/>
        <v/>
      </c>
      <c r="I1669" t="e">
        <f>VLOOKUP(F1669,'1PROJE'!$B$7:$F$26,2,0)</f>
        <v>#N/A</v>
      </c>
      <c r="J1669" t="e">
        <f>VLOOKUP(F1669,'1PROJE'!$B$7:$F$26,4,0)</f>
        <v>#N/A</v>
      </c>
      <c r="K1669" t="e">
        <f>VLOOKUP(F1669,'1PROJE'!$B$7:$F$26,5,0)</f>
        <v>#N/A</v>
      </c>
    </row>
    <row r="1670" spans="2:11">
      <c r="B1670">
        <f t="shared" si="292"/>
        <v>0</v>
      </c>
      <c r="F1670" s="57" t="e">
        <f t="shared" si="288"/>
        <v>#N/A</v>
      </c>
      <c r="G1670" t="str">
        <f t="shared" si="289"/>
        <v/>
      </c>
      <c r="I1670" t="e">
        <f>VLOOKUP(F1670,'1PROJE'!$B$7:$F$26,2,0)</f>
        <v>#N/A</v>
      </c>
      <c r="J1670" t="e">
        <f>VLOOKUP(F1670,'1PROJE'!$B$7:$F$26,4,0)</f>
        <v>#N/A</v>
      </c>
      <c r="K1670" t="e">
        <f>VLOOKUP(F1670,'1PROJE'!$B$7:$F$26,5,0)</f>
        <v>#N/A</v>
      </c>
    </row>
    <row r="1671" spans="2:11">
      <c r="B1671">
        <f t="shared" si="292"/>
        <v>0</v>
      </c>
      <c r="F1671" s="57" t="e">
        <f t="shared" si="288"/>
        <v>#N/A</v>
      </c>
      <c r="G1671" t="str">
        <f t="shared" si="289"/>
        <v/>
      </c>
      <c r="I1671" t="e">
        <f>VLOOKUP(F1671,'1PROJE'!$B$7:$F$26,2,0)</f>
        <v>#N/A</v>
      </c>
      <c r="J1671" t="e">
        <f>VLOOKUP(F1671,'1PROJE'!$B$7:$F$26,4,0)</f>
        <v>#N/A</v>
      </c>
      <c r="K1671" t="e">
        <f>VLOOKUP(F1671,'1PROJE'!$B$7:$F$26,5,0)</f>
        <v>#N/A</v>
      </c>
    </row>
    <row r="1672" spans="2:11">
      <c r="B1672">
        <f t="shared" si="292"/>
        <v>0</v>
      </c>
      <c r="F1672" s="57" t="e">
        <f t="shared" si="288"/>
        <v>#N/A</v>
      </c>
      <c r="G1672" t="str">
        <f t="shared" si="289"/>
        <v/>
      </c>
      <c r="I1672" t="e">
        <f>VLOOKUP(F1672,'1PROJE'!$B$7:$F$26,2,0)</f>
        <v>#N/A</v>
      </c>
      <c r="J1672" t="e">
        <f>VLOOKUP(F1672,'1PROJE'!$B$7:$F$26,4,0)</f>
        <v>#N/A</v>
      </c>
      <c r="K1672" t="e">
        <f>VLOOKUP(F1672,'1PROJE'!$B$7:$F$26,5,0)</f>
        <v>#N/A</v>
      </c>
    </row>
    <row r="1673" spans="2:11">
      <c r="B1673">
        <f t="shared" si="292"/>
        <v>0</v>
      </c>
      <c r="F1673" s="57" t="e">
        <f t="shared" si="288"/>
        <v>#N/A</v>
      </c>
      <c r="G1673" t="str">
        <f t="shared" si="289"/>
        <v/>
      </c>
      <c r="I1673" t="e">
        <f>VLOOKUP(F1673,'1PROJE'!$B$7:$F$26,2,0)</f>
        <v>#N/A</v>
      </c>
      <c r="J1673" t="e">
        <f>VLOOKUP(F1673,'1PROJE'!$B$7:$F$26,4,0)</f>
        <v>#N/A</v>
      </c>
      <c r="K1673" t="e">
        <f>VLOOKUP(F1673,'1PROJE'!$B$7:$F$26,5,0)</f>
        <v>#N/A</v>
      </c>
    </row>
    <row r="1674" spans="2:11">
      <c r="B1674">
        <f t="shared" si="292"/>
        <v>0</v>
      </c>
      <c r="F1674" s="57" t="e">
        <f t="shared" si="288"/>
        <v>#N/A</v>
      </c>
      <c r="G1674" t="str">
        <f t="shared" si="289"/>
        <v/>
      </c>
      <c r="I1674" t="e">
        <f>VLOOKUP(F1674,'1PROJE'!$B$7:$F$26,2,0)</f>
        <v>#N/A</v>
      </c>
      <c r="J1674" t="e">
        <f>VLOOKUP(F1674,'1PROJE'!$B$7:$F$26,4,0)</f>
        <v>#N/A</v>
      </c>
      <c r="K1674" t="e">
        <f>VLOOKUP(F1674,'1PROJE'!$B$7:$F$26,5,0)</f>
        <v>#N/A</v>
      </c>
    </row>
    <row r="1675" spans="2:11">
      <c r="B1675">
        <f t="shared" si="292"/>
        <v>0</v>
      </c>
      <c r="F1675" s="57" t="e">
        <f t="shared" ref="F1675:F1738" si="293">VLOOKUP(G1675,$C$64:$D$83,2,0)</f>
        <v>#N/A</v>
      </c>
      <c r="G1675" t="str">
        <f t="shared" ref="G1675:G1738" si="294">LEFT(H1675,6)</f>
        <v/>
      </c>
      <c r="I1675" t="e">
        <f>VLOOKUP(F1675,'1PROJE'!$B$7:$F$26,2,0)</f>
        <v>#N/A</v>
      </c>
      <c r="J1675" t="e">
        <f>VLOOKUP(F1675,'1PROJE'!$B$7:$F$26,4,0)</f>
        <v>#N/A</v>
      </c>
      <c r="K1675" t="e">
        <f>VLOOKUP(F1675,'1PROJE'!$B$7:$F$26,5,0)</f>
        <v>#N/A</v>
      </c>
    </row>
    <row r="1676" spans="2:11">
      <c r="B1676">
        <f t="shared" si="292"/>
        <v>0</v>
      </c>
      <c r="F1676" s="57" t="e">
        <f t="shared" si="293"/>
        <v>#N/A</v>
      </c>
      <c r="G1676" t="str">
        <f t="shared" si="294"/>
        <v/>
      </c>
      <c r="I1676" t="e">
        <f>VLOOKUP(F1676,'1PROJE'!$B$7:$F$26,2,0)</f>
        <v>#N/A</v>
      </c>
      <c r="J1676" t="e">
        <f>VLOOKUP(F1676,'1PROJE'!$B$7:$F$26,4,0)</f>
        <v>#N/A</v>
      </c>
      <c r="K1676" t="e">
        <f>VLOOKUP(F1676,'1PROJE'!$B$7:$F$26,5,0)</f>
        <v>#N/A</v>
      </c>
    </row>
    <row r="1677" spans="2:11">
      <c r="B1677">
        <f t="shared" si="292"/>
        <v>0</v>
      </c>
      <c r="F1677" s="57" t="e">
        <f t="shared" si="293"/>
        <v>#N/A</v>
      </c>
      <c r="G1677" t="str">
        <f t="shared" si="294"/>
        <v/>
      </c>
      <c r="I1677" t="e">
        <f>VLOOKUP(F1677,'1PROJE'!$B$7:$F$26,2,0)</f>
        <v>#N/A</v>
      </c>
      <c r="J1677" t="e">
        <f>VLOOKUP(F1677,'1PROJE'!$B$7:$F$26,4,0)</f>
        <v>#N/A</v>
      </c>
      <c r="K1677" t="e">
        <f>VLOOKUP(F1677,'1PROJE'!$B$7:$F$26,5,0)</f>
        <v>#N/A</v>
      </c>
    </row>
    <row r="1678" spans="2:11">
      <c r="B1678">
        <f t="shared" si="292"/>
        <v>0</v>
      </c>
      <c r="F1678" s="57" t="e">
        <f t="shared" si="293"/>
        <v>#N/A</v>
      </c>
      <c r="G1678" t="str">
        <f t="shared" si="294"/>
        <v/>
      </c>
      <c r="I1678" t="e">
        <f>VLOOKUP(F1678,'1PROJE'!$B$7:$F$26,2,0)</f>
        <v>#N/A</v>
      </c>
      <c r="J1678" t="e">
        <f>VLOOKUP(F1678,'1PROJE'!$B$7:$F$26,4,0)</f>
        <v>#N/A</v>
      </c>
      <c r="K1678" t="e">
        <f>VLOOKUP(F1678,'1PROJE'!$B$7:$F$26,5,0)</f>
        <v>#N/A</v>
      </c>
    </row>
    <row r="1679" spans="2:11">
      <c r="B1679">
        <f t="shared" si="292"/>
        <v>0</v>
      </c>
      <c r="F1679" s="57" t="e">
        <f t="shared" si="293"/>
        <v>#N/A</v>
      </c>
      <c r="G1679" t="str">
        <f t="shared" si="294"/>
        <v/>
      </c>
      <c r="I1679" t="e">
        <f>VLOOKUP(F1679,'1PROJE'!$B$7:$F$26,2,0)</f>
        <v>#N/A</v>
      </c>
      <c r="J1679" t="e">
        <f>VLOOKUP(F1679,'1PROJE'!$B$7:$F$26,4,0)</f>
        <v>#N/A</v>
      </c>
      <c r="K1679" t="e">
        <f>VLOOKUP(F1679,'1PROJE'!$B$7:$F$26,5,0)</f>
        <v>#N/A</v>
      </c>
    </row>
    <row r="1680" spans="2:11">
      <c r="B1680">
        <f t="shared" si="292"/>
        <v>0</v>
      </c>
      <c r="F1680" s="57" t="e">
        <f t="shared" si="293"/>
        <v>#N/A</v>
      </c>
      <c r="G1680" t="str">
        <f t="shared" si="294"/>
        <v/>
      </c>
      <c r="I1680" t="e">
        <f>VLOOKUP(F1680,'1PROJE'!$B$7:$F$26,2,0)</f>
        <v>#N/A</v>
      </c>
      <c r="J1680" t="e">
        <f>VLOOKUP(F1680,'1PROJE'!$B$7:$F$26,4,0)</f>
        <v>#N/A</v>
      </c>
      <c r="K1680" t="e">
        <f>VLOOKUP(F1680,'1PROJE'!$B$7:$F$26,5,0)</f>
        <v>#N/A</v>
      </c>
    </row>
    <row r="1681" spans="2:11">
      <c r="B1681">
        <f t="shared" si="292"/>
        <v>0</v>
      </c>
      <c r="F1681" s="57" t="e">
        <f t="shared" si="293"/>
        <v>#N/A</v>
      </c>
      <c r="G1681" t="str">
        <f t="shared" si="294"/>
        <v/>
      </c>
      <c r="I1681" t="e">
        <f>VLOOKUP(F1681,'1PROJE'!$B$7:$F$26,2,0)</f>
        <v>#N/A</v>
      </c>
      <c r="J1681" t="e">
        <f>VLOOKUP(F1681,'1PROJE'!$B$7:$F$26,4,0)</f>
        <v>#N/A</v>
      </c>
      <c r="K1681" t="e">
        <f>VLOOKUP(F1681,'1PROJE'!$B$7:$F$26,5,0)</f>
        <v>#N/A</v>
      </c>
    </row>
    <row r="1682" spans="2:11">
      <c r="B1682">
        <f t="shared" si="292"/>
        <v>0</v>
      </c>
      <c r="F1682" s="57" t="e">
        <f t="shared" si="293"/>
        <v>#N/A</v>
      </c>
      <c r="G1682" t="str">
        <f t="shared" si="294"/>
        <v/>
      </c>
      <c r="I1682" t="e">
        <f>VLOOKUP(F1682,'1PROJE'!$B$7:$F$26,2,0)</f>
        <v>#N/A</v>
      </c>
      <c r="J1682" t="e">
        <f>VLOOKUP(F1682,'1PROJE'!$B$7:$F$26,4,0)</f>
        <v>#N/A</v>
      </c>
      <c r="K1682" t="e">
        <f>VLOOKUP(F1682,'1PROJE'!$B$7:$F$26,5,0)</f>
        <v>#N/A</v>
      </c>
    </row>
    <row r="1683" spans="2:11">
      <c r="B1683">
        <f t="shared" si="292"/>
        <v>0</v>
      </c>
      <c r="F1683" s="57" t="e">
        <f t="shared" si="293"/>
        <v>#N/A</v>
      </c>
      <c r="G1683" t="str">
        <f t="shared" si="294"/>
        <v/>
      </c>
      <c r="I1683" t="e">
        <f>VLOOKUP(F1683,'1PROJE'!$B$7:$F$26,2,0)</f>
        <v>#N/A</v>
      </c>
      <c r="J1683" t="e">
        <f>VLOOKUP(F1683,'1PROJE'!$B$7:$F$26,4,0)</f>
        <v>#N/A</v>
      </c>
      <c r="K1683" t="e">
        <f>VLOOKUP(F1683,'1PROJE'!$B$7:$F$26,5,0)</f>
        <v>#N/A</v>
      </c>
    </row>
    <row r="1684" spans="2:11">
      <c r="B1684">
        <f t="shared" si="292"/>
        <v>0</v>
      </c>
      <c r="F1684" s="57" t="e">
        <f t="shared" si="293"/>
        <v>#N/A</v>
      </c>
      <c r="G1684" t="str">
        <f t="shared" si="294"/>
        <v/>
      </c>
      <c r="I1684" t="e">
        <f>VLOOKUP(F1684,'1PROJE'!$B$7:$F$26,2,0)</f>
        <v>#N/A</v>
      </c>
      <c r="J1684" t="e">
        <f>VLOOKUP(F1684,'1PROJE'!$B$7:$F$26,4,0)</f>
        <v>#N/A</v>
      </c>
      <c r="K1684" t="e">
        <f>VLOOKUP(F1684,'1PROJE'!$B$7:$F$26,5,0)</f>
        <v>#N/A</v>
      </c>
    </row>
    <row r="1685" spans="2:11">
      <c r="B1685">
        <f t="shared" si="292"/>
        <v>0</v>
      </c>
      <c r="F1685" s="57" t="e">
        <f t="shared" si="293"/>
        <v>#N/A</v>
      </c>
      <c r="G1685" t="str">
        <f t="shared" si="294"/>
        <v/>
      </c>
      <c r="I1685" t="e">
        <f>VLOOKUP(F1685,'1PROJE'!$B$7:$F$26,2,0)</f>
        <v>#N/A</v>
      </c>
      <c r="J1685" t="e">
        <f>VLOOKUP(F1685,'1PROJE'!$B$7:$F$26,4,0)</f>
        <v>#N/A</v>
      </c>
      <c r="K1685" t="e">
        <f>VLOOKUP(F1685,'1PROJE'!$B$7:$F$26,5,0)</f>
        <v>#N/A</v>
      </c>
    </row>
    <row r="1686" spans="2:11">
      <c r="B1686">
        <f t="shared" si="292"/>
        <v>0</v>
      </c>
      <c r="F1686" s="57" t="e">
        <f t="shared" si="293"/>
        <v>#N/A</v>
      </c>
      <c r="G1686" t="str">
        <f t="shared" si="294"/>
        <v/>
      </c>
      <c r="I1686" t="e">
        <f>VLOOKUP(F1686,'1PROJE'!$B$7:$F$26,2,0)</f>
        <v>#N/A</v>
      </c>
      <c r="J1686" t="e">
        <f>VLOOKUP(F1686,'1PROJE'!$B$7:$F$26,4,0)</f>
        <v>#N/A</v>
      </c>
      <c r="K1686" t="e">
        <f>VLOOKUP(F1686,'1PROJE'!$B$7:$F$26,5,0)</f>
        <v>#N/A</v>
      </c>
    </row>
    <row r="1687" spans="2:11">
      <c r="B1687">
        <f t="shared" si="292"/>
        <v>0</v>
      </c>
      <c r="F1687" s="57" t="e">
        <f t="shared" si="293"/>
        <v>#N/A</v>
      </c>
      <c r="G1687" t="str">
        <f t="shared" si="294"/>
        <v/>
      </c>
      <c r="I1687" t="e">
        <f>VLOOKUP(F1687,'1PROJE'!$B$7:$F$26,2,0)</f>
        <v>#N/A</v>
      </c>
      <c r="J1687" t="e">
        <f>VLOOKUP(F1687,'1PROJE'!$B$7:$F$26,4,0)</f>
        <v>#N/A</v>
      </c>
      <c r="K1687" t="e">
        <f>VLOOKUP(F1687,'1PROJE'!$B$7:$F$26,5,0)</f>
        <v>#N/A</v>
      </c>
    </row>
    <row r="1688" spans="2:11">
      <c r="B1688">
        <f t="shared" si="292"/>
        <v>0</v>
      </c>
      <c r="F1688" s="57" t="e">
        <f t="shared" si="293"/>
        <v>#N/A</v>
      </c>
      <c r="G1688" t="str">
        <f t="shared" si="294"/>
        <v/>
      </c>
      <c r="I1688" t="e">
        <f>VLOOKUP(F1688,'1PROJE'!$B$7:$F$26,2,0)</f>
        <v>#N/A</v>
      </c>
      <c r="J1688" t="e">
        <f>VLOOKUP(F1688,'1PROJE'!$B$7:$F$26,4,0)</f>
        <v>#N/A</v>
      </c>
      <c r="K1688" t="e">
        <f>VLOOKUP(F1688,'1PROJE'!$B$7:$F$26,5,0)</f>
        <v>#N/A</v>
      </c>
    </row>
    <row r="1689" spans="2:11">
      <c r="B1689">
        <f t="shared" si="292"/>
        <v>0</v>
      </c>
      <c r="F1689" s="57" t="e">
        <f t="shared" si="293"/>
        <v>#N/A</v>
      </c>
      <c r="G1689" t="str">
        <f t="shared" si="294"/>
        <v/>
      </c>
      <c r="I1689" t="e">
        <f>VLOOKUP(F1689,'1PROJE'!$B$7:$F$26,2,0)</f>
        <v>#N/A</v>
      </c>
      <c r="J1689" t="e">
        <f>VLOOKUP(F1689,'1PROJE'!$B$7:$F$26,4,0)</f>
        <v>#N/A</v>
      </c>
      <c r="K1689" t="e">
        <f>VLOOKUP(F1689,'1PROJE'!$B$7:$F$26,5,0)</f>
        <v>#N/A</v>
      </c>
    </row>
    <row r="1690" spans="2:11">
      <c r="B1690">
        <f t="shared" si="292"/>
        <v>0</v>
      </c>
      <c r="F1690" s="57" t="e">
        <f t="shared" si="293"/>
        <v>#N/A</v>
      </c>
      <c r="G1690" t="str">
        <f t="shared" si="294"/>
        <v/>
      </c>
      <c r="I1690" t="e">
        <f>VLOOKUP(F1690,'1PROJE'!$B$7:$F$26,2,0)</f>
        <v>#N/A</v>
      </c>
      <c r="J1690" t="e">
        <f>VLOOKUP(F1690,'1PROJE'!$B$7:$F$26,4,0)</f>
        <v>#N/A</v>
      </c>
      <c r="K1690" t="e">
        <f>VLOOKUP(F1690,'1PROJE'!$B$7:$F$26,5,0)</f>
        <v>#N/A</v>
      </c>
    </row>
    <row r="1691" spans="2:11">
      <c r="B1691">
        <f t="shared" si="292"/>
        <v>0</v>
      </c>
      <c r="F1691" s="57" t="e">
        <f t="shared" si="293"/>
        <v>#N/A</v>
      </c>
      <c r="G1691" t="str">
        <f t="shared" si="294"/>
        <v/>
      </c>
      <c r="I1691" t="e">
        <f>VLOOKUP(F1691,'1PROJE'!$B$7:$F$26,2,0)</f>
        <v>#N/A</v>
      </c>
      <c r="J1691" t="e">
        <f>VLOOKUP(F1691,'1PROJE'!$B$7:$F$26,4,0)</f>
        <v>#N/A</v>
      </c>
      <c r="K1691" t="e">
        <f>VLOOKUP(F1691,'1PROJE'!$B$7:$F$26,5,0)</f>
        <v>#N/A</v>
      </c>
    </row>
    <row r="1692" spans="2:11">
      <c r="B1692">
        <f t="shared" si="292"/>
        <v>0</v>
      </c>
      <c r="F1692" s="57" t="e">
        <f t="shared" si="293"/>
        <v>#N/A</v>
      </c>
      <c r="G1692" t="str">
        <f t="shared" si="294"/>
        <v/>
      </c>
      <c r="I1692" t="e">
        <f>VLOOKUP(F1692,'1PROJE'!$B$7:$F$26,2,0)</f>
        <v>#N/A</v>
      </c>
      <c r="J1692" t="e">
        <f>VLOOKUP(F1692,'1PROJE'!$B$7:$F$26,4,0)</f>
        <v>#N/A</v>
      </c>
      <c r="K1692" t="e">
        <f>VLOOKUP(F1692,'1PROJE'!$B$7:$F$26,5,0)</f>
        <v>#N/A</v>
      </c>
    </row>
    <row r="1693" spans="2:11">
      <c r="B1693">
        <f t="shared" si="292"/>
        <v>0</v>
      </c>
      <c r="F1693" s="57" t="e">
        <f t="shared" si="293"/>
        <v>#N/A</v>
      </c>
      <c r="G1693" t="str">
        <f t="shared" si="294"/>
        <v/>
      </c>
      <c r="I1693" t="e">
        <f>VLOOKUP(F1693,'1PROJE'!$B$7:$F$26,2,0)</f>
        <v>#N/A</v>
      </c>
      <c r="J1693" t="e">
        <f>VLOOKUP(F1693,'1PROJE'!$B$7:$F$26,4,0)</f>
        <v>#N/A</v>
      </c>
      <c r="K1693" t="e">
        <f>VLOOKUP(F1693,'1PROJE'!$B$7:$F$26,5,0)</f>
        <v>#N/A</v>
      </c>
    </row>
    <row r="1694" spans="2:11">
      <c r="B1694">
        <f t="shared" si="292"/>
        <v>0</v>
      </c>
      <c r="F1694" s="57" t="e">
        <f t="shared" si="293"/>
        <v>#N/A</v>
      </c>
      <c r="G1694" t="str">
        <f t="shared" si="294"/>
        <v/>
      </c>
      <c r="I1694" t="e">
        <f>VLOOKUP(F1694,'1PROJE'!$B$7:$F$26,2,0)</f>
        <v>#N/A</v>
      </c>
      <c r="J1694" t="e">
        <f>VLOOKUP(F1694,'1PROJE'!$B$7:$F$26,4,0)</f>
        <v>#N/A</v>
      </c>
      <c r="K1694" t="e">
        <f>VLOOKUP(F1694,'1PROJE'!$B$7:$F$26,5,0)</f>
        <v>#N/A</v>
      </c>
    </row>
    <row r="1695" spans="2:11">
      <c r="B1695">
        <f t="shared" ref="B1695:B1726" si="295">IF(($C$43-A95)&lt;0,0,"POZ"&amp;" "&amp;$R$61&amp;"."&amp;A95)</f>
        <v>0</v>
      </c>
      <c r="F1695" s="57" t="e">
        <f t="shared" si="293"/>
        <v>#N/A</v>
      </c>
      <c r="G1695" t="str">
        <f t="shared" si="294"/>
        <v/>
      </c>
      <c r="I1695" t="e">
        <f>VLOOKUP(F1695,'1PROJE'!$B$7:$F$26,2,0)</f>
        <v>#N/A</v>
      </c>
      <c r="J1695" t="e">
        <f>VLOOKUP(F1695,'1PROJE'!$B$7:$F$26,4,0)</f>
        <v>#N/A</v>
      </c>
      <c r="K1695" t="e">
        <f>VLOOKUP(F1695,'1PROJE'!$B$7:$F$26,5,0)</f>
        <v>#N/A</v>
      </c>
    </row>
    <row r="1696" spans="2:11">
      <c r="B1696">
        <f t="shared" si="295"/>
        <v>0</v>
      </c>
      <c r="F1696" s="57" t="e">
        <f t="shared" si="293"/>
        <v>#N/A</v>
      </c>
      <c r="G1696" t="str">
        <f t="shared" si="294"/>
        <v/>
      </c>
      <c r="I1696" t="e">
        <f>VLOOKUP(F1696,'1PROJE'!$B$7:$F$26,2,0)</f>
        <v>#N/A</v>
      </c>
      <c r="J1696" t="e">
        <f>VLOOKUP(F1696,'1PROJE'!$B$7:$F$26,4,0)</f>
        <v>#N/A</v>
      </c>
      <c r="K1696" t="e">
        <f>VLOOKUP(F1696,'1PROJE'!$B$7:$F$26,5,0)</f>
        <v>#N/A</v>
      </c>
    </row>
    <row r="1697" spans="2:11">
      <c r="B1697">
        <f t="shared" si="295"/>
        <v>0</v>
      </c>
      <c r="F1697" s="57" t="e">
        <f t="shared" si="293"/>
        <v>#N/A</v>
      </c>
      <c r="G1697" t="str">
        <f t="shared" si="294"/>
        <v/>
      </c>
      <c r="I1697" t="e">
        <f>VLOOKUP(F1697,'1PROJE'!$B$7:$F$26,2,0)</f>
        <v>#N/A</v>
      </c>
      <c r="J1697" t="e">
        <f>VLOOKUP(F1697,'1PROJE'!$B$7:$F$26,4,0)</f>
        <v>#N/A</v>
      </c>
      <c r="K1697" t="e">
        <f>VLOOKUP(F1697,'1PROJE'!$B$7:$F$26,5,0)</f>
        <v>#N/A</v>
      </c>
    </row>
    <row r="1698" spans="2:11">
      <c r="B1698">
        <f t="shared" si="295"/>
        <v>0</v>
      </c>
      <c r="F1698" s="57" t="e">
        <f t="shared" si="293"/>
        <v>#N/A</v>
      </c>
      <c r="G1698" t="str">
        <f t="shared" si="294"/>
        <v/>
      </c>
      <c r="I1698" t="e">
        <f>VLOOKUP(F1698,'1PROJE'!$B$7:$F$26,2,0)</f>
        <v>#N/A</v>
      </c>
      <c r="J1698" t="e">
        <f>VLOOKUP(F1698,'1PROJE'!$B$7:$F$26,4,0)</f>
        <v>#N/A</v>
      </c>
      <c r="K1698" t="e">
        <f>VLOOKUP(F1698,'1PROJE'!$B$7:$F$26,5,0)</f>
        <v>#N/A</v>
      </c>
    </row>
    <row r="1699" spans="2:11">
      <c r="B1699">
        <f t="shared" si="295"/>
        <v>0</v>
      </c>
      <c r="F1699" s="57" t="e">
        <f t="shared" si="293"/>
        <v>#N/A</v>
      </c>
      <c r="G1699" t="str">
        <f t="shared" si="294"/>
        <v/>
      </c>
      <c r="I1699" t="e">
        <f>VLOOKUP(F1699,'1PROJE'!$B$7:$F$26,2,0)</f>
        <v>#N/A</v>
      </c>
      <c r="J1699" t="e">
        <f>VLOOKUP(F1699,'1PROJE'!$B$7:$F$26,4,0)</f>
        <v>#N/A</v>
      </c>
      <c r="K1699" t="e">
        <f>VLOOKUP(F1699,'1PROJE'!$B$7:$F$26,5,0)</f>
        <v>#N/A</v>
      </c>
    </row>
    <row r="1700" spans="2:11">
      <c r="B1700">
        <f t="shared" si="295"/>
        <v>0</v>
      </c>
      <c r="F1700" s="57" t="e">
        <f t="shared" si="293"/>
        <v>#N/A</v>
      </c>
      <c r="G1700" t="str">
        <f t="shared" si="294"/>
        <v/>
      </c>
      <c r="I1700" t="e">
        <f>VLOOKUP(F1700,'1PROJE'!$B$7:$F$26,2,0)</f>
        <v>#N/A</v>
      </c>
      <c r="J1700" t="e">
        <f>VLOOKUP(F1700,'1PROJE'!$B$7:$F$26,4,0)</f>
        <v>#N/A</v>
      </c>
      <c r="K1700" t="e">
        <f>VLOOKUP(F1700,'1PROJE'!$B$7:$F$26,5,0)</f>
        <v>#N/A</v>
      </c>
    </row>
    <row r="1701" spans="2:11">
      <c r="B1701">
        <f t="shared" si="295"/>
        <v>0</v>
      </c>
      <c r="F1701" s="57" t="e">
        <f t="shared" si="293"/>
        <v>#N/A</v>
      </c>
      <c r="G1701" t="str">
        <f t="shared" si="294"/>
        <v/>
      </c>
      <c r="I1701" t="e">
        <f>VLOOKUP(F1701,'1PROJE'!$B$7:$F$26,2,0)</f>
        <v>#N/A</v>
      </c>
      <c r="J1701" t="e">
        <f>VLOOKUP(F1701,'1PROJE'!$B$7:$F$26,4,0)</f>
        <v>#N/A</v>
      </c>
      <c r="K1701" t="e">
        <f>VLOOKUP(F1701,'1PROJE'!$B$7:$F$26,5,0)</f>
        <v>#N/A</v>
      </c>
    </row>
    <row r="1702" spans="2:11">
      <c r="B1702">
        <f t="shared" si="295"/>
        <v>0</v>
      </c>
      <c r="F1702" s="57" t="e">
        <f t="shared" si="293"/>
        <v>#N/A</v>
      </c>
      <c r="G1702" t="str">
        <f t="shared" si="294"/>
        <v/>
      </c>
      <c r="I1702" t="e">
        <f>VLOOKUP(F1702,'1PROJE'!$B$7:$F$26,2,0)</f>
        <v>#N/A</v>
      </c>
      <c r="J1702" t="e">
        <f>VLOOKUP(F1702,'1PROJE'!$B$7:$F$26,4,0)</f>
        <v>#N/A</v>
      </c>
      <c r="K1702" t="e">
        <f>VLOOKUP(F1702,'1PROJE'!$B$7:$F$26,5,0)</f>
        <v>#N/A</v>
      </c>
    </row>
    <row r="1703" spans="2:11">
      <c r="B1703">
        <f t="shared" si="295"/>
        <v>0</v>
      </c>
      <c r="F1703" s="57" t="e">
        <f t="shared" si="293"/>
        <v>#N/A</v>
      </c>
      <c r="G1703" t="str">
        <f t="shared" si="294"/>
        <v/>
      </c>
      <c r="I1703" t="e">
        <f>VLOOKUP(F1703,'1PROJE'!$B$7:$F$26,2,0)</f>
        <v>#N/A</v>
      </c>
      <c r="J1703" t="e">
        <f>VLOOKUP(F1703,'1PROJE'!$B$7:$F$26,4,0)</f>
        <v>#N/A</v>
      </c>
      <c r="K1703" t="e">
        <f>VLOOKUP(F1703,'1PROJE'!$B$7:$F$26,5,0)</f>
        <v>#N/A</v>
      </c>
    </row>
    <row r="1704" spans="2:11">
      <c r="B1704">
        <f t="shared" si="295"/>
        <v>0</v>
      </c>
      <c r="F1704" s="57" t="e">
        <f t="shared" si="293"/>
        <v>#N/A</v>
      </c>
      <c r="G1704" t="str">
        <f t="shared" si="294"/>
        <v/>
      </c>
      <c r="I1704" t="e">
        <f>VLOOKUP(F1704,'1PROJE'!$B$7:$F$26,2,0)</f>
        <v>#N/A</v>
      </c>
      <c r="J1704" t="e">
        <f>VLOOKUP(F1704,'1PROJE'!$B$7:$F$26,4,0)</f>
        <v>#N/A</v>
      </c>
      <c r="K1704" t="e">
        <f>VLOOKUP(F1704,'1PROJE'!$B$7:$F$26,5,0)</f>
        <v>#N/A</v>
      </c>
    </row>
    <row r="1705" spans="2:11">
      <c r="B1705">
        <f t="shared" si="295"/>
        <v>0</v>
      </c>
      <c r="F1705" s="57" t="e">
        <f t="shared" si="293"/>
        <v>#N/A</v>
      </c>
      <c r="G1705" t="str">
        <f t="shared" si="294"/>
        <v/>
      </c>
      <c r="I1705" t="e">
        <f>VLOOKUP(F1705,'1PROJE'!$B$7:$F$26,2,0)</f>
        <v>#N/A</v>
      </c>
      <c r="J1705" t="e">
        <f>VLOOKUP(F1705,'1PROJE'!$B$7:$F$26,4,0)</f>
        <v>#N/A</v>
      </c>
      <c r="K1705" t="e">
        <f>VLOOKUP(F1705,'1PROJE'!$B$7:$F$26,5,0)</f>
        <v>#N/A</v>
      </c>
    </row>
    <row r="1706" spans="2:11">
      <c r="B1706">
        <f t="shared" si="295"/>
        <v>0</v>
      </c>
      <c r="F1706" s="57" t="e">
        <f t="shared" si="293"/>
        <v>#N/A</v>
      </c>
      <c r="G1706" t="str">
        <f t="shared" si="294"/>
        <v/>
      </c>
      <c r="I1706" t="e">
        <f>VLOOKUP(F1706,'1PROJE'!$B$7:$F$26,2,0)</f>
        <v>#N/A</v>
      </c>
      <c r="J1706" t="e">
        <f>VLOOKUP(F1706,'1PROJE'!$B$7:$F$26,4,0)</f>
        <v>#N/A</v>
      </c>
      <c r="K1706" t="e">
        <f>VLOOKUP(F1706,'1PROJE'!$B$7:$F$26,5,0)</f>
        <v>#N/A</v>
      </c>
    </row>
    <row r="1707" spans="2:11">
      <c r="B1707">
        <f t="shared" si="295"/>
        <v>0</v>
      </c>
      <c r="F1707" s="57" t="e">
        <f t="shared" si="293"/>
        <v>#N/A</v>
      </c>
      <c r="G1707" t="str">
        <f t="shared" si="294"/>
        <v/>
      </c>
      <c r="I1707" t="e">
        <f>VLOOKUP(F1707,'1PROJE'!$B$7:$F$26,2,0)</f>
        <v>#N/A</v>
      </c>
      <c r="J1707" t="e">
        <f>VLOOKUP(F1707,'1PROJE'!$B$7:$F$26,4,0)</f>
        <v>#N/A</v>
      </c>
      <c r="K1707" t="e">
        <f>VLOOKUP(F1707,'1PROJE'!$B$7:$F$26,5,0)</f>
        <v>#N/A</v>
      </c>
    </row>
    <row r="1708" spans="2:11">
      <c r="B1708">
        <f t="shared" si="295"/>
        <v>0</v>
      </c>
      <c r="F1708" s="57" t="e">
        <f t="shared" si="293"/>
        <v>#N/A</v>
      </c>
      <c r="G1708" t="str">
        <f t="shared" si="294"/>
        <v/>
      </c>
      <c r="I1708" t="e">
        <f>VLOOKUP(F1708,'1PROJE'!$B$7:$F$26,2,0)</f>
        <v>#N/A</v>
      </c>
      <c r="J1708" t="e">
        <f>VLOOKUP(F1708,'1PROJE'!$B$7:$F$26,4,0)</f>
        <v>#N/A</v>
      </c>
      <c r="K1708" t="e">
        <f>VLOOKUP(F1708,'1PROJE'!$B$7:$F$26,5,0)</f>
        <v>#N/A</v>
      </c>
    </row>
    <row r="1709" spans="2:11">
      <c r="B1709">
        <f t="shared" si="295"/>
        <v>0</v>
      </c>
      <c r="F1709" s="57" t="e">
        <f t="shared" si="293"/>
        <v>#N/A</v>
      </c>
      <c r="G1709" t="str">
        <f t="shared" si="294"/>
        <v/>
      </c>
      <c r="I1709" t="e">
        <f>VLOOKUP(F1709,'1PROJE'!$B$7:$F$26,2,0)</f>
        <v>#N/A</v>
      </c>
      <c r="J1709" t="e">
        <f>VLOOKUP(F1709,'1PROJE'!$B$7:$F$26,4,0)</f>
        <v>#N/A</v>
      </c>
      <c r="K1709" t="e">
        <f>VLOOKUP(F1709,'1PROJE'!$B$7:$F$26,5,0)</f>
        <v>#N/A</v>
      </c>
    </row>
    <row r="1710" spans="2:11">
      <c r="B1710">
        <f t="shared" si="295"/>
        <v>0</v>
      </c>
      <c r="F1710" s="57" t="e">
        <f t="shared" si="293"/>
        <v>#N/A</v>
      </c>
      <c r="G1710" t="str">
        <f t="shared" si="294"/>
        <v/>
      </c>
      <c r="I1710" t="e">
        <f>VLOOKUP(F1710,'1PROJE'!$B$7:$F$26,2,0)</f>
        <v>#N/A</v>
      </c>
      <c r="J1710" t="e">
        <f>VLOOKUP(F1710,'1PROJE'!$B$7:$F$26,4,0)</f>
        <v>#N/A</v>
      </c>
      <c r="K1710" t="e">
        <f>VLOOKUP(F1710,'1PROJE'!$B$7:$F$26,5,0)</f>
        <v>#N/A</v>
      </c>
    </row>
    <row r="1711" spans="2:11">
      <c r="B1711">
        <f t="shared" si="295"/>
        <v>0</v>
      </c>
      <c r="F1711" s="57" t="e">
        <f t="shared" si="293"/>
        <v>#N/A</v>
      </c>
      <c r="G1711" t="str">
        <f t="shared" si="294"/>
        <v/>
      </c>
      <c r="I1711" t="e">
        <f>VLOOKUP(F1711,'1PROJE'!$B$7:$F$26,2,0)</f>
        <v>#N/A</v>
      </c>
      <c r="J1711" t="e">
        <f>VLOOKUP(F1711,'1PROJE'!$B$7:$F$26,4,0)</f>
        <v>#N/A</v>
      </c>
      <c r="K1711" t="e">
        <f>VLOOKUP(F1711,'1PROJE'!$B$7:$F$26,5,0)</f>
        <v>#N/A</v>
      </c>
    </row>
    <row r="1712" spans="2:11">
      <c r="B1712">
        <f t="shared" si="295"/>
        <v>0</v>
      </c>
      <c r="F1712" s="57" t="e">
        <f t="shared" si="293"/>
        <v>#N/A</v>
      </c>
      <c r="G1712" t="str">
        <f t="shared" si="294"/>
        <v/>
      </c>
      <c r="I1712" t="e">
        <f>VLOOKUP(F1712,'1PROJE'!$B$7:$F$26,2,0)</f>
        <v>#N/A</v>
      </c>
      <c r="J1712" t="e">
        <f>VLOOKUP(F1712,'1PROJE'!$B$7:$F$26,4,0)</f>
        <v>#N/A</v>
      </c>
      <c r="K1712" t="e">
        <f>VLOOKUP(F1712,'1PROJE'!$B$7:$F$26,5,0)</f>
        <v>#N/A</v>
      </c>
    </row>
    <row r="1713" spans="2:11">
      <c r="B1713">
        <f t="shared" si="295"/>
        <v>0</v>
      </c>
      <c r="F1713" s="57" t="e">
        <f t="shared" si="293"/>
        <v>#N/A</v>
      </c>
      <c r="G1713" t="str">
        <f t="shared" si="294"/>
        <v/>
      </c>
      <c r="I1713" t="e">
        <f>VLOOKUP(F1713,'1PROJE'!$B$7:$F$26,2,0)</f>
        <v>#N/A</v>
      </c>
      <c r="J1713" t="e">
        <f>VLOOKUP(F1713,'1PROJE'!$B$7:$F$26,4,0)</f>
        <v>#N/A</v>
      </c>
      <c r="K1713" t="e">
        <f>VLOOKUP(F1713,'1PROJE'!$B$7:$F$26,5,0)</f>
        <v>#N/A</v>
      </c>
    </row>
    <row r="1714" spans="2:11">
      <c r="B1714">
        <f t="shared" si="295"/>
        <v>0</v>
      </c>
      <c r="F1714" s="57" t="e">
        <f t="shared" si="293"/>
        <v>#N/A</v>
      </c>
      <c r="G1714" t="str">
        <f t="shared" si="294"/>
        <v/>
      </c>
      <c r="I1714" t="e">
        <f>VLOOKUP(F1714,'1PROJE'!$B$7:$F$26,2,0)</f>
        <v>#N/A</v>
      </c>
      <c r="J1714" t="e">
        <f>VLOOKUP(F1714,'1PROJE'!$B$7:$F$26,4,0)</f>
        <v>#N/A</v>
      </c>
      <c r="K1714" t="e">
        <f>VLOOKUP(F1714,'1PROJE'!$B$7:$F$26,5,0)</f>
        <v>#N/A</v>
      </c>
    </row>
    <row r="1715" spans="2:11">
      <c r="B1715">
        <f t="shared" si="295"/>
        <v>0</v>
      </c>
      <c r="F1715" s="57" t="e">
        <f t="shared" si="293"/>
        <v>#N/A</v>
      </c>
      <c r="G1715" t="str">
        <f t="shared" si="294"/>
        <v/>
      </c>
      <c r="I1715" t="e">
        <f>VLOOKUP(F1715,'1PROJE'!$B$7:$F$26,2,0)</f>
        <v>#N/A</v>
      </c>
      <c r="J1715" t="e">
        <f>VLOOKUP(F1715,'1PROJE'!$B$7:$F$26,4,0)</f>
        <v>#N/A</v>
      </c>
      <c r="K1715" t="e">
        <f>VLOOKUP(F1715,'1PROJE'!$B$7:$F$26,5,0)</f>
        <v>#N/A</v>
      </c>
    </row>
    <row r="1716" spans="2:11">
      <c r="B1716">
        <f t="shared" si="295"/>
        <v>0</v>
      </c>
      <c r="F1716" s="57" t="e">
        <f t="shared" si="293"/>
        <v>#N/A</v>
      </c>
      <c r="G1716" t="str">
        <f t="shared" si="294"/>
        <v/>
      </c>
      <c r="I1716" t="e">
        <f>VLOOKUP(F1716,'1PROJE'!$B$7:$F$26,2,0)</f>
        <v>#N/A</v>
      </c>
      <c r="J1716" t="e">
        <f>VLOOKUP(F1716,'1PROJE'!$B$7:$F$26,4,0)</f>
        <v>#N/A</v>
      </c>
      <c r="K1716" t="e">
        <f>VLOOKUP(F1716,'1PROJE'!$B$7:$F$26,5,0)</f>
        <v>#N/A</v>
      </c>
    </row>
    <row r="1717" spans="2:11">
      <c r="B1717">
        <f t="shared" si="295"/>
        <v>0</v>
      </c>
      <c r="F1717" s="57" t="e">
        <f t="shared" si="293"/>
        <v>#N/A</v>
      </c>
      <c r="G1717" t="str">
        <f t="shared" si="294"/>
        <v/>
      </c>
      <c r="I1717" t="e">
        <f>VLOOKUP(F1717,'1PROJE'!$B$7:$F$26,2,0)</f>
        <v>#N/A</v>
      </c>
      <c r="J1717" t="e">
        <f>VLOOKUP(F1717,'1PROJE'!$B$7:$F$26,4,0)</f>
        <v>#N/A</v>
      </c>
      <c r="K1717" t="e">
        <f>VLOOKUP(F1717,'1PROJE'!$B$7:$F$26,5,0)</f>
        <v>#N/A</v>
      </c>
    </row>
    <row r="1718" spans="2:11">
      <c r="B1718">
        <f t="shared" si="295"/>
        <v>0</v>
      </c>
      <c r="F1718" s="57" t="e">
        <f t="shared" si="293"/>
        <v>#N/A</v>
      </c>
      <c r="G1718" t="str">
        <f t="shared" si="294"/>
        <v/>
      </c>
      <c r="I1718" t="e">
        <f>VLOOKUP(F1718,'1PROJE'!$B$7:$F$26,2,0)</f>
        <v>#N/A</v>
      </c>
      <c r="J1718" t="e">
        <f>VLOOKUP(F1718,'1PROJE'!$B$7:$F$26,4,0)</f>
        <v>#N/A</v>
      </c>
      <c r="K1718" t="e">
        <f>VLOOKUP(F1718,'1PROJE'!$B$7:$F$26,5,0)</f>
        <v>#N/A</v>
      </c>
    </row>
    <row r="1719" spans="2:11">
      <c r="B1719">
        <f t="shared" si="295"/>
        <v>0</v>
      </c>
      <c r="F1719" s="57" t="e">
        <f t="shared" si="293"/>
        <v>#N/A</v>
      </c>
      <c r="G1719" t="str">
        <f t="shared" si="294"/>
        <v/>
      </c>
      <c r="I1719" t="e">
        <f>VLOOKUP(F1719,'1PROJE'!$B$7:$F$26,2,0)</f>
        <v>#N/A</v>
      </c>
      <c r="J1719" t="e">
        <f>VLOOKUP(F1719,'1PROJE'!$B$7:$F$26,4,0)</f>
        <v>#N/A</v>
      </c>
      <c r="K1719" t="e">
        <f>VLOOKUP(F1719,'1PROJE'!$B$7:$F$26,5,0)</f>
        <v>#N/A</v>
      </c>
    </row>
    <row r="1720" spans="2:11">
      <c r="B1720">
        <f t="shared" si="295"/>
        <v>0</v>
      </c>
      <c r="F1720" s="57" t="e">
        <f t="shared" si="293"/>
        <v>#N/A</v>
      </c>
      <c r="G1720" t="str">
        <f t="shared" si="294"/>
        <v/>
      </c>
      <c r="I1720" t="e">
        <f>VLOOKUP(F1720,'1PROJE'!$B$7:$F$26,2,0)</f>
        <v>#N/A</v>
      </c>
      <c r="J1720" t="e">
        <f>VLOOKUP(F1720,'1PROJE'!$B$7:$F$26,4,0)</f>
        <v>#N/A</v>
      </c>
      <c r="K1720" t="e">
        <f>VLOOKUP(F1720,'1PROJE'!$B$7:$F$26,5,0)</f>
        <v>#N/A</v>
      </c>
    </row>
    <row r="1721" spans="2:11">
      <c r="B1721">
        <f t="shared" si="295"/>
        <v>0</v>
      </c>
      <c r="F1721" s="57" t="e">
        <f t="shared" si="293"/>
        <v>#N/A</v>
      </c>
      <c r="G1721" t="str">
        <f t="shared" si="294"/>
        <v/>
      </c>
      <c r="I1721" t="e">
        <f>VLOOKUP(F1721,'1PROJE'!$B$7:$F$26,2,0)</f>
        <v>#N/A</v>
      </c>
      <c r="J1721" t="e">
        <f>VLOOKUP(F1721,'1PROJE'!$B$7:$F$26,4,0)</f>
        <v>#N/A</v>
      </c>
      <c r="K1721" t="e">
        <f>VLOOKUP(F1721,'1PROJE'!$B$7:$F$26,5,0)</f>
        <v>#N/A</v>
      </c>
    </row>
    <row r="1722" spans="2:11">
      <c r="B1722">
        <f t="shared" si="295"/>
        <v>0</v>
      </c>
      <c r="F1722" s="57" t="e">
        <f t="shared" si="293"/>
        <v>#N/A</v>
      </c>
      <c r="G1722" t="str">
        <f t="shared" si="294"/>
        <v/>
      </c>
      <c r="I1722" t="e">
        <f>VLOOKUP(F1722,'1PROJE'!$B$7:$F$26,2,0)</f>
        <v>#N/A</v>
      </c>
      <c r="J1722" t="e">
        <f>VLOOKUP(F1722,'1PROJE'!$B$7:$F$26,4,0)</f>
        <v>#N/A</v>
      </c>
      <c r="K1722" t="e">
        <f>VLOOKUP(F1722,'1PROJE'!$B$7:$F$26,5,0)</f>
        <v>#N/A</v>
      </c>
    </row>
    <row r="1723" spans="2:11">
      <c r="B1723">
        <f t="shared" si="295"/>
        <v>0</v>
      </c>
      <c r="F1723" s="57" t="e">
        <f t="shared" si="293"/>
        <v>#N/A</v>
      </c>
      <c r="G1723" t="str">
        <f t="shared" si="294"/>
        <v/>
      </c>
      <c r="I1723" t="e">
        <f>VLOOKUP(F1723,'1PROJE'!$B$7:$F$26,2,0)</f>
        <v>#N/A</v>
      </c>
      <c r="J1723" t="e">
        <f>VLOOKUP(F1723,'1PROJE'!$B$7:$F$26,4,0)</f>
        <v>#N/A</v>
      </c>
      <c r="K1723" t="e">
        <f>VLOOKUP(F1723,'1PROJE'!$B$7:$F$26,5,0)</f>
        <v>#N/A</v>
      </c>
    </row>
    <row r="1724" spans="2:11">
      <c r="B1724">
        <f t="shared" si="295"/>
        <v>0</v>
      </c>
      <c r="F1724" s="57" t="e">
        <f t="shared" si="293"/>
        <v>#N/A</v>
      </c>
      <c r="G1724" t="str">
        <f t="shared" si="294"/>
        <v/>
      </c>
      <c r="I1724" t="e">
        <f>VLOOKUP(F1724,'1PROJE'!$B$7:$F$26,2,0)</f>
        <v>#N/A</v>
      </c>
      <c r="J1724" t="e">
        <f>VLOOKUP(F1724,'1PROJE'!$B$7:$F$26,4,0)</f>
        <v>#N/A</v>
      </c>
      <c r="K1724" t="e">
        <f>VLOOKUP(F1724,'1PROJE'!$B$7:$F$26,5,0)</f>
        <v>#N/A</v>
      </c>
    </row>
    <row r="1725" spans="2:11">
      <c r="B1725">
        <f t="shared" si="295"/>
        <v>0</v>
      </c>
      <c r="F1725" s="57" t="e">
        <f t="shared" si="293"/>
        <v>#N/A</v>
      </c>
      <c r="G1725" t="str">
        <f t="shared" si="294"/>
        <v/>
      </c>
      <c r="I1725" t="e">
        <f>VLOOKUP(F1725,'1PROJE'!$B$7:$F$26,2,0)</f>
        <v>#N/A</v>
      </c>
      <c r="J1725" t="e">
        <f>VLOOKUP(F1725,'1PROJE'!$B$7:$F$26,4,0)</f>
        <v>#N/A</v>
      </c>
      <c r="K1725" t="e">
        <f>VLOOKUP(F1725,'1PROJE'!$B$7:$F$26,5,0)</f>
        <v>#N/A</v>
      </c>
    </row>
    <row r="1726" spans="2:11">
      <c r="B1726">
        <f t="shared" si="295"/>
        <v>0</v>
      </c>
      <c r="F1726" s="57" t="e">
        <f t="shared" si="293"/>
        <v>#N/A</v>
      </c>
      <c r="G1726" t="str">
        <f t="shared" si="294"/>
        <v/>
      </c>
      <c r="I1726" t="e">
        <f>VLOOKUP(F1726,'1PROJE'!$B$7:$F$26,2,0)</f>
        <v>#N/A</v>
      </c>
      <c r="J1726" t="e">
        <f>VLOOKUP(F1726,'1PROJE'!$B$7:$F$26,4,0)</f>
        <v>#N/A</v>
      </c>
      <c r="K1726" t="e">
        <f>VLOOKUP(F1726,'1PROJE'!$B$7:$F$26,5,0)</f>
        <v>#N/A</v>
      </c>
    </row>
    <row r="1727" spans="2:11">
      <c r="B1727">
        <f t="shared" ref="B1727:B1758" si="296">IF(($C$43-A127)&lt;0,0,"POZ"&amp;" "&amp;$R$61&amp;"."&amp;A127)</f>
        <v>0</v>
      </c>
      <c r="F1727" s="57" t="e">
        <f t="shared" si="293"/>
        <v>#N/A</v>
      </c>
      <c r="G1727" t="str">
        <f t="shared" si="294"/>
        <v/>
      </c>
      <c r="I1727" t="e">
        <f>VLOOKUP(F1727,'1PROJE'!$B$7:$F$26,2,0)</f>
        <v>#N/A</v>
      </c>
      <c r="J1727" t="e">
        <f>VLOOKUP(F1727,'1PROJE'!$B$7:$F$26,4,0)</f>
        <v>#N/A</v>
      </c>
      <c r="K1727" t="e">
        <f>VLOOKUP(F1727,'1PROJE'!$B$7:$F$26,5,0)</f>
        <v>#N/A</v>
      </c>
    </row>
    <row r="1728" spans="2:11">
      <c r="B1728">
        <f t="shared" si="296"/>
        <v>0</v>
      </c>
      <c r="F1728" s="57" t="e">
        <f t="shared" si="293"/>
        <v>#N/A</v>
      </c>
      <c r="G1728" t="str">
        <f t="shared" si="294"/>
        <v/>
      </c>
      <c r="I1728" t="e">
        <f>VLOOKUP(F1728,'1PROJE'!$B$7:$F$26,2,0)</f>
        <v>#N/A</v>
      </c>
      <c r="J1728" t="e">
        <f>VLOOKUP(F1728,'1PROJE'!$B$7:$F$26,4,0)</f>
        <v>#N/A</v>
      </c>
      <c r="K1728" t="e">
        <f>VLOOKUP(F1728,'1PROJE'!$B$7:$F$26,5,0)</f>
        <v>#N/A</v>
      </c>
    </row>
    <row r="1729" spans="2:11">
      <c r="B1729">
        <f t="shared" si="296"/>
        <v>0</v>
      </c>
      <c r="F1729" s="57" t="e">
        <f t="shared" si="293"/>
        <v>#N/A</v>
      </c>
      <c r="G1729" t="str">
        <f t="shared" si="294"/>
        <v/>
      </c>
      <c r="I1729" t="e">
        <f>VLOOKUP(F1729,'1PROJE'!$B$7:$F$26,2,0)</f>
        <v>#N/A</v>
      </c>
      <c r="J1729" t="e">
        <f>VLOOKUP(F1729,'1PROJE'!$B$7:$F$26,4,0)</f>
        <v>#N/A</v>
      </c>
      <c r="K1729" t="e">
        <f>VLOOKUP(F1729,'1PROJE'!$B$7:$F$26,5,0)</f>
        <v>#N/A</v>
      </c>
    </row>
    <row r="1730" spans="2:11">
      <c r="B1730">
        <f t="shared" si="296"/>
        <v>0</v>
      </c>
      <c r="F1730" s="57" t="e">
        <f t="shared" si="293"/>
        <v>#N/A</v>
      </c>
      <c r="G1730" t="str">
        <f t="shared" si="294"/>
        <v/>
      </c>
      <c r="I1730" t="e">
        <f>VLOOKUP(F1730,'1PROJE'!$B$7:$F$26,2,0)</f>
        <v>#N/A</v>
      </c>
      <c r="J1730" t="e">
        <f>VLOOKUP(F1730,'1PROJE'!$B$7:$F$26,4,0)</f>
        <v>#N/A</v>
      </c>
      <c r="K1730" t="e">
        <f>VLOOKUP(F1730,'1PROJE'!$B$7:$F$26,5,0)</f>
        <v>#N/A</v>
      </c>
    </row>
    <row r="1731" spans="2:11">
      <c r="B1731">
        <f t="shared" si="296"/>
        <v>0</v>
      </c>
      <c r="F1731" s="57" t="e">
        <f t="shared" si="293"/>
        <v>#N/A</v>
      </c>
      <c r="G1731" t="str">
        <f t="shared" si="294"/>
        <v/>
      </c>
      <c r="I1731" t="e">
        <f>VLOOKUP(F1731,'1PROJE'!$B$7:$F$26,2,0)</f>
        <v>#N/A</v>
      </c>
      <c r="J1731" t="e">
        <f>VLOOKUP(F1731,'1PROJE'!$B$7:$F$26,4,0)</f>
        <v>#N/A</v>
      </c>
      <c r="K1731" t="e">
        <f>VLOOKUP(F1731,'1PROJE'!$B$7:$F$26,5,0)</f>
        <v>#N/A</v>
      </c>
    </row>
    <row r="1732" spans="2:11">
      <c r="B1732">
        <f t="shared" si="296"/>
        <v>0</v>
      </c>
      <c r="F1732" s="57" t="e">
        <f t="shared" si="293"/>
        <v>#N/A</v>
      </c>
      <c r="G1732" t="str">
        <f t="shared" si="294"/>
        <v/>
      </c>
      <c r="I1732" t="e">
        <f>VLOOKUP(F1732,'1PROJE'!$B$7:$F$26,2,0)</f>
        <v>#N/A</v>
      </c>
      <c r="J1732" t="e">
        <f>VLOOKUP(F1732,'1PROJE'!$B$7:$F$26,4,0)</f>
        <v>#N/A</v>
      </c>
      <c r="K1732" t="e">
        <f>VLOOKUP(F1732,'1PROJE'!$B$7:$F$26,5,0)</f>
        <v>#N/A</v>
      </c>
    </row>
    <row r="1733" spans="2:11">
      <c r="B1733">
        <f t="shared" si="296"/>
        <v>0</v>
      </c>
      <c r="F1733" s="57" t="e">
        <f t="shared" si="293"/>
        <v>#N/A</v>
      </c>
      <c r="G1733" t="str">
        <f t="shared" si="294"/>
        <v/>
      </c>
      <c r="I1733" t="e">
        <f>VLOOKUP(F1733,'1PROJE'!$B$7:$F$26,2,0)</f>
        <v>#N/A</v>
      </c>
      <c r="J1733" t="e">
        <f>VLOOKUP(F1733,'1PROJE'!$B$7:$F$26,4,0)</f>
        <v>#N/A</v>
      </c>
      <c r="K1733" t="e">
        <f>VLOOKUP(F1733,'1PROJE'!$B$7:$F$26,5,0)</f>
        <v>#N/A</v>
      </c>
    </row>
    <row r="1734" spans="2:11">
      <c r="B1734">
        <f t="shared" si="296"/>
        <v>0</v>
      </c>
      <c r="F1734" s="57" t="e">
        <f t="shared" si="293"/>
        <v>#N/A</v>
      </c>
      <c r="G1734" t="str">
        <f t="shared" si="294"/>
        <v/>
      </c>
      <c r="I1734" t="e">
        <f>VLOOKUP(F1734,'1PROJE'!$B$7:$F$26,2,0)</f>
        <v>#N/A</v>
      </c>
      <c r="J1734" t="e">
        <f>VLOOKUP(F1734,'1PROJE'!$B$7:$F$26,4,0)</f>
        <v>#N/A</v>
      </c>
      <c r="K1734" t="e">
        <f>VLOOKUP(F1734,'1PROJE'!$B$7:$F$26,5,0)</f>
        <v>#N/A</v>
      </c>
    </row>
    <row r="1735" spans="2:11">
      <c r="B1735">
        <f t="shared" si="296"/>
        <v>0</v>
      </c>
      <c r="F1735" s="57" t="e">
        <f t="shared" si="293"/>
        <v>#N/A</v>
      </c>
      <c r="G1735" t="str">
        <f t="shared" si="294"/>
        <v/>
      </c>
      <c r="I1735" t="e">
        <f>VLOOKUP(F1735,'1PROJE'!$B$7:$F$26,2,0)</f>
        <v>#N/A</v>
      </c>
      <c r="J1735" t="e">
        <f>VLOOKUP(F1735,'1PROJE'!$B$7:$F$26,4,0)</f>
        <v>#N/A</v>
      </c>
      <c r="K1735" t="e">
        <f>VLOOKUP(F1735,'1PROJE'!$B$7:$F$26,5,0)</f>
        <v>#N/A</v>
      </c>
    </row>
    <row r="1736" spans="2:11">
      <c r="B1736">
        <f t="shared" si="296"/>
        <v>0</v>
      </c>
      <c r="F1736" s="57" t="e">
        <f t="shared" si="293"/>
        <v>#N/A</v>
      </c>
      <c r="G1736" t="str">
        <f t="shared" si="294"/>
        <v/>
      </c>
      <c r="I1736" t="e">
        <f>VLOOKUP(F1736,'1PROJE'!$B$7:$F$26,2,0)</f>
        <v>#N/A</v>
      </c>
      <c r="J1736" t="e">
        <f>VLOOKUP(F1736,'1PROJE'!$B$7:$F$26,4,0)</f>
        <v>#N/A</v>
      </c>
      <c r="K1736" t="e">
        <f>VLOOKUP(F1736,'1PROJE'!$B$7:$F$26,5,0)</f>
        <v>#N/A</v>
      </c>
    </row>
    <row r="1737" spans="2:11">
      <c r="B1737">
        <f t="shared" si="296"/>
        <v>0</v>
      </c>
      <c r="F1737" s="57" t="e">
        <f t="shared" si="293"/>
        <v>#N/A</v>
      </c>
      <c r="G1737" t="str">
        <f t="shared" si="294"/>
        <v/>
      </c>
      <c r="I1737" t="e">
        <f>VLOOKUP(F1737,'1PROJE'!$B$7:$F$26,2,0)</f>
        <v>#N/A</v>
      </c>
      <c r="J1737" t="e">
        <f>VLOOKUP(F1737,'1PROJE'!$B$7:$F$26,4,0)</f>
        <v>#N/A</v>
      </c>
      <c r="K1737" t="e">
        <f>VLOOKUP(F1737,'1PROJE'!$B$7:$F$26,5,0)</f>
        <v>#N/A</v>
      </c>
    </row>
    <row r="1738" spans="2:11">
      <c r="B1738">
        <f t="shared" si="296"/>
        <v>0</v>
      </c>
      <c r="F1738" s="57" t="e">
        <f t="shared" si="293"/>
        <v>#N/A</v>
      </c>
      <c r="G1738" t="str">
        <f t="shared" si="294"/>
        <v/>
      </c>
      <c r="I1738" t="e">
        <f>VLOOKUP(F1738,'1PROJE'!$B$7:$F$26,2,0)</f>
        <v>#N/A</v>
      </c>
      <c r="J1738" t="e">
        <f>VLOOKUP(F1738,'1PROJE'!$B$7:$F$26,4,0)</f>
        <v>#N/A</v>
      </c>
      <c r="K1738" t="e">
        <f>VLOOKUP(F1738,'1PROJE'!$B$7:$F$26,5,0)</f>
        <v>#N/A</v>
      </c>
    </row>
    <row r="1739" spans="2:11">
      <c r="B1739">
        <f t="shared" si="296"/>
        <v>0</v>
      </c>
      <c r="F1739" s="57" t="e">
        <f t="shared" ref="F1739:F1802" si="297">VLOOKUP(G1739,$C$64:$D$83,2,0)</f>
        <v>#N/A</v>
      </c>
      <c r="G1739" t="str">
        <f t="shared" ref="G1739:G1802" si="298">LEFT(H1739,6)</f>
        <v/>
      </c>
      <c r="I1739" t="e">
        <f>VLOOKUP(F1739,'1PROJE'!$B$7:$F$26,2,0)</f>
        <v>#N/A</v>
      </c>
      <c r="J1739" t="e">
        <f>VLOOKUP(F1739,'1PROJE'!$B$7:$F$26,4,0)</f>
        <v>#N/A</v>
      </c>
      <c r="K1739" t="e">
        <f>VLOOKUP(F1739,'1PROJE'!$B$7:$F$26,5,0)</f>
        <v>#N/A</v>
      </c>
    </row>
    <row r="1740" spans="2:11">
      <c r="B1740">
        <f t="shared" si="296"/>
        <v>0</v>
      </c>
      <c r="F1740" s="57" t="e">
        <f t="shared" si="297"/>
        <v>#N/A</v>
      </c>
      <c r="G1740" t="str">
        <f t="shared" si="298"/>
        <v/>
      </c>
      <c r="I1740" t="e">
        <f>VLOOKUP(F1740,'1PROJE'!$B$7:$F$26,2,0)</f>
        <v>#N/A</v>
      </c>
      <c r="J1740" t="e">
        <f>VLOOKUP(F1740,'1PROJE'!$B$7:$F$26,4,0)</f>
        <v>#N/A</v>
      </c>
      <c r="K1740" t="e">
        <f>VLOOKUP(F1740,'1PROJE'!$B$7:$F$26,5,0)</f>
        <v>#N/A</v>
      </c>
    </row>
    <row r="1741" spans="2:11">
      <c r="B1741">
        <f t="shared" si="296"/>
        <v>0</v>
      </c>
      <c r="F1741" s="57" t="e">
        <f t="shared" si="297"/>
        <v>#N/A</v>
      </c>
      <c r="G1741" t="str">
        <f t="shared" si="298"/>
        <v/>
      </c>
      <c r="I1741" t="e">
        <f>VLOOKUP(F1741,'1PROJE'!$B$7:$F$26,2,0)</f>
        <v>#N/A</v>
      </c>
      <c r="J1741" t="e">
        <f>VLOOKUP(F1741,'1PROJE'!$B$7:$F$26,4,0)</f>
        <v>#N/A</v>
      </c>
      <c r="K1741" t="e">
        <f>VLOOKUP(F1741,'1PROJE'!$B$7:$F$26,5,0)</f>
        <v>#N/A</v>
      </c>
    </row>
    <row r="1742" spans="2:11">
      <c r="B1742">
        <f t="shared" si="296"/>
        <v>0</v>
      </c>
      <c r="F1742" s="57" t="e">
        <f t="shared" si="297"/>
        <v>#N/A</v>
      </c>
      <c r="G1742" t="str">
        <f t="shared" si="298"/>
        <v/>
      </c>
      <c r="I1742" t="e">
        <f>VLOOKUP(F1742,'1PROJE'!$B$7:$F$26,2,0)</f>
        <v>#N/A</v>
      </c>
      <c r="J1742" t="e">
        <f>VLOOKUP(F1742,'1PROJE'!$B$7:$F$26,4,0)</f>
        <v>#N/A</v>
      </c>
      <c r="K1742" t="e">
        <f>VLOOKUP(F1742,'1PROJE'!$B$7:$F$26,5,0)</f>
        <v>#N/A</v>
      </c>
    </row>
    <row r="1743" spans="2:11">
      <c r="B1743">
        <f t="shared" si="296"/>
        <v>0</v>
      </c>
      <c r="F1743" s="57" t="e">
        <f t="shared" si="297"/>
        <v>#N/A</v>
      </c>
      <c r="G1743" t="str">
        <f t="shared" si="298"/>
        <v/>
      </c>
      <c r="I1743" t="e">
        <f>VLOOKUP(F1743,'1PROJE'!$B$7:$F$26,2,0)</f>
        <v>#N/A</v>
      </c>
      <c r="J1743" t="e">
        <f>VLOOKUP(F1743,'1PROJE'!$B$7:$F$26,4,0)</f>
        <v>#N/A</v>
      </c>
      <c r="K1743" t="e">
        <f>VLOOKUP(F1743,'1PROJE'!$B$7:$F$26,5,0)</f>
        <v>#N/A</v>
      </c>
    </row>
    <row r="1744" spans="2:11">
      <c r="B1744">
        <f t="shared" si="296"/>
        <v>0</v>
      </c>
      <c r="F1744" s="57" t="e">
        <f t="shared" si="297"/>
        <v>#N/A</v>
      </c>
      <c r="G1744" t="str">
        <f t="shared" si="298"/>
        <v/>
      </c>
      <c r="I1744" t="e">
        <f>VLOOKUP(F1744,'1PROJE'!$B$7:$F$26,2,0)</f>
        <v>#N/A</v>
      </c>
      <c r="J1744" t="e">
        <f>VLOOKUP(F1744,'1PROJE'!$B$7:$F$26,4,0)</f>
        <v>#N/A</v>
      </c>
      <c r="K1744" t="e">
        <f>VLOOKUP(F1744,'1PROJE'!$B$7:$F$26,5,0)</f>
        <v>#N/A</v>
      </c>
    </row>
    <row r="1745" spans="2:11">
      <c r="B1745">
        <f t="shared" si="296"/>
        <v>0</v>
      </c>
      <c r="F1745" s="57" t="e">
        <f t="shared" si="297"/>
        <v>#N/A</v>
      </c>
      <c r="G1745" t="str">
        <f t="shared" si="298"/>
        <v/>
      </c>
      <c r="I1745" t="e">
        <f>VLOOKUP(F1745,'1PROJE'!$B$7:$F$26,2,0)</f>
        <v>#N/A</v>
      </c>
      <c r="J1745" t="e">
        <f>VLOOKUP(F1745,'1PROJE'!$B$7:$F$26,4,0)</f>
        <v>#N/A</v>
      </c>
      <c r="K1745" t="e">
        <f>VLOOKUP(F1745,'1PROJE'!$B$7:$F$26,5,0)</f>
        <v>#N/A</v>
      </c>
    </row>
    <row r="1746" spans="2:11">
      <c r="B1746">
        <f t="shared" si="296"/>
        <v>0</v>
      </c>
      <c r="F1746" s="57" t="e">
        <f t="shared" si="297"/>
        <v>#N/A</v>
      </c>
      <c r="G1746" t="str">
        <f t="shared" si="298"/>
        <v/>
      </c>
      <c r="I1746" t="e">
        <f>VLOOKUP(F1746,'1PROJE'!$B$7:$F$26,2,0)</f>
        <v>#N/A</v>
      </c>
      <c r="J1746" t="e">
        <f>VLOOKUP(F1746,'1PROJE'!$B$7:$F$26,4,0)</f>
        <v>#N/A</v>
      </c>
      <c r="K1746" t="e">
        <f>VLOOKUP(F1746,'1PROJE'!$B$7:$F$26,5,0)</f>
        <v>#N/A</v>
      </c>
    </row>
    <row r="1747" spans="2:11">
      <c r="B1747">
        <f t="shared" si="296"/>
        <v>0</v>
      </c>
      <c r="F1747" s="57" t="e">
        <f t="shared" si="297"/>
        <v>#N/A</v>
      </c>
      <c r="G1747" t="str">
        <f t="shared" si="298"/>
        <v/>
      </c>
      <c r="I1747" t="e">
        <f>VLOOKUP(F1747,'1PROJE'!$B$7:$F$26,2,0)</f>
        <v>#N/A</v>
      </c>
      <c r="J1747" t="e">
        <f>VLOOKUP(F1747,'1PROJE'!$B$7:$F$26,4,0)</f>
        <v>#N/A</v>
      </c>
      <c r="K1747" t="e">
        <f>VLOOKUP(F1747,'1PROJE'!$B$7:$F$26,5,0)</f>
        <v>#N/A</v>
      </c>
    </row>
    <row r="1748" spans="2:11">
      <c r="B1748">
        <f t="shared" si="296"/>
        <v>0</v>
      </c>
      <c r="F1748" s="57" t="e">
        <f t="shared" si="297"/>
        <v>#N/A</v>
      </c>
      <c r="G1748" t="str">
        <f t="shared" si="298"/>
        <v/>
      </c>
      <c r="I1748" t="e">
        <f>VLOOKUP(F1748,'1PROJE'!$B$7:$F$26,2,0)</f>
        <v>#N/A</v>
      </c>
      <c r="J1748" t="e">
        <f>VLOOKUP(F1748,'1PROJE'!$B$7:$F$26,4,0)</f>
        <v>#N/A</v>
      </c>
      <c r="K1748" t="e">
        <f>VLOOKUP(F1748,'1PROJE'!$B$7:$F$26,5,0)</f>
        <v>#N/A</v>
      </c>
    </row>
    <row r="1749" spans="2:11">
      <c r="B1749">
        <f t="shared" si="296"/>
        <v>0</v>
      </c>
      <c r="F1749" s="57" t="e">
        <f t="shared" si="297"/>
        <v>#N/A</v>
      </c>
      <c r="G1749" t="str">
        <f t="shared" si="298"/>
        <v/>
      </c>
      <c r="I1749" t="e">
        <f>VLOOKUP(F1749,'1PROJE'!$B$7:$F$26,2,0)</f>
        <v>#N/A</v>
      </c>
      <c r="J1749" t="e">
        <f>VLOOKUP(F1749,'1PROJE'!$B$7:$F$26,4,0)</f>
        <v>#N/A</v>
      </c>
      <c r="K1749" t="e">
        <f>VLOOKUP(F1749,'1PROJE'!$B$7:$F$26,5,0)</f>
        <v>#N/A</v>
      </c>
    </row>
    <row r="1750" spans="2:11">
      <c r="B1750">
        <f t="shared" si="296"/>
        <v>0</v>
      </c>
      <c r="F1750" s="57" t="e">
        <f t="shared" si="297"/>
        <v>#N/A</v>
      </c>
      <c r="G1750" t="str">
        <f t="shared" si="298"/>
        <v/>
      </c>
      <c r="I1750" t="e">
        <f>VLOOKUP(F1750,'1PROJE'!$B$7:$F$26,2,0)</f>
        <v>#N/A</v>
      </c>
      <c r="J1750" t="e">
        <f>VLOOKUP(F1750,'1PROJE'!$B$7:$F$26,4,0)</f>
        <v>#N/A</v>
      </c>
      <c r="K1750" t="e">
        <f>VLOOKUP(F1750,'1PROJE'!$B$7:$F$26,5,0)</f>
        <v>#N/A</v>
      </c>
    </row>
    <row r="1751" spans="2:11">
      <c r="B1751">
        <f t="shared" si="296"/>
        <v>0</v>
      </c>
      <c r="F1751" s="57" t="e">
        <f t="shared" si="297"/>
        <v>#N/A</v>
      </c>
      <c r="G1751" t="str">
        <f t="shared" si="298"/>
        <v/>
      </c>
      <c r="I1751" t="e">
        <f>VLOOKUP(F1751,'1PROJE'!$B$7:$F$26,2,0)</f>
        <v>#N/A</v>
      </c>
      <c r="J1751" t="e">
        <f>VLOOKUP(F1751,'1PROJE'!$B$7:$F$26,4,0)</f>
        <v>#N/A</v>
      </c>
      <c r="K1751" t="e">
        <f>VLOOKUP(F1751,'1PROJE'!$B$7:$F$26,5,0)</f>
        <v>#N/A</v>
      </c>
    </row>
    <row r="1752" spans="2:11">
      <c r="B1752">
        <f t="shared" si="296"/>
        <v>0</v>
      </c>
      <c r="F1752" s="57" t="e">
        <f t="shared" si="297"/>
        <v>#N/A</v>
      </c>
      <c r="G1752" t="str">
        <f t="shared" si="298"/>
        <v/>
      </c>
      <c r="I1752" t="e">
        <f>VLOOKUP(F1752,'1PROJE'!$B$7:$F$26,2,0)</f>
        <v>#N/A</v>
      </c>
      <c r="J1752" t="e">
        <f>VLOOKUP(F1752,'1PROJE'!$B$7:$F$26,4,0)</f>
        <v>#N/A</v>
      </c>
      <c r="K1752" t="e">
        <f>VLOOKUP(F1752,'1PROJE'!$B$7:$F$26,5,0)</f>
        <v>#N/A</v>
      </c>
    </row>
    <row r="1753" spans="2:11">
      <c r="B1753">
        <f t="shared" si="296"/>
        <v>0</v>
      </c>
      <c r="F1753" s="57" t="e">
        <f t="shared" si="297"/>
        <v>#N/A</v>
      </c>
      <c r="G1753" t="str">
        <f t="shared" si="298"/>
        <v/>
      </c>
      <c r="I1753" t="e">
        <f>VLOOKUP(F1753,'1PROJE'!$B$7:$F$26,2,0)</f>
        <v>#N/A</v>
      </c>
      <c r="J1753" t="e">
        <f>VLOOKUP(F1753,'1PROJE'!$B$7:$F$26,4,0)</f>
        <v>#N/A</v>
      </c>
      <c r="K1753" t="e">
        <f>VLOOKUP(F1753,'1PROJE'!$B$7:$F$26,5,0)</f>
        <v>#N/A</v>
      </c>
    </row>
    <row r="1754" spans="2:11">
      <c r="B1754">
        <f t="shared" si="296"/>
        <v>0</v>
      </c>
      <c r="F1754" s="57" t="e">
        <f t="shared" si="297"/>
        <v>#N/A</v>
      </c>
      <c r="G1754" t="str">
        <f t="shared" si="298"/>
        <v/>
      </c>
      <c r="I1754" t="e">
        <f>VLOOKUP(F1754,'1PROJE'!$B$7:$F$26,2,0)</f>
        <v>#N/A</v>
      </c>
      <c r="J1754" t="e">
        <f>VLOOKUP(F1754,'1PROJE'!$B$7:$F$26,4,0)</f>
        <v>#N/A</v>
      </c>
      <c r="K1754" t="e">
        <f>VLOOKUP(F1754,'1PROJE'!$B$7:$F$26,5,0)</f>
        <v>#N/A</v>
      </c>
    </row>
    <row r="1755" spans="2:11">
      <c r="B1755">
        <f t="shared" si="296"/>
        <v>0</v>
      </c>
      <c r="F1755" s="57" t="e">
        <f t="shared" si="297"/>
        <v>#N/A</v>
      </c>
      <c r="G1755" t="str">
        <f t="shared" si="298"/>
        <v/>
      </c>
      <c r="I1755" t="e">
        <f>VLOOKUP(F1755,'1PROJE'!$B$7:$F$26,2,0)</f>
        <v>#N/A</v>
      </c>
      <c r="J1755" t="e">
        <f>VLOOKUP(F1755,'1PROJE'!$B$7:$F$26,4,0)</f>
        <v>#N/A</v>
      </c>
      <c r="K1755" t="e">
        <f>VLOOKUP(F1755,'1PROJE'!$B$7:$F$26,5,0)</f>
        <v>#N/A</v>
      </c>
    </row>
    <row r="1756" spans="2:11">
      <c r="B1756">
        <f t="shared" si="296"/>
        <v>0</v>
      </c>
      <c r="F1756" s="57" t="e">
        <f t="shared" si="297"/>
        <v>#N/A</v>
      </c>
      <c r="G1756" t="str">
        <f t="shared" si="298"/>
        <v/>
      </c>
      <c r="I1756" t="e">
        <f>VLOOKUP(F1756,'1PROJE'!$B$7:$F$26,2,0)</f>
        <v>#N/A</v>
      </c>
      <c r="J1756" t="e">
        <f>VLOOKUP(F1756,'1PROJE'!$B$7:$F$26,4,0)</f>
        <v>#N/A</v>
      </c>
      <c r="K1756" t="e">
        <f>VLOOKUP(F1756,'1PROJE'!$B$7:$F$26,5,0)</f>
        <v>#N/A</v>
      </c>
    </row>
    <row r="1757" spans="2:11">
      <c r="B1757">
        <f t="shared" si="296"/>
        <v>0</v>
      </c>
      <c r="F1757" s="57" t="e">
        <f t="shared" si="297"/>
        <v>#N/A</v>
      </c>
      <c r="G1757" t="str">
        <f t="shared" si="298"/>
        <v/>
      </c>
      <c r="I1757" t="e">
        <f>VLOOKUP(F1757,'1PROJE'!$B$7:$F$26,2,0)</f>
        <v>#N/A</v>
      </c>
      <c r="J1757" t="e">
        <f>VLOOKUP(F1757,'1PROJE'!$B$7:$F$26,4,0)</f>
        <v>#N/A</v>
      </c>
      <c r="K1757" t="e">
        <f>VLOOKUP(F1757,'1PROJE'!$B$7:$F$26,5,0)</f>
        <v>#N/A</v>
      </c>
    </row>
    <row r="1758" spans="2:11">
      <c r="B1758">
        <f t="shared" si="296"/>
        <v>0</v>
      </c>
      <c r="F1758" s="57" t="e">
        <f t="shared" si="297"/>
        <v>#N/A</v>
      </c>
      <c r="G1758" t="str">
        <f t="shared" si="298"/>
        <v/>
      </c>
      <c r="I1758" t="e">
        <f>VLOOKUP(F1758,'1PROJE'!$B$7:$F$26,2,0)</f>
        <v>#N/A</v>
      </c>
      <c r="J1758" t="e">
        <f>VLOOKUP(F1758,'1PROJE'!$B$7:$F$26,4,0)</f>
        <v>#N/A</v>
      </c>
      <c r="K1758" t="e">
        <f>VLOOKUP(F1758,'1PROJE'!$B$7:$F$26,5,0)</f>
        <v>#N/A</v>
      </c>
    </row>
    <row r="1759" spans="2:11">
      <c r="B1759">
        <f t="shared" ref="B1759:B1761" si="299">IF(($C$43-A159)&lt;0,0,"POZ"&amp;" "&amp;$R$61&amp;"."&amp;A159)</f>
        <v>0</v>
      </c>
      <c r="F1759" s="57" t="e">
        <f t="shared" si="297"/>
        <v>#N/A</v>
      </c>
      <c r="G1759" t="str">
        <f t="shared" si="298"/>
        <v/>
      </c>
      <c r="I1759" t="e">
        <f>VLOOKUP(F1759,'1PROJE'!$B$7:$F$26,2,0)</f>
        <v>#N/A</v>
      </c>
      <c r="J1759" t="e">
        <f>VLOOKUP(F1759,'1PROJE'!$B$7:$F$26,4,0)</f>
        <v>#N/A</v>
      </c>
      <c r="K1759" t="e">
        <f>VLOOKUP(F1759,'1PROJE'!$B$7:$F$26,5,0)</f>
        <v>#N/A</v>
      </c>
    </row>
    <row r="1760" spans="2:11">
      <c r="B1760">
        <f t="shared" si="299"/>
        <v>0</v>
      </c>
      <c r="F1760" s="57" t="e">
        <f t="shared" si="297"/>
        <v>#N/A</v>
      </c>
      <c r="G1760" t="str">
        <f t="shared" si="298"/>
        <v/>
      </c>
      <c r="I1760" t="e">
        <f>VLOOKUP(F1760,'1PROJE'!$B$7:$F$26,2,0)</f>
        <v>#N/A</v>
      </c>
      <c r="J1760" t="e">
        <f>VLOOKUP(F1760,'1PROJE'!$B$7:$F$26,4,0)</f>
        <v>#N/A</v>
      </c>
      <c r="K1760" t="e">
        <f>VLOOKUP(F1760,'1PROJE'!$B$7:$F$26,5,0)</f>
        <v>#N/A</v>
      </c>
    </row>
    <row r="1761" spans="2:11">
      <c r="B1761">
        <f t="shared" si="299"/>
        <v>0</v>
      </c>
      <c r="F1761" s="57" t="e">
        <f t="shared" si="297"/>
        <v>#N/A</v>
      </c>
      <c r="G1761" t="str">
        <f t="shared" si="298"/>
        <v/>
      </c>
      <c r="I1761" t="e">
        <f>VLOOKUP(F1761,'1PROJE'!$B$7:$F$26,2,0)</f>
        <v>#N/A</v>
      </c>
      <c r="J1761" t="e">
        <f>VLOOKUP(F1761,'1PROJE'!$B$7:$F$26,4,0)</f>
        <v>#N/A</v>
      </c>
      <c r="K1761" t="e">
        <f>VLOOKUP(F1761,'1PROJE'!$B$7:$F$26,5,0)</f>
        <v>#N/A</v>
      </c>
    </row>
    <row r="1762" spans="2:11">
      <c r="B1762">
        <f>IF(C44=0,0,IF(($C$44-A62)=0,"POZ 18.","POZ"&amp;" "&amp;$S$61&amp;"."&amp;A62))</f>
        <v>0</v>
      </c>
      <c r="F1762" s="57" t="e">
        <f t="shared" si="297"/>
        <v>#N/A</v>
      </c>
      <c r="G1762" t="str">
        <f t="shared" si="298"/>
        <v/>
      </c>
      <c r="I1762" t="e">
        <f>VLOOKUP(F1762,'1PROJE'!$B$7:$F$26,2,0)</f>
        <v>#N/A</v>
      </c>
      <c r="J1762" t="e">
        <f>VLOOKUP(F1762,'1PROJE'!$B$7:$F$26,4,0)</f>
        <v>#N/A</v>
      </c>
      <c r="K1762" t="e">
        <f>VLOOKUP(F1762,'1PROJE'!$B$7:$F$26,5,0)</f>
        <v>#N/A</v>
      </c>
    </row>
    <row r="1763" spans="2:11">
      <c r="B1763">
        <f t="shared" ref="B1763:B1794" si="300">IF(($C$44-A63)&lt;0,0,"POZ"&amp;" "&amp;$S$61&amp;"."&amp;A63)</f>
        <v>0</v>
      </c>
      <c r="F1763" s="57" t="e">
        <f t="shared" si="297"/>
        <v>#N/A</v>
      </c>
      <c r="G1763" t="str">
        <f t="shared" si="298"/>
        <v/>
      </c>
      <c r="I1763" t="e">
        <f>VLOOKUP(F1763,'1PROJE'!$B$7:$F$26,2,0)</f>
        <v>#N/A</v>
      </c>
      <c r="J1763" t="e">
        <f>VLOOKUP(F1763,'1PROJE'!$B$7:$F$26,4,0)</f>
        <v>#N/A</v>
      </c>
      <c r="K1763" t="e">
        <f>VLOOKUP(F1763,'1PROJE'!$B$7:$F$26,5,0)</f>
        <v>#N/A</v>
      </c>
    </row>
    <row r="1764" spans="2:11">
      <c r="B1764">
        <f t="shared" si="300"/>
        <v>0</v>
      </c>
      <c r="F1764" s="57" t="e">
        <f t="shared" si="297"/>
        <v>#N/A</v>
      </c>
      <c r="G1764" t="str">
        <f t="shared" si="298"/>
        <v/>
      </c>
      <c r="I1764" t="e">
        <f>VLOOKUP(F1764,'1PROJE'!$B$7:$F$26,2,0)</f>
        <v>#N/A</v>
      </c>
      <c r="J1764" t="e">
        <f>VLOOKUP(F1764,'1PROJE'!$B$7:$F$26,4,0)</f>
        <v>#N/A</v>
      </c>
      <c r="K1764" t="e">
        <f>VLOOKUP(F1764,'1PROJE'!$B$7:$F$26,5,0)</f>
        <v>#N/A</v>
      </c>
    </row>
    <row r="1765" spans="2:11">
      <c r="B1765">
        <f t="shared" si="300"/>
        <v>0</v>
      </c>
      <c r="F1765" s="57" t="e">
        <f t="shared" si="297"/>
        <v>#N/A</v>
      </c>
      <c r="G1765" t="str">
        <f t="shared" si="298"/>
        <v/>
      </c>
      <c r="I1765" t="e">
        <f>VLOOKUP(F1765,'1PROJE'!$B$7:$F$26,2,0)</f>
        <v>#N/A</v>
      </c>
      <c r="J1765" t="e">
        <f>VLOOKUP(F1765,'1PROJE'!$B$7:$F$26,4,0)</f>
        <v>#N/A</v>
      </c>
      <c r="K1765" t="e">
        <f>VLOOKUP(F1765,'1PROJE'!$B$7:$F$26,5,0)</f>
        <v>#N/A</v>
      </c>
    </row>
    <row r="1766" spans="2:11">
      <c r="B1766">
        <f t="shared" si="300"/>
        <v>0</v>
      </c>
      <c r="F1766" s="57" t="e">
        <f t="shared" si="297"/>
        <v>#N/A</v>
      </c>
      <c r="G1766" t="str">
        <f t="shared" si="298"/>
        <v/>
      </c>
      <c r="I1766" t="e">
        <f>VLOOKUP(F1766,'1PROJE'!$B$7:$F$26,2,0)</f>
        <v>#N/A</v>
      </c>
      <c r="J1766" t="e">
        <f>VLOOKUP(F1766,'1PROJE'!$B$7:$F$26,4,0)</f>
        <v>#N/A</v>
      </c>
      <c r="K1766" t="e">
        <f>VLOOKUP(F1766,'1PROJE'!$B$7:$F$26,5,0)</f>
        <v>#N/A</v>
      </c>
    </row>
    <row r="1767" spans="2:11">
      <c r="B1767">
        <f t="shared" si="300"/>
        <v>0</v>
      </c>
      <c r="F1767" s="57" t="e">
        <f t="shared" si="297"/>
        <v>#N/A</v>
      </c>
      <c r="G1767" t="str">
        <f t="shared" si="298"/>
        <v/>
      </c>
      <c r="I1767" t="e">
        <f>VLOOKUP(F1767,'1PROJE'!$B$7:$F$26,2,0)</f>
        <v>#N/A</v>
      </c>
      <c r="J1767" t="e">
        <f>VLOOKUP(F1767,'1PROJE'!$B$7:$F$26,4,0)</f>
        <v>#N/A</v>
      </c>
      <c r="K1767" t="e">
        <f>VLOOKUP(F1767,'1PROJE'!$B$7:$F$26,5,0)</f>
        <v>#N/A</v>
      </c>
    </row>
    <row r="1768" spans="2:11">
      <c r="B1768">
        <f t="shared" si="300"/>
        <v>0</v>
      </c>
      <c r="F1768" s="57" t="e">
        <f t="shared" si="297"/>
        <v>#N/A</v>
      </c>
      <c r="G1768" t="str">
        <f t="shared" si="298"/>
        <v/>
      </c>
      <c r="I1768" t="e">
        <f>VLOOKUP(F1768,'1PROJE'!$B$7:$F$26,2,0)</f>
        <v>#N/A</v>
      </c>
      <c r="J1768" t="e">
        <f>VLOOKUP(F1768,'1PROJE'!$B$7:$F$26,4,0)</f>
        <v>#N/A</v>
      </c>
      <c r="K1768" t="e">
        <f>VLOOKUP(F1768,'1PROJE'!$B$7:$F$26,5,0)</f>
        <v>#N/A</v>
      </c>
    </row>
    <row r="1769" spans="2:11">
      <c r="B1769">
        <f t="shared" si="300"/>
        <v>0</v>
      </c>
      <c r="F1769" s="57" t="e">
        <f t="shared" si="297"/>
        <v>#N/A</v>
      </c>
      <c r="G1769" t="str">
        <f t="shared" si="298"/>
        <v/>
      </c>
      <c r="I1769" t="e">
        <f>VLOOKUP(F1769,'1PROJE'!$B$7:$F$26,2,0)</f>
        <v>#N/A</v>
      </c>
      <c r="J1769" t="e">
        <f>VLOOKUP(F1769,'1PROJE'!$B$7:$F$26,4,0)</f>
        <v>#N/A</v>
      </c>
      <c r="K1769" t="e">
        <f>VLOOKUP(F1769,'1PROJE'!$B$7:$F$26,5,0)</f>
        <v>#N/A</v>
      </c>
    </row>
    <row r="1770" spans="2:11">
      <c r="B1770">
        <f t="shared" si="300"/>
        <v>0</v>
      </c>
      <c r="F1770" s="57" t="e">
        <f t="shared" si="297"/>
        <v>#N/A</v>
      </c>
      <c r="G1770" t="str">
        <f t="shared" si="298"/>
        <v/>
      </c>
      <c r="I1770" t="e">
        <f>VLOOKUP(F1770,'1PROJE'!$B$7:$F$26,2,0)</f>
        <v>#N/A</v>
      </c>
      <c r="J1770" t="e">
        <f>VLOOKUP(F1770,'1PROJE'!$B$7:$F$26,4,0)</f>
        <v>#N/A</v>
      </c>
      <c r="K1770" t="e">
        <f>VLOOKUP(F1770,'1PROJE'!$B$7:$F$26,5,0)</f>
        <v>#N/A</v>
      </c>
    </row>
    <row r="1771" spans="2:11">
      <c r="B1771">
        <f t="shared" si="300"/>
        <v>0</v>
      </c>
      <c r="F1771" s="57" t="e">
        <f t="shared" si="297"/>
        <v>#N/A</v>
      </c>
      <c r="G1771" t="str">
        <f t="shared" si="298"/>
        <v/>
      </c>
      <c r="I1771" t="e">
        <f>VLOOKUP(F1771,'1PROJE'!$B$7:$F$26,2,0)</f>
        <v>#N/A</v>
      </c>
      <c r="J1771" t="e">
        <f>VLOOKUP(F1771,'1PROJE'!$B$7:$F$26,4,0)</f>
        <v>#N/A</v>
      </c>
      <c r="K1771" t="e">
        <f>VLOOKUP(F1771,'1PROJE'!$B$7:$F$26,5,0)</f>
        <v>#N/A</v>
      </c>
    </row>
    <row r="1772" spans="2:11">
      <c r="B1772">
        <f t="shared" si="300"/>
        <v>0</v>
      </c>
      <c r="F1772" s="57" t="e">
        <f t="shared" si="297"/>
        <v>#N/A</v>
      </c>
      <c r="G1772" t="str">
        <f t="shared" si="298"/>
        <v/>
      </c>
      <c r="I1772" t="e">
        <f>VLOOKUP(F1772,'1PROJE'!$B$7:$F$26,2,0)</f>
        <v>#N/A</v>
      </c>
      <c r="J1772" t="e">
        <f>VLOOKUP(F1772,'1PROJE'!$B$7:$F$26,4,0)</f>
        <v>#N/A</v>
      </c>
      <c r="K1772" t="e">
        <f>VLOOKUP(F1772,'1PROJE'!$B$7:$F$26,5,0)</f>
        <v>#N/A</v>
      </c>
    </row>
    <row r="1773" spans="2:11">
      <c r="B1773">
        <f t="shared" si="300"/>
        <v>0</v>
      </c>
      <c r="F1773" s="57" t="e">
        <f t="shared" si="297"/>
        <v>#N/A</v>
      </c>
      <c r="G1773" t="str">
        <f t="shared" si="298"/>
        <v/>
      </c>
      <c r="I1773" t="e">
        <f>VLOOKUP(F1773,'1PROJE'!$B$7:$F$26,2,0)</f>
        <v>#N/A</v>
      </c>
      <c r="J1773" t="e">
        <f>VLOOKUP(F1773,'1PROJE'!$B$7:$F$26,4,0)</f>
        <v>#N/A</v>
      </c>
      <c r="K1773" t="e">
        <f>VLOOKUP(F1773,'1PROJE'!$B$7:$F$26,5,0)</f>
        <v>#N/A</v>
      </c>
    </row>
    <row r="1774" spans="2:11">
      <c r="B1774">
        <f t="shared" si="300"/>
        <v>0</v>
      </c>
      <c r="F1774" s="57" t="e">
        <f t="shared" si="297"/>
        <v>#N/A</v>
      </c>
      <c r="G1774" t="str">
        <f t="shared" si="298"/>
        <v/>
      </c>
      <c r="I1774" t="e">
        <f>VLOOKUP(F1774,'1PROJE'!$B$7:$F$26,2,0)</f>
        <v>#N/A</v>
      </c>
      <c r="J1774" t="e">
        <f>VLOOKUP(F1774,'1PROJE'!$B$7:$F$26,4,0)</f>
        <v>#N/A</v>
      </c>
      <c r="K1774" t="e">
        <f>VLOOKUP(F1774,'1PROJE'!$B$7:$F$26,5,0)</f>
        <v>#N/A</v>
      </c>
    </row>
    <row r="1775" spans="2:11">
      <c r="B1775">
        <f t="shared" si="300"/>
        <v>0</v>
      </c>
      <c r="F1775" s="57" t="e">
        <f t="shared" si="297"/>
        <v>#N/A</v>
      </c>
      <c r="G1775" t="str">
        <f t="shared" si="298"/>
        <v/>
      </c>
      <c r="I1775" t="e">
        <f>VLOOKUP(F1775,'1PROJE'!$B$7:$F$26,2,0)</f>
        <v>#N/A</v>
      </c>
      <c r="J1775" t="e">
        <f>VLOOKUP(F1775,'1PROJE'!$B$7:$F$26,4,0)</f>
        <v>#N/A</v>
      </c>
      <c r="K1775" t="e">
        <f>VLOOKUP(F1775,'1PROJE'!$B$7:$F$26,5,0)</f>
        <v>#N/A</v>
      </c>
    </row>
    <row r="1776" spans="2:11">
      <c r="B1776">
        <f t="shared" si="300"/>
        <v>0</v>
      </c>
      <c r="F1776" s="57" t="e">
        <f t="shared" si="297"/>
        <v>#N/A</v>
      </c>
      <c r="G1776" t="str">
        <f t="shared" si="298"/>
        <v/>
      </c>
      <c r="I1776" t="e">
        <f>VLOOKUP(F1776,'1PROJE'!$B$7:$F$26,2,0)</f>
        <v>#N/A</v>
      </c>
      <c r="J1776" t="e">
        <f>VLOOKUP(F1776,'1PROJE'!$B$7:$F$26,4,0)</f>
        <v>#N/A</v>
      </c>
      <c r="K1776" t="e">
        <f>VLOOKUP(F1776,'1PROJE'!$B$7:$F$26,5,0)</f>
        <v>#N/A</v>
      </c>
    </row>
    <row r="1777" spans="2:11">
      <c r="B1777">
        <f t="shared" si="300"/>
        <v>0</v>
      </c>
      <c r="F1777" s="57" t="e">
        <f t="shared" si="297"/>
        <v>#N/A</v>
      </c>
      <c r="G1777" t="str">
        <f t="shared" si="298"/>
        <v/>
      </c>
      <c r="I1777" t="e">
        <f>VLOOKUP(F1777,'1PROJE'!$B$7:$F$26,2,0)</f>
        <v>#N/A</v>
      </c>
      <c r="J1777" t="e">
        <f>VLOOKUP(F1777,'1PROJE'!$B$7:$F$26,4,0)</f>
        <v>#N/A</v>
      </c>
      <c r="K1777" t="e">
        <f>VLOOKUP(F1777,'1PROJE'!$B$7:$F$26,5,0)</f>
        <v>#N/A</v>
      </c>
    </row>
    <row r="1778" spans="2:11">
      <c r="B1778">
        <f t="shared" si="300"/>
        <v>0</v>
      </c>
      <c r="F1778" s="57" t="e">
        <f t="shared" si="297"/>
        <v>#N/A</v>
      </c>
      <c r="G1778" t="str">
        <f t="shared" si="298"/>
        <v/>
      </c>
      <c r="I1778" t="e">
        <f>VLOOKUP(F1778,'1PROJE'!$B$7:$F$26,2,0)</f>
        <v>#N/A</v>
      </c>
      <c r="J1778" t="e">
        <f>VLOOKUP(F1778,'1PROJE'!$B$7:$F$26,4,0)</f>
        <v>#N/A</v>
      </c>
      <c r="K1778" t="e">
        <f>VLOOKUP(F1778,'1PROJE'!$B$7:$F$26,5,0)</f>
        <v>#N/A</v>
      </c>
    </row>
    <row r="1779" spans="2:11">
      <c r="B1779">
        <f t="shared" si="300"/>
        <v>0</v>
      </c>
      <c r="F1779" s="57" t="e">
        <f t="shared" si="297"/>
        <v>#N/A</v>
      </c>
      <c r="G1779" t="str">
        <f t="shared" si="298"/>
        <v/>
      </c>
      <c r="I1779" t="e">
        <f>VLOOKUP(F1779,'1PROJE'!$B$7:$F$26,2,0)</f>
        <v>#N/A</v>
      </c>
      <c r="J1779" t="e">
        <f>VLOOKUP(F1779,'1PROJE'!$B$7:$F$26,4,0)</f>
        <v>#N/A</v>
      </c>
      <c r="K1779" t="e">
        <f>VLOOKUP(F1779,'1PROJE'!$B$7:$F$26,5,0)</f>
        <v>#N/A</v>
      </c>
    </row>
    <row r="1780" spans="2:11">
      <c r="B1780">
        <f t="shared" si="300"/>
        <v>0</v>
      </c>
      <c r="F1780" s="57" t="e">
        <f t="shared" si="297"/>
        <v>#N/A</v>
      </c>
      <c r="G1780" t="str">
        <f t="shared" si="298"/>
        <v/>
      </c>
      <c r="I1780" t="e">
        <f>VLOOKUP(F1780,'1PROJE'!$B$7:$F$26,2,0)</f>
        <v>#N/A</v>
      </c>
      <c r="J1780" t="e">
        <f>VLOOKUP(F1780,'1PROJE'!$B$7:$F$26,4,0)</f>
        <v>#N/A</v>
      </c>
      <c r="K1780" t="e">
        <f>VLOOKUP(F1780,'1PROJE'!$B$7:$F$26,5,0)</f>
        <v>#N/A</v>
      </c>
    </row>
    <row r="1781" spans="2:11">
      <c r="B1781">
        <f t="shared" si="300"/>
        <v>0</v>
      </c>
      <c r="F1781" s="57" t="e">
        <f t="shared" si="297"/>
        <v>#N/A</v>
      </c>
      <c r="G1781" t="str">
        <f t="shared" si="298"/>
        <v/>
      </c>
      <c r="I1781" t="e">
        <f>VLOOKUP(F1781,'1PROJE'!$B$7:$F$26,2,0)</f>
        <v>#N/A</v>
      </c>
      <c r="J1781" t="e">
        <f>VLOOKUP(F1781,'1PROJE'!$B$7:$F$26,4,0)</f>
        <v>#N/A</v>
      </c>
      <c r="K1781" t="e">
        <f>VLOOKUP(F1781,'1PROJE'!$B$7:$F$26,5,0)</f>
        <v>#N/A</v>
      </c>
    </row>
    <row r="1782" spans="2:11">
      <c r="B1782">
        <f t="shared" si="300"/>
        <v>0</v>
      </c>
      <c r="F1782" s="57" t="e">
        <f t="shared" si="297"/>
        <v>#N/A</v>
      </c>
      <c r="G1782" t="str">
        <f t="shared" si="298"/>
        <v/>
      </c>
      <c r="I1782" t="e">
        <f>VLOOKUP(F1782,'1PROJE'!$B$7:$F$26,2,0)</f>
        <v>#N/A</v>
      </c>
      <c r="J1782" t="e">
        <f>VLOOKUP(F1782,'1PROJE'!$B$7:$F$26,4,0)</f>
        <v>#N/A</v>
      </c>
      <c r="K1782" t="e">
        <f>VLOOKUP(F1782,'1PROJE'!$B$7:$F$26,5,0)</f>
        <v>#N/A</v>
      </c>
    </row>
    <row r="1783" spans="2:11">
      <c r="B1783">
        <f t="shared" si="300"/>
        <v>0</v>
      </c>
      <c r="F1783" s="57" t="e">
        <f t="shared" si="297"/>
        <v>#N/A</v>
      </c>
      <c r="G1783" t="str">
        <f t="shared" si="298"/>
        <v/>
      </c>
      <c r="I1783" t="e">
        <f>VLOOKUP(F1783,'1PROJE'!$B$7:$F$26,2,0)</f>
        <v>#N/A</v>
      </c>
      <c r="J1783" t="e">
        <f>VLOOKUP(F1783,'1PROJE'!$B$7:$F$26,4,0)</f>
        <v>#N/A</v>
      </c>
      <c r="K1783" t="e">
        <f>VLOOKUP(F1783,'1PROJE'!$B$7:$F$26,5,0)</f>
        <v>#N/A</v>
      </c>
    </row>
    <row r="1784" spans="2:11">
      <c r="B1784">
        <f t="shared" si="300"/>
        <v>0</v>
      </c>
      <c r="F1784" s="57" t="e">
        <f t="shared" si="297"/>
        <v>#N/A</v>
      </c>
      <c r="G1784" t="str">
        <f t="shared" si="298"/>
        <v/>
      </c>
      <c r="I1784" t="e">
        <f>VLOOKUP(F1784,'1PROJE'!$B$7:$F$26,2,0)</f>
        <v>#N/A</v>
      </c>
      <c r="J1784" t="e">
        <f>VLOOKUP(F1784,'1PROJE'!$B$7:$F$26,4,0)</f>
        <v>#N/A</v>
      </c>
      <c r="K1784" t="e">
        <f>VLOOKUP(F1784,'1PROJE'!$B$7:$F$26,5,0)</f>
        <v>#N/A</v>
      </c>
    </row>
    <row r="1785" spans="2:11">
      <c r="B1785">
        <f t="shared" si="300"/>
        <v>0</v>
      </c>
      <c r="F1785" s="57" t="e">
        <f t="shared" si="297"/>
        <v>#N/A</v>
      </c>
      <c r="G1785" t="str">
        <f t="shared" si="298"/>
        <v/>
      </c>
      <c r="I1785" t="e">
        <f>VLOOKUP(F1785,'1PROJE'!$B$7:$F$26,2,0)</f>
        <v>#N/A</v>
      </c>
      <c r="J1785" t="e">
        <f>VLOOKUP(F1785,'1PROJE'!$B$7:$F$26,4,0)</f>
        <v>#N/A</v>
      </c>
      <c r="K1785" t="e">
        <f>VLOOKUP(F1785,'1PROJE'!$B$7:$F$26,5,0)</f>
        <v>#N/A</v>
      </c>
    </row>
    <row r="1786" spans="2:11">
      <c r="B1786">
        <f t="shared" si="300"/>
        <v>0</v>
      </c>
      <c r="F1786" s="57" t="e">
        <f t="shared" si="297"/>
        <v>#N/A</v>
      </c>
      <c r="G1786" t="str">
        <f t="shared" si="298"/>
        <v/>
      </c>
      <c r="I1786" t="e">
        <f>VLOOKUP(F1786,'1PROJE'!$B$7:$F$26,2,0)</f>
        <v>#N/A</v>
      </c>
      <c r="J1786" t="e">
        <f>VLOOKUP(F1786,'1PROJE'!$B$7:$F$26,4,0)</f>
        <v>#N/A</v>
      </c>
      <c r="K1786" t="e">
        <f>VLOOKUP(F1786,'1PROJE'!$B$7:$F$26,5,0)</f>
        <v>#N/A</v>
      </c>
    </row>
    <row r="1787" spans="2:11">
      <c r="B1787">
        <f t="shared" si="300"/>
        <v>0</v>
      </c>
      <c r="F1787" s="57" t="e">
        <f t="shared" si="297"/>
        <v>#N/A</v>
      </c>
      <c r="G1787" t="str">
        <f t="shared" si="298"/>
        <v/>
      </c>
      <c r="I1787" t="e">
        <f>VLOOKUP(F1787,'1PROJE'!$B$7:$F$26,2,0)</f>
        <v>#N/A</v>
      </c>
      <c r="J1787" t="e">
        <f>VLOOKUP(F1787,'1PROJE'!$B$7:$F$26,4,0)</f>
        <v>#N/A</v>
      </c>
      <c r="K1787" t="e">
        <f>VLOOKUP(F1787,'1PROJE'!$B$7:$F$26,5,0)</f>
        <v>#N/A</v>
      </c>
    </row>
    <row r="1788" spans="2:11">
      <c r="B1788">
        <f t="shared" si="300"/>
        <v>0</v>
      </c>
      <c r="F1788" s="57" t="e">
        <f t="shared" si="297"/>
        <v>#N/A</v>
      </c>
      <c r="G1788" t="str">
        <f t="shared" si="298"/>
        <v/>
      </c>
      <c r="I1788" t="e">
        <f>VLOOKUP(F1788,'1PROJE'!$B$7:$F$26,2,0)</f>
        <v>#N/A</v>
      </c>
      <c r="J1788" t="e">
        <f>VLOOKUP(F1788,'1PROJE'!$B$7:$F$26,4,0)</f>
        <v>#N/A</v>
      </c>
      <c r="K1788" t="e">
        <f>VLOOKUP(F1788,'1PROJE'!$B$7:$F$26,5,0)</f>
        <v>#N/A</v>
      </c>
    </row>
    <row r="1789" spans="2:11">
      <c r="B1789">
        <f t="shared" si="300"/>
        <v>0</v>
      </c>
      <c r="F1789" s="57" t="e">
        <f t="shared" si="297"/>
        <v>#N/A</v>
      </c>
      <c r="G1789" t="str">
        <f t="shared" si="298"/>
        <v/>
      </c>
      <c r="I1789" t="e">
        <f>VLOOKUP(F1789,'1PROJE'!$B$7:$F$26,2,0)</f>
        <v>#N/A</v>
      </c>
      <c r="J1789" t="e">
        <f>VLOOKUP(F1789,'1PROJE'!$B$7:$F$26,4,0)</f>
        <v>#N/A</v>
      </c>
      <c r="K1789" t="e">
        <f>VLOOKUP(F1789,'1PROJE'!$B$7:$F$26,5,0)</f>
        <v>#N/A</v>
      </c>
    </row>
    <row r="1790" spans="2:11">
      <c r="B1790">
        <f t="shared" si="300"/>
        <v>0</v>
      </c>
      <c r="F1790" s="57" t="e">
        <f t="shared" si="297"/>
        <v>#N/A</v>
      </c>
      <c r="G1790" t="str">
        <f t="shared" si="298"/>
        <v/>
      </c>
      <c r="I1790" t="e">
        <f>VLOOKUP(F1790,'1PROJE'!$B$7:$F$26,2,0)</f>
        <v>#N/A</v>
      </c>
      <c r="J1790" t="e">
        <f>VLOOKUP(F1790,'1PROJE'!$B$7:$F$26,4,0)</f>
        <v>#N/A</v>
      </c>
      <c r="K1790" t="e">
        <f>VLOOKUP(F1790,'1PROJE'!$B$7:$F$26,5,0)</f>
        <v>#N/A</v>
      </c>
    </row>
    <row r="1791" spans="2:11">
      <c r="B1791">
        <f t="shared" si="300"/>
        <v>0</v>
      </c>
      <c r="F1791" s="57" t="e">
        <f t="shared" si="297"/>
        <v>#N/A</v>
      </c>
      <c r="G1791" t="str">
        <f t="shared" si="298"/>
        <v/>
      </c>
      <c r="I1791" t="e">
        <f>VLOOKUP(F1791,'1PROJE'!$B$7:$F$26,2,0)</f>
        <v>#N/A</v>
      </c>
      <c r="J1791" t="e">
        <f>VLOOKUP(F1791,'1PROJE'!$B$7:$F$26,4,0)</f>
        <v>#N/A</v>
      </c>
      <c r="K1791" t="e">
        <f>VLOOKUP(F1791,'1PROJE'!$B$7:$F$26,5,0)</f>
        <v>#N/A</v>
      </c>
    </row>
    <row r="1792" spans="2:11">
      <c r="B1792">
        <f t="shared" si="300"/>
        <v>0</v>
      </c>
      <c r="F1792" s="57" t="e">
        <f t="shared" si="297"/>
        <v>#N/A</v>
      </c>
      <c r="G1792" t="str">
        <f t="shared" si="298"/>
        <v/>
      </c>
      <c r="I1792" t="e">
        <f>VLOOKUP(F1792,'1PROJE'!$B$7:$F$26,2,0)</f>
        <v>#N/A</v>
      </c>
      <c r="J1792" t="e">
        <f>VLOOKUP(F1792,'1PROJE'!$B$7:$F$26,4,0)</f>
        <v>#N/A</v>
      </c>
      <c r="K1792" t="e">
        <f>VLOOKUP(F1792,'1PROJE'!$B$7:$F$26,5,0)</f>
        <v>#N/A</v>
      </c>
    </row>
    <row r="1793" spans="2:11">
      <c r="B1793">
        <f t="shared" si="300"/>
        <v>0</v>
      </c>
      <c r="F1793" s="57" t="e">
        <f t="shared" si="297"/>
        <v>#N/A</v>
      </c>
      <c r="G1793" t="str">
        <f t="shared" si="298"/>
        <v/>
      </c>
      <c r="I1793" t="e">
        <f>VLOOKUP(F1793,'1PROJE'!$B$7:$F$26,2,0)</f>
        <v>#N/A</v>
      </c>
      <c r="J1793" t="e">
        <f>VLOOKUP(F1793,'1PROJE'!$B$7:$F$26,4,0)</f>
        <v>#N/A</v>
      </c>
      <c r="K1793" t="e">
        <f>VLOOKUP(F1793,'1PROJE'!$B$7:$F$26,5,0)</f>
        <v>#N/A</v>
      </c>
    </row>
    <row r="1794" spans="2:11">
      <c r="B1794">
        <f t="shared" si="300"/>
        <v>0</v>
      </c>
      <c r="F1794" s="57" t="e">
        <f t="shared" si="297"/>
        <v>#N/A</v>
      </c>
      <c r="G1794" t="str">
        <f t="shared" si="298"/>
        <v/>
      </c>
      <c r="I1794" t="e">
        <f>VLOOKUP(F1794,'1PROJE'!$B$7:$F$26,2,0)</f>
        <v>#N/A</v>
      </c>
      <c r="J1794" t="e">
        <f>VLOOKUP(F1794,'1PROJE'!$B$7:$F$26,4,0)</f>
        <v>#N/A</v>
      </c>
      <c r="K1794" t="e">
        <f>VLOOKUP(F1794,'1PROJE'!$B$7:$F$26,5,0)</f>
        <v>#N/A</v>
      </c>
    </row>
    <row r="1795" spans="2:11">
      <c r="B1795">
        <f t="shared" ref="B1795:B1826" si="301">IF(($C$44-A95)&lt;0,0,"POZ"&amp;" "&amp;$S$61&amp;"."&amp;A95)</f>
        <v>0</v>
      </c>
      <c r="F1795" s="57" t="e">
        <f t="shared" si="297"/>
        <v>#N/A</v>
      </c>
      <c r="G1795" t="str">
        <f t="shared" si="298"/>
        <v/>
      </c>
      <c r="I1795" t="e">
        <f>VLOOKUP(F1795,'1PROJE'!$B$7:$F$26,2,0)</f>
        <v>#N/A</v>
      </c>
      <c r="J1795" t="e">
        <f>VLOOKUP(F1795,'1PROJE'!$B$7:$F$26,4,0)</f>
        <v>#N/A</v>
      </c>
      <c r="K1795" t="e">
        <f>VLOOKUP(F1795,'1PROJE'!$B$7:$F$26,5,0)</f>
        <v>#N/A</v>
      </c>
    </row>
    <row r="1796" spans="2:11">
      <c r="B1796">
        <f t="shared" si="301"/>
        <v>0</v>
      </c>
      <c r="F1796" s="57" t="e">
        <f t="shared" si="297"/>
        <v>#N/A</v>
      </c>
      <c r="G1796" t="str">
        <f t="shared" si="298"/>
        <v/>
      </c>
      <c r="I1796" t="e">
        <f>VLOOKUP(F1796,'1PROJE'!$B$7:$F$26,2,0)</f>
        <v>#N/A</v>
      </c>
      <c r="J1796" t="e">
        <f>VLOOKUP(F1796,'1PROJE'!$B$7:$F$26,4,0)</f>
        <v>#N/A</v>
      </c>
      <c r="K1796" t="e">
        <f>VLOOKUP(F1796,'1PROJE'!$B$7:$F$26,5,0)</f>
        <v>#N/A</v>
      </c>
    </row>
    <row r="1797" spans="2:11">
      <c r="B1797">
        <f t="shared" si="301"/>
        <v>0</v>
      </c>
      <c r="F1797" s="57" t="e">
        <f t="shared" si="297"/>
        <v>#N/A</v>
      </c>
      <c r="G1797" t="str">
        <f t="shared" si="298"/>
        <v/>
      </c>
      <c r="I1797" t="e">
        <f>VLOOKUP(F1797,'1PROJE'!$B$7:$F$26,2,0)</f>
        <v>#N/A</v>
      </c>
      <c r="J1797" t="e">
        <f>VLOOKUP(F1797,'1PROJE'!$B$7:$F$26,4,0)</f>
        <v>#N/A</v>
      </c>
      <c r="K1797" t="e">
        <f>VLOOKUP(F1797,'1PROJE'!$B$7:$F$26,5,0)</f>
        <v>#N/A</v>
      </c>
    </row>
    <row r="1798" spans="2:11">
      <c r="B1798">
        <f t="shared" si="301"/>
        <v>0</v>
      </c>
      <c r="F1798" s="57" t="e">
        <f t="shared" si="297"/>
        <v>#N/A</v>
      </c>
      <c r="G1798" t="str">
        <f t="shared" si="298"/>
        <v/>
      </c>
      <c r="I1798" t="e">
        <f>VLOOKUP(F1798,'1PROJE'!$B$7:$F$26,2,0)</f>
        <v>#N/A</v>
      </c>
      <c r="J1798" t="e">
        <f>VLOOKUP(F1798,'1PROJE'!$B$7:$F$26,4,0)</f>
        <v>#N/A</v>
      </c>
      <c r="K1798" t="e">
        <f>VLOOKUP(F1798,'1PROJE'!$B$7:$F$26,5,0)</f>
        <v>#N/A</v>
      </c>
    </row>
    <row r="1799" spans="2:11">
      <c r="B1799">
        <f t="shared" si="301"/>
        <v>0</v>
      </c>
      <c r="F1799" s="57" t="e">
        <f t="shared" si="297"/>
        <v>#N/A</v>
      </c>
      <c r="G1799" t="str">
        <f t="shared" si="298"/>
        <v/>
      </c>
      <c r="I1799" t="e">
        <f>VLOOKUP(F1799,'1PROJE'!$B$7:$F$26,2,0)</f>
        <v>#N/A</v>
      </c>
      <c r="J1799" t="e">
        <f>VLOOKUP(F1799,'1PROJE'!$B$7:$F$26,4,0)</f>
        <v>#N/A</v>
      </c>
      <c r="K1799" t="e">
        <f>VLOOKUP(F1799,'1PROJE'!$B$7:$F$26,5,0)</f>
        <v>#N/A</v>
      </c>
    </row>
    <row r="1800" spans="2:11">
      <c r="B1800">
        <f t="shared" si="301"/>
        <v>0</v>
      </c>
      <c r="F1800" s="57" t="e">
        <f t="shared" si="297"/>
        <v>#N/A</v>
      </c>
      <c r="G1800" t="str">
        <f t="shared" si="298"/>
        <v/>
      </c>
      <c r="I1800" t="e">
        <f>VLOOKUP(F1800,'1PROJE'!$B$7:$F$26,2,0)</f>
        <v>#N/A</v>
      </c>
      <c r="J1800" t="e">
        <f>VLOOKUP(F1800,'1PROJE'!$B$7:$F$26,4,0)</f>
        <v>#N/A</v>
      </c>
      <c r="K1800" t="e">
        <f>VLOOKUP(F1800,'1PROJE'!$B$7:$F$26,5,0)</f>
        <v>#N/A</v>
      </c>
    </row>
    <row r="1801" spans="2:11">
      <c r="B1801">
        <f t="shared" si="301"/>
        <v>0</v>
      </c>
      <c r="F1801" s="57" t="e">
        <f t="shared" si="297"/>
        <v>#N/A</v>
      </c>
      <c r="G1801" t="str">
        <f t="shared" si="298"/>
        <v/>
      </c>
      <c r="I1801" t="e">
        <f>VLOOKUP(F1801,'1PROJE'!$B$7:$F$26,2,0)</f>
        <v>#N/A</v>
      </c>
      <c r="J1801" t="e">
        <f>VLOOKUP(F1801,'1PROJE'!$B$7:$F$26,4,0)</f>
        <v>#N/A</v>
      </c>
      <c r="K1801" t="e">
        <f>VLOOKUP(F1801,'1PROJE'!$B$7:$F$26,5,0)</f>
        <v>#N/A</v>
      </c>
    </row>
    <row r="1802" spans="2:11">
      <c r="B1802">
        <f t="shared" si="301"/>
        <v>0</v>
      </c>
      <c r="F1802" s="57" t="e">
        <f t="shared" si="297"/>
        <v>#N/A</v>
      </c>
      <c r="G1802" t="str">
        <f t="shared" si="298"/>
        <v/>
      </c>
      <c r="I1802" t="e">
        <f>VLOOKUP(F1802,'1PROJE'!$B$7:$F$26,2,0)</f>
        <v>#N/A</v>
      </c>
      <c r="J1802" t="e">
        <f>VLOOKUP(F1802,'1PROJE'!$B$7:$F$26,4,0)</f>
        <v>#N/A</v>
      </c>
      <c r="K1802" t="e">
        <f>VLOOKUP(F1802,'1PROJE'!$B$7:$F$26,5,0)</f>
        <v>#N/A</v>
      </c>
    </row>
    <row r="1803" spans="2:11">
      <c r="B1803">
        <f t="shared" si="301"/>
        <v>0</v>
      </c>
      <c r="F1803" s="57" t="e">
        <f t="shared" ref="F1803:F1866" si="302">VLOOKUP(G1803,$C$64:$D$83,2,0)</f>
        <v>#N/A</v>
      </c>
      <c r="G1803" t="str">
        <f t="shared" ref="G1803:G1866" si="303">LEFT(H1803,6)</f>
        <v/>
      </c>
      <c r="I1803" t="e">
        <f>VLOOKUP(F1803,'1PROJE'!$B$7:$F$26,2,0)</f>
        <v>#N/A</v>
      </c>
      <c r="J1803" t="e">
        <f>VLOOKUP(F1803,'1PROJE'!$B$7:$F$26,4,0)</f>
        <v>#N/A</v>
      </c>
      <c r="K1803" t="e">
        <f>VLOOKUP(F1803,'1PROJE'!$B$7:$F$26,5,0)</f>
        <v>#N/A</v>
      </c>
    </row>
    <row r="1804" spans="2:11">
      <c r="B1804">
        <f t="shared" si="301"/>
        <v>0</v>
      </c>
      <c r="F1804" s="57" t="e">
        <f t="shared" si="302"/>
        <v>#N/A</v>
      </c>
      <c r="G1804" t="str">
        <f t="shared" si="303"/>
        <v/>
      </c>
      <c r="I1804" t="e">
        <f>VLOOKUP(F1804,'1PROJE'!$B$7:$F$26,2,0)</f>
        <v>#N/A</v>
      </c>
      <c r="J1804" t="e">
        <f>VLOOKUP(F1804,'1PROJE'!$B$7:$F$26,4,0)</f>
        <v>#N/A</v>
      </c>
      <c r="K1804" t="e">
        <f>VLOOKUP(F1804,'1PROJE'!$B$7:$F$26,5,0)</f>
        <v>#N/A</v>
      </c>
    </row>
    <row r="1805" spans="2:11">
      <c r="B1805">
        <f t="shared" si="301"/>
        <v>0</v>
      </c>
      <c r="F1805" s="57" t="e">
        <f t="shared" si="302"/>
        <v>#N/A</v>
      </c>
      <c r="G1805" t="str">
        <f t="shared" si="303"/>
        <v/>
      </c>
      <c r="I1805" t="e">
        <f>VLOOKUP(F1805,'1PROJE'!$B$7:$F$26,2,0)</f>
        <v>#N/A</v>
      </c>
      <c r="J1805" t="e">
        <f>VLOOKUP(F1805,'1PROJE'!$B$7:$F$26,4,0)</f>
        <v>#N/A</v>
      </c>
      <c r="K1805" t="e">
        <f>VLOOKUP(F1805,'1PROJE'!$B$7:$F$26,5,0)</f>
        <v>#N/A</v>
      </c>
    </row>
    <row r="1806" spans="2:11">
      <c r="B1806">
        <f t="shared" si="301"/>
        <v>0</v>
      </c>
      <c r="F1806" s="57" t="e">
        <f t="shared" si="302"/>
        <v>#N/A</v>
      </c>
      <c r="G1806" t="str">
        <f t="shared" si="303"/>
        <v/>
      </c>
      <c r="I1806" t="e">
        <f>VLOOKUP(F1806,'1PROJE'!$B$7:$F$26,2,0)</f>
        <v>#N/A</v>
      </c>
      <c r="J1806" t="e">
        <f>VLOOKUP(F1806,'1PROJE'!$B$7:$F$26,4,0)</f>
        <v>#N/A</v>
      </c>
      <c r="K1806" t="e">
        <f>VLOOKUP(F1806,'1PROJE'!$B$7:$F$26,5,0)</f>
        <v>#N/A</v>
      </c>
    </row>
    <row r="1807" spans="2:11">
      <c r="B1807">
        <f t="shared" si="301"/>
        <v>0</v>
      </c>
      <c r="F1807" s="57" t="e">
        <f t="shared" si="302"/>
        <v>#N/A</v>
      </c>
      <c r="G1807" t="str">
        <f t="shared" si="303"/>
        <v/>
      </c>
      <c r="I1807" t="e">
        <f>VLOOKUP(F1807,'1PROJE'!$B$7:$F$26,2,0)</f>
        <v>#N/A</v>
      </c>
      <c r="J1807" t="e">
        <f>VLOOKUP(F1807,'1PROJE'!$B$7:$F$26,4,0)</f>
        <v>#N/A</v>
      </c>
      <c r="K1807" t="e">
        <f>VLOOKUP(F1807,'1PROJE'!$B$7:$F$26,5,0)</f>
        <v>#N/A</v>
      </c>
    </row>
    <row r="1808" spans="2:11">
      <c r="B1808">
        <f t="shared" si="301"/>
        <v>0</v>
      </c>
      <c r="F1808" s="57" t="e">
        <f t="shared" si="302"/>
        <v>#N/A</v>
      </c>
      <c r="G1808" t="str">
        <f t="shared" si="303"/>
        <v/>
      </c>
      <c r="I1808" t="e">
        <f>VLOOKUP(F1808,'1PROJE'!$B$7:$F$26,2,0)</f>
        <v>#N/A</v>
      </c>
      <c r="J1808" t="e">
        <f>VLOOKUP(F1808,'1PROJE'!$B$7:$F$26,4,0)</f>
        <v>#N/A</v>
      </c>
      <c r="K1808" t="e">
        <f>VLOOKUP(F1808,'1PROJE'!$B$7:$F$26,5,0)</f>
        <v>#N/A</v>
      </c>
    </row>
    <row r="1809" spans="2:11">
      <c r="B1809">
        <f t="shared" si="301"/>
        <v>0</v>
      </c>
      <c r="F1809" s="57" t="e">
        <f t="shared" si="302"/>
        <v>#N/A</v>
      </c>
      <c r="G1809" t="str">
        <f t="shared" si="303"/>
        <v/>
      </c>
      <c r="I1809" t="e">
        <f>VLOOKUP(F1809,'1PROJE'!$B$7:$F$26,2,0)</f>
        <v>#N/A</v>
      </c>
      <c r="J1809" t="e">
        <f>VLOOKUP(F1809,'1PROJE'!$B$7:$F$26,4,0)</f>
        <v>#N/A</v>
      </c>
      <c r="K1809" t="e">
        <f>VLOOKUP(F1809,'1PROJE'!$B$7:$F$26,5,0)</f>
        <v>#N/A</v>
      </c>
    </row>
    <row r="1810" spans="2:11">
      <c r="B1810">
        <f t="shared" si="301"/>
        <v>0</v>
      </c>
      <c r="F1810" s="57" t="e">
        <f t="shared" si="302"/>
        <v>#N/A</v>
      </c>
      <c r="G1810" t="str">
        <f t="shared" si="303"/>
        <v/>
      </c>
      <c r="I1810" t="e">
        <f>VLOOKUP(F1810,'1PROJE'!$B$7:$F$26,2,0)</f>
        <v>#N/A</v>
      </c>
      <c r="J1810" t="e">
        <f>VLOOKUP(F1810,'1PROJE'!$B$7:$F$26,4,0)</f>
        <v>#N/A</v>
      </c>
      <c r="K1810" t="e">
        <f>VLOOKUP(F1810,'1PROJE'!$B$7:$F$26,5,0)</f>
        <v>#N/A</v>
      </c>
    </row>
    <row r="1811" spans="2:11">
      <c r="B1811">
        <f t="shared" si="301"/>
        <v>0</v>
      </c>
      <c r="F1811" s="57" t="e">
        <f t="shared" si="302"/>
        <v>#N/A</v>
      </c>
      <c r="G1811" t="str">
        <f t="shared" si="303"/>
        <v/>
      </c>
      <c r="I1811" t="e">
        <f>VLOOKUP(F1811,'1PROJE'!$B$7:$F$26,2,0)</f>
        <v>#N/A</v>
      </c>
      <c r="J1811" t="e">
        <f>VLOOKUP(F1811,'1PROJE'!$B$7:$F$26,4,0)</f>
        <v>#N/A</v>
      </c>
      <c r="K1811" t="e">
        <f>VLOOKUP(F1811,'1PROJE'!$B$7:$F$26,5,0)</f>
        <v>#N/A</v>
      </c>
    </row>
    <row r="1812" spans="2:11">
      <c r="B1812">
        <f t="shared" si="301"/>
        <v>0</v>
      </c>
      <c r="F1812" s="57" t="e">
        <f t="shared" si="302"/>
        <v>#N/A</v>
      </c>
      <c r="G1812" t="str">
        <f t="shared" si="303"/>
        <v/>
      </c>
      <c r="I1812" t="e">
        <f>VLOOKUP(F1812,'1PROJE'!$B$7:$F$26,2,0)</f>
        <v>#N/A</v>
      </c>
      <c r="J1812" t="e">
        <f>VLOOKUP(F1812,'1PROJE'!$B$7:$F$26,4,0)</f>
        <v>#N/A</v>
      </c>
      <c r="K1812" t="e">
        <f>VLOOKUP(F1812,'1PROJE'!$B$7:$F$26,5,0)</f>
        <v>#N/A</v>
      </c>
    </row>
    <row r="1813" spans="2:11">
      <c r="B1813">
        <f t="shared" si="301"/>
        <v>0</v>
      </c>
      <c r="F1813" s="57" t="e">
        <f t="shared" si="302"/>
        <v>#N/A</v>
      </c>
      <c r="G1813" t="str">
        <f t="shared" si="303"/>
        <v/>
      </c>
      <c r="I1813" t="e">
        <f>VLOOKUP(F1813,'1PROJE'!$B$7:$F$26,2,0)</f>
        <v>#N/A</v>
      </c>
      <c r="J1813" t="e">
        <f>VLOOKUP(F1813,'1PROJE'!$B$7:$F$26,4,0)</f>
        <v>#N/A</v>
      </c>
      <c r="K1813" t="e">
        <f>VLOOKUP(F1813,'1PROJE'!$B$7:$F$26,5,0)</f>
        <v>#N/A</v>
      </c>
    </row>
    <row r="1814" spans="2:11">
      <c r="B1814">
        <f t="shared" si="301"/>
        <v>0</v>
      </c>
      <c r="F1814" s="57" t="e">
        <f t="shared" si="302"/>
        <v>#N/A</v>
      </c>
      <c r="G1814" t="str">
        <f t="shared" si="303"/>
        <v/>
      </c>
      <c r="I1814" t="e">
        <f>VLOOKUP(F1814,'1PROJE'!$B$7:$F$26,2,0)</f>
        <v>#N/A</v>
      </c>
      <c r="J1814" t="e">
        <f>VLOOKUP(F1814,'1PROJE'!$B$7:$F$26,4,0)</f>
        <v>#N/A</v>
      </c>
      <c r="K1814" t="e">
        <f>VLOOKUP(F1814,'1PROJE'!$B$7:$F$26,5,0)</f>
        <v>#N/A</v>
      </c>
    </row>
    <row r="1815" spans="2:11">
      <c r="B1815">
        <f t="shared" si="301"/>
        <v>0</v>
      </c>
      <c r="F1815" s="57" t="e">
        <f t="shared" si="302"/>
        <v>#N/A</v>
      </c>
      <c r="G1815" t="str">
        <f t="shared" si="303"/>
        <v/>
      </c>
      <c r="I1815" t="e">
        <f>VLOOKUP(F1815,'1PROJE'!$B$7:$F$26,2,0)</f>
        <v>#N/A</v>
      </c>
      <c r="J1815" t="e">
        <f>VLOOKUP(F1815,'1PROJE'!$B$7:$F$26,4,0)</f>
        <v>#N/A</v>
      </c>
      <c r="K1815" t="e">
        <f>VLOOKUP(F1815,'1PROJE'!$B$7:$F$26,5,0)</f>
        <v>#N/A</v>
      </c>
    </row>
    <row r="1816" spans="2:11">
      <c r="B1816">
        <f t="shared" si="301"/>
        <v>0</v>
      </c>
      <c r="F1816" s="57" t="e">
        <f t="shared" si="302"/>
        <v>#N/A</v>
      </c>
      <c r="G1816" t="str">
        <f t="shared" si="303"/>
        <v/>
      </c>
      <c r="I1816" t="e">
        <f>VLOOKUP(F1816,'1PROJE'!$B$7:$F$26,2,0)</f>
        <v>#N/A</v>
      </c>
      <c r="J1816" t="e">
        <f>VLOOKUP(F1816,'1PROJE'!$B$7:$F$26,4,0)</f>
        <v>#N/A</v>
      </c>
      <c r="K1816" t="e">
        <f>VLOOKUP(F1816,'1PROJE'!$B$7:$F$26,5,0)</f>
        <v>#N/A</v>
      </c>
    </row>
    <row r="1817" spans="2:11">
      <c r="B1817">
        <f t="shared" si="301"/>
        <v>0</v>
      </c>
      <c r="F1817" s="57" t="e">
        <f t="shared" si="302"/>
        <v>#N/A</v>
      </c>
      <c r="G1817" t="str">
        <f t="shared" si="303"/>
        <v/>
      </c>
      <c r="I1817" t="e">
        <f>VLOOKUP(F1817,'1PROJE'!$B$7:$F$26,2,0)</f>
        <v>#N/A</v>
      </c>
      <c r="J1817" t="e">
        <f>VLOOKUP(F1817,'1PROJE'!$B$7:$F$26,4,0)</f>
        <v>#N/A</v>
      </c>
      <c r="K1817" t="e">
        <f>VLOOKUP(F1817,'1PROJE'!$B$7:$F$26,5,0)</f>
        <v>#N/A</v>
      </c>
    </row>
    <row r="1818" spans="2:11">
      <c r="B1818">
        <f t="shared" si="301"/>
        <v>0</v>
      </c>
      <c r="F1818" s="57" t="e">
        <f t="shared" si="302"/>
        <v>#N/A</v>
      </c>
      <c r="G1818" t="str">
        <f t="shared" si="303"/>
        <v/>
      </c>
      <c r="I1818" t="e">
        <f>VLOOKUP(F1818,'1PROJE'!$B$7:$F$26,2,0)</f>
        <v>#N/A</v>
      </c>
      <c r="J1818" t="e">
        <f>VLOOKUP(F1818,'1PROJE'!$B$7:$F$26,4,0)</f>
        <v>#N/A</v>
      </c>
      <c r="K1818" t="e">
        <f>VLOOKUP(F1818,'1PROJE'!$B$7:$F$26,5,0)</f>
        <v>#N/A</v>
      </c>
    </row>
    <row r="1819" spans="2:11">
      <c r="B1819">
        <f t="shared" si="301"/>
        <v>0</v>
      </c>
      <c r="F1819" s="57" t="e">
        <f t="shared" si="302"/>
        <v>#N/A</v>
      </c>
      <c r="G1819" t="str">
        <f t="shared" si="303"/>
        <v/>
      </c>
      <c r="I1819" t="e">
        <f>VLOOKUP(F1819,'1PROJE'!$B$7:$F$26,2,0)</f>
        <v>#N/A</v>
      </c>
      <c r="J1819" t="e">
        <f>VLOOKUP(F1819,'1PROJE'!$B$7:$F$26,4,0)</f>
        <v>#N/A</v>
      </c>
      <c r="K1819" t="e">
        <f>VLOOKUP(F1819,'1PROJE'!$B$7:$F$26,5,0)</f>
        <v>#N/A</v>
      </c>
    </row>
    <row r="1820" spans="2:11">
      <c r="B1820">
        <f t="shared" si="301"/>
        <v>0</v>
      </c>
      <c r="F1820" s="57" t="e">
        <f t="shared" si="302"/>
        <v>#N/A</v>
      </c>
      <c r="G1820" t="str">
        <f t="shared" si="303"/>
        <v/>
      </c>
      <c r="I1820" t="e">
        <f>VLOOKUP(F1820,'1PROJE'!$B$7:$F$26,2,0)</f>
        <v>#N/A</v>
      </c>
      <c r="J1820" t="e">
        <f>VLOOKUP(F1820,'1PROJE'!$B$7:$F$26,4,0)</f>
        <v>#N/A</v>
      </c>
      <c r="K1820" t="e">
        <f>VLOOKUP(F1820,'1PROJE'!$B$7:$F$26,5,0)</f>
        <v>#N/A</v>
      </c>
    </row>
    <row r="1821" spans="2:11">
      <c r="B1821">
        <f t="shared" si="301"/>
        <v>0</v>
      </c>
      <c r="F1821" s="57" t="e">
        <f t="shared" si="302"/>
        <v>#N/A</v>
      </c>
      <c r="G1821" t="str">
        <f t="shared" si="303"/>
        <v/>
      </c>
      <c r="I1821" t="e">
        <f>VLOOKUP(F1821,'1PROJE'!$B$7:$F$26,2,0)</f>
        <v>#N/A</v>
      </c>
      <c r="J1821" t="e">
        <f>VLOOKUP(F1821,'1PROJE'!$B$7:$F$26,4,0)</f>
        <v>#N/A</v>
      </c>
      <c r="K1821" t="e">
        <f>VLOOKUP(F1821,'1PROJE'!$B$7:$F$26,5,0)</f>
        <v>#N/A</v>
      </c>
    </row>
    <row r="1822" spans="2:11">
      <c r="B1822">
        <f t="shared" si="301"/>
        <v>0</v>
      </c>
      <c r="F1822" s="57" t="e">
        <f t="shared" si="302"/>
        <v>#N/A</v>
      </c>
      <c r="G1822" t="str">
        <f t="shared" si="303"/>
        <v/>
      </c>
      <c r="I1822" t="e">
        <f>VLOOKUP(F1822,'1PROJE'!$B$7:$F$26,2,0)</f>
        <v>#N/A</v>
      </c>
      <c r="J1822" t="e">
        <f>VLOOKUP(F1822,'1PROJE'!$B$7:$F$26,4,0)</f>
        <v>#N/A</v>
      </c>
      <c r="K1822" t="e">
        <f>VLOOKUP(F1822,'1PROJE'!$B$7:$F$26,5,0)</f>
        <v>#N/A</v>
      </c>
    </row>
    <row r="1823" spans="2:11">
      <c r="B1823">
        <f t="shared" si="301"/>
        <v>0</v>
      </c>
      <c r="F1823" s="57" t="e">
        <f t="shared" si="302"/>
        <v>#N/A</v>
      </c>
      <c r="G1823" t="str">
        <f t="shared" si="303"/>
        <v/>
      </c>
      <c r="I1823" t="e">
        <f>VLOOKUP(F1823,'1PROJE'!$B$7:$F$26,2,0)</f>
        <v>#N/A</v>
      </c>
      <c r="J1823" t="e">
        <f>VLOOKUP(F1823,'1PROJE'!$B$7:$F$26,4,0)</f>
        <v>#N/A</v>
      </c>
      <c r="K1823" t="e">
        <f>VLOOKUP(F1823,'1PROJE'!$B$7:$F$26,5,0)</f>
        <v>#N/A</v>
      </c>
    </row>
    <row r="1824" spans="2:11">
      <c r="B1824">
        <f t="shared" si="301"/>
        <v>0</v>
      </c>
      <c r="F1824" s="57" t="e">
        <f t="shared" si="302"/>
        <v>#N/A</v>
      </c>
      <c r="G1824" t="str">
        <f t="shared" si="303"/>
        <v/>
      </c>
      <c r="I1824" t="e">
        <f>VLOOKUP(F1824,'1PROJE'!$B$7:$F$26,2,0)</f>
        <v>#N/A</v>
      </c>
      <c r="J1824" t="e">
        <f>VLOOKUP(F1824,'1PROJE'!$B$7:$F$26,4,0)</f>
        <v>#N/A</v>
      </c>
      <c r="K1824" t="e">
        <f>VLOOKUP(F1824,'1PROJE'!$B$7:$F$26,5,0)</f>
        <v>#N/A</v>
      </c>
    </row>
    <row r="1825" spans="2:11">
      <c r="B1825">
        <f t="shared" si="301"/>
        <v>0</v>
      </c>
      <c r="F1825" s="57" t="e">
        <f t="shared" si="302"/>
        <v>#N/A</v>
      </c>
      <c r="G1825" t="str">
        <f t="shared" si="303"/>
        <v/>
      </c>
      <c r="I1825" t="e">
        <f>VLOOKUP(F1825,'1PROJE'!$B$7:$F$26,2,0)</f>
        <v>#N/A</v>
      </c>
      <c r="J1825" t="e">
        <f>VLOOKUP(F1825,'1PROJE'!$B$7:$F$26,4,0)</f>
        <v>#N/A</v>
      </c>
      <c r="K1825" t="e">
        <f>VLOOKUP(F1825,'1PROJE'!$B$7:$F$26,5,0)</f>
        <v>#N/A</v>
      </c>
    </row>
    <row r="1826" spans="2:11">
      <c r="B1826">
        <f t="shared" si="301"/>
        <v>0</v>
      </c>
      <c r="F1826" s="57" t="e">
        <f t="shared" si="302"/>
        <v>#N/A</v>
      </c>
      <c r="G1826" t="str">
        <f t="shared" si="303"/>
        <v/>
      </c>
      <c r="I1826" t="e">
        <f>VLOOKUP(F1826,'1PROJE'!$B$7:$F$26,2,0)</f>
        <v>#N/A</v>
      </c>
      <c r="J1826" t="e">
        <f>VLOOKUP(F1826,'1PROJE'!$B$7:$F$26,4,0)</f>
        <v>#N/A</v>
      </c>
      <c r="K1826" t="e">
        <f>VLOOKUP(F1826,'1PROJE'!$B$7:$F$26,5,0)</f>
        <v>#N/A</v>
      </c>
    </row>
    <row r="1827" spans="2:11">
      <c r="B1827">
        <f t="shared" ref="B1827:B1858" si="304">IF(($C$44-A127)&lt;0,0,"POZ"&amp;" "&amp;$S$61&amp;"."&amp;A127)</f>
        <v>0</v>
      </c>
      <c r="F1827" s="57" t="e">
        <f t="shared" si="302"/>
        <v>#N/A</v>
      </c>
      <c r="G1827" t="str">
        <f t="shared" si="303"/>
        <v/>
      </c>
      <c r="I1827" t="e">
        <f>VLOOKUP(F1827,'1PROJE'!$B$7:$F$26,2,0)</f>
        <v>#N/A</v>
      </c>
      <c r="J1827" t="e">
        <f>VLOOKUP(F1827,'1PROJE'!$B$7:$F$26,4,0)</f>
        <v>#N/A</v>
      </c>
      <c r="K1827" t="e">
        <f>VLOOKUP(F1827,'1PROJE'!$B$7:$F$26,5,0)</f>
        <v>#N/A</v>
      </c>
    </row>
    <row r="1828" spans="2:11">
      <c r="B1828">
        <f t="shared" si="304"/>
        <v>0</v>
      </c>
      <c r="F1828" s="57" t="e">
        <f t="shared" si="302"/>
        <v>#N/A</v>
      </c>
      <c r="G1828" t="str">
        <f t="shared" si="303"/>
        <v/>
      </c>
      <c r="I1828" t="e">
        <f>VLOOKUP(F1828,'1PROJE'!$B$7:$F$26,2,0)</f>
        <v>#N/A</v>
      </c>
      <c r="J1828" t="e">
        <f>VLOOKUP(F1828,'1PROJE'!$B$7:$F$26,4,0)</f>
        <v>#N/A</v>
      </c>
      <c r="K1828" t="e">
        <f>VLOOKUP(F1828,'1PROJE'!$B$7:$F$26,5,0)</f>
        <v>#N/A</v>
      </c>
    </row>
    <row r="1829" spans="2:11">
      <c r="B1829">
        <f t="shared" si="304"/>
        <v>0</v>
      </c>
      <c r="F1829" s="57" t="e">
        <f t="shared" si="302"/>
        <v>#N/A</v>
      </c>
      <c r="G1829" t="str">
        <f t="shared" si="303"/>
        <v/>
      </c>
      <c r="I1829" t="e">
        <f>VLOOKUP(F1829,'1PROJE'!$B$7:$F$26,2,0)</f>
        <v>#N/A</v>
      </c>
      <c r="J1829" t="e">
        <f>VLOOKUP(F1829,'1PROJE'!$B$7:$F$26,4,0)</f>
        <v>#N/A</v>
      </c>
      <c r="K1829" t="e">
        <f>VLOOKUP(F1829,'1PROJE'!$B$7:$F$26,5,0)</f>
        <v>#N/A</v>
      </c>
    </row>
    <row r="1830" spans="2:11">
      <c r="B1830">
        <f t="shared" si="304"/>
        <v>0</v>
      </c>
      <c r="F1830" s="57" t="e">
        <f t="shared" si="302"/>
        <v>#N/A</v>
      </c>
      <c r="G1830" t="str">
        <f t="shared" si="303"/>
        <v/>
      </c>
      <c r="I1830" t="e">
        <f>VLOOKUP(F1830,'1PROJE'!$B$7:$F$26,2,0)</f>
        <v>#N/A</v>
      </c>
      <c r="J1830" t="e">
        <f>VLOOKUP(F1830,'1PROJE'!$B$7:$F$26,4,0)</f>
        <v>#N/A</v>
      </c>
      <c r="K1830" t="e">
        <f>VLOOKUP(F1830,'1PROJE'!$B$7:$F$26,5,0)</f>
        <v>#N/A</v>
      </c>
    </row>
    <row r="1831" spans="2:11">
      <c r="B1831">
        <f t="shared" si="304"/>
        <v>0</v>
      </c>
      <c r="F1831" s="57" t="e">
        <f t="shared" si="302"/>
        <v>#N/A</v>
      </c>
      <c r="G1831" t="str">
        <f t="shared" si="303"/>
        <v/>
      </c>
      <c r="I1831" t="e">
        <f>VLOOKUP(F1831,'1PROJE'!$B$7:$F$26,2,0)</f>
        <v>#N/A</v>
      </c>
      <c r="J1831" t="e">
        <f>VLOOKUP(F1831,'1PROJE'!$B$7:$F$26,4,0)</f>
        <v>#N/A</v>
      </c>
      <c r="K1831" t="e">
        <f>VLOOKUP(F1831,'1PROJE'!$B$7:$F$26,5,0)</f>
        <v>#N/A</v>
      </c>
    </row>
    <row r="1832" spans="2:11">
      <c r="B1832">
        <f t="shared" si="304"/>
        <v>0</v>
      </c>
      <c r="F1832" s="57" t="e">
        <f t="shared" si="302"/>
        <v>#N/A</v>
      </c>
      <c r="G1832" t="str">
        <f t="shared" si="303"/>
        <v/>
      </c>
      <c r="I1832" t="e">
        <f>VLOOKUP(F1832,'1PROJE'!$B$7:$F$26,2,0)</f>
        <v>#N/A</v>
      </c>
      <c r="J1832" t="e">
        <f>VLOOKUP(F1832,'1PROJE'!$B$7:$F$26,4,0)</f>
        <v>#N/A</v>
      </c>
      <c r="K1832" t="e">
        <f>VLOOKUP(F1832,'1PROJE'!$B$7:$F$26,5,0)</f>
        <v>#N/A</v>
      </c>
    </row>
    <row r="1833" spans="2:11">
      <c r="B1833">
        <f t="shared" si="304"/>
        <v>0</v>
      </c>
      <c r="F1833" s="57" t="e">
        <f t="shared" si="302"/>
        <v>#N/A</v>
      </c>
      <c r="G1833" t="str">
        <f t="shared" si="303"/>
        <v/>
      </c>
      <c r="I1833" t="e">
        <f>VLOOKUP(F1833,'1PROJE'!$B$7:$F$26,2,0)</f>
        <v>#N/A</v>
      </c>
      <c r="J1833" t="e">
        <f>VLOOKUP(F1833,'1PROJE'!$B$7:$F$26,4,0)</f>
        <v>#N/A</v>
      </c>
      <c r="K1833" t="e">
        <f>VLOOKUP(F1833,'1PROJE'!$B$7:$F$26,5,0)</f>
        <v>#N/A</v>
      </c>
    </row>
    <row r="1834" spans="2:11">
      <c r="B1834">
        <f t="shared" si="304"/>
        <v>0</v>
      </c>
      <c r="F1834" s="57" t="e">
        <f t="shared" si="302"/>
        <v>#N/A</v>
      </c>
      <c r="G1834" t="str">
        <f t="shared" si="303"/>
        <v/>
      </c>
      <c r="I1834" t="e">
        <f>VLOOKUP(F1834,'1PROJE'!$B$7:$F$26,2,0)</f>
        <v>#N/A</v>
      </c>
      <c r="J1834" t="e">
        <f>VLOOKUP(F1834,'1PROJE'!$B$7:$F$26,4,0)</f>
        <v>#N/A</v>
      </c>
      <c r="K1834" t="e">
        <f>VLOOKUP(F1834,'1PROJE'!$B$7:$F$26,5,0)</f>
        <v>#N/A</v>
      </c>
    </row>
    <row r="1835" spans="2:11">
      <c r="B1835">
        <f t="shared" si="304"/>
        <v>0</v>
      </c>
      <c r="F1835" s="57" t="e">
        <f t="shared" si="302"/>
        <v>#N/A</v>
      </c>
      <c r="G1835" t="str">
        <f t="shared" si="303"/>
        <v/>
      </c>
      <c r="I1835" t="e">
        <f>VLOOKUP(F1835,'1PROJE'!$B$7:$F$26,2,0)</f>
        <v>#N/A</v>
      </c>
      <c r="J1835" t="e">
        <f>VLOOKUP(F1835,'1PROJE'!$B$7:$F$26,4,0)</f>
        <v>#N/A</v>
      </c>
      <c r="K1835" t="e">
        <f>VLOOKUP(F1835,'1PROJE'!$B$7:$F$26,5,0)</f>
        <v>#N/A</v>
      </c>
    </row>
    <row r="1836" spans="2:11">
      <c r="B1836">
        <f t="shared" si="304"/>
        <v>0</v>
      </c>
      <c r="F1836" s="57" t="e">
        <f t="shared" si="302"/>
        <v>#N/A</v>
      </c>
      <c r="G1836" t="str">
        <f t="shared" si="303"/>
        <v/>
      </c>
      <c r="I1836" t="e">
        <f>VLOOKUP(F1836,'1PROJE'!$B$7:$F$26,2,0)</f>
        <v>#N/A</v>
      </c>
      <c r="J1836" t="e">
        <f>VLOOKUP(F1836,'1PROJE'!$B$7:$F$26,4,0)</f>
        <v>#N/A</v>
      </c>
      <c r="K1836" t="e">
        <f>VLOOKUP(F1836,'1PROJE'!$B$7:$F$26,5,0)</f>
        <v>#N/A</v>
      </c>
    </row>
    <row r="1837" spans="2:11">
      <c r="B1837">
        <f t="shared" si="304"/>
        <v>0</v>
      </c>
      <c r="F1837" s="57" t="e">
        <f t="shared" si="302"/>
        <v>#N/A</v>
      </c>
      <c r="G1837" t="str">
        <f t="shared" si="303"/>
        <v/>
      </c>
      <c r="I1837" t="e">
        <f>VLOOKUP(F1837,'1PROJE'!$B$7:$F$26,2,0)</f>
        <v>#N/A</v>
      </c>
      <c r="J1837" t="e">
        <f>VLOOKUP(F1837,'1PROJE'!$B$7:$F$26,4,0)</f>
        <v>#N/A</v>
      </c>
      <c r="K1837" t="e">
        <f>VLOOKUP(F1837,'1PROJE'!$B$7:$F$26,5,0)</f>
        <v>#N/A</v>
      </c>
    </row>
    <row r="1838" spans="2:11">
      <c r="B1838">
        <f t="shared" si="304"/>
        <v>0</v>
      </c>
      <c r="F1838" s="57" t="e">
        <f t="shared" si="302"/>
        <v>#N/A</v>
      </c>
      <c r="G1838" t="str">
        <f t="shared" si="303"/>
        <v/>
      </c>
      <c r="I1838" t="e">
        <f>VLOOKUP(F1838,'1PROJE'!$B$7:$F$26,2,0)</f>
        <v>#N/A</v>
      </c>
      <c r="J1838" t="e">
        <f>VLOOKUP(F1838,'1PROJE'!$B$7:$F$26,4,0)</f>
        <v>#N/A</v>
      </c>
      <c r="K1838" t="e">
        <f>VLOOKUP(F1838,'1PROJE'!$B$7:$F$26,5,0)</f>
        <v>#N/A</v>
      </c>
    </row>
    <row r="1839" spans="2:11">
      <c r="B1839">
        <f t="shared" si="304"/>
        <v>0</v>
      </c>
      <c r="F1839" s="57" t="e">
        <f t="shared" si="302"/>
        <v>#N/A</v>
      </c>
      <c r="G1839" t="str">
        <f t="shared" si="303"/>
        <v/>
      </c>
      <c r="I1839" t="e">
        <f>VLOOKUP(F1839,'1PROJE'!$B$7:$F$26,2,0)</f>
        <v>#N/A</v>
      </c>
      <c r="J1839" t="e">
        <f>VLOOKUP(F1839,'1PROJE'!$B$7:$F$26,4,0)</f>
        <v>#N/A</v>
      </c>
      <c r="K1839" t="e">
        <f>VLOOKUP(F1839,'1PROJE'!$B$7:$F$26,5,0)</f>
        <v>#N/A</v>
      </c>
    </row>
    <row r="1840" spans="2:11">
      <c r="B1840">
        <f t="shared" si="304"/>
        <v>0</v>
      </c>
      <c r="F1840" s="57" t="e">
        <f t="shared" si="302"/>
        <v>#N/A</v>
      </c>
      <c r="G1840" t="str">
        <f t="shared" si="303"/>
        <v/>
      </c>
      <c r="I1840" t="e">
        <f>VLOOKUP(F1840,'1PROJE'!$B$7:$F$26,2,0)</f>
        <v>#N/A</v>
      </c>
      <c r="J1840" t="e">
        <f>VLOOKUP(F1840,'1PROJE'!$B$7:$F$26,4,0)</f>
        <v>#N/A</v>
      </c>
      <c r="K1840" t="e">
        <f>VLOOKUP(F1840,'1PROJE'!$B$7:$F$26,5,0)</f>
        <v>#N/A</v>
      </c>
    </row>
    <row r="1841" spans="2:11">
      <c r="B1841">
        <f t="shared" si="304"/>
        <v>0</v>
      </c>
      <c r="F1841" s="57" t="e">
        <f t="shared" si="302"/>
        <v>#N/A</v>
      </c>
      <c r="G1841" t="str">
        <f t="shared" si="303"/>
        <v/>
      </c>
      <c r="I1841" t="e">
        <f>VLOOKUP(F1841,'1PROJE'!$B$7:$F$26,2,0)</f>
        <v>#N/A</v>
      </c>
      <c r="J1841" t="e">
        <f>VLOOKUP(F1841,'1PROJE'!$B$7:$F$26,4,0)</f>
        <v>#N/A</v>
      </c>
      <c r="K1841" t="e">
        <f>VLOOKUP(F1841,'1PROJE'!$B$7:$F$26,5,0)</f>
        <v>#N/A</v>
      </c>
    </row>
    <row r="1842" spans="2:11">
      <c r="B1842">
        <f t="shared" si="304"/>
        <v>0</v>
      </c>
      <c r="F1842" s="57" t="e">
        <f t="shared" si="302"/>
        <v>#N/A</v>
      </c>
      <c r="G1842" t="str">
        <f t="shared" si="303"/>
        <v/>
      </c>
      <c r="I1842" t="e">
        <f>VLOOKUP(F1842,'1PROJE'!$B$7:$F$26,2,0)</f>
        <v>#N/A</v>
      </c>
      <c r="J1842" t="e">
        <f>VLOOKUP(F1842,'1PROJE'!$B$7:$F$26,4,0)</f>
        <v>#N/A</v>
      </c>
      <c r="K1842" t="e">
        <f>VLOOKUP(F1842,'1PROJE'!$B$7:$F$26,5,0)</f>
        <v>#N/A</v>
      </c>
    </row>
    <row r="1843" spans="2:11">
      <c r="B1843">
        <f t="shared" si="304"/>
        <v>0</v>
      </c>
      <c r="F1843" s="57" t="e">
        <f t="shared" si="302"/>
        <v>#N/A</v>
      </c>
      <c r="G1843" t="str">
        <f t="shared" si="303"/>
        <v/>
      </c>
      <c r="I1843" t="e">
        <f>VLOOKUP(F1843,'1PROJE'!$B$7:$F$26,2,0)</f>
        <v>#N/A</v>
      </c>
      <c r="J1843" t="e">
        <f>VLOOKUP(F1843,'1PROJE'!$B$7:$F$26,4,0)</f>
        <v>#N/A</v>
      </c>
      <c r="K1843" t="e">
        <f>VLOOKUP(F1843,'1PROJE'!$B$7:$F$26,5,0)</f>
        <v>#N/A</v>
      </c>
    </row>
    <row r="1844" spans="2:11">
      <c r="B1844">
        <f t="shared" si="304"/>
        <v>0</v>
      </c>
      <c r="F1844" s="57" t="e">
        <f t="shared" si="302"/>
        <v>#N/A</v>
      </c>
      <c r="G1844" t="str">
        <f t="shared" si="303"/>
        <v/>
      </c>
      <c r="I1844" t="e">
        <f>VLOOKUP(F1844,'1PROJE'!$B$7:$F$26,2,0)</f>
        <v>#N/A</v>
      </c>
      <c r="J1844" t="e">
        <f>VLOOKUP(F1844,'1PROJE'!$B$7:$F$26,4,0)</f>
        <v>#N/A</v>
      </c>
      <c r="K1844" t="e">
        <f>VLOOKUP(F1844,'1PROJE'!$B$7:$F$26,5,0)</f>
        <v>#N/A</v>
      </c>
    </row>
    <row r="1845" spans="2:11">
      <c r="B1845">
        <f t="shared" si="304"/>
        <v>0</v>
      </c>
      <c r="F1845" s="57" t="e">
        <f t="shared" si="302"/>
        <v>#N/A</v>
      </c>
      <c r="G1845" t="str">
        <f t="shared" si="303"/>
        <v/>
      </c>
      <c r="I1845" t="e">
        <f>VLOOKUP(F1845,'1PROJE'!$B$7:$F$26,2,0)</f>
        <v>#N/A</v>
      </c>
      <c r="J1845" t="e">
        <f>VLOOKUP(F1845,'1PROJE'!$B$7:$F$26,4,0)</f>
        <v>#N/A</v>
      </c>
      <c r="K1845" t="e">
        <f>VLOOKUP(F1845,'1PROJE'!$B$7:$F$26,5,0)</f>
        <v>#N/A</v>
      </c>
    </row>
    <row r="1846" spans="2:11">
      <c r="B1846">
        <f t="shared" si="304"/>
        <v>0</v>
      </c>
      <c r="F1846" s="57" t="e">
        <f t="shared" si="302"/>
        <v>#N/A</v>
      </c>
      <c r="G1846" t="str">
        <f t="shared" si="303"/>
        <v/>
      </c>
      <c r="I1846" t="e">
        <f>VLOOKUP(F1846,'1PROJE'!$B$7:$F$26,2,0)</f>
        <v>#N/A</v>
      </c>
      <c r="J1846" t="e">
        <f>VLOOKUP(F1846,'1PROJE'!$B$7:$F$26,4,0)</f>
        <v>#N/A</v>
      </c>
      <c r="K1846" t="e">
        <f>VLOOKUP(F1846,'1PROJE'!$B$7:$F$26,5,0)</f>
        <v>#N/A</v>
      </c>
    </row>
    <row r="1847" spans="2:11">
      <c r="B1847">
        <f t="shared" si="304"/>
        <v>0</v>
      </c>
      <c r="F1847" s="57" t="e">
        <f t="shared" si="302"/>
        <v>#N/A</v>
      </c>
      <c r="G1847" t="str">
        <f t="shared" si="303"/>
        <v/>
      </c>
      <c r="I1847" t="e">
        <f>VLOOKUP(F1847,'1PROJE'!$B$7:$F$26,2,0)</f>
        <v>#N/A</v>
      </c>
      <c r="J1847" t="e">
        <f>VLOOKUP(F1847,'1PROJE'!$B$7:$F$26,4,0)</f>
        <v>#N/A</v>
      </c>
      <c r="K1847" t="e">
        <f>VLOOKUP(F1847,'1PROJE'!$B$7:$F$26,5,0)</f>
        <v>#N/A</v>
      </c>
    </row>
    <row r="1848" spans="2:11">
      <c r="B1848">
        <f t="shared" si="304"/>
        <v>0</v>
      </c>
      <c r="F1848" s="57" t="e">
        <f t="shared" si="302"/>
        <v>#N/A</v>
      </c>
      <c r="G1848" t="str">
        <f t="shared" si="303"/>
        <v/>
      </c>
      <c r="I1848" t="e">
        <f>VLOOKUP(F1848,'1PROJE'!$B$7:$F$26,2,0)</f>
        <v>#N/A</v>
      </c>
      <c r="J1848" t="e">
        <f>VLOOKUP(F1848,'1PROJE'!$B$7:$F$26,4,0)</f>
        <v>#N/A</v>
      </c>
      <c r="K1848" t="e">
        <f>VLOOKUP(F1848,'1PROJE'!$B$7:$F$26,5,0)</f>
        <v>#N/A</v>
      </c>
    </row>
    <row r="1849" spans="2:11">
      <c r="B1849">
        <f t="shared" si="304"/>
        <v>0</v>
      </c>
      <c r="F1849" s="57" t="e">
        <f t="shared" si="302"/>
        <v>#N/A</v>
      </c>
      <c r="G1849" t="str">
        <f t="shared" si="303"/>
        <v/>
      </c>
      <c r="I1849" t="e">
        <f>VLOOKUP(F1849,'1PROJE'!$B$7:$F$26,2,0)</f>
        <v>#N/A</v>
      </c>
      <c r="J1849" t="e">
        <f>VLOOKUP(F1849,'1PROJE'!$B$7:$F$26,4,0)</f>
        <v>#N/A</v>
      </c>
      <c r="K1849" t="e">
        <f>VLOOKUP(F1849,'1PROJE'!$B$7:$F$26,5,0)</f>
        <v>#N/A</v>
      </c>
    </row>
    <row r="1850" spans="2:11">
      <c r="B1850">
        <f t="shared" si="304"/>
        <v>0</v>
      </c>
      <c r="F1850" s="57" t="e">
        <f t="shared" si="302"/>
        <v>#N/A</v>
      </c>
      <c r="G1850" t="str">
        <f t="shared" si="303"/>
        <v/>
      </c>
      <c r="I1850" t="e">
        <f>VLOOKUP(F1850,'1PROJE'!$B$7:$F$26,2,0)</f>
        <v>#N/A</v>
      </c>
      <c r="J1850" t="e">
        <f>VLOOKUP(F1850,'1PROJE'!$B$7:$F$26,4,0)</f>
        <v>#N/A</v>
      </c>
      <c r="K1850" t="e">
        <f>VLOOKUP(F1850,'1PROJE'!$B$7:$F$26,5,0)</f>
        <v>#N/A</v>
      </c>
    </row>
    <row r="1851" spans="2:11">
      <c r="B1851">
        <f t="shared" si="304"/>
        <v>0</v>
      </c>
      <c r="F1851" s="57" t="e">
        <f t="shared" si="302"/>
        <v>#N/A</v>
      </c>
      <c r="G1851" t="str">
        <f t="shared" si="303"/>
        <v/>
      </c>
      <c r="I1851" t="e">
        <f>VLOOKUP(F1851,'1PROJE'!$B$7:$F$26,2,0)</f>
        <v>#N/A</v>
      </c>
      <c r="J1851" t="e">
        <f>VLOOKUP(F1851,'1PROJE'!$B$7:$F$26,4,0)</f>
        <v>#N/A</v>
      </c>
      <c r="K1851" t="e">
        <f>VLOOKUP(F1851,'1PROJE'!$B$7:$F$26,5,0)</f>
        <v>#N/A</v>
      </c>
    </row>
    <row r="1852" spans="2:11">
      <c r="B1852">
        <f t="shared" si="304"/>
        <v>0</v>
      </c>
      <c r="F1852" s="57" t="e">
        <f t="shared" si="302"/>
        <v>#N/A</v>
      </c>
      <c r="G1852" t="str">
        <f t="shared" si="303"/>
        <v/>
      </c>
      <c r="I1852" t="e">
        <f>VLOOKUP(F1852,'1PROJE'!$B$7:$F$26,2,0)</f>
        <v>#N/A</v>
      </c>
      <c r="J1852" t="e">
        <f>VLOOKUP(F1852,'1PROJE'!$B$7:$F$26,4,0)</f>
        <v>#N/A</v>
      </c>
      <c r="K1852" t="e">
        <f>VLOOKUP(F1852,'1PROJE'!$B$7:$F$26,5,0)</f>
        <v>#N/A</v>
      </c>
    </row>
    <row r="1853" spans="2:11">
      <c r="B1853">
        <f t="shared" si="304"/>
        <v>0</v>
      </c>
      <c r="F1853" s="57" t="e">
        <f t="shared" si="302"/>
        <v>#N/A</v>
      </c>
      <c r="G1853" t="str">
        <f t="shared" si="303"/>
        <v/>
      </c>
      <c r="I1853" t="e">
        <f>VLOOKUP(F1853,'1PROJE'!$B$7:$F$26,2,0)</f>
        <v>#N/A</v>
      </c>
      <c r="J1853" t="e">
        <f>VLOOKUP(F1853,'1PROJE'!$B$7:$F$26,4,0)</f>
        <v>#N/A</v>
      </c>
      <c r="K1853" t="e">
        <f>VLOOKUP(F1853,'1PROJE'!$B$7:$F$26,5,0)</f>
        <v>#N/A</v>
      </c>
    </row>
    <row r="1854" spans="2:11">
      <c r="B1854">
        <f t="shared" si="304"/>
        <v>0</v>
      </c>
      <c r="F1854" s="57" t="e">
        <f t="shared" si="302"/>
        <v>#N/A</v>
      </c>
      <c r="G1854" t="str">
        <f t="shared" si="303"/>
        <v/>
      </c>
      <c r="I1854" t="e">
        <f>VLOOKUP(F1854,'1PROJE'!$B$7:$F$26,2,0)</f>
        <v>#N/A</v>
      </c>
      <c r="J1854" t="e">
        <f>VLOOKUP(F1854,'1PROJE'!$B$7:$F$26,4,0)</f>
        <v>#N/A</v>
      </c>
      <c r="K1854" t="e">
        <f>VLOOKUP(F1854,'1PROJE'!$B$7:$F$26,5,0)</f>
        <v>#N/A</v>
      </c>
    </row>
    <row r="1855" spans="2:11">
      <c r="B1855">
        <f t="shared" si="304"/>
        <v>0</v>
      </c>
      <c r="F1855" s="57" t="e">
        <f t="shared" si="302"/>
        <v>#N/A</v>
      </c>
      <c r="G1855" t="str">
        <f t="shared" si="303"/>
        <v/>
      </c>
      <c r="I1855" t="e">
        <f>VLOOKUP(F1855,'1PROJE'!$B$7:$F$26,2,0)</f>
        <v>#N/A</v>
      </c>
      <c r="J1855" t="e">
        <f>VLOOKUP(F1855,'1PROJE'!$B$7:$F$26,4,0)</f>
        <v>#N/A</v>
      </c>
      <c r="K1855" t="e">
        <f>VLOOKUP(F1855,'1PROJE'!$B$7:$F$26,5,0)</f>
        <v>#N/A</v>
      </c>
    </row>
    <row r="1856" spans="2:11">
      <c r="B1856">
        <f t="shared" si="304"/>
        <v>0</v>
      </c>
      <c r="F1856" s="57" t="e">
        <f t="shared" si="302"/>
        <v>#N/A</v>
      </c>
      <c r="G1856" t="str">
        <f t="shared" si="303"/>
        <v/>
      </c>
      <c r="I1856" t="e">
        <f>VLOOKUP(F1856,'1PROJE'!$B$7:$F$26,2,0)</f>
        <v>#N/A</v>
      </c>
      <c r="J1856" t="e">
        <f>VLOOKUP(F1856,'1PROJE'!$B$7:$F$26,4,0)</f>
        <v>#N/A</v>
      </c>
      <c r="K1856" t="e">
        <f>VLOOKUP(F1856,'1PROJE'!$B$7:$F$26,5,0)</f>
        <v>#N/A</v>
      </c>
    </row>
    <row r="1857" spans="2:11">
      <c r="B1857">
        <f t="shared" si="304"/>
        <v>0</v>
      </c>
      <c r="F1857" s="57" t="e">
        <f t="shared" si="302"/>
        <v>#N/A</v>
      </c>
      <c r="G1857" t="str">
        <f t="shared" si="303"/>
        <v/>
      </c>
      <c r="I1857" t="e">
        <f>VLOOKUP(F1857,'1PROJE'!$B$7:$F$26,2,0)</f>
        <v>#N/A</v>
      </c>
      <c r="J1857" t="e">
        <f>VLOOKUP(F1857,'1PROJE'!$B$7:$F$26,4,0)</f>
        <v>#N/A</v>
      </c>
      <c r="K1857" t="e">
        <f>VLOOKUP(F1857,'1PROJE'!$B$7:$F$26,5,0)</f>
        <v>#N/A</v>
      </c>
    </row>
    <row r="1858" spans="2:11">
      <c r="B1858">
        <f t="shared" si="304"/>
        <v>0</v>
      </c>
      <c r="F1858" s="57" t="e">
        <f t="shared" si="302"/>
        <v>#N/A</v>
      </c>
      <c r="G1858" t="str">
        <f t="shared" si="303"/>
        <v/>
      </c>
      <c r="I1858" t="e">
        <f>VLOOKUP(F1858,'1PROJE'!$B$7:$F$26,2,0)</f>
        <v>#N/A</v>
      </c>
      <c r="J1858" t="e">
        <f>VLOOKUP(F1858,'1PROJE'!$B$7:$F$26,4,0)</f>
        <v>#N/A</v>
      </c>
      <c r="K1858" t="e">
        <f>VLOOKUP(F1858,'1PROJE'!$B$7:$F$26,5,0)</f>
        <v>#N/A</v>
      </c>
    </row>
    <row r="1859" spans="2:11">
      <c r="B1859">
        <f t="shared" ref="B1859:B1861" si="305">IF(($C$44-A159)&lt;0,0,"POZ"&amp;" "&amp;$S$61&amp;"."&amp;A159)</f>
        <v>0</v>
      </c>
      <c r="F1859" s="57" t="e">
        <f t="shared" si="302"/>
        <v>#N/A</v>
      </c>
      <c r="G1859" t="str">
        <f t="shared" si="303"/>
        <v/>
      </c>
      <c r="I1859" t="e">
        <f>VLOOKUP(F1859,'1PROJE'!$B$7:$F$26,2,0)</f>
        <v>#N/A</v>
      </c>
      <c r="J1859" t="e">
        <f>VLOOKUP(F1859,'1PROJE'!$B$7:$F$26,4,0)</f>
        <v>#N/A</v>
      </c>
      <c r="K1859" t="e">
        <f>VLOOKUP(F1859,'1PROJE'!$B$7:$F$26,5,0)</f>
        <v>#N/A</v>
      </c>
    </row>
    <row r="1860" spans="2:11">
      <c r="B1860">
        <f t="shared" si="305"/>
        <v>0</v>
      </c>
      <c r="F1860" s="57" t="e">
        <f t="shared" si="302"/>
        <v>#N/A</v>
      </c>
      <c r="G1860" t="str">
        <f t="shared" si="303"/>
        <v/>
      </c>
      <c r="I1860" t="e">
        <f>VLOOKUP(F1860,'1PROJE'!$B$7:$F$26,2,0)</f>
        <v>#N/A</v>
      </c>
      <c r="J1860" t="e">
        <f>VLOOKUP(F1860,'1PROJE'!$B$7:$F$26,4,0)</f>
        <v>#N/A</v>
      </c>
      <c r="K1860" t="e">
        <f>VLOOKUP(F1860,'1PROJE'!$B$7:$F$26,5,0)</f>
        <v>#N/A</v>
      </c>
    </row>
    <row r="1861" spans="2:11">
      <c r="B1861">
        <f t="shared" si="305"/>
        <v>0</v>
      </c>
      <c r="F1861" s="57" t="e">
        <f t="shared" si="302"/>
        <v>#N/A</v>
      </c>
      <c r="G1861" t="str">
        <f t="shared" si="303"/>
        <v/>
      </c>
      <c r="I1861" t="e">
        <f>VLOOKUP(F1861,'1PROJE'!$B$7:$F$26,2,0)</f>
        <v>#N/A</v>
      </c>
      <c r="J1861" t="e">
        <f>VLOOKUP(F1861,'1PROJE'!$B$7:$F$26,4,0)</f>
        <v>#N/A</v>
      </c>
      <c r="K1861" t="e">
        <f>VLOOKUP(F1861,'1PROJE'!$B$7:$F$26,5,0)</f>
        <v>#N/A</v>
      </c>
    </row>
    <row r="1862" spans="2:11">
      <c r="B1862">
        <f>IF(C45=0,0,IF(($C$45-A62)=0,"POZ 19.","POZ"&amp;" "&amp;$T$61&amp;"."&amp;A62))</f>
        <v>0</v>
      </c>
      <c r="F1862" s="57" t="e">
        <f t="shared" si="302"/>
        <v>#N/A</v>
      </c>
      <c r="G1862" t="str">
        <f t="shared" si="303"/>
        <v/>
      </c>
      <c r="I1862" t="e">
        <f>VLOOKUP(F1862,'1PROJE'!$B$7:$F$26,2,0)</f>
        <v>#N/A</v>
      </c>
      <c r="J1862" t="e">
        <f>VLOOKUP(F1862,'1PROJE'!$B$7:$F$26,4,0)</f>
        <v>#N/A</v>
      </c>
      <c r="K1862" t="e">
        <f>VLOOKUP(F1862,'1PROJE'!$B$7:$F$26,5,0)</f>
        <v>#N/A</v>
      </c>
    </row>
    <row r="1863" spans="2:11">
      <c r="B1863">
        <f t="shared" ref="B1863:B1894" si="306">IF(($C$45-A63)&lt;0,0,"POZ"&amp;" "&amp;$T$61&amp;"."&amp;A63)</f>
        <v>0</v>
      </c>
      <c r="F1863" s="57" t="e">
        <f t="shared" si="302"/>
        <v>#N/A</v>
      </c>
      <c r="G1863" t="str">
        <f t="shared" si="303"/>
        <v/>
      </c>
      <c r="I1863" t="e">
        <f>VLOOKUP(F1863,'1PROJE'!$B$7:$F$26,2,0)</f>
        <v>#N/A</v>
      </c>
      <c r="J1863" t="e">
        <f>VLOOKUP(F1863,'1PROJE'!$B$7:$F$26,4,0)</f>
        <v>#N/A</v>
      </c>
      <c r="K1863" t="e">
        <f>VLOOKUP(F1863,'1PROJE'!$B$7:$F$26,5,0)</f>
        <v>#N/A</v>
      </c>
    </row>
    <row r="1864" spans="2:11">
      <c r="B1864">
        <f t="shared" si="306"/>
        <v>0</v>
      </c>
      <c r="F1864" s="57" t="e">
        <f t="shared" si="302"/>
        <v>#N/A</v>
      </c>
      <c r="G1864" t="str">
        <f t="shared" si="303"/>
        <v/>
      </c>
      <c r="I1864" t="e">
        <f>VLOOKUP(F1864,'1PROJE'!$B$7:$F$26,2,0)</f>
        <v>#N/A</v>
      </c>
      <c r="J1864" t="e">
        <f>VLOOKUP(F1864,'1PROJE'!$B$7:$F$26,4,0)</f>
        <v>#N/A</v>
      </c>
      <c r="K1864" t="e">
        <f>VLOOKUP(F1864,'1PROJE'!$B$7:$F$26,5,0)</f>
        <v>#N/A</v>
      </c>
    </row>
    <row r="1865" spans="2:11">
      <c r="B1865">
        <f t="shared" si="306"/>
        <v>0</v>
      </c>
      <c r="F1865" s="57" t="e">
        <f t="shared" si="302"/>
        <v>#N/A</v>
      </c>
      <c r="G1865" t="str">
        <f t="shared" si="303"/>
        <v/>
      </c>
      <c r="I1865" t="e">
        <f>VLOOKUP(F1865,'1PROJE'!$B$7:$F$26,2,0)</f>
        <v>#N/A</v>
      </c>
      <c r="J1865" t="e">
        <f>VLOOKUP(F1865,'1PROJE'!$B$7:$F$26,4,0)</f>
        <v>#N/A</v>
      </c>
      <c r="K1865" t="e">
        <f>VLOOKUP(F1865,'1PROJE'!$B$7:$F$26,5,0)</f>
        <v>#N/A</v>
      </c>
    </row>
    <row r="1866" spans="2:11">
      <c r="B1866">
        <f t="shared" si="306"/>
        <v>0</v>
      </c>
      <c r="F1866" s="57" t="e">
        <f t="shared" si="302"/>
        <v>#N/A</v>
      </c>
      <c r="G1866" t="str">
        <f t="shared" si="303"/>
        <v/>
      </c>
      <c r="I1866" t="e">
        <f>VLOOKUP(F1866,'1PROJE'!$B$7:$F$26,2,0)</f>
        <v>#N/A</v>
      </c>
      <c r="J1866" t="e">
        <f>VLOOKUP(F1866,'1PROJE'!$B$7:$F$26,4,0)</f>
        <v>#N/A</v>
      </c>
      <c r="K1866" t="e">
        <f>VLOOKUP(F1866,'1PROJE'!$B$7:$F$26,5,0)</f>
        <v>#N/A</v>
      </c>
    </row>
    <row r="1867" spans="2:11">
      <c r="B1867">
        <f t="shared" si="306"/>
        <v>0</v>
      </c>
      <c r="F1867" s="57" t="e">
        <f t="shared" ref="F1867:F1930" si="307">VLOOKUP(G1867,$C$64:$D$83,2,0)</f>
        <v>#N/A</v>
      </c>
      <c r="G1867" t="str">
        <f t="shared" ref="G1867:G1930" si="308">LEFT(H1867,6)</f>
        <v/>
      </c>
      <c r="I1867" t="e">
        <f>VLOOKUP(F1867,'1PROJE'!$B$7:$F$26,2,0)</f>
        <v>#N/A</v>
      </c>
      <c r="J1867" t="e">
        <f>VLOOKUP(F1867,'1PROJE'!$B$7:$F$26,4,0)</f>
        <v>#N/A</v>
      </c>
      <c r="K1867" t="e">
        <f>VLOOKUP(F1867,'1PROJE'!$B$7:$F$26,5,0)</f>
        <v>#N/A</v>
      </c>
    </row>
    <row r="1868" spans="2:11">
      <c r="B1868">
        <f t="shared" si="306"/>
        <v>0</v>
      </c>
      <c r="F1868" s="57" t="e">
        <f t="shared" si="307"/>
        <v>#N/A</v>
      </c>
      <c r="G1868" t="str">
        <f t="shared" si="308"/>
        <v/>
      </c>
      <c r="I1868" t="e">
        <f>VLOOKUP(F1868,'1PROJE'!$B$7:$F$26,2,0)</f>
        <v>#N/A</v>
      </c>
      <c r="J1868" t="e">
        <f>VLOOKUP(F1868,'1PROJE'!$B$7:$F$26,4,0)</f>
        <v>#N/A</v>
      </c>
      <c r="K1868" t="e">
        <f>VLOOKUP(F1868,'1PROJE'!$B$7:$F$26,5,0)</f>
        <v>#N/A</v>
      </c>
    </row>
    <row r="1869" spans="2:11">
      <c r="B1869">
        <f t="shared" si="306"/>
        <v>0</v>
      </c>
      <c r="F1869" s="57" t="e">
        <f t="shared" si="307"/>
        <v>#N/A</v>
      </c>
      <c r="G1869" t="str">
        <f t="shared" si="308"/>
        <v/>
      </c>
      <c r="I1869" t="e">
        <f>VLOOKUP(F1869,'1PROJE'!$B$7:$F$26,2,0)</f>
        <v>#N/A</v>
      </c>
      <c r="J1869" t="e">
        <f>VLOOKUP(F1869,'1PROJE'!$B$7:$F$26,4,0)</f>
        <v>#N/A</v>
      </c>
      <c r="K1869" t="e">
        <f>VLOOKUP(F1869,'1PROJE'!$B$7:$F$26,5,0)</f>
        <v>#N/A</v>
      </c>
    </row>
    <row r="1870" spans="2:11">
      <c r="B1870">
        <f t="shared" si="306"/>
        <v>0</v>
      </c>
      <c r="F1870" s="57" t="e">
        <f t="shared" si="307"/>
        <v>#N/A</v>
      </c>
      <c r="G1870" t="str">
        <f t="shared" si="308"/>
        <v/>
      </c>
      <c r="I1870" t="e">
        <f>VLOOKUP(F1870,'1PROJE'!$B$7:$F$26,2,0)</f>
        <v>#N/A</v>
      </c>
      <c r="J1870" t="e">
        <f>VLOOKUP(F1870,'1PROJE'!$B$7:$F$26,4,0)</f>
        <v>#N/A</v>
      </c>
      <c r="K1870" t="e">
        <f>VLOOKUP(F1870,'1PROJE'!$B$7:$F$26,5,0)</f>
        <v>#N/A</v>
      </c>
    </row>
    <row r="1871" spans="2:11">
      <c r="B1871">
        <f t="shared" si="306"/>
        <v>0</v>
      </c>
      <c r="F1871" s="57" t="e">
        <f t="shared" si="307"/>
        <v>#N/A</v>
      </c>
      <c r="G1871" t="str">
        <f t="shared" si="308"/>
        <v/>
      </c>
      <c r="I1871" t="e">
        <f>VLOOKUP(F1871,'1PROJE'!$B$7:$F$26,2,0)</f>
        <v>#N/A</v>
      </c>
      <c r="J1871" t="e">
        <f>VLOOKUP(F1871,'1PROJE'!$B$7:$F$26,4,0)</f>
        <v>#N/A</v>
      </c>
      <c r="K1871" t="e">
        <f>VLOOKUP(F1871,'1PROJE'!$B$7:$F$26,5,0)</f>
        <v>#N/A</v>
      </c>
    </row>
    <row r="1872" spans="2:11">
      <c r="B1872">
        <f t="shared" si="306"/>
        <v>0</v>
      </c>
      <c r="F1872" s="57" t="e">
        <f t="shared" si="307"/>
        <v>#N/A</v>
      </c>
      <c r="G1872" t="str">
        <f t="shared" si="308"/>
        <v/>
      </c>
      <c r="I1872" t="e">
        <f>VLOOKUP(F1872,'1PROJE'!$B$7:$F$26,2,0)</f>
        <v>#N/A</v>
      </c>
      <c r="J1872" t="e">
        <f>VLOOKUP(F1872,'1PROJE'!$B$7:$F$26,4,0)</f>
        <v>#N/A</v>
      </c>
      <c r="K1872" t="e">
        <f>VLOOKUP(F1872,'1PROJE'!$B$7:$F$26,5,0)</f>
        <v>#N/A</v>
      </c>
    </row>
    <row r="1873" spans="2:11">
      <c r="B1873">
        <f t="shared" si="306"/>
        <v>0</v>
      </c>
      <c r="F1873" s="57" t="e">
        <f t="shared" si="307"/>
        <v>#N/A</v>
      </c>
      <c r="G1873" t="str">
        <f t="shared" si="308"/>
        <v/>
      </c>
      <c r="I1873" t="e">
        <f>VLOOKUP(F1873,'1PROJE'!$B$7:$F$26,2,0)</f>
        <v>#N/A</v>
      </c>
      <c r="J1873" t="e">
        <f>VLOOKUP(F1873,'1PROJE'!$B$7:$F$26,4,0)</f>
        <v>#N/A</v>
      </c>
      <c r="K1873" t="e">
        <f>VLOOKUP(F1873,'1PROJE'!$B$7:$F$26,5,0)</f>
        <v>#N/A</v>
      </c>
    </row>
    <row r="1874" spans="2:11">
      <c r="B1874">
        <f t="shared" si="306"/>
        <v>0</v>
      </c>
      <c r="F1874" s="57" t="e">
        <f t="shared" si="307"/>
        <v>#N/A</v>
      </c>
      <c r="G1874" t="str">
        <f t="shared" si="308"/>
        <v/>
      </c>
      <c r="I1874" t="e">
        <f>VLOOKUP(F1874,'1PROJE'!$B$7:$F$26,2,0)</f>
        <v>#N/A</v>
      </c>
      <c r="J1874" t="e">
        <f>VLOOKUP(F1874,'1PROJE'!$B$7:$F$26,4,0)</f>
        <v>#N/A</v>
      </c>
      <c r="K1874" t="e">
        <f>VLOOKUP(F1874,'1PROJE'!$B$7:$F$26,5,0)</f>
        <v>#N/A</v>
      </c>
    </row>
    <row r="1875" spans="2:11">
      <c r="B1875">
        <f t="shared" si="306"/>
        <v>0</v>
      </c>
      <c r="F1875" s="57" t="e">
        <f t="shared" si="307"/>
        <v>#N/A</v>
      </c>
      <c r="G1875" t="str">
        <f t="shared" si="308"/>
        <v/>
      </c>
      <c r="I1875" t="e">
        <f>VLOOKUP(F1875,'1PROJE'!$B$7:$F$26,2,0)</f>
        <v>#N/A</v>
      </c>
      <c r="J1875" t="e">
        <f>VLOOKUP(F1875,'1PROJE'!$B$7:$F$26,4,0)</f>
        <v>#N/A</v>
      </c>
      <c r="K1875" t="e">
        <f>VLOOKUP(F1875,'1PROJE'!$B$7:$F$26,5,0)</f>
        <v>#N/A</v>
      </c>
    </row>
    <row r="1876" spans="2:11">
      <c r="B1876">
        <f t="shared" si="306"/>
        <v>0</v>
      </c>
      <c r="F1876" s="57" t="e">
        <f t="shared" si="307"/>
        <v>#N/A</v>
      </c>
      <c r="G1876" t="str">
        <f t="shared" si="308"/>
        <v/>
      </c>
      <c r="I1876" t="e">
        <f>VLOOKUP(F1876,'1PROJE'!$B$7:$F$26,2,0)</f>
        <v>#N/A</v>
      </c>
      <c r="J1876" t="e">
        <f>VLOOKUP(F1876,'1PROJE'!$B$7:$F$26,4,0)</f>
        <v>#N/A</v>
      </c>
      <c r="K1876" t="e">
        <f>VLOOKUP(F1876,'1PROJE'!$B$7:$F$26,5,0)</f>
        <v>#N/A</v>
      </c>
    </row>
    <row r="1877" spans="2:11">
      <c r="B1877">
        <f t="shared" si="306"/>
        <v>0</v>
      </c>
      <c r="F1877" s="57" t="e">
        <f t="shared" si="307"/>
        <v>#N/A</v>
      </c>
      <c r="G1877" t="str">
        <f t="shared" si="308"/>
        <v/>
      </c>
      <c r="I1877" t="e">
        <f>VLOOKUP(F1877,'1PROJE'!$B$7:$F$26,2,0)</f>
        <v>#N/A</v>
      </c>
      <c r="J1877" t="e">
        <f>VLOOKUP(F1877,'1PROJE'!$B$7:$F$26,4,0)</f>
        <v>#N/A</v>
      </c>
      <c r="K1877" t="e">
        <f>VLOOKUP(F1877,'1PROJE'!$B$7:$F$26,5,0)</f>
        <v>#N/A</v>
      </c>
    </row>
    <row r="1878" spans="2:11">
      <c r="B1878">
        <f t="shared" si="306"/>
        <v>0</v>
      </c>
      <c r="F1878" s="57" t="e">
        <f t="shared" si="307"/>
        <v>#N/A</v>
      </c>
      <c r="G1878" t="str">
        <f t="shared" si="308"/>
        <v/>
      </c>
      <c r="I1878" t="e">
        <f>VLOOKUP(F1878,'1PROJE'!$B$7:$F$26,2,0)</f>
        <v>#N/A</v>
      </c>
      <c r="J1878" t="e">
        <f>VLOOKUP(F1878,'1PROJE'!$B$7:$F$26,4,0)</f>
        <v>#N/A</v>
      </c>
      <c r="K1878" t="e">
        <f>VLOOKUP(F1878,'1PROJE'!$B$7:$F$26,5,0)</f>
        <v>#N/A</v>
      </c>
    </row>
    <row r="1879" spans="2:11">
      <c r="B1879">
        <f t="shared" si="306"/>
        <v>0</v>
      </c>
      <c r="F1879" s="57" t="e">
        <f t="shared" si="307"/>
        <v>#N/A</v>
      </c>
      <c r="G1879" t="str">
        <f t="shared" si="308"/>
        <v/>
      </c>
      <c r="I1879" t="e">
        <f>VLOOKUP(F1879,'1PROJE'!$B$7:$F$26,2,0)</f>
        <v>#N/A</v>
      </c>
      <c r="J1879" t="e">
        <f>VLOOKUP(F1879,'1PROJE'!$B$7:$F$26,4,0)</f>
        <v>#N/A</v>
      </c>
      <c r="K1879" t="e">
        <f>VLOOKUP(F1879,'1PROJE'!$B$7:$F$26,5,0)</f>
        <v>#N/A</v>
      </c>
    </row>
    <row r="1880" spans="2:11">
      <c r="B1880">
        <f t="shared" si="306"/>
        <v>0</v>
      </c>
      <c r="F1880" s="57" t="e">
        <f t="shared" si="307"/>
        <v>#N/A</v>
      </c>
      <c r="G1880" t="str">
        <f t="shared" si="308"/>
        <v/>
      </c>
      <c r="I1880" t="e">
        <f>VLOOKUP(F1880,'1PROJE'!$B$7:$F$26,2,0)</f>
        <v>#N/A</v>
      </c>
      <c r="J1880" t="e">
        <f>VLOOKUP(F1880,'1PROJE'!$B$7:$F$26,4,0)</f>
        <v>#N/A</v>
      </c>
      <c r="K1880" t="e">
        <f>VLOOKUP(F1880,'1PROJE'!$B$7:$F$26,5,0)</f>
        <v>#N/A</v>
      </c>
    </row>
    <row r="1881" spans="2:11">
      <c r="B1881">
        <f t="shared" si="306"/>
        <v>0</v>
      </c>
      <c r="F1881" s="57" t="e">
        <f t="shared" si="307"/>
        <v>#N/A</v>
      </c>
      <c r="G1881" t="str">
        <f t="shared" si="308"/>
        <v/>
      </c>
      <c r="I1881" t="e">
        <f>VLOOKUP(F1881,'1PROJE'!$B$7:$F$26,2,0)</f>
        <v>#N/A</v>
      </c>
      <c r="J1881" t="e">
        <f>VLOOKUP(F1881,'1PROJE'!$B$7:$F$26,4,0)</f>
        <v>#N/A</v>
      </c>
      <c r="K1881" t="e">
        <f>VLOOKUP(F1881,'1PROJE'!$B$7:$F$26,5,0)</f>
        <v>#N/A</v>
      </c>
    </row>
    <row r="1882" spans="2:11">
      <c r="B1882">
        <f t="shared" si="306"/>
        <v>0</v>
      </c>
      <c r="F1882" s="57" t="e">
        <f t="shared" si="307"/>
        <v>#N/A</v>
      </c>
      <c r="G1882" t="str">
        <f t="shared" si="308"/>
        <v/>
      </c>
      <c r="I1882" t="e">
        <f>VLOOKUP(F1882,'1PROJE'!$B$7:$F$26,2,0)</f>
        <v>#N/A</v>
      </c>
      <c r="J1882" t="e">
        <f>VLOOKUP(F1882,'1PROJE'!$B$7:$F$26,4,0)</f>
        <v>#N/A</v>
      </c>
      <c r="K1882" t="e">
        <f>VLOOKUP(F1882,'1PROJE'!$B$7:$F$26,5,0)</f>
        <v>#N/A</v>
      </c>
    </row>
    <row r="1883" spans="2:11">
      <c r="B1883">
        <f t="shared" si="306"/>
        <v>0</v>
      </c>
      <c r="F1883" s="57" t="e">
        <f t="shared" si="307"/>
        <v>#N/A</v>
      </c>
      <c r="G1883" t="str">
        <f t="shared" si="308"/>
        <v/>
      </c>
      <c r="I1883" t="e">
        <f>VLOOKUP(F1883,'1PROJE'!$B$7:$F$26,2,0)</f>
        <v>#N/A</v>
      </c>
      <c r="J1883" t="e">
        <f>VLOOKUP(F1883,'1PROJE'!$B$7:$F$26,4,0)</f>
        <v>#N/A</v>
      </c>
      <c r="K1883" t="e">
        <f>VLOOKUP(F1883,'1PROJE'!$B$7:$F$26,5,0)</f>
        <v>#N/A</v>
      </c>
    </row>
    <row r="1884" spans="2:11">
      <c r="B1884">
        <f t="shared" si="306"/>
        <v>0</v>
      </c>
      <c r="F1884" s="57" t="e">
        <f t="shared" si="307"/>
        <v>#N/A</v>
      </c>
      <c r="G1884" t="str">
        <f t="shared" si="308"/>
        <v/>
      </c>
      <c r="I1884" t="e">
        <f>VLOOKUP(F1884,'1PROJE'!$B$7:$F$26,2,0)</f>
        <v>#N/A</v>
      </c>
      <c r="J1884" t="e">
        <f>VLOOKUP(F1884,'1PROJE'!$B$7:$F$26,4,0)</f>
        <v>#N/A</v>
      </c>
      <c r="K1884" t="e">
        <f>VLOOKUP(F1884,'1PROJE'!$B$7:$F$26,5,0)</f>
        <v>#N/A</v>
      </c>
    </row>
    <row r="1885" spans="2:11">
      <c r="B1885">
        <f t="shared" si="306"/>
        <v>0</v>
      </c>
      <c r="F1885" s="57" t="e">
        <f t="shared" si="307"/>
        <v>#N/A</v>
      </c>
      <c r="G1885" t="str">
        <f t="shared" si="308"/>
        <v/>
      </c>
      <c r="I1885" t="e">
        <f>VLOOKUP(F1885,'1PROJE'!$B$7:$F$26,2,0)</f>
        <v>#N/A</v>
      </c>
      <c r="J1885" t="e">
        <f>VLOOKUP(F1885,'1PROJE'!$B$7:$F$26,4,0)</f>
        <v>#N/A</v>
      </c>
      <c r="K1885" t="e">
        <f>VLOOKUP(F1885,'1PROJE'!$B$7:$F$26,5,0)</f>
        <v>#N/A</v>
      </c>
    </row>
    <row r="1886" spans="2:11">
      <c r="B1886">
        <f t="shared" si="306"/>
        <v>0</v>
      </c>
      <c r="F1886" s="57" t="e">
        <f t="shared" si="307"/>
        <v>#N/A</v>
      </c>
      <c r="G1886" t="str">
        <f t="shared" si="308"/>
        <v/>
      </c>
      <c r="I1886" t="e">
        <f>VLOOKUP(F1886,'1PROJE'!$B$7:$F$26,2,0)</f>
        <v>#N/A</v>
      </c>
      <c r="J1886" t="e">
        <f>VLOOKUP(F1886,'1PROJE'!$B$7:$F$26,4,0)</f>
        <v>#N/A</v>
      </c>
      <c r="K1886" t="e">
        <f>VLOOKUP(F1886,'1PROJE'!$B$7:$F$26,5,0)</f>
        <v>#N/A</v>
      </c>
    </row>
    <row r="1887" spans="2:11">
      <c r="B1887">
        <f t="shared" si="306"/>
        <v>0</v>
      </c>
      <c r="F1887" s="57" t="e">
        <f t="shared" si="307"/>
        <v>#N/A</v>
      </c>
      <c r="G1887" t="str">
        <f t="shared" si="308"/>
        <v/>
      </c>
      <c r="I1887" t="e">
        <f>VLOOKUP(F1887,'1PROJE'!$B$7:$F$26,2,0)</f>
        <v>#N/A</v>
      </c>
      <c r="J1887" t="e">
        <f>VLOOKUP(F1887,'1PROJE'!$B$7:$F$26,4,0)</f>
        <v>#N/A</v>
      </c>
      <c r="K1887" t="e">
        <f>VLOOKUP(F1887,'1PROJE'!$B$7:$F$26,5,0)</f>
        <v>#N/A</v>
      </c>
    </row>
    <row r="1888" spans="2:11">
      <c r="B1888">
        <f t="shared" si="306"/>
        <v>0</v>
      </c>
      <c r="F1888" s="57" t="e">
        <f t="shared" si="307"/>
        <v>#N/A</v>
      </c>
      <c r="G1888" t="str">
        <f t="shared" si="308"/>
        <v/>
      </c>
      <c r="I1888" t="e">
        <f>VLOOKUP(F1888,'1PROJE'!$B$7:$F$26,2,0)</f>
        <v>#N/A</v>
      </c>
      <c r="J1888" t="e">
        <f>VLOOKUP(F1888,'1PROJE'!$B$7:$F$26,4,0)</f>
        <v>#N/A</v>
      </c>
      <c r="K1888" t="e">
        <f>VLOOKUP(F1888,'1PROJE'!$B$7:$F$26,5,0)</f>
        <v>#N/A</v>
      </c>
    </row>
    <row r="1889" spans="2:11">
      <c r="B1889">
        <f t="shared" si="306"/>
        <v>0</v>
      </c>
      <c r="F1889" s="57" t="e">
        <f t="shared" si="307"/>
        <v>#N/A</v>
      </c>
      <c r="G1889" t="str">
        <f t="shared" si="308"/>
        <v/>
      </c>
      <c r="I1889" t="e">
        <f>VLOOKUP(F1889,'1PROJE'!$B$7:$F$26,2,0)</f>
        <v>#N/A</v>
      </c>
      <c r="J1889" t="e">
        <f>VLOOKUP(F1889,'1PROJE'!$B$7:$F$26,4,0)</f>
        <v>#N/A</v>
      </c>
      <c r="K1889" t="e">
        <f>VLOOKUP(F1889,'1PROJE'!$B$7:$F$26,5,0)</f>
        <v>#N/A</v>
      </c>
    </row>
    <row r="1890" spans="2:11">
      <c r="B1890">
        <f t="shared" si="306"/>
        <v>0</v>
      </c>
      <c r="F1890" s="57" t="e">
        <f t="shared" si="307"/>
        <v>#N/A</v>
      </c>
      <c r="G1890" t="str">
        <f t="shared" si="308"/>
        <v/>
      </c>
      <c r="I1890" t="e">
        <f>VLOOKUP(F1890,'1PROJE'!$B$7:$F$26,2,0)</f>
        <v>#N/A</v>
      </c>
      <c r="J1890" t="e">
        <f>VLOOKUP(F1890,'1PROJE'!$B$7:$F$26,4,0)</f>
        <v>#N/A</v>
      </c>
      <c r="K1890" t="e">
        <f>VLOOKUP(F1890,'1PROJE'!$B$7:$F$26,5,0)</f>
        <v>#N/A</v>
      </c>
    </row>
    <row r="1891" spans="2:11">
      <c r="B1891">
        <f t="shared" si="306"/>
        <v>0</v>
      </c>
      <c r="F1891" s="57" t="e">
        <f t="shared" si="307"/>
        <v>#N/A</v>
      </c>
      <c r="G1891" t="str">
        <f t="shared" si="308"/>
        <v/>
      </c>
      <c r="I1891" t="e">
        <f>VLOOKUP(F1891,'1PROJE'!$B$7:$F$26,2,0)</f>
        <v>#N/A</v>
      </c>
      <c r="J1891" t="e">
        <f>VLOOKUP(F1891,'1PROJE'!$B$7:$F$26,4,0)</f>
        <v>#N/A</v>
      </c>
      <c r="K1891" t="e">
        <f>VLOOKUP(F1891,'1PROJE'!$B$7:$F$26,5,0)</f>
        <v>#N/A</v>
      </c>
    </row>
    <row r="1892" spans="2:11">
      <c r="B1892">
        <f t="shared" si="306"/>
        <v>0</v>
      </c>
      <c r="F1892" s="57" t="e">
        <f t="shared" si="307"/>
        <v>#N/A</v>
      </c>
      <c r="G1892" t="str">
        <f t="shared" si="308"/>
        <v/>
      </c>
      <c r="I1892" t="e">
        <f>VLOOKUP(F1892,'1PROJE'!$B$7:$F$26,2,0)</f>
        <v>#N/A</v>
      </c>
      <c r="J1892" t="e">
        <f>VLOOKUP(F1892,'1PROJE'!$B$7:$F$26,4,0)</f>
        <v>#N/A</v>
      </c>
      <c r="K1892" t="e">
        <f>VLOOKUP(F1892,'1PROJE'!$B$7:$F$26,5,0)</f>
        <v>#N/A</v>
      </c>
    </row>
    <row r="1893" spans="2:11">
      <c r="B1893">
        <f t="shared" si="306"/>
        <v>0</v>
      </c>
      <c r="F1893" s="57" t="e">
        <f t="shared" si="307"/>
        <v>#N/A</v>
      </c>
      <c r="G1893" t="str">
        <f t="shared" si="308"/>
        <v/>
      </c>
      <c r="I1893" t="e">
        <f>VLOOKUP(F1893,'1PROJE'!$B$7:$F$26,2,0)</f>
        <v>#N/A</v>
      </c>
      <c r="J1893" t="e">
        <f>VLOOKUP(F1893,'1PROJE'!$B$7:$F$26,4,0)</f>
        <v>#N/A</v>
      </c>
      <c r="K1893" t="e">
        <f>VLOOKUP(F1893,'1PROJE'!$B$7:$F$26,5,0)</f>
        <v>#N/A</v>
      </c>
    </row>
    <row r="1894" spans="2:11">
      <c r="B1894">
        <f t="shared" si="306"/>
        <v>0</v>
      </c>
      <c r="F1894" s="57" t="e">
        <f t="shared" si="307"/>
        <v>#N/A</v>
      </c>
      <c r="G1894" t="str">
        <f t="shared" si="308"/>
        <v/>
      </c>
      <c r="I1894" t="e">
        <f>VLOOKUP(F1894,'1PROJE'!$B$7:$F$26,2,0)</f>
        <v>#N/A</v>
      </c>
      <c r="J1894" t="e">
        <f>VLOOKUP(F1894,'1PROJE'!$B$7:$F$26,4,0)</f>
        <v>#N/A</v>
      </c>
      <c r="K1894" t="e">
        <f>VLOOKUP(F1894,'1PROJE'!$B$7:$F$26,5,0)</f>
        <v>#N/A</v>
      </c>
    </row>
    <row r="1895" spans="2:11">
      <c r="B1895">
        <f t="shared" ref="B1895:B1926" si="309">IF(($C$45-A95)&lt;0,0,"POZ"&amp;" "&amp;$T$61&amp;"."&amp;A95)</f>
        <v>0</v>
      </c>
      <c r="F1895" s="57" t="e">
        <f t="shared" si="307"/>
        <v>#N/A</v>
      </c>
      <c r="G1895" t="str">
        <f t="shared" si="308"/>
        <v/>
      </c>
      <c r="I1895" t="e">
        <f>VLOOKUP(F1895,'1PROJE'!$B$7:$F$26,2,0)</f>
        <v>#N/A</v>
      </c>
      <c r="J1895" t="e">
        <f>VLOOKUP(F1895,'1PROJE'!$B$7:$F$26,4,0)</f>
        <v>#N/A</v>
      </c>
      <c r="K1895" t="e">
        <f>VLOOKUP(F1895,'1PROJE'!$B$7:$F$26,5,0)</f>
        <v>#N/A</v>
      </c>
    </row>
    <row r="1896" spans="2:11">
      <c r="B1896">
        <f t="shared" si="309"/>
        <v>0</v>
      </c>
      <c r="F1896" s="57" t="e">
        <f t="shared" si="307"/>
        <v>#N/A</v>
      </c>
      <c r="G1896" t="str">
        <f t="shared" si="308"/>
        <v/>
      </c>
      <c r="I1896" t="e">
        <f>VLOOKUP(F1896,'1PROJE'!$B$7:$F$26,2,0)</f>
        <v>#N/A</v>
      </c>
      <c r="J1896" t="e">
        <f>VLOOKUP(F1896,'1PROJE'!$B$7:$F$26,4,0)</f>
        <v>#N/A</v>
      </c>
      <c r="K1896" t="e">
        <f>VLOOKUP(F1896,'1PROJE'!$B$7:$F$26,5,0)</f>
        <v>#N/A</v>
      </c>
    </row>
    <row r="1897" spans="2:11">
      <c r="B1897">
        <f t="shared" si="309"/>
        <v>0</v>
      </c>
      <c r="F1897" s="57" t="e">
        <f t="shared" si="307"/>
        <v>#N/A</v>
      </c>
      <c r="G1897" t="str">
        <f t="shared" si="308"/>
        <v/>
      </c>
      <c r="I1897" t="e">
        <f>VLOOKUP(F1897,'1PROJE'!$B$7:$F$26,2,0)</f>
        <v>#N/A</v>
      </c>
      <c r="J1897" t="e">
        <f>VLOOKUP(F1897,'1PROJE'!$B$7:$F$26,4,0)</f>
        <v>#N/A</v>
      </c>
      <c r="K1897" t="e">
        <f>VLOOKUP(F1897,'1PROJE'!$B$7:$F$26,5,0)</f>
        <v>#N/A</v>
      </c>
    </row>
    <row r="1898" spans="2:11">
      <c r="B1898">
        <f t="shared" si="309"/>
        <v>0</v>
      </c>
      <c r="F1898" s="57" t="e">
        <f t="shared" si="307"/>
        <v>#N/A</v>
      </c>
      <c r="G1898" t="str">
        <f t="shared" si="308"/>
        <v/>
      </c>
      <c r="I1898" t="e">
        <f>VLOOKUP(F1898,'1PROJE'!$B$7:$F$26,2,0)</f>
        <v>#N/A</v>
      </c>
      <c r="J1898" t="e">
        <f>VLOOKUP(F1898,'1PROJE'!$B$7:$F$26,4,0)</f>
        <v>#N/A</v>
      </c>
      <c r="K1898" t="e">
        <f>VLOOKUP(F1898,'1PROJE'!$B$7:$F$26,5,0)</f>
        <v>#N/A</v>
      </c>
    </row>
    <row r="1899" spans="2:11">
      <c r="B1899">
        <f t="shared" si="309"/>
        <v>0</v>
      </c>
      <c r="F1899" s="57" t="e">
        <f t="shared" si="307"/>
        <v>#N/A</v>
      </c>
      <c r="G1899" t="str">
        <f t="shared" si="308"/>
        <v/>
      </c>
      <c r="I1899" t="e">
        <f>VLOOKUP(F1899,'1PROJE'!$B$7:$F$26,2,0)</f>
        <v>#N/A</v>
      </c>
      <c r="J1899" t="e">
        <f>VLOOKUP(F1899,'1PROJE'!$B$7:$F$26,4,0)</f>
        <v>#N/A</v>
      </c>
      <c r="K1899" t="e">
        <f>VLOOKUP(F1899,'1PROJE'!$B$7:$F$26,5,0)</f>
        <v>#N/A</v>
      </c>
    </row>
    <row r="1900" spans="2:11">
      <c r="B1900">
        <f t="shared" si="309"/>
        <v>0</v>
      </c>
      <c r="F1900" s="57" t="e">
        <f t="shared" si="307"/>
        <v>#N/A</v>
      </c>
      <c r="G1900" t="str">
        <f t="shared" si="308"/>
        <v/>
      </c>
      <c r="I1900" t="e">
        <f>VLOOKUP(F1900,'1PROJE'!$B$7:$F$26,2,0)</f>
        <v>#N/A</v>
      </c>
      <c r="J1900" t="e">
        <f>VLOOKUP(F1900,'1PROJE'!$B$7:$F$26,4,0)</f>
        <v>#N/A</v>
      </c>
      <c r="K1900" t="e">
        <f>VLOOKUP(F1900,'1PROJE'!$B$7:$F$26,5,0)</f>
        <v>#N/A</v>
      </c>
    </row>
    <row r="1901" spans="2:11">
      <c r="B1901">
        <f t="shared" si="309"/>
        <v>0</v>
      </c>
      <c r="F1901" s="57" t="e">
        <f t="shared" si="307"/>
        <v>#N/A</v>
      </c>
      <c r="G1901" t="str">
        <f t="shared" si="308"/>
        <v/>
      </c>
      <c r="I1901" t="e">
        <f>VLOOKUP(F1901,'1PROJE'!$B$7:$F$26,2,0)</f>
        <v>#N/A</v>
      </c>
      <c r="J1901" t="e">
        <f>VLOOKUP(F1901,'1PROJE'!$B$7:$F$26,4,0)</f>
        <v>#N/A</v>
      </c>
      <c r="K1901" t="e">
        <f>VLOOKUP(F1901,'1PROJE'!$B$7:$F$26,5,0)</f>
        <v>#N/A</v>
      </c>
    </row>
    <row r="1902" spans="2:11">
      <c r="B1902">
        <f t="shared" si="309"/>
        <v>0</v>
      </c>
      <c r="F1902" s="57" t="e">
        <f t="shared" si="307"/>
        <v>#N/A</v>
      </c>
      <c r="G1902" t="str">
        <f t="shared" si="308"/>
        <v/>
      </c>
      <c r="I1902" t="e">
        <f>VLOOKUP(F1902,'1PROJE'!$B$7:$F$26,2,0)</f>
        <v>#N/A</v>
      </c>
      <c r="J1902" t="e">
        <f>VLOOKUP(F1902,'1PROJE'!$B$7:$F$26,4,0)</f>
        <v>#N/A</v>
      </c>
      <c r="K1902" t="e">
        <f>VLOOKUP(F1902,'1PROJE'!$B$7:$F$26,5,0)</f>
        <v>#N/A</v>
      </c>
    </row>
    <row r="1903" spans="2:11">
      <c r="B1903">
        <f t="shared" si="309"/>
        <v>0</v>
      </c>
      <c r="F1903" s="57" t="e">
        <f t="shared" si="307"/>
        <v>#N/A</v>
      </c>
      <c r="G1903" t="str">
        <f t="shared" si="308"/>
        <v/>
      </c>
      <c r="I1903" t="e">
        <f>VLOOKUP(F1903,'1PROJE'!$B$7:$F$26,2,0)</f>
        <v>#N/A</v>
      </c>
      <c r="J1903" t="e">
        <f>VLOOKUP(F1903,'1PROJE'!$B$7:$F$26,4,0)</f>
        <v>#N/A</v>
      </c>
      <c r="K1903" t="e">
        <f>VLOOKUP(F1903,'1PROJE'!$B$7:$F$26,5,0)</f>
        <v>#N/A</v>
      </c>
    </row>
    <row r="1904" spans="2:11">
      <c r="B1904">
        <f t="shared" si="309"/>
        <v>0</v>
      </c>
      <c r="F1904" s="57" t="e">
        <f t="shared" si="307"/>
        <v>#N/A</v>
      </c>
      <c r="G1904" t="str">
        <f t="shared" si="308"/>
        <v/>
      </c>
      <c r="I1904" t="e">
        <f>VLOOKUP(F1904,'1PROJE'!$B$7:$F$26,2,0)</f>
        <v>#N/A</v>
      </c>
      <c r="J1904" t="e">
        <f>VLOOKUP(F1904,'1PROJE'!$B$7:$F$26,4,0)</f>
        <v>#N/A</v>
      </c>
      <c r="K1904" t="e">
        <f>VLOOKUP(F1904,'1PROJE'!$B$7:$F$26,5,0)</f>
        <v>#N/A</v>
      </c>
    </row>
    <row r="1905" spans="2:11">
      <c r="B1905">
        <f t="shared" si="309"/>
        <v>0</v>
      </c>
      <c r="F1905" s="57" t="e">
        <f t="shared" si="307"/>
        <v>#N/A</v>
      </c>
      <c r="G1905" t="str">
        <f t="shared" si="308"/>
        <v/>
      </c>
      <c r="I1905" t="e">
        <f>VLOOKUP(F1905,'1PROJE'!$B$7:$F$26,2,0)</f>
        <v>#N/A</v>
      </c>
      <c r="J1905" t="e">
        <f>VLOOKUP(F1905,'1PROJE'!$B$7:$F$26,4,0)</f>
        <v>#N/A</v>
      </c>
      <c r="K1905" t="e">
        <f>VLOOKUP(F1905,'1PROJE'!$B$7:$F$26,5,0)</f>
        <v>#N/A</v>
      </c>
    </row>
    <row r="1906" spans="2:11">
      <c r="B1906">
        <f t="shared" si="309"/>
        <v>0</v>
      </c>
      <c r="F1906" s="57" t="e">
        <f t="shared" si="307"/>
        <v>#N/A</v>
      </c>
      <c r="G1906" t="str">
        <f t="shared" si="308"/>
        <v/>
      </c>
      <c r="I1906" t="e">
        <f>VLOOKUP(F1906,'1PROJE'!$B$7:$F$26,2,0)</f>
        <v>#N/A</v>
      </c>
      <c r="J1906" t="e">
        <f>VLOOKUP(F1906,'1PROJE'!$B$7:$F$26,4,0)</f>
        <v>#N/A</v>
      </c>
      <c r="K1906" t="e">
        <f>VLOOKUP(F1906,'1PROJE'!$B$7:$F$26,5,0)</f>
        <v>#N/A</v>
      </c>
    </row>
    <row r="1907" spans="2:11">
      <c r="B1907">
        <f t="shared" si="309"/>
        <v>0</v>
      </c>
      <c r="F1907" s="57" t="e">
        <f t="shared" si="307"/>
        <v>#N/A</v>
      </c>
      <c r="G1907" t="str">
        <f t="shared" si="308"/>
        <v/>
      </c>
      <c r="I1907" t="e">
        <f>VLOOKUP(F1907,'1PROJE'!$B$7:$F$26,2,0)</f>
        <v>#N/A</v>
      </c>
      <c r="J1907" t="e">
        <f>VLOOKUP(F1907,'1PROJE'!$B$7:$F$26,4,0)</f>
        <v>#N/A</v>
      </c>
      <c r="K1907" t="e">
        <f>VLOOKUP(F1907,'1PROJE'!$B$7:$F$26,5,0)</f>
        <v>#N/A</v>
      </c>
    </row>
    <row r="1908" spans="2:11">
      <c r="B1908">
        <f t="shared" si="309"/>
        <v>0</v>
      </c>
      <c r="F1908" s="57" t="e">
        <f t="shared" si="307"/>
        <v>#N/A</v>
      </c>
      <c r="G1908" t="str">
        <f t="shared" si="308"/>
        <v/>
      </c>
      <c r="I1908" t="e">
        <f>VLOOKUP(F1908,'1PROJE'!$B$7:$F$26,2,0)</f>
        <v>#N/A</v>
      </c>
      <c r="J1908" t="e">
        <f>VLOOKUP(F1908,'1PROJE'!$B$7:$F$26,4,0)</f>
        <v>#N/A</v>
      </c>
      <c r="K1908" t="e">
        <f>VLOOKUP(F1908,'1PROJE'!$B$7:$F$26,5,0)</f>
        <v>#N/A</v>
      </c>
    </row>
    <row r="1909" spans="2:11">
      <c r="B1909">
        <f t="shared" si="309"/>
        <v>0</v>
      </c>
      <c r="F1909" s="57" t="e">
        <f t="shared" si="307"/>
        <v>#N/A</v>
      </c>
      <c r="G1909" t="str">
        <f t="shared" si="308"/>
        <v/>
      </c>
      <c r="I1909" t="e">
        <f>VLOOKUP(F1909,'1PROJE'!$B$7:$F$26,2,0)</f>
        <v>#N/A</v>
      </c>
      <c r="J1909" t="e">
        <f>VLOOKUP(F1909,'1PROJE'!$B$7:$F$26,4,0)</f>
        <v>#N/A</v>
      </c>
      <c r="K1909" t="e">
        <f>VLOOKUP(F1909,'1PROJE'!$B$7:$F$26,5,0)</f>
        <v>#N/A</v>
      </c>
    </row>
    <row r="1910" spans="2:11">
      <c r="B1910">
        <f t="shared" si="309"/>
        <v>0</v>
      </c>
      <c r="F1910" s="57" t="e">
        <f t="shared" si="307"/>
        <v>#N/A</v>
      </c>
      <c r="G1910" t="str">
        <f t="shared" si="308"/>
        <v/>
      </c>
      <c r="I1910" t="e">
        <f>VLOOKUP(F1910,'1PROJE'!$B$7:$F$26,2,0)</f>
        <v>#N/A</v>
      </c>
      <c r="J1910" t="e">
        <f>VLOOKUP(F1910,'1PROJE'!$B$7:$F$26,4,0)</f>
        <v>#N/A</v>
      </c>
      <c r="K1910" t="e">
        <f>VLOOKUP(F1910,'1PROJE'!$B$7:$F$26,5,0)</f>
        <v>#N/A</v>
      </c>
    </row>
    <row r="1911" spans="2:11">
      <c r="B1911">
        <f t="shared" si="309"/>
        <v>0</v>
      </c>
      <c r="F1911" s="57" t="e">
        <f t="shared" si="307"/>
        <v>#N/A</v>
      </c>
      <c r="G1911" t="str">
        <f t="shared" si="308"/>
        <v/>
      </c>
      <c r="I1911" t="e">
        <f>VLOOKUP(F1911,'1PROJE'!$B$7:$F$26,2,0)</f>
        <v>#N/A</v>
      </c>
      <c r="J1911" t="e">
        <f>VLOOKUP(F1911,'1PROJE'!$B$7:$F$26,4,0)</f>
        <v>#N/A</v>
      </c>
      <c r="K1911" t="e">
        <f>VLOOKUP(F1911,'1PROJE'!$B$7:$F$26,5,0)</f>
        <v>#N/A</v>
      </c>
    </row>
    <row r="1912" spans="2:11">
      <c r="B1912">
        <f t="shared" si="309"/>
        <v>0</v>
      </c>
      <c r="F1912" s="57" t="e">
        <f t="shared" si="307"/>
        <v>#N/A</v>
      </c>
      <c r="G1912" t="str">
        <f t="shared" si="308"/>
        <v/>
      </c>
      <c r="I1912" t="e">
        <f>VLOOKUP(F1912,'1PROJE'!$B$7:$F$26,2,0)</f>
        <v>#N/A</v>
      </c>
      <c r="J1912" t="e">
        <f>VLOOKUP(F1912,'1PROJE'!$B$7:$F$26,4,0)</f>
        <v>#N/A</v>
      </c>
      <c r="K1912" t="e">
        <f>VLOOKUP(F1912,'1PROJE'!$B$7:$F$26,5,0)</f>
        <v>#N/A</v>
      </c>
    </row>
    <row r="1913" spans="2:11">
      <c r="B1913">
        <f t="shared" si="309"/>
        <v>0</v>
      </c>
      <c r="F1913" s="57" t="e">
        <f t="shared" si="307"/>
        <v>#N/A</v>
      </c>
      <c r="G1913" t="str">
        <f t="shared" si="308"/>
        <v/>
      </c>
      <c r="I1913" t="e">
        <f>VLOOKUP(F1913,'1PROJE'!$B$7:$F$26,2,0)</f>
        <v>#N/A</v>
      </c>
      <c r="J1913" t="e">
        <f>VLOOKUP(F1913,'1PROJE'!$B$7:$F$26,4,0)</f>
        <v>#N/A</v>
      </c>
      <c r="K1913" t="e">
        <f>VLOOKUP(F1913,'1PROJE'!$B$7:$F$26,5,0)</f>
        <v>#N/A</v>
      </c>
    </row>
    <row r="1914" spans="2:11">
      <c r="B1914">
        <f t="shared" si="309"/>
        <v>0</v>
      </c>
      <c r="F1914" s="57" t="e">
        <f t="shared" si="307"/>
        <v>#N/A</v>
      </c>
      <c r="G1914" t="str">
        <f t="shared" si="308"/>
        <v/>
      </c>
      <c r="I1914" t="e">
        <f>VLOOKUP(F1914,'1PROJE'!$B$7:$F$26,2,0)</f>
        <v>#N/A</v>
      </c>
      <c r="J1914" t="e">
        <f>VLOOKUP(F1914,'1PROJE'!$B$7:$F$26,4,0)</f>
        <v>#N/A</v>
      </c>
      <c r="K1914" t="e">
        <f>VLOOKUP(F1914,'1PROJE'!$B$7:$F$26,5,0)</f>
        <v>#N/A</v>
      </c>
    </row>
    <row r="1915" spans="2:11">
      <c r="B1915">
        <f t="shared" si="309"/>
        <v>0</v>
      </c>
      <c r="F1915" s="57" t="e">
        <f t="shared" si="307"/>
        <v>#N/A</v>
      </c>
      <c r="G1915" t="str">
        <f t="shared" si="308"/>
        <v/>
      </c>
      <c r="I1915" t="e">
        <f>VLOOKUP(F1915,'1PROJE'!$B$7:$F$26,2,0)</f>
        <v>#N/A</v>
      </c>
      <c r="J1915" t="e">
        <f>VLOOKUP(F1915,'1PROJE'!$B$7:$F$26,4,0)</f>
        <v>#N/A</v>
      </c>
      <c r="K1915" t="e">
        <f>VLOOKUP(F1915,'1PROJE'!$B$7:$F$26,5,0)</f>
        <v>#N/A</v>
      </c>
    </row>
    <row r="1916" spans="2:11">
      <c r="B1916">
        <f t="shared" si="309"/>
        <v>0</v>
      </c>
      <c r="F1916" s="57" t="e">
        <f t="shared" si="307"/>
        <v>#N/A</v>
      </c>
      <c r="G1916" t="str">
        <f t="shared" si="308"/>
        <v/>
      </c>
      <c r="I1916" t="e">
        <f>VLOOKUP(F1916,'1PROJE'!$B$7:$F$26,2,0)</f>
        <v>#N/A</v>
      </c>
      <c r="J1916" t="e">
        <f>VLOOKUP(F1916,'1PROJE'!$B$7:$F$26,4,0)</f>
        <v>#N/A</v>
      </c>
      <c r="K1916" t="e">
        <f>VLOOKUP(F1916,'1PROJE'!$B$7:$F$26,5,0)</f>
        <v>#N/A</v>
      </c>
    </row>
    <row r="1917" spans="2:11">
      <c r="B1917">
        <f t="shared" si="309"/>
        <v>0</v>
      </c>
      <c r="F1917" s="57" t="e">
        <f t="shared" si="307"/>
        <v>#N/A</v>
      </c>
      <c r="G1917" t="str">
        <f t="shared" si="308"/>
        <v/>
      </c>
      <c r="I1917" t="e">
        <f>VLOOKUP(F1917,'1PROJE'!$B$7:$F$26,2,0)</f>
        <v>#N/A</v>
      </c>
      <c r="J1917" t="e">
        <f>VLOOKUP(F1917,'1PROJE'!$B$7:$F$26,4,0)</f>
        <v>#N/A</v>
      </c>
      <c r="K1917" t="e">
        <f>VLOOKUP(F1917,'1PROJE'!$B$7:$F$26,5,0)</f>
        <v>#N/A</v>
      </c>
    </row>
    <row r="1918" spans="2:11">
      <c r="B1918">
        <f t="shared" si="309"/>
        <v>0</v>
      </c>
      <c r="F1918" s="57" t="e">
        <f t="shared" si="307"/>
        <v>#N/A</v>
      </c>
      <c r="G1918" t="str">
        <f t="shared" si="308"/>
        <v/>
      </c>
      <c r="I1918" t="e">
        <f>VLOOKUP(F1918,'1PROJE'!$B$7:$F$26,2,0)</f>
        <v>#N/A</v>
      </c>
      <c r="J1918" t="e">
        <f>VLOOKUP(F1918,'1PROJE'!$B$7:$F$26,4,0)</f>
        <v>#N/A</v>
      </c>
      <c r="K1918" t="e">
        <f>VLOOKUP(F1918,'1PROJE'!$B$7:$F$26,5,0)</f>
        <v>#N/A</v>
      </c>
    </row>
    <row r="1919" spans="2:11">
      <c r="B1919">
        <f t="shared" si="309"/>
        <v>0</v>
      </c>
      <c r="F1919" s="57" t="e">
        <f t="shared" si="307"/>
        <v>#N/A</v>
      </c>
      <c r="G1919" t="str">
        <f t="shared" si="308"/>
        <v/>
      </c>
      <c r="I1919" t="e">
        <f>VLOOKUP(F1919,'1PROJE'!$B$7:$F$26,2,0)</f>
        <v>#N/A</v>
      </c>
      <c r="J1919" t="e">
        <f>VLOOKUP(F1919,'1PROJE'!$B$7:$F$26,4,0)</f>
        <v>#N/A</v>
      </c>
      <c r="K1919" t="e">
        <f>VLOOKUP(F1919,'1PROJE'!$B$7:$F$26,5,0)</f>
        <v>#N/A</v>
      </c>
    </row>
    <row r="1920" spans="2:11">
      <c r="B1920">
        <f t="shared" si="309"/>
        <v>0</v>
      </c>
      <c r="F1920" s="57" t="e">
        <f t="shared" si="307"/>
        <v>#N/A</v>
      </c>
      <c r="G1920" t="str">
        <f t="shared" si="308"/>
        <v/>
      </c>
      <c r="I1920" t="e">
        <f>VLOOKUP(F1920,'1PROJE'!$B$7:$F$26,2,0)</f>
        <v>#N/A</v>
      </c>
      <c r="J1920" t="e">
        <f>VLOOKUP(F1920,'1PROJE'!$B$7:$F$26,4,0)</f>
        <v>#N/A</v>
      </c>
      <c r="K1920" t="e">
        <f>VLOOKUP(F1920,'1PROJE'!$B$7:$F$26,5,0)</f>
        <v>#N/A</v>
      </c>
    </row>
    <row r="1921" spans="2:11">
      <c r="B1921">
        <f t="shared" si="309"/>
        <v>0</v>
      </c>
      <c r="F1921" s="57" t="e">
        <f t="shared" si="307"/>
        <v>#N/A</v>
      </c>
      <c r="G1921" t="str">
        <f t="shared" si="308"/>
        <v/>
      </c>
      <c r="I1921" t="e">
        <f>VLOOKUP(F1921,'1PROJE'!$B$7:$F$26,2,0)</f>
        <v>#N/A</v>
      </c>
      <c r="J1921" t="e">
        <f>VLOOKUP(F1921,'1PROJE'!$B$7:$F$26,4,0)</f>
        <v>#N/A</v>
      </c>
      <c r="K1921" t="e">
        <f>VLOOKUP(F1921,'1PROJE'!$B$7:$F$26,5,0)</f>
        <v>#N/A</v>
      </c>
    </row>
    <row r="1922" spans="2:11">
      <c r="B1922">
        <f t="shared" si="309"/>
        <v>0</v>
      </c>
      <c r="F1922" s="57" t="e">
        <f t="shared" si="307"/>
        <v>#N/A</v>
      </c>
      <c r="G1922" t="str">
        <f t="shared" si="308"/>
        <v/>
      </c>
      <c r="I1922" t="e">
        <f>VLOOKUP(F1922,'1PROJE'!$B$7:$F$26,2,0)</f>
        <v>#N/A</v>
      </c>
      <c r="J1922" t="e">
        <f>VLOOKUP(F1922,'1PROJE'!$B$7:$F$26,4,0)</f>
        <v>#N/A</v>
      </c>
      <c r="K1922" t="e">
        <f>VLOOKUP(F1922,'1PROJE'!$B$7:$F$26,5,0)</f>
        <v>#N/A</v>
      </c>
    </row>
    <row r="1923" spans="2:11">
      <c r="B1923">
        <f t="shared" si="309"/>
        <v>0</v>
      </c>
      <c r="F1923" s="57" t="e">
        <f t="shared" si="307"/>
        <v>#N/A</v>
      </c>
      <c r="G1923" t="str">
        <f t="shared" si="308"/>
        <v/>
      </c>
      <c r="I1923" t="e">
        <f>VLOOKUP(F1923,'1PROJE'!$B$7:$F$26,2,0)</f>
        <v>#N/A</v>
      </c>
      <c r="J1923" t="e">
        <f>VLOOKUP(F1923,'1PROJE'!$B$7:$F$26,4,0)</f>
        <v>#N/A</v>
      </c>
      <c r="K1923" t="e">
        <f>VLOOKUP(F1923,'1PROJE'!$B$7:$F$26,5,0)</f>
        <v>#N/A</v>
      </c>
    </row>
    <row r="1924" spans="2:11">
      <c r="B1924">
        <f t="shared" si="309"/>
        <v>0</v>
      </c>
      <c r="F1924" s="57" t="e">
        <f t="shared" si="307"/>
        <v>#N/A</v>
      </c>
      <c r="G1924" t="str">
        <f t="shared" si="308"/>
        <v/>
      </c>
      <c r="I1924" t="e">
        <f>VLOOKUP(F1924,'1PROJE'!$B$7:$F$26,2,0)</f>
        <v>#N/A</v>
      </c>
      <c r="J1924" t="e">
        <f>VLOOKUP(F1924,'1PROJE'!$B$7:$F$26,4,0)</f>
        <v>#N/A</v>
      </c>
      <c r="K1924" t="e">
        <f>VLOOKUP(F1924,'1PROJE'!$B$7:$F$26,5,0)</f>
        <v>#N/A</v>
      </c>
    </row>
    <row r="1925" spans="2:11">
      <c r="B1925">
        <f t="shared" si="309"/>
        <v>0</v>
      </c>
      <c r="F1925" s="57" t="e">
        <f t="shared" si="307"/>
        <v>#N/A</v>
      </c>
      <c r="G1925" t="str">
        <f t="shared" si="308"/>
        <v/>
      </c>
      <c r="I1925" t="e">
        <f>VLOOKUP(F1925,'1PROJE'!$B$7:$F$26,2,0)</f>
        <v>#N/A</v>
      </c>
      <c r="J1925" t="e">
        <f>VLOOKUP(F1925,'1PROJE'!$B$7:$F$26,4,0)</f>
        <v>#N/A</v>
      </c>
      <c r="K1925" t="e">
        <f>VLOOKUP(F1925,'1PROJE'!$B$7:$F$26,5,0)</f>
        <v>#N/A</v>
      </c>
    </row>
    <row r="1926" spans="2:11">
      <c r="B1926">
        <f t="shared" si="309"/>
        <v>0</v>
      </c>
      <c r="F1926" s="57" t="e">
        <f t="shared" si="307"/>
        <v>#N/A</v>
      </c>
      <c r="G1926" t="str">
        <f t="shared" si="308"/>
        <v/>
      </c>
      <c r="I1926" t="e">
        <f>VLOOKUP(F1926,'1PROJE'!$B$7:$F$26,2,0)</f>
        <v>#N/A</v>
      </c>
      <c r="J1926" t="e">
        <f>VLOOKUP(F1926,'1PROJE'!$B$7:$F$26,4,0)</f>
        <v>#N/A</v>
      </c>
      <c r="K1926" t="e">
        <f>VLOOKUP(F1926,'1PROJE'!$B$7:$F$26,5,0)</f>
        <v>#N/A</v>
      </c>
    </row>
    <row r="1927" spans="2:11">
      <c r="B1927">
        <f t="shared" ref="B1927:B1958" si="310">IF(($C$45-A127)&lt;0,0,"POZ"&amp;" "&amp;$T$61&amp;"."&amp;A127)</f>
        <v>0</v>
      </c>
      <c r="F1927" s="57" t="e">
        <f t="shared" si="307"/>
        <v>#N/A</v>
      </c>
      <c r="G1927" t="str">
        <f t="shared" si="308"/>
        <v/>
      </c>
      <c r="I1927" t="e">
        <f>VLOOKUP(F1927,'1PROJE'!$B$7:$F$26,2,0)</f>
        <v>#N/A</v>
      </c>
      <c r="J1927" t="e">
        <f>VLOOKUP(F1927,'1PROJE'!$B$7:$F$26,4,0)</f>
        <v>#N/A</v>
      </c>
      <c r="K1927" t="e">
        <f>VLOOKUP(F1927,'1PROJE'!$B$7:$F$26,5,0)</f>
        <v>#N/A</v>
      </c>
    </row>
    <row r="1928" spans="2:11">
      <c r="B1928">
        <f t="shared" si="310"/>
        <v>0</v>
      </c>
      <c r="F1928" s="57" t="e">
        <f t="shared" si="307"/>
        <v>#N/A</v>
      </c>
      <c r="G1928" t="str">
        <f t="shared" si="308"/>
        <v/>
      </c>
      <c r="I1928" t="e">
        <f>VLOOKUP(F1928,'1PROJE'!$B$7:$F$26,2,0)</f>
        <v>#N/A</v>
      </c>
      <c r="J1928" t="e">
        <f>VLOOKUP(F1928,'1PROJE'!$B$7:$F$26,4,0)</f>
        <v>#N/A</v>
      </c>
      <c r="K1928" t="e">
        <f>VLOOKUP(F1928,'1PROJE'!$B$7:$F$26,5,0)</f>
        <v>#N/A</v>
      </c>
    </row>
    <row r="1929" spans="2:11">
      <c r="B1929">
        <f t="shared" si="310"/>
        <v>0</v>
      </c>
      <c r="F1929" s="57" t="e">
        <f t="shared" si="307"/>
        <v>#N/A</v>
      </c>
      <c r="G1929" t="str">
        <f t="shared" si="308"/>
        <v/>
      </c>
      <c r="I1929" t="e">
        <f>VLOOKUP(F1929,'1PROJE'!$B$7:$F$26,2,0)</f>
        <v>#N/A</v>
      </c>
      <c r="J1929" t="e">
        <f>VLOOKUP(F1929,'1PROJE'!$B$7:$F$26,4,0)</f>
        <v>#N/A</v>
      </c>
      <c r="K1929" t="e">
        <f>VLOOKUP(F1929,'1PROJE'!$B$7:$F$26,5,0)</f>
        <v>#N/A</v>
      </c>
    </row>
    <row r="1930" spans="2:11">
      <c r="B1930">
        <f t="shared" si="310"/>
        <v>0</v>
      </c>
      <c r="F1930" s="57" t="e">
        <f t="shared" si="307"/>
        <v>#N/A</v>
      </c>
      <c r="G1930" t="str">
        <f t="shared" si="308"/>
        <v/>
      </c>
      <c r="I1930" t="e">
        <f>VLOOKUP(F1930,'1PROJE'!$B$7:$F$26,2,0)</f>
        <v>#N/A</v>
      </c>
      <c r="J1930" t="e">
        <f>VLOOKUP(F1930,'1PROJE'!$B$7:$F$26,4,0)</f>
        <v>#N/A</v>
      </c>
      <c r="K1930" t="e">
        <f>VLOOKUP(F1930,'1PROJE'!$B$7:$F$26,5,0)</f>
        <v>#N/A</v>
      </c>
    </row>
    <row r="1931" spans="2:11">
      <c r="B1931">
        <f t="shared" si="310"/>
        <v>0</v>
      </c>
      <c r="F1931" s="57" t="e">
        <f t="shared" ref="F1931:F1994" si="311">VLOOKUP(G1931,$C$64:$D$83,2,0)</f>
        <v>#N/A</v>
      </c>
      <c r="G1931" t="str">
        <f t="shared" ref="G1931:G1994" si="312">LEFT(H1931,6)</f>
        <v/>
      </c>
      <c r="I1931" t="e">
        <f>VLOOKUP(F1931,'1PROJE'!$B$7:$F$26,2,0)</f>
        <v>#N/A</v>
      </c>
      <c r="J1931" t="e">
        <f>VLOOKUP(F1931,'1PROJE'!$B$7:$F$26,4,0)</f>
        <v>#N/A</v>
      </c>
      <c r="K1931" t="e">
        <f>VLOOKUP(F1931,'1PROJE'!$B$7:$F$26,5,0)</f>
        <v>#N/A</v>
      </c>
    </row>
    <row r="1932" spans="2:11">
      <c r="B1932">
        <f t="shared" si="310"/>
        <v>0</v>
      </c>
      <c r="F1932" s="57" t="e">
        <f t="shared" si="311"/>
        <v>#N/A</v>
      </c>
      <c r="G1932" t="str">
        <f t="shared" si="312"/>
        <v/>
      </c>
      <c r="I1932" t="e">
        <f>VLOOKUP(F1932,'1PROJE'!$B$7:$F$26,2,0)</f>
        <v>#N/A</v>
      </c>
      <c r="J1932" t="e">
        <f>VLOOKUP(F1932,'1PROJE'!$B$7:$F$26,4,0)</f>
        <v>#N/A</v>
      </c>
      <c r="K1932" t="e">
        <f>VLOOKUP(F1932,'1PROJE'!$B$7:$F$26,5,0)</f>
        <v>#N/A</v>
      </c>
    </row>
    <row r="1933" spans="2:11">
      <c r="B1933">
        <f t="shared" si="310"/>
        <v>0</v>
      </c>
      <c r="F1933" s="57" t="e">
        <f t="shared" si="311"/>
        <v>#N/A</v>
      </c>
      <c r="G1933" t="str">
        <f t="shared" si="312"/>
        <v/>
      </c>
      <c r="I1933" t="e">
        <f>VLOOKUP(F1933,'1PROJE'!$B$7:$F$26,2,0)</f>
        <v>#N/A</v>
      </c>
      <c r="J1933" t="e">
        <f>VLOOKUP(F1933,'1PROJE'!$B$7:$F$26,4,0)</f>
        <v>#N/A</v>
      </c>
      <c r="K1933" t="e">
        <f>VLOOKUP(F1933,'1PROJE'!$B$7:$F$26,5,0)</f>
        <v>#N/A</v>
      </c>
    </row>
    <row r="1934" spans="2:11">
      <c r="B1934">
        <f t="shared" si="310"/>
        <v>0</v>
      </c>
      <c r="F1934" s="57" t="e">
        <f t="shared" si="311"/>
        <v>#N/A</v>
      </c>
      <c r="G1934" t="str">
        <f t="shared" si="312"/>
        <v/>
      </c>
      <c r="I1934" t="e">
        <f>VLOOKUP(F1934,'1PROJE'!$B$7:$F$26,2,0)</f>
        <v>#N/A</v>
      </c>
      <c r="J1934" t="e">
        <f>VLOOKUP(F1934,'1PROJE'!$B$7:$F$26,4,0)</f>
        <v>#N/A</v>
      </c>
      <c r="K1934" t="e">
        <f>VLOOKUP(F1934,'1PROJE'!$B$7:$F$26,5,0)</f>
        <v>#N/A</v>
      </c>
    </row>
    <row r="1935" spans="2:11">
      <c r="B1935">
        <f t="shared" si="310"/>
        <v>0</v>
      </c>
      <c r="F1935" s="57" t="e">
        <f t="shared" si="311"/>
        <v>#N/A</v>
      </c>
      <c r="G1935" t="str">
        <f t="shared" si="312"/>
        <v/>
      </c>
      <c r="I1935" t="e">
        <f>VLOOKUP(F1935,'1PROJE'!$B$7:$F$26,2,0)</f>
        <v>#N/A</v>
      </c>
      <c r="J1935" t="e">
        <f>VLOOKUP(F1935,'1PROJE'!$B$7:$F$26,4,0)</f>
        <v>#N/A</v>
      </c>
      <c r="K1935" t="e">
        <f>VLOOKUP(F1935,'1PROJE'!$B$7:$F$26,5,0)</f>
        <v>#N/A</v>
      </c>
    </row>
    <row r="1936" spans="2:11">
      <c r="B1936">
        <f t="shared" si="310"/>
        <v>0</v>
      </c>
      <c r="F1936" s="57" t="e">
        <f t="shared" si="311"/>
        <v>#N/A</v>
      </c>
      <c r="G1936" t="str">
        <f t="shared" si="312"/>
        <v/>
      </c>
      <c r="I1936" t="e">
        <f>VLOOKUP(F1936,'1PROJE'!$B$7:$F$26,2,0)</f>
        <v>#N/A</v>
      </c>
      <c r="J1936" t="e">
        <f>VLOOKUP(F1936,'1PROJE'!$B$7:$F$26,4,0)</f>
        <v>#N/A</v>
      </c>
      <c r="K1936" t="e">
        <f>VLOOKUP(F1936,'1PROJE'!$B$7:$F$26,5,0)</f>
        <v>#N/A</v>
      </c>
    </row>
    <row r="1937" spans="2:11">
      <c r="B1937">
        <f t="shared" si="310"/>
        <v>0</v>
      </c>
      <c r="F1937" s="57" t="e">
        <f t="shared" si="311"/>
        <v>#N/A</v>
      </c>
      <c r="G1937" t="str">
        <f t="shared" si="312"/>
        <v/>
      </c>
      <c r="I1937" t="e">
        <f>VLOOKUP(F1937,'1PROJE'!$B$7:$F$26,2,0)</f>
        <v>#N/A</v>
      </c>
      <c r="J1937" t="e">
        <f>VLOOKUP(F1937,'1PROJE'!$B$7:$F$26,4,0)</f>
        <v>#N/A</v>
      </c>
      <c r="K1937" t="e">
        <f>VLOOKUP(F1937,'1PROJE'!$B$7:$F$26,5,0)</f>
        <v>#N/A</v>
      </c>
    </row>
    <row r="1938" spans="2:11">
      <c r="B1938">
        <f t="shared" si="310"/>
        <v>0</v>
      </c>
      <c r="F1938" s="57" t="e">
        <f t="shared" si="311"/>
        <v>#N/A</v>
      </c>
      <c r="G1938" t="str">
        <f t="shared" si="312"/>
        <v/>
      </c>
      <c r="I1938" t="e">
        <f>VLOOKUP(F1938,'1PROJE'!$B$7:$F$26,2,0)</f>
        <v>#N/A</v>
      </c>
      <c r="J1938" t="e">
        <f>VLOOKUP(F1938,'1PROJE'!$B$7:$F$26,4,0)</f>
        <v>#N/A</v>
      </c>
      <c r="K1938" t="e">
        <f>VLOOKUP(F1938,'1PROJE'!$B$7:$F$26,5,0)</f>
        <v>#N/A</v>
      </c>
    </row>
    <row r="1939" spans="2:11">
      <c r="B1939">
        <f t="shared" si="310"/>
        <v>0</v>
      </c>
      <c r="F1939" s="57" t="e">
        <f t="shared" si="311"/>
        <v>#N/A</v>
      </c>
      <c r="G1939" t="str">
        <f t="shared" si="312"/>
        <v/>
      </c>
      <c r="I1939" t="e">
        <f>VLOOKUP(F1939,'1PROJE'!$B$7:$F$26,2,0)</f>
        <v>#N/A</v>
      </c>
      <c r="J1939" t="e">
        <f>VLOOKUP(F1939,'1PROJE'!$B$7:$F$26,4,0)</f>
        <v>#N/A</v>
      </c>
      <c r="K1939" t="e">
        <f>VLOOKUP(F1939,'1PROJE'!$B$7:$F$26,5,0)</f>
        <v>#N/A</v>
      </c>
    </row>
    <row r="1940" spans="2:11">
      <c r="B1940">
        <f t="shared" si="310"/>
        <v>0</v>
      </c>
      <c r="F1940" s="57" t="e">
        <f t="shared" si="311"/>
        <v>#N/A</v>
      </c>
      <c r="G1940" t="str">
        <f t="shared" si="312"/>
        <v/>
      </c>
      <c r="I1940" t="e">
        <f>VLOOKUP(F1940,'1PROJE'!$B$7:$F$26,2,0)</f>
        <v>#N/A</v>
      </c>
      <c r="J1940" t="e">
        <f>VLOOKUP(F1940,'1PROJE'!$B$7:$F$26,4,0)</f>
        <v>#N/A</v>
      </c>
      <c r="K1940" t="e">
        <f>VLOOKUP(F1940,'1PROJE'!$B$7:$F$26,5,0)</f>
        <v>#N/A</v>
      </c>
    </row>
    <row r="1941" spans="2:11">
      <c r="B1941">
        <f t="shared" si="310"/>
        <v>0</v>
      </c>
      <c r="F1941" s="57" t="e">
        <f t="shared" si="311"/>
        <v>#N/A</v>
      </c>
      <c r="G1941" t="str">
        <f t="shared" si="312"/>
        <v/>
      </c>
      <c r="I1941" t="e">
        <f>VLOOKUP(F1941,'1PROJE'!$B$7:$F$26,2,0)</f>
        <v>#N/A</v>
      </c>
      <c r="J1941" t="e">
        <f>VLOOKUP(F1941,'1PROJE'!$B$7:$F$26,4,0)</f>
        <v>#N/A</v>
      </c>
      <c r="K1941" t="e">
        <f>VLOOKUP(F1941,'1PROJE'!$B$7:$F$26,5,0)</f>
        <v>#N/A</v>
      </c>
    </row>
    <row r="1942" spans="2:11">
      <c r="B1942">
        <f t="shared" si="310"/>
        <v>0</v>
      </c>
      <c r="F1942" s="57" t="e">
        <f t="shared" si="311"/>
        <v>#N/A</v>
      </c>
      <c r="G1942" t="str">
        <f t="shared" si="312"/>
        <v/>
      </c>
      <c r="I1942" t="e">
        <f>VLOOKUP(F1942,'1PROJE'!$B$7:$F$26,2,0)</f>
        <v>#N/A</v>
      </c>
      <c r="J1942" t="e">
        <f>VLOOKUP(F1942,'1PROJE'!$B$7:$F$26,4,0)</f>
        <v>#N/A</v>
      </c>
      <c r="K1942" t="e">
        <f>VLOOKUP(F1942,'1PROJE'!$B$7:$F$26,5,0)</f>
        <v>#N/A</v>
      </c>
    </row>
    <row r="1943" spans="2:11">
      <c r="B1943">
        <f t="shared" si="310"/>
        <v>0</v>
      </c>
      <c r="F1943" s="57" t="e">
        <f t="shared" si="311"/>
        <v>#N/A</v>
      </c>
      <c r="G1943" t="str">
        <f t="shared" si="312"/>
        <v/>
      </c>
      <c r="I1943" t="e">
        <f>VLOOKUP(F1943,'1PROJE'!$B$7:$F$26,2,0)</f>
        <v>#N/A</v>
      </c>
      <c r="J1943" t="e">
        <f>VLOOKUP(F1943,'1PROJE'!$B$7:$F$26,4,0)</f>
        <v>#N/A</v>
      </c>
      <c r="K1943" t="e">
        <f>VLOOKUP(F1943,'1PROJE'!$B$7:$F$26,5,0)</f>
        <v>#N/A</v>
      </c>
    </row>
    <row r="1944" spans="2:11">
      <c r="B1944">
        <f t="shared" si="310"/>
        <v>0</v>
      </c>
      <c r="F1944" s="57" t="e">
        <f t="shared" si="311"/>
        <v>#N/A</v>
      </c>
      <c r="G1944" t="str">
        <f t="shared" si="312"/>
        <v/>
      </c>
      <c r="I1944" t="e">
        <f>VLOOKUP(F1944,'1PROJE'!$B$7:$F$26,2,0)</f>
        <v>#N/A</v>
      </c>
      <c r="J1944" t="e">
        <f>VLOOKUP(F1944,'1PROJE'!$B$7:$F$26,4,0)</f>
        <v>#N/A</v>
      </c>
      <c r="K1944" t="e">
        <f>VLOOKUP(F1944,'1PROJE'!$B$7:$F$26,5,0)</f>
        <v>#N/A</v>
      </c>
    </row>
    <row r="1945" spans="2:11">
      <c r="B1945">
        <f t="shared" si="310"/>
        <v>0</v>
      </c>
      <c r="F1945" s="57" t="e">
        <f t="shared" si="311"/>
        <v>#N/A</v>
      </c>
      <c r="G1945" t="str">
        <f t="shared" si="312"/>
        <v/>
      </c>
      <c r="I1945" t="e">
        <f>VLOOKUP(F1945,'1PROJE'!$B$7:$F$26,2,0)</f>
        <v>#N/A</v>
      </c>
      <c r="J1945" t="e">
        <f>VLOOKUP(F1945,'1PROJE'!$B$7:$F$26,4,0)</f>
        <v>#N/A</v>
      </c>
      <c r="K1945" t="e">
        <f>VLOOKUP(F1945,'1PROJE'!$B$7:$F$26,5,0)</f>
        <v>#N/A</v>
      </c>
    </row>
    <row r="1946" spans="2:11">
      <c r="B1946">
        <f t="shared" si="310"/>
        <v>0</v>
      </c>
      <c r="F1946" s="57" t="e">
        <f t="shared" si="311"/>
        <v>#N/A</v>
      </c>
      <c r="G1946" t="str">
        <f t="shared" si="312"/>
        <v/>
      </c>
      <c r="I1946" t="e">
        <f>VLOOKUP(F1946,'1PROJE'!$B$7:$F$26,2,0)</f>
        <v>#N/A</v>
      </c>
      <c r="J1946" t="e">
        <f>VLOOKUP(F1946,'1PROJE'!$B$7:$F$26,4,0)</f>
        <v>#N/A</v>
      </c>
      <c r="K1946" t="e">
        <f>VLOOKUP(F1946,'1PROJE'!$B$7:$F$26,5,0)</f>
        <v>#N/A</v>
      </c>
    </row>
    <row r="1947" spans="2:11">
      <c r="B1947">
        <f t="shared" si="310"/>
        <v>0</v>
      </c>
      <c r="F1947" s="57" t="e">
        <f t="shared" si="311"/>
        <v>#N/A</v>
      </c>
      <c r="G1947" t="str">
        <f t="shared" si="312"/>
        <v/>
      </c>
      <c r="I1947" t="e">
        <f>VLOOKUP(F1947,'1PROJE'!$B$7:$F$26,2,0)</f>
        <v>#N/A</v>
      </c>
      <c r="J1947" t="e">
        <f>VLOOKUP(F1947,'1PROJE'!$B$7:$F$26,4,0)</f>
        <v>#N/A</v>
      </c>
      <c r="K1947" t="e">
        <f>VLOOKUP(F1947,'1PROJE'!$B$7:$F$26,5,0)</f>
        <v>#N/A</v>
      </c>
    </row>
    <row r="1948" spans="2:11">
      <c r="B1948">
        <f t="shared" si="310"/>
        <v>0</v>
      </c>
      <c r="F1948" s="57" t="e">
        <f t="shared" si="311"/>
        <v>#N/A</v>
      </c>
      <c r="G1948" t="str">
        <f t="shared" si="312"/>
        <v/>
      </c>
      <c r="I1948" t="e">
        <f>VLOOKUP(F1948,'1PROJE'!$B$7:$F$26,2,0)</f>
        <v>#N/A</v>
      </c>
      <c r="J1948" t="e">
        <f>VLOOKUP(F1948,'1PROJE'!$B$7:$F$26,4,0)</f>
        <v>#N/A</v>
      </c>
      <c r="K1948" t="e">
        <f>VLOOKUP(F1948,'1PROJE'!$B$7:$F$26,5,0)</f>
        <v>#N/A</v>
      </c>
    </row>
    <row r="1949" spans="2:11">
      <c r="B1949">
        <f t="shared" si="310"/>
        <v>0</v>
      </c>
      <c r="F1949" s="57" t="e">
        <f t="shared" si="311"/>
        <v>#N/A</v>
      </c>
      <c r="G1949" t="str">
        <f t="shared" si="312"/>
        <v/>
      </c>
      <c r="I1949" t="e">
        <f>VLOOKUP(F1949,'1PROJE'!$B$7:$F$26,2,0)</f>
        <v>#N/A</v>
      </c>
      <c r="J1949" t="e">
        <f>VLOOKUP(F1949,'1PROJE'!$B$7:$F$26,4,0)</f>
        <v>#N/A</v>
      </c>
      <c r="K1949" t="e">
        <f>VLOOKUP(F1949,'1PROJE'!$B$7:$F$26,5,0)</f>
        <v>#N/A</v>
      </c>
    </row>
    <row r="1950" spans="2:11">
      <c r="B1950">
        <f t="shared" si="310"/>
        <v>0</v>
      </c>
      <c r="F1950" s="57" t="e">
        <f t="shared" si="311"/>
        <v>#N/A</v>
      </c>
      <c r="G1950" t="str">
        <f t="shared" si="312"/>
        <v/>
      </c>
      <c r="I1950" t="e">
        <f>VLOOKUP(F1950,'1PROJE'!$B$7:$F$26,2,0)</f>
        <v>#N/A</v>
      </c>
      <c r="J1950" t="e">
        <f>VLOOKUP(F1950,'1PROJE'!$B$7:$F$26,4,0)</f>
        <v>#N/A</v>
      </c>
      <c r="K1950" t="e">
        <f>VLOOKUP(F1950,'1PROJE'!$B$7:$F$26,5,0)</f>
        <v>#N/A</v>
      </c>
    </row>
    <row r="1951" spans="2:11">
      <c r="B1951">
        <f t="shared" si="310"/>
        <v>0</v>
      </c>
      <c r="F1951" s="57" t="e">
        <f t="shared" si="311"/>
        <v>#N/A</v>
      </c>
      <c r="G1951" t="str">
        <f t="shared" si="312"/>
        <v/>
      </c>
      <c r="I1951" t="e">
        <f>VLOOKUP(F1951,'1PROJE'!$B$7:$F$26,2,0)</f>
        <v>#N/A</v>
      </c>
      <c r="J1951" t="e">
        <f>VLOOKUP(F1951,'1PROJE'!$B$7:$F$26,4,0)</f>
        <v>#N/A</v>
      </c>
      <c r="K1951" t="e">
        <f>VLOOKUP(F1951,'1PROJE'!$B$7:$F$26,5,0)</f>
        <v>#N/A</v>
      </c>
    </row>
    <row r="1952" spans="2:11">
      <c r="B1952">
        <f t="shared" si="310"/>
        <v>0</v>
      </c>
      <c r="F1952" s="57" t="e">
        <f t="shared" si="311"/>
        <v>#N/A</v>
      </c>
      <c r="G1952" t="str">
        <f t="shared" si="312"/>
        <v/>
      </c>
      <c r="I1952" t="e">
        <f>VLOOKUP(F1952,'1PROJE'!$B$7:$F$26,2,0)</f>
        <v>#N/A</v>
      </c>
      <c r="J1952" t="e">
        <f>VLOOKUP(F1952,'1PROJE'!$B$7:$F$26,4,0)</f>
        <v>#N/A</v>
      </c>
      <c r="K1952" t="e">
        <f>VLOOKUP(F1952,'1PROJE'!$B$7:$F$26,5,0)</f>
        <v>#N/A</v>
      </c>
    </row>
    <row r="1953" spans="2:11">
      <c r="B1953">
        <f t="shared" si="310"/>
        <v>0</v>
      </c>
      <c r="F1953" s="57" t="e">
        <f t="shared" si="311"/>
        <v>#N/A</v>
      </c>
      <c r="G1953" t="str">
        <f t="shared" si="312"/>
        <v/>
      </c>
      <c r="I1953" t="e">
        <f>VLOOKUP(F1953,'1PROJE'!$B$7:$F$26,2,0)</f>
        <v>#N/A</v>
      </c>
      <c r="J1953" t="e">
        <f>VLOOKUP(F1953,'1PROJE'!$B$7:$F$26,4,0)</f>
        <v>#N/A</v>
      </c>
      <c r="K1953" t="e">
        <f>VLOOKUP(F1953,'1PROJE'!$B$7:$F$26,5,0)</f>
        <v>#N/A</v>
      </c>
    </row>
    <row r="1954" spans="2:11">
      <c r="B1954">
        <f t="shared" si="310"/>
        <v>0</v>
      </c>
      <c r="F1954" s="57" t="e">
        <f t="shared" si="311"/>
        <v>#N/A</v>
      </c>
      <c r="G1954" t="str">
        <f t="shared" si="312"/>
        <v/>
      </c>
      <c r="I1954" t="e">
        <f>VLOOKUP(F1954,'1PROJE'!$B$7:$F$26,2,0)</f>
        <v>#N/A</v>
      </c>
      <c r="J1954" t="e">
        <f>VLOOKUP(F1954,'1PROJE'!$B$7:$F$26,4,0)</f>
        <v>#N/A</v>
      </c>
      <c r="K1954" t="e">
        <f>VLOOKUP(F1954,'1PROJE'!$B$7:$F$26,5,0)</f>
        <v>#N/A</v>
      </c>
    </row>
    <row r="1955" spans="2:11">
      <c r="B1955">
        <f t="shared" si="310"/>
        <v>0</v>
      </c>
      <c r="F1955" s="57" t="e">
        <f t="shared" si="311"/>
        <v>#N/A</v>
      </c>
      <c r="G1955" t="str">
        <f t="shared" si="312"/>
        <v/>
      </c>
      <c r="I1955" t="e">
        <f>VLOOKUP(F1955,'1PROJE'!$B$7:$F$26,2,0)</f>
        <v>#N/A</v>
      </c>
      <c r="J1955" t="e">
        <f>VLOOKUP(F1955,'1PROJE'!$B$7:$F$26,4,0)</f>
        <v>#N/A</v>
      </c>
      <c r="K1955" t="e">
        <f>VLOOKUP(F1955,'1PROJE'!$B$7:$F$26,5,0)</f>
        <v>#N/A</v>
      </c>
    </row>
    <row r="1956" spans="2:11">
      <c r="B1956">
        <f t="shared" si="310"/>
        <v>0</v>
      </c>
      <c r="F1956" s="57" t="e">
        <f t="shared" si="311"/>
        <v>#N/A</v>
      </c>
      <c r="G1956" t="str">
        <f t="shared" si="312"/>
        <v/>
      </c>
      <c r="I1956" t="e">
        <f>VLOOKUP(F1956,'1PROJE'!$B$7:$F$26,2,0)</f>
        <v>#N/A</v>
      </c>
      <c r="J1956" t="e">
        <f>VLOOKUP(F1956,'1PROJE'!$B$7:$F$26,4,0)</f>
        <v>#N/A</v>
      </c>
      <c r="K1956" t="e">
        <f>VLOOKUP(F1956,'1PROJE'!$B$7:$F$26,5,0)</f>
        <v>#N/A</v>
      </c>
    </row>
    <row r="1957" spans="2:11">
      <c r="B1957">
        <f t="shared" si="310"/>
        <v>0</v>
      </c>
      <c r="F1957" s="57" t="e">
        <f t="shared" si="311"/>
        <v>#N/A</v>
      </c>
      <c r="G1957" t="str">
        <f t="shared" si="312"/>
        <v/>
      </c>
      <c r="I1957" t="e">
        <f>VLOOKUP(F1957,'1PROJE'!$B$7:$F$26,2,0)</f>
        <v>#N/A</v>
      </c>
      <c r="J1957" t="e">
        <f>VLOOKUP(F1957,'1PROJE'!$B$7:$F$26,4,0)</f>
        <v>#N/A</v>
      </c>
      <c r="K1957" t="e">
        <f>VLOOKUP(F1957,'1PROJE'!$B$7:$F$26,5,0)</f>
        <v>#N/A</v>
      </c>
    </row>
    <row r="1958" spans="2:11">
      <c r="B1958">
        <f t="shared" si="310"/>
        <v>0</v>
      </c>
      <c r="F1958" s="57" t="e">
        <f t="shared" si="311"/>
        <v>#N/A</v>
      </c>
      <c r="G1958" t="str">
        <f t="shared" si="312"/>
        <v/>
      </c>
      <c r="I1958" t="e">
        <f>VLOOKUP(F1958,'1PROJE'!$B$7:$F$26,2,0)</f>
        <v>#N/A</v>
      </c>
      <c r="J1958" t="e">
        <f>VLOOKUP(F1958,'1PROJE'!$B$7:$F$26,4,0)</f>
        <v>#N/A</v>
      </c>
      <c r="K1958" t="e">
        <f>VLOOKUP(F1958,'1PROJE'!$B$7:$F$26,5,0)</f>
        <v>#N/A</v>
      </c>
    </row>
    <row r="1959" spans="2:11">
      <c r="B1959">
        <f t="shared" ref="B1959:B1961" si="313">IF(($C$45-A159)&lt;0,0,"POZ"&amp;" "&amp;$T$61&amp;"."&amp;A159)</f>
        <v>0</v>
      </c>
      <c r="F1959" s="57" t="e">
        <f t="shared" si="311"/>
        <v>#N/A</v>
      </c>
      <c r="G1959" t="str">
        <f t="shared" si="312"/>
        <v/>
      </c>
      <c r="I1959" t="e">
        <f>VLOOKUP(F1959,'1PROJE'!$B$7:$F$26,2,0)</f>
        <v>#N/A</v>
      </c>
      <c r="J1959" t="e">
        <f>VLOOKUP(F1959,'1PROJE'!$B$7:$F$26,4,0)</f>
        <v>#N/A</v>
      </c>
      <c r="K1959" t="e">
        <f>VLOOKUP(F1959,'1PROJE'!$B$7:$F$26,5,0)</f>
        <v>#N/A</v>
      </c>
    </row>
    <row r="1960" spans="2:11">
      <c r="B1960">
        <f t="shared" si="313"/>
        <v>0</v>
      </c>
      <c r="F1960" s="57" t="e">
        <f t="shared" si="311"/>
        <v>#N/A</v>
      </c>
      <c r="G1960" t="str">
        <f t="shared" si="312"/>
        <v/>
      </c>
      <c r="I1960" t="e">
        <f>VLOOKUP(F1960,'1PROJE'!$B$7:$F$26,2,0)</f>
        <v>#N/A</v>
      </c>
      <c r="J1960" t="e">
        <f>VLOOKUP(F1960,'1PROJE'!$B$7:$F$26,4,0)</f>
        <v>#N/A</v>
      </c>
      <c r="K1960" t="e">
        <f>VLOOKUP(F1960,'1PROJE'!$B$7:$F$26,5,0)</f>
        <v>#N/A</v>
      </c>
    </row>
    <row r="1961" spans="2:11">
      <c r="B1961">
        <f t="shared" si="313"/>
        <v>0</v>
      </c>
      <c r="F1961" s="57" t="e">
        <f t="shared" si="311"/>
        <v>#N/A</v>
      </c>
      <c r="G1961" t="str">
        <f t="shared" si="312"/>
        <v/>
      </c>
      <c r="I1961" t="e">
        <f>VLOOKUP(F1961,'1PROJE'!$B$7:$F$26,2,0)</f>
        <v>#N/A</v>
      </c>
      <c r="J1961" t="e">
        <f>VLOOKUP(F1961,'1PROJE'!$B$7:$F$26,4,0)</f>
        <v>#N/A</v>
      </c>
      <c r="K1961" t="e">
        <f>VLOOKUP(F1961,'1PROJE'!$B$7:$F$26,5,0)</f>
        <v>#N/A</v>
      </c>
    </row>
    <row r="1962" spans="2:11">
      <c r="B1962">
        <f>IF(C46=0,0,IF(($C$46-A62)=0,"POZ 20.","POZ"&amp;" "&amp;$U$61&amp;"."&amp;A62))</f>
        <v>0</v>
      </c>
      <c r="F1962" s="57" t="e">
        <f t="shared" si="311"/>
        <v>#N/A</v>
      </c>
      <c r="G1962" t="str">
        <f t="shared" si="312"/>
        <v/>
      </c>
      <c r="I1962" t="e">
        <f>VLOOKUP(F1962,'1PROJE'!$B$7:$F$26,2,0)</f>
        <v>#N/A</v>
      </c>
      <c r="J1962" t="e">
        <f>VLOOKUP(F1962,'1PROJE'!$B$7:$F$26,4,0)</f>
        <v>#N/A</v>
      </c>
      <c r="K1962" t="e">
        <f>VLOOKUP(F1962,'1PROJE'!$B$7:$F$26,5,0)</f>
        <v>#N/A</v>
      </c>
    </row>
    <row r="1963" spans="2:11">
      <c r="B1963">
        <f t="shared" ref="B1963:B1994" si="314">IF(($C$46-A63)&lt;0,0,"POZ"&amp;" "&amp;$U$61&amp;"."&amp;A63)</f>
        <v>0</v>
      </c>
      <c r="F1963" s="57" t="e">
        <f t="shared" si="311"/>
        <v>#N/A</v>
      </c>
      <c r="G1963" t="str">
        <f t="shared" si="312"/>
        <v/>
      </c>
      <c r="I1963" t="e">
        <f>VLOOKUP(F1963,'1PROJE'!$B$7:$F$26,2,0)</f>
        <v>#N/A</v>
      </c>
      <c r="J1963" t="e">
        <f>VLOOKUP(F1963,'1PROJE'!$B$7:$F$26,4,0)</f>
        <v>#N/A</v>
      </c>
      <c r="K1963" t="e">
        <f>VLOOKUP(F1963,'1PROJE'!$B$7:$F$26,5,0)</f>
        <v>#N/A</v>
      </c>
    </row>
    <row r="1964" spans="2:11">
      <c r="B1964">
        <f t="shared" si="314"/>
        <v>0</v>
      </c>
      <c r="F1964" s="57" t="e">
        <f t="shared" si="311"/>
        <v>#N/A</v>
      </c>
      <c r="G1964" t="str">
        <f t="shared" si="312"/>
        <v/>
      </c>
      <c r="I1964" t="e">
        <f>VLOOKUP(F1964,'1PROJE'!$B$7:$F$26,2,0)</f>
        <v>#N/A</v>
      </c>
      <c r="J1964" t="e">
        <f>VLOOKUP(F1964,'1PROJE'!$B$7:$F$26,4,0)</f>
        <v>#N/A</v>
      </c>
      <c r="K1964" t="e">
        <f>VLOOKUP(F1964,'1PROJE'!$B$7:$F$26,5,0)</f>
        <v>#N/A</v>
      </c>
    </row>
    <row r="1965" spans="2:11">
      <c r="B1965">
        <f t="shared" si="314"/>
        <v>0</v>
      </c>
      <c r="F1965" s="57" t="e">
        <f t="shared" si="311"/>
        <v>#N/A</v>
      </c>
      <c r="G1965" t="str">
        <f t="shared" si="312"/>
        <v/>
      </c>
      <c r="I1965" t="e">
        <f>VLOOKUP(F1965,'1PROJE'!$B$7:$F$26,2,0)</f>
        <v>#N/A</v>
      </c>
      <c r="J1965" t="e">
        <f>VLOOKUP(F1965,'1PROJE'!$B$7:$F$26,4,0)</f>
        <v>#N/A</v>
      </c>
      <c r="K1965" t="e">
        <f>VLOOKUP(F1965,'1PROJE'!$B$7:$F$26,5,0)</f>
        <v>#N/A</v>
      </c>
    </row>
    <row r="1966" spans="2:11">
      <c r="B1966">
        <f t="shared" si="314"/>
        <v>0</v>
      </c>
      <c r="F1966" s="57" t="e">
        <f t="shared" si="311"/>
        <v>#N/A</v>
      </c>
      <c r="G1966" t="str">
        <f t="shared" si="312"/>
        <v/>
      </c>
      <c r="I1966" t="e">
        <f>VLOOKUP(F1966,'1PROJE'!$B$7:$F$26,2,0)</f>
        <v>#N/A</v>
      </c>
      <c r="J1966" t="e">
        <f>VLOOKUP(F1966,'1PROJE'!$B$7:$F$26,4,0)</f>
        <v>#N/A</v>
      </c>
      <c r="K1966" t="e">
        <f>VLOOKUP(F1966,'1PROJE'!$B$7:$F$26,5,0)</f>
        <v>#N/A</v>
      </c>
    </row>
    <row r="1967" spans="2:11">
      <c r="B1967">
        <f t="shared" si="314"/>
        <v>0</v>
      </c>
      <c r="F1967" s="57" t="e">
        <f t="shared" si="311"/>
        <v>#N/A</v>
      </c>
      <c r="G1967" t="str">
        <f t="shared" si="312"/>
        <v/>
      </c>
      <c r="I1967" t="e">
        <f>VLOOKUP(F1967,'1PROJE'!$B$7:$F$26,2,0)</f>
        <v>#N/A</v>
      </c>
      <c r="J1967" t="e">
        <f>VLOOKUP(F1967,'1PROJE'!$B$7:$F$26,4,0)</f>
        <v>#N/A</v>
      </c>
      <c r="K1967" t="e">
        <f>VLOOKUP(F1967,'1PROJE'!$B$7:$F$26,5,0)</f>
        <v>#N/A</v>
      </c>
    </row>
    <row r="1968" spans="2:11">
      <c r="B1968">
        <f t="shared" si="314"/>
        <v>0</v>
      </c>
      <c r="F1968" s="57" t="e">
        <f t="shared" si="311"/>
        <v>#N/A</v>
      </c>
      <c r="G1968" t="str">
        <f t="shared" si="312"/>
        <v/>
      </c>
      <c r="I1968" t="e">
        <f>VLOOKUP(F1968,'1PROJE'!$B$7:$F$26,2,0)</f>
        <v>#N/A</v>
      </c>
      <c r="J1968" t="e">
        <f>VLOOKUP(F1968,'1PROJE'!$B$7:$F$26,4,0)</f>
        <v>#N/A</v>
      </c>
      <c r="K1968" t="e">
        <f>VLOOKUP(F1968,'1PROJE'!$B$7:$F$26,5,0)</f>
        <v>#N/A</v>
      </c>
    </row>
    <row r="1969" spans="2:11">
      <c r="B1969">
        <f t="shared" si="314"/>
        <v>0</v>
      </c>
      <c r="F1969" s="57" t="e">
        <f t="shared" si="311"/>
        <v>#N/A</v>
      </c>
      <c r="G1969" t="str">
        <f t="shared" si="312"/>
        <v/>
      </c>
      <c r="I1969" t="e">
        <f>VLOOKUP(F1969,'1PROJE'!$B$7:$F$26,2,0)</f>
        <v>#N/A</v>
      </c>
      <c r="J1969" t="e">
        <f>VLOOKUP(F1969,'1PROJE'!$B$7:$F$26,4,0)</f>
        <v>#N/A</v>
      </c>
      <c r="K1969" t="e">
        <f>VLOOKUP(F1969,'1PROJE'!$B$7:$F$26,5,0)</f>
        <v>#N/A</v>
      </c>
    </row>
    <row r="1970" spans="2:11">
      <c r="B1970">
        <f t="shared" si="314"/>
        <v>0</v>
      </c>
      <c r="F1970" s="57" t="e">
        <f t="shared" si="311"/>
        <v>#N/A</v>
      </c>
      <c r="G1970" t="str">
        <f t="shared" si="312"/>
        <v/>
      </c>
      <c r="I1970" t="e">
        <f>VLOOKUP(F1970,'1PROJE'!$B$7:$F$26,2,0)</f>
        <v>#N/A</v>
      </c>
      <c r="J1970" t="e">
        <f>VLOOKUP(F1970,'1PROJE'!$B$7:$F$26,4,0)</f>
        <v>#N/A</v>
      </c>
      <c r="K1970" t="e">
        <f>VLOOKUP(F1970,'1PROJE'!$B$7:$F$26,5,0)</f>
        <v>#N/A</v>
      </c>
    </row>
    <row r="1971" spans="2:11">
      <c r="B1971">
        <f t="shared" si="314"/>
        <v>0</v>
      </c>
      <c r="F1971" s="57" t="e">
        <f t="shared" si="311"/>
        <v>#N/A</v>
      </c>
      <c r="G1971" t="str">
        <f t="shared" si="312"/>
        <v/>
      </c>
      <c r="I1971" t="e">
        <f>VLOOKUP(F1971,'1PROJE'!$B$7:$F$26,2,0)</f>
        <v>#N/A</v>
      </c>
      <c r="J1971" t="e">
        <f>VLOOKUP(F1971,'1PROJE'!$B$7:$F$26,4,0)</f>
        <v>#N/A</v>
      </c>
      <c r="K1971" t="e">
        <f>VLOOKUP(F1971,'1PROJE'!$B$7:$F$26,5,0)</f>
        <v>#N/A</v>
      </c>
    </row>
    <row r="1972" spans="2:11">
      <c r="B1972">
        <f t="shared" si="314"/>
        <v>0</v>
      </c>
      <c r="F1972" s="57" t="e">
        <f t="shared" si="311"/>
        <v>#N/A</v>
      </c>
      <c r="G1972" t="str">
        <f t="shared" si="312"/>
        <v/>
      </c>
      <c r="I1972" t="e">
        <f>VLOOKUP(F1972,'1PROJE'!$B$7:$F$26,2,0)</f>
        <v>#N/A</v>
      </c>
      <c r="J1972" t="e">
        <f>VLOOKUP(F1972,'1PROJE'!$B$7:$F$26,4,0)</f>
        <v>#N/A</v>
      </c>
      <c r="K1972" t="e">
        <f>VLOOKUP(F1972,'1PROJE'!$B$7:$F$26,5,0)</f>
        <v>#N/A</v>
      </c>
    </row>
    <row r="1973" spans="2:11">
      <c r="B1973">
        <f t="shared" si="314"/>
        <v>0</v>
      </c>
      <c r="F1973" s="57" t="e">
        <f t="shared" si="311"/>
        <v>#N/A</v>
      </c>
      <c r="G1973" t="str">
        <f t="shared" si="312"/>
        <v/>
      </c>
      <c r="I1973" t="e">
        <f>VLOOKUP(F1973,'1PROJE'!$B$7:$F$26,2,0)</f>
        <v>#N/A</v>
      </c>
      <c r="J1973" t="e">
        <f>VLOOKUP(F1973,'1PROJE'!$B$7:$F$26,4,0)</f>
        <v>#N/A</v>
      </c>
      <c r="K1973" t="e">
        <f>VLOOKUP(F1973,'1PROJE'!$B$7:$F$26,5,0)</f>
        <v>#N/A</v>
      </c>
    </row>
    <row r="1974" spans="2:11">
      <c r="B1974">
        <f t="shared" si="314"/>
        <v>0</v>
      </c>
      <c r="F1974" s="57" t="e">
        <f t="shared" si="311"/>
        <v>#N/A</v>
      </c>
      <c r="G1974" t="str">
        <f t="shared" si="312"/>
        <v/>
      </c>
      <c r="I1974" t="e">
        <f>VLOOKUP(F1974,'1PROJE'!$B$7:$F$26,2,0)</f>
        <v>#N/A</v>
      </c>
      <c r="J1974" t="e">
        <f>VLOOKUP(F1974,'1PROJE'!$B$7:$F$26,4,0)</f>
        <v>#N/A</v>
      </c>
      <c r="K1974" t="e">
        <f>VLOOKUP(F1974,'1PROJE'!$B$7:$F$26,5,0)</f>
        <v>#N/A</v>
      </c>
    </row>
    <row r="1975" spans="2:11">
      <c r="B1975">
        <f t="shared" si="314"/>
        <v>0</v>
      </c>
      <c r="F1975" s="57" t="e">
        <f t="shared" si="311"/>
        <v>#N/A</v>
      </c>
      <c r="G1975" t="str">
        <f t="shared" si="312"/>
        <v/>
      </c>
      <c r="I1975" t="e">
        <f>VLOOKUP(F1975,'1PROJE'!$B$7:$F$26,2,0)</f>
        <v>#N/A</v>
      </c>
      <c r="J1975" t="e">
        <f>VLOOKUP(F1975,'1PROJE'!$B$7:$F$26,4,0)</f>
        <v>#N/A</v>
      </c>
      <c r="K1975" t="e">
        <f>VLOOKUP(F1975,'1PROJE'!$B$7:$F$26,5,0)</f>
        <v>#N/A</v>
      </c>
    </row>
    <row r="1976" spans="2:11">
      <c r="B1976">
        <f t="shared" si="314"/>
        <v>0</v>
      </c>
      <c r="F1976" s="57" t="e">
        <f t="shared" si="311"/>
        <v>#N/A</v>
      </c>
      <c r="G1976" t="str">
        <f t="shared" si="312"/>
        <v/>
      </c>
      <c r="I1976" t="e">
        <f>VLOOKUP(F1976,'1PROJE'!$B$7:$F$26,2,0)</f>
        <v>#N/A</v>
      </c>
      <c r="J1976" t="e">
        <f>VLOOKUP(F1976,'1PROJE'!$B$7:$F$26,4,0)</f>
        <v>#N/A</v>
      </c>
      <c r="K1976" t="e">
        <f>VLOOKUP(F1976,'1PROJE'!$B$7:$F$26,5,0)</f>
        <v>#N/A</v>
      </c>
    </row>
    <row r="1977" spans="2:11">
      <c r="B1977">
        <f t="shared" si="314"/>
        <v>0</v>
      </c>
      <c r="F1977" s="57" t="e">
        <f t="shared" si="311"/>
        <v>#N/A</v>
      </c>
      <c r="G1977" t="str">
        <f t="shared" si="312"/>
        <v/>
      </c>
      <c r="I1977" t="e">
        <f>VLOOKUP(F1977,'1PROJE'!$B$7:$F$26,2,0)</f>
        <v>#N/A</v>
      </c>
      <c r="J1977" t="e">
        <f>VLOOKUP(F1977,'1PROJE'!$B$7:$F$26,4,0)</f>
        <v>#N/A</v>
      </c>
      <c r="K1977" t="e">
        <f>VLOOKUP(F1977,'1PROJE'!$B$7:$F$26,5,0)</f>
        <v>#N/A</v>
      </c>
    </row>
    <row r="1978" spans="2:11">
      <c r="B1978">
        <f t="shared" si="314"/>
        <v>0</v>
      </c>
      <c r="F1978" s="57" t="e">
        <f t="shared" si="311"/>
        <v>#N/A</v>
      </c>
      <c r="G1978" t="str">
        <f t="shared" si="312"/>
        <v/>
      </c>
      <c r="I1978" t="e">
        <f>VLOOKUP(F1978,'1PROJE'!$B$7:$F$26,2,0)</f>
        <v>#N/A</v>
      </c>
      <c r="J1978" t="e">
        <f>VLOOKUP(F1978,'1PROJE'!$B$7:$F$26,4,0)</f>
        <v>#N/A</v>
      </c>
      <c r="K1978" t="e">
        <f>VLOOKUP(F1978,'1PROJE'!$B$7:$F$26,5,0)</f>
        <v>#N/A</v>
      </c>
    </row>
    <row r="1979" spans="2:11">
      <c r="B1979">
        <f t="shared" si="314"/>
        <v>0</v>
      </c>
      <c r="F1979" s="57" t="e">
        <f t="shared" si="311"/>
        <v>#N/A</v>
      </c>
      <c r="G1979" t="str">
        <f t="shared" si="312"/>
        <v/>
      </c>
      <c r="I1979" t="e">
        <f>VLOOKUP(F1979,'1PROJE'!$B$7:$F$26,2,0)</f>
        <v>#N/A</v>
      </c>
      <c r="J1979" t="e">
        <f>VLOOKUP(F1979,'1PROJE'!$B$7:$F$26,4,0)</f>
        <v>#N/A</v>
      </c>
      <c r="K1979" t="e">
        <f>VLOOKUP(F1979,'1PROJE'!$B$7:$F$26,5,0)</f>
        <v>#N/A</v>
      </c>
    </row>
    <row r="1980" spans="2:11">
      <c r="B1980">
        <f t="shared" si="314"/>
        <v>0</v>
      </c>
      <c r="F1980" s="57" t="e">
        <f t="shared" si="311"/>
        <v>#N/A</v>
      </c>
      <c r="G1980" t="str">
        <f t="shared" si="312"/>
        <v/>
      </c>
      <c r="I1980" t="e">
        <f>VLOOKUP(F1980,'1PROJE'!$B$7:$F$26,2,0)</f>
        <v>#N/A</v>
      </c>
      <c r="J1980" t="e">
        <f>VLOOKUP(F1980,'1PROJE'!$B$7:$F$26,4,0)</f>
        <v>#N/A</v>
      </c>
      <c r="K1980" t="e">
        <f>VLOOKUP(F1980,'1PROJE'!$B$7:$F$26,5,0)</f>
        <v>#N/A</v>
      </c>
    </row>
    <row r="1981" spans="2:11">
      <c r="B1981">
        <f t="shared" si="314"/>
        <v>0</v>
      </c>
      <c r="F1981" s="57" t="e">
        <f t="shared" si="311"/>
        <v>#N/A</v>
      </c>
      <c r="G1981" t="str">
        <f t="shared" si="312"/>
        <v/>
      </c>
      <c r="I1981" t="e">
        <f>VLOOKUP(F1981,'1PROJE'!$B$7:$F$26,2,0)</f>
        <v>#N/A</v>
      </c>
      <c r="J1981" t="e">
        <f>VLOOKUP(F1981,'1PROJE'!$B$7:$F$26,4,0)</f>
        <v>#N/A</v>
      </c>
      <c r="K1981" t="e">
        <f>VLOOKUP(F1981,'1PROJE'!$B$7:$F$26,5,0)</f>
        <v>#N/A</v>
      </c>
    </row>
    <row r="1982" spans="2:11">
      <c r="B1982">
        <f t="shared" si="314"/>
        <v>0</v>
      </c>
      <c r="F1982" s="57" t="e">
        <f t="shared" si="311"/>
        <v>#N/A</v>
      </c>
      <c r="G1982" t="str">
        <f t="shared" si="312"/>
        <v/>
      </c>
      <c r="I1982" t="e">
        <f>VLOOKUP(F1982,'1PROJE'!$B$7:$F$26,2,0)</f>
        <v>#N/A</v>
      </c>
      <c r="J1982" t="e">
        <f>VLOOKUP(F1982,'1PROJE'!$B$7:$F$26,4,0)</f>
        <v>#N/A</v>
      </c>
      <c r="K1982" t="e">
        <f>VLOOKUP(F1982,'1PROJE'!$B$7:$F$26,5,0)</f>
        <v>#N/A</v>
      </c>
    </row>
    <row r="1983" spans="2:11">
      <c r="B1983">
        <f t="shared" si="314"/>
        <v>0</v>
      </c>
      <c r="F1983" s="57" t="e">
        <f t="shared" si="311"/>
        <v>#N/A</v>
      </c>
      <c r="G1983" t="str">
        <f t="shared" si="312"/>
        <v/>
      </c>
      <c r="I1983" t="e">
        <f>VLOOKUP(F1983,'1PROJE'!$B$7:$F$26,2,0)</f>
        <v>#N/A</v>
      </c>
      <c r="J1983" t="e">
        <f>VLOOKUP(F1983,'1PROJE'!$B$7:$F$26,4,0)</f>
        <v>#N/A</v>
      </c>
      <c r="K1983" t="e">
        <f>VLOOKUP(F1983,'1PROJE'!$B$7:$F$26,5,0)</f>
        <v>#N/A</v>
      </c>
    </row>
    <row r="1984" spans="2:11">
      <c r="B1984">
        <f t="shared" si="314"/>
        <v>0</v>
      </c>
      <c r="F1984" s="57" t="e">
        <f t="shared" si="311"/>
        <v>#N/A</v>
      </c>
      <c r="G1984" t="str">
        <f t="shared" si="312"/>
        <v/>
      </c>
      <c r="I1984" t="e">
        <f>VLOOKUP(F1984,'1PROJE'!$B$7:$F$26,2,0)</f>
        <v>#N/A</v>
      </c>
      <c r="J1984" t="e">
        <f>VLOOKUP(F1984,'1PROJE'!$B$7:$F$26,4,0)</f>
        <v>#N/A</v>
      </c>
      <c r="K1984" t="e">
        <f>VLOOKUP(F1984,'1PROJE'!$B$7:$F$26,5,0)</f>
        <v>#N/A</v>
      </c>
    </row>
    <row r="1985" spans="2:11">
      <c r="B1985">
        <f t="shared" si="314"/>
        <v>0</v>
      </c>
      <c r="F1985" s="57" t="e">
        <f t="shared" si="311"/>
        <v>#N/A</v>
      </c>
      <c r="G1985" t="str">
        <f t="shared" si="312"/>
        <v/>
      </c>
      <c r="I1985" t="e">
        <f>VLOOKUP(F1985,'1PROJE'!$B$7:$F$26,2,0)</f>
        <v>#N/A</v>
      </c>
      <c r="J1985" t="e">
        <f>VLOOKUP(F1985,'1PROJE'!$B$7:$F$26,4,0)</f>
        <v>#N/A</v>
      </c>
      <c r="K1985" t="e">
        <f>VLOOKUP(F1985,'1PROJE'!$B$7:$F$26,5,0)</f>
        <v>#N/A</v>
      </c>
    </row>
    <row r="1986" spans="2:11">
      <c r="B1986">
        <f t="shared" si="314"/>
        <v>0</v>
      </c>
      <c r="F1986" s="57" t="e">
        <f t="shared" si="311"/>
        <v>#N/A</v>
      </c>
      <c r="G1986" t="str">
        <f t="shared" si="312"/>
        <v/>
      </c>
      <c r="I1986" t="e">
        <f>VLOOKUP(F1986,'1PROJE'!$B$7:$F$26,2,0)</f>
        <v>#N/A</v>
      </c>
      <c r="J1986" t="e">
        <f>VLOOKUP(F1986,'1PROJE'!$B$7:$F$26,4,0)</f>
        <v>#N/A</v>
      </c>
      <c r="K1986" t="e">
        <f>VLOOKUP(F1986,'1PROJE'!$B$7:$F$26,5,0)</f>
        <v>#N/A</v>
      </c>
    </row>
    <row r="1987" spans="2:11">
      <c r="B1987">
        <f t="shared" si="314"/>
        <v>0</v>
      </c>
      <c r="F1987" s="57" t="e">
        <f t="shared" si="311"/>
        <v>#N/A</v>
      </c>
      <c r="G1987" t="str">
        <f t="shared" si="312"/>
        <v/>
      </c>
      <c r="I1987" t="e">
        <f>VLOOKUP(F1987,'1PROJE'!$B$7:$F$26,2,0)</f>
        <v>#N/A</v>
      </c>
      <c r="J1987" t="e">
        <f>VLOOKUP(F1987,'1PROJE'!$B$7:$F$26,4,0)</f>
        <v>#N/A</v>
      </c>
      <c r="K1987" t="e">
        <f>VLOOKUP(F1987,'1PROJE'!$B$7:$F$26,5,0)</f>
        <v>#N/A</v>
      </c>
    </row>
    <row r="1988" spans="2:11">
      <c r="B1988">
        <f t="shared" si="314"/>
        <v>0</v>
      </c>
      <c r="F1988" s="57" t="e">
        <f t="shared" si="311"/>
        <v>#N/A</v>
      </c>
      <c r="G1988" t="str">
        <f t="shared" si="312"/>
        <v/>
      </c>
      <c r="I1988" t="e">
        <f>VLOOKUP(F1988,'1PROJE'!$B$7:$F$26,2,0)</f>
        <v>#N/A</v>
      </c>
      <c r="J1988" t="e">
        <f>VLOOKUP(F1988,'1PROJE'!$B$7:$F$26,4,0)</f>
        <v>#N/A</v>
      </c>
      <c r="K1988" t="e">
        <f>VLOOKUP(F1988,'1PROJE'!$B$7:$F$26,5,0)</f>
        <v>#N/A</v>
      </c>
    </row>
    <row r="1989" spans="2:11">
      <c r="B1989">
        <f t="shared" si="314"/>
        <v>0</v>
      </c>
      <c r="F1989" s="57" t="e">
        <f t="shared" si="311"/>
        <v>#N/A</v>
      </c>
      <c r="G1989" t="str">
        <f t="shared" si="312"/>
        <v/>
      </c>
      <c r="I1989" t="e">
        <f>VLOOKUP(F1989,'1PROJE'!$B$7:$F$26,2,0)</f>
        <v>#N/A</v>
      </c>
      <c r="J1989" t="e">
        <f>VLOOKUP(F1989,'1PROJE'!$B$7:$F$26,4,0)</f>
        <v>#N/A</v>
      </c>
      <c r="K1989" t="e">
        <f>VLOOKUP(F1989,'1PROJE'!$B$7:$F$26,5,0)</f>
        <v>#N/A</v>
      </c>
    </row>
    <row r="1990" spans="2:11">
      <c r="B1990">
        <f t="shared" si="314"/>
        <v>0</v>
      </c>
      <c r="F1990" s="57" t="e">
        <f t="shared" si="311"/>
        <v>#N/A</v>
      </c>
      <c r="G1990" t="str">
        <f t="shared" si="312"/>
        <v/>
      </c>
      <c r="I1990" t="e">
        <f>VLOOKUP(F1990,'1PROJE'!$B$7:$F$26,2,0)</f>
        <v>#N/A</v>
      </c>
      <c r="J1990" t="e">
        <f>VLOOKUP(F1990,'1PROJE'!$B$7:$F$26,4,0)</f>
        <v>#N/A</v>
      </c>
      <c r="K1990" t="e">
        <f>VLOOKUP(F1990,'1PROJE'!$B$7:$F$26,5,0)</f>
        <v>#N/A</v>
      </c>
    </row>
    <row r="1991" spans="2:11">
      <c r="B1991">
        <f t="shared" si="314"/>
        <v>0</v>
      </c>
      <c r="F1991" s="57" t="e">
        <f t="shared" si="311"/>
        <v>#N/A</v>
      </c>
      <c r="G1991" t="str">
        <f t="shared" si="312"/>
        <v/>
      </c>
      <c r="I1991" t="e">
        <f>VLOOKUP(F1991,'1PROJE'!$B$7:$F$26,2,0)</f>
        <v>#N/A</v>
      </c>
      <c r="J1991" t="e">
        <f>VLOOKUP(F1991,'1PROJE'!$B$7:$F$26,4,0)</f>
        <v>#N/A</v>
      </c>
      <c r="K1991" t="e">
        <f>VLOOKUP(F1991,'1PROJE'!$B$7:$F$26,5,0)</f>
        <v>#N/A</v>
      </c>
    </row>
    <row r="1992" spans="2:11">
      <c r="B1992">
        <f t="shared" si="314"/>
        <v>0</v>
      </c>
      <c r="F1992" s="57" t="e">
        <f t="shared" si="311"/>
        <v>#N/A</v>
      </c>
      <c r="G1992" t="str">
        <f t="shared" si="312"/>
        <v/>
      </c>
      <c r="I1992" t="e">
        <f>VLOOKUP(F1992,'1PROJE'!$B$7:$F$26,2,0)</f>
        <v>#N/A</v>
      </c>
      <c r="J1992" t="e">
        <f>VLOOKUP(F1992,'1PROJE'!$B$7:$F$26,4,0)</f>
        <v>#N/A</v>
      </c>
      <c r="K1992" t="e">
        <f>VLOOKUP(F1992,'1PROJE'!$B$7:$F$26,5,0)</f>
        <v>#N/A</v>
      </c>
    </row>
    <row r="1993" spans="2:11">
      <c r="B1993">
        <f t="shared" si="314"/>
        <v>0</v>
      </c>
      <c r="F1993" s="57" t="e">
        <f t="shared" si="311"/>
        <v>#N/A</v>
      </c>
      <c r="G1993" t="str">
        <f t="shared" si="312"/>
        <v/>
      </c>
      <c r="I1993" t="e">
        <f>VLOOKUP(F1993,'1PROJE'!$B$7:$F$26,2,0)</f>
        <v>#N/A</v>
      </c>
      <c r="J1993" t="e">
        <f>VLOOKUP(F1993,'1PROJE'!$B$7:$F$26,4,0)</f>
        <v>#N/A</v>
      </c>
      <c r="K1993" t="e">
        <f>VLOOKUP(F1993,'1PROJE'!$B$7:$F$26,5,0)</f>
        <v>#N/A</v>
      </c>
    </row>
    <row r="1994" spans="2:11">
      <c r="B1994">
        <f t="shared" si="314"/>
        <v>0</v>
      </c>
      <c r="F1994" s="57" t="e">
        <f t="shared" si="311"/>
        <v>#N/A</v>
      </c>
      <c r="G1994" t="str">
        <f t="shared" si="312"/>
        <v/>
      </c>
      <c r="I1994" t="e">
        <f>VLOOKUP(F1994,'1PROJE'!$B$7:$F$26,2,0)</f>
        <v>#N/A</v>
      </c>
      <c r="J1994" t="e">
        <f>VLOOKUP(F1994,'1PROJE'!$B$7:$F$26,4,0)</f>
        <v>#N/A</v>
      </c>
      <c r="K1994" t="e">
        <f>VLOOKUP(F1994,'1PROJE'!$B$7:$F$26,5,0)</f>
        <v>#N/A</v>
      </c>
    </row>
    <row r="1995" spans="2:11">
      <c r="B1995">
        <f t="shared" ref="B1995:B2026" si="315">IF(($C$46-A95)&lt;0,0,"POZ"&amp;" "&amp;$U$61&amp;"."&amp;A95)</f>
        <v>0</v>
      </c>
      <c r="F1995" s="57" t="e">
        <f t="shared" ref="F1995:F2058" si="316">VLOOKUP(G1995,$C$64:$D$83,2,0)</f>
        <v>#N/A</v>
      </c>
      <c r="G1995" t="str">
        <f t="shared" ref="G1995:G2058" si="317">LEFT(H1995,6)</f>
        <v/>
      </c>
      <c r="I1995" t="e">
        <f>VLOOKUP(F1995,'1PROJE'!$B$7:$F$26,2,0)</f>
        <v>#N/A</v>
      </c>
      <c r="J1995" t="e">
        <f>VLOOKUP(F1995,'1PROJE'!$B$7:$F$26,4,0)</f>
        <v>#N/A</v>
      </c>
      <c r="K1995" t="e">
        <f>VLOOKUP(F1995,'1PROJE'!$B$7:$F$26,5,0)</f>
        <v>#N/A</v>
      </c>
    </row>
    <row r="1996" spans="2:11">
      <c r="B1996">
        <f t="shared" si="315"/>
        <v>0</v>
      </c>
      <c r="F1996" s="57" t="e">
        <f t="shared" si="316"/>
        <v>#N/A</v>
      </c>
      <c r="G1996" t="str">
        <f t="shared" si="317"/>
        <v/>
      </c>
      <c r="I1996" t="e">
        <f>VLOOKUP(F1996,'1PROJE'!$B$7:$F$26,2,0)</f>
        <v>#N/A</v>
      </c>
      <c r="J1996" t="e">
        <f>VLOOKUP(F1996,'1PROJE'!$B$7:$F$26,4,0)</f>
        <v>#N/A</v>
      </c>
      <c r="K1996" t="e">
        <f>VLOOKUP(F1996,'1PROJE'!$B$7:$F$26,5,0)</f>
        <v>#N/A</v>
      </c>
    </row>
    <row r="1997" spans="2:11">
      <c r="B1997">
        <f t="shared" si="315"/>
        <v>0</v>
      </c>
      <c r="F1997" s="57" t="e">
        <f t="shared" si="316"/>
        <v>#N/A</v>
      </c>
      <c r="G1997" t="str">
        <f t="shared" si="317"/>
        <v/>
      </c>
      <c r="I1997" t="e">
        <f>VLOOKUP(F1997,'1PROJE'!$B$7:$F$26,2,0)</f>
        <v>#N/A</v>
      </c>
      <c r="J1997" t="e">
        <f>VLOOKUP(F1997,'1PROJE'!$B$7:$F$26,4,0)</f>
        <v>#N/A</v>
      </c>
      <c r="K1997" t="e">
        <f>VLOOKUP(F1997,'1PROJE'!$B$7:$F$26,5,0)</f>
        <v>#N/A</v>
      </c>
    </row>
    <row r="1998" spans="2:11">
      <c r="B1998">
        <f t="shared" si="315"/>
        <v>0</v>
      </c>
      <c r="F1998" s="57" t="e">
        <f t="shared" si="316"/>
        <v>#N/A</v>
      </c>
      <c r="G1998" t="str">
        <f t="shared" si="317"/>
        <v/>
      </c>
      <c r="I1998" t="e">
        <f>VLOOKUP(F1998,'1PROJE'!$B$7:$F$26,2,0)</f>
        <v>#N/A</v>
      </c>
      <c r="J1998" t="e">
        <f>VLOOKUP(F1998,'1PROJE'!$B$7:$F$26,4,0)</f>
        <v>#N/A</v>
      </c>
      <c r="K1998" t="e">
        <f>VLOOKUP(F1998,'1PROJE'!$B$7:$F$26,5,0)</f>
        <v>#N/A</v>
      </c>
    </row>
    <row r="1999" spans="2:11">
      <c r="B1999">
        <f t="shared" si="315"/>
        <v>0</v>
      </c>
      <c r="F1999" s="57" t="e">
        <f t="shared" si="316"/>
        <v>#N/A</v>
      </c>
      <c r="G1999" t="str">
        <f t="shared" si="317"/>
        <v/>
      </c>
      <c r="I1999" t="e">
        <f>VLOOKUP(F1999,'1PROJE'!$B$7:$F$26,2,0)</f>
        <v>#N/A</v>
      </c>
      <c r="J1999" t="e">
        <f>VLOOKUP(F1999,'1PROJE'!$B$7:$F$26,4,0)</f>
        <v>#N/A</v>
      </c>
      <c r="K1999" t="e">
        <f>VLOOKUP(F1999,'1PROJE'!$B$7:$F$26,5,0)</f>
        <v>#N/A</v>
      </c>
    </row>
    <row r="2000" spans="2:11">
      <c r="B2000">
        <f t="shared" si="315"/>
        <v>0</v>
      </c>
      <c r="F2000" s="57" t="e">
        <f t="shared" si="316"/>
        <v>#N/A</v>
      </c>
      <c r="G2000" t="str">
        <f t="shared" si="317"/>
        <v/>
      </c>
      <c r="I2000" t="e">
        <f>VLOOKUP(F2000,'1PROJE'!$B$7:$F$26,2,0)</f>
        <v>#N/A</v>
      </c>
      <c r="J2000" t="e">
        <f>VLOOKUP(F2000,'1PROJE'!$B$7:$F$26,4,0)</f>
        <v>#N/A</v>
      </c>
      <c r="K2000" t="e">
        <f>VLOOKUP(F2000,'1PROJE'!$B$7:$F$26,5,0)</f>
        <v>#N/A</v>
      </c>
    </row>
    <row r="2001" spans="2:11">
      <c r="B2001">
        <f t="shared" si="315"/>
        <v>0</v>
      </c>
      <c r="F2001" s="57" t="e">
        <f t="shared" si="316"/>
        <v>#N/A</v>
      </c>
      <c r="G2001" t="str">
        <f t="shared" si="317"/>
        <v/>
      </c>
      <c r="I2001" t="e">
        <f>VLOOKUP(F2001,'1PROJE'!$B$7:$F$26,2,0)</f>
        <v>#N/A</v>
      </c>
      <c r="J2001" t="e">
        <f>VLOOKUP(F2001,'1PROJE'!$B$7:$F$26,4,0)</f>
        <v>#N/A</v>
      </c>
      <c r="K2001" t="e">
        <f>VLOOKUP(F2001,'1PROJE'!$B$7:$F$26,5,0)</f>
        <v>#N/A</v>
      </c>
    </row>
    <row r="2002" spans="2:11">
      <c r="B2002">
        <f t="shared" si="315"/>
        <v>0</v>
      </c>
      <c r="F2002" s="57" t="e">
        <f t="shared" si="316"/>
        <v>#N/A</v>
      </c>
      <c r="G2002" t="str">
        <f t="shared" si="317"/>
        <v/>
      </c>
      <c r="I2002" t="e">
        <f>VLOOKUP(F2002,'1PROJE'!$B$7:$F$26,2,0)</f>
        <v>#N/A</v>
      </c>
      <c r="J2002" t="e">
        <f>VLOOKUP(F2002,'1PROJE'!$B$7:$F$26,4,0)</f>
        <v>#N/A</v>
      </c>
      <c r="K2002" t="e">
        <f>VLOOKUP(F2002,'1PROJE'!$B$7:$F$26,5,0)</f>
        <v>#N/A</v>
      </c>
    </row>
    <row r="2003" spans="2:11">
      <c r="B2003">
        <f t="shared" si="315"/>
        <v>0</v>
      </c>
      <c r="F2003" s="57" t="e">
        <f t="shared" si="316"/>
        <v>#N/A</v>
      </c>
      <c r="G2003" t="str">
        <f t="shared" si="317"/>
        <v/>
      </c>
      <c r="I2003" t="e">
        <f>VLOOKUP(F2003,'1PROJE'!$B$7:$F$26,2,0)</f>
        <v>#N/A</v>
      </c>
      <c r="J2003" t="e">
        <f>VLOOKUP(F2003,'1PROJE'!$B$7:$F$26,4,0)</f>
        <v>#N/A</v>
      </c>
      <c r="K2003" t="e">
        <f>VLOOKUP(F2003,'1PROJE'!$B$7:$F$26,5,0)</f>
        <v>#N/A</v>
      </c>
    </row>
    <row r="2004" spans="2:11">
      <c r="B2004">
        <f t="shared" si="315"/>
        <v>0</v>
      </c>
      <c r="F2004" s="57" t="e">
        <f t="shared" si="316"/>
        <v>#N/A</v>
      </c>
      <c r="G2004" t="str">
        <f t="shared" si="317"/>
        <v/>
      </c>
      <c r="I2004" t="e">
        <f>VLOOKUP(F2004,'1PROJE'!$B$7:$F$26,2,0)</f>
        <v>#N/A</v>
      </c>
      <c r="J2004" t="e">
        <f>VLOOKUP(F2004,'1PROJE'!$B$7:$F$26,4,0)</f>
        <v>#N/A</v>
      </c>
      <c r="K2004" t="e">
        <f>VLOOKUP(F2004,'1PROJE'!$B$7:$F$26,5,0)</f>
        <v>#N/A</v>
      </c>
    </row>
    <row r="2005" spans="2:11">
      <c r="B2005">
        <f t="shared" si="315"/>
        <v>0</v>
      </c>
      <c r="F2005" s="57" t="e">
        <f t="shared" si="316"/>
        <v>#N/A</v>
      </c>
      <c r="G2005" t="str">
        <f t="shared" si="317"/>
        <v/>
      </c>
      <c r="I2005" t="e">
        <f>VLOOKUP(F2005,'1PROJE'!$B$7:$F$26,2,0)</f>
        <v>#N/A</v>
      </c>
      <c r="J2005" t="e">
        <f>VLOOKUP(F2005,'1PROJE'!$B$7:$F$26,4,0)</f>
        <v>#N/A</v>
      </c>
      <c r="K2005" t="e">
        <f>VLOOKUP(F2005,'1PROJE'!$B$7:$F$26,5,0)</f>
        <v>#N/A</v>
      </c>
    </row>
    <row r="2006" spans="2:11">
      <c r="B2006">
        <f t="shared" si="315"/>
        <v>0</v>
      </c>
      <c r="F2006" s="57" t="e">
        <f t="shared" si="316"/>
        <v>#N/A</v>
      </c>
      <c r="G2006" t="str">
        <f t="shared" si="317"/>
        <v/>
      </c>
      <c r="I2006" t="e">
        <f>VLOOKUP(F2006,'1PROJE'!$B$7:$F$26,2,0)</f>
        <v>#N/A</v>
      </c>
      <c r="J2006" t="e">
        <f>VLOOKUP(F2006,'1PROJE'!$B$7:$F$26,4,0)</f>
        <v>#N/A</v>
      </c>
      <c r="K2006" t="e">
        <f>VLOOKUP(F2006,'1PROJE'!$B$7:$F$26,5,0)</f>
        <v>#N/A</v>
      </c>
    </row>
    <row r="2007" spans="2:11">
      <c r="B2007">
        <f t="shared" si="315"/>
        <v>0</v>
      </c>
      <c r="F2007" s="57" t="e">
        <f t="shared" si="316"/>
        <v>#N/A</v>
      </c>
      <c r="G2007" t="str">
        <f t="shared" si="317"/>
        <v/>
      </c>
      <c r="I2007" t="e">
        <f>VLOOKUP(F2007,'1PROJE'!$B$7:$F$26,2,0)</f>
        <v>#N/A</v>
      </c>
      <c r="J2007" t="e">
        <f>VLOOKUP(F2007,'1PROJE'!$B$7:$F$26,4,0)</f>
        <v>#N/A</v>
      </c>
      <c r="K2007" t="e">
        <f>VLOOKUP(F2007,'1PROJE'!$B$7:$F$26,5,0)</f>
        <v>#N/A</v>
      </c>
    </row>
    <row r="2008" spans="2:11">
      <c r="B2008">
        <f t="shared" si="315"/>
        <v>0</v>
      </c>
      <c r="F2008" s="57" t="e">
        <f t="shared" si="316"/>
        <v>#N/A</v>
      </c>
      <c r="G2008" t="str">
        <f t="shared" si="317"/>
        <v/>
      </c>
      <c r="I2008" t="e">
        <f>VLOOKUP(F2008,'1PROJE'!$B$7:$F$26,2,0)</f>
        <v>#N/A</v>
      </c>
      <c r="J2008" t="e">
        <f>VLOOKUP(F2008,'1PROJE'!$B$7:$F$26,4,0)</f>
        <v>#N/A</v>
      </c>
      <c r="K2008" t="e">
        <f>VLOOKUP(F2008,'1PROJE'!$B$7:$F$26,5,0)</f>
        <v>#N/A</v>
      </c>
    </row>
    <row r="2009" spans="2:11">
      <c r="B2009">
        <f t="shared" si="315"/>
        <v>0</v>
      </c>
      <c r="F2009" s="57" t="e">
        <f t="shared" si="316"/>
        <v>#N/A</v>
      </c>
      <c r="G2009" t="str">
        <f t="shared" si="317"/>
        <v/>
      </c>
      <c r="I2009" t="e">
        <f>VLOOKUP(F2009,'1PROJE'!$B$7:$F$26,2,0)</f>
        <v>#N/A</v>
      </c>
      <c r="J2009" t="e">
        <f>VLOOKUP(F2009,'1PROJE'!$B$7:$F$26,4,0)</f>
        <v>#N/A</v>
      </c>
      <c r="K2009" t="e">
        <f>VLOOKUP(F2009,'1PROJE'!$B$7:$F$26,5,0)</f>
        <v>#N/A</v>
      </c>
    </row>
    <row r="2010" spans="2:11">
      <c r="B2010">
        <f t="shared" si="315"/>
        <v>0</v>
      </c>
      <c r="F2010" s="57" t="e">
        <f t="shared" si="316"/>
        <v>#N/A</v>
      </c>
      <c r="G2010" t="str">
        <f t="shared" si="317"/>
        <v/>
      </c>
      <c r="I2010" t="e">
        <f>VLOOKUP(F2010,'1PROJE'!$B$7:$F$26,2,0)</f>
        <v>#N/A</v>
      </c>
      <c r="J2010" t="e">
        <f>VLOOKUP(F2010,'1PROJE'!$B$7:$F$26,4,0)</f>
        <v>#N/A</v>
      </c>
      <c r="K2010" t="e">
        <f>VLOOKUP(F2010,'1PROJE'!$B$7:$F$26,5,0)</f>
        <v>#N/A</v>
      </c>
    </row>
    <row r="2011" spans="2:11">
      <c r="B2011">
        <f t="shared" si="315"/>
        <v>0</v>
      </c>
      <c r="F2011" s="57" t="e">
        <f t="shared" si="316"/>
        <v>#N/A</v>
      </c>
      <c r="G2011" t="str">
        <f t="shared" si="317"/>
        <v/>
      </c>
      <c r="I2011" t="e">
        <f>VLOOKUP(F2011,'1PROJE'!$B$7:$F$26,2,0)</f>
        <v>#N/A</v>
      </c>
      <c r="J2011" t="e">
        <f>VLOOKUP(F2011,'1PROJE'!$B$7:$F$26,4,0)</f>
        <v>#N/A</v>
      </c>
      <c r="K2011" t="e">
        <f>VLOOKUP(F2011,'1PROJE'!$B$7:$F$26,5,0)</f>
        <v>#N/A</v>
      </c>
    </row>
    <row r="2012" spans="2:11">
      <c r="B2012">
        <f t="shared" si="315"/>
        <v>0</v>
      </c>
      <c r="F2012" s="57" t="e">
        <f t="shared" si="316"/>
        <v>#N/A</v>
      </c>
      <c r="G2012" t="str">
        <f t="shared" si="317"/>
        <v/>
      </c>
      <c r="I2012" t="e">
        <f>VLOOKUP(F2012,'1PROJE'!$B$7:$F$26,2,0)</f>
        <v>#N/A</v>
      </c>
      <c r="J2012" t="e">
        <f>VLOOKUP(F2012,'1PROJE'!$B$7:$F$26,4,0)</f>
        <v>#N/A</v>
      </c>
      <c r="K2012" t="e">
        <f>VLOOKUP(F2012,'1PROJE'!$B$7:$F$26,5,0)</f>
        <v>#N/A</v>
      </c>
    </row>
    <row r="2013" spans="2:11">
      <c r="B2013">
        <f t="shared" si="315"/>
        <v>0</v>
      </c>
      <c r="F2013" s="57" t="e">
        <f t="shared" si="316"/>
        <v>#N/A</v>
      </c>
      <c r="G2013" t="str">
        <f t="shared" si="317"/>
        <v/>
      </c>
      <c r="I2013" t="e">
        <f>VLOOKUP(F2013,'1PROJE'!$B$7:$F$26,2,0)</f>
        <v>#N/A</v>
      </c>
      <c r="J2013" t="e">
        <f>VLOOKUP(F2013,'1PROJE'!$B$7:$F$26,4,0)</f>
        <v>#N/A</v>
      </c>
      <c r="K2013" t="e">
        <f>VLOOKUP(F2013,'1PROJE'!$B$7:$F$26,5,0)</f>
        <v>#N/A</v>
      </c>
    </row>
    <row r="2014" spans="2:11">
      <c r="B2014">
        <f t="shared" si="315"/>
        <v>0</v>
      </c>
      <c r="F2014" s="57" t="e">
        <f t="shared" si="316"/>
        <v>#N/A</v>
      </c>
      <c r="G2014" t="str">
        <f t="shared" si="317"/>
        <v/>
      </c>
      <c r="I2014" t="e">
        <f>VLOOKUP(F2014,'1PROJE'!$B$7:$F$26,2,0)</f>
        <v>#N/A</v>
      </c>
      <c r="J2014" t="e">
        <f>VLOOKUP(F2014,'1PROJE'!$B$7:$F$26,4,0)</f>
        <v>#N/A</v>
      </c>
      <c r="K2014" t="e">
        <f>VLOOKUP(F2014,'1PROJE'!$B$7:$F$26,5,0)</f>
        <v>#N/A</v>
      </c>
    </row>
    <row r="2015" spans="2:11">
      <c r="B2015">
        <f t="shared" si="315"/>
        <v>0</v>
      </c>
      <c r="F2015" s="57" t="e">
        <f t="shared" si="316"/>
        <v>#N/A</v>
      </c>
      <c r="G2015" t="str">
        <f t="shared" si="317"/>
        <v/>
      </c>
      <c r="I2015" t="e">
        <f>VLOOKUP(F2015,'1PROJE'!$B$7:$F$26,2,0)</f>
        <v>#N/A</v>
      </c>
      <c r="J2015" t="e">
        <f>VLOOKUP(F2015,'1PROJE'!$B$7:$F$26,4,0)</f>
        <v>#N/A</v>
      </c>
      <c r="K2015" t="e">
        <f>VLOOKUP(F2015,'1PROJE'!$B$7:$F$26,5,0)</f>
        <v>#N/A</v>
      </c>
    </row>
    <row r="2016" spans="2:11">
      <c r="B2016">
        <f t="shared" si="315"/>
        <v>0</v>
      </c>
      <c r="F2016" s="57" t="e">
        <f t="shared" si="316"/>
        <v>#N/A</v>
      </c>
      <c r="G2016" t="str">
        <f t="shared" si="317"/>
        <v/>
      </c>
      <c r="I2016" t="e">
        <f>VLOOKUP(F2016,'1PROJE'!$B$7:$F$26,2,0)</f>
        <v>#N/A</v>
      </c>
      <c r="J2016" t="e">
        <f>VLOOKUP(F2016,'1PROJE'!$B$7:$F$26,4,0)</f>
        <v>#N/A</v>
      </c>
      <c r="K2016" t="e">
        <f>VLOOKUP(F2016,'1PROJE'!$B$7:$F$26,5,0)</f>
        <v>#N/A</v>
      </c>
    </row>
    <row r="2017" spans="2:11">
      <c r="B2017">
        <f t="shared" si="315"/>
        <v>0</v>
      </c>
      <c r="F2017" s="57" t="e">
        <f t="shared" si="316"/>
        <v>#N/A</v>
      </c>
      <c r="G2017" t="str">
        <f t="shared" si="317"/>
        <v/>
      </c>
      <c r="I2017" t="e">
        <f>VLOOKUP(F2017,'1PROJE'!$B$7:$F$26,2,0)</f>
        <v>#N/A</v>
      </c>
      <c r="J2017" t="e">
        <f>VLOOKUP(F2017,'1PROJE'!$B$7:$F$26,4,0)</f>
        <v>#N/A</v>
      </c>
      <c r="K2017" t="e">
        <f>VLOOKUP(F2017,'1PROJE'!$B$7:$F$26,5,0)</f>
        <v>#N/A</v>
      </c>
    </row>
    <row r="2018" spans="2:11">
      <c r="B2018">
        <f t="shared" si="315"/>
        <v>0</v>
      </c>
      <c r="F2018" s="57" t="e">
        <f t="shared" si="316"/>
        <v>#N/A</v>
      </c>
      <c r="G2018" t="str">
        <f t="shared" si="317"/>
        <v/>
      </c>
      <c r="I2018" t="e">
        <f>VLOOKUP(F2018,'1PROJE'!$B$7:$F$26,2,0)</f>
        <v>#N/A</v>
      </c>
      <c r="J2018" t="e">
        <f>VLOOKUP(F2018,'1PROJE'!$B$7:$F$26,4,0)</f>
        <v>#N/A</v>
      </c>
      <c r="K2018" t="e">
        <f>VLOOKUP(F2018,'1PROJE'!$B$7:$F$26,5,0)</f>
        <v>#N/A</v>
      </c>
    </row>
    <row r="2019" spans="2:11">
      <c r="B2019">
        <f t="shared" si="315"/>
        <v>0</v>
      </c>
      <c r="F2019" s="57" t="e">
        <f t="shared" si="316"/>
        <v>#N/A</v>
      </c>
      <c r="G2019" t="str">
        <f t="shared" si="317"/>
        <v/>
      </c>
      <c r="I2019" t="e">
        <f>VLOOKUP(F2019,'1PROJE'!$B$7:$F$26,2,0)</f>
        <v>#N/A</v>
      </c>
      <c r="J2019" t="e">
        <f>VLOOKUP(F2019,'1PROJE'!$B$7:$F$26,4,0)</f>
        <v>#N/A</v>
      </c>
      <c r="K2019" t="e">
        <f>VLOOKUP(F2019,'1PROJE'!$B$7:$F$26,5,0)</f>
        <v>#N/A</v>
      </c>
    </row>
    <row r="2020" spans="2:11">
      <c r="B2020">
        <f t="shared" si="315"/>
        <v>0</v>
      </c>
      <c r="F2020" s="57" t="e">
        <f t="shared" si="316"/>
        <v>#N/A</v>
      </c>
      <c r="G2020" t="str">
        <f t="shared" si="317"/>
        <v/>
      </c>
      <c r="I2020" t="e">
        <f>VLOOKUP(F2020,'1PROJE'!$B$7:$F$26,2,0)</f>
        <v>#N/A</v>
      </c>
      <c r="J2020" t="e">
        <f>VLOOKUP(F2020,'1PROJE'!$B$7:$F$26,4,0)</f>
        <v>#N/A</v>
      </c>
      <c r="K2020" t="e">
        <f>VLOOKUP(F2020,'1PROJE'!$B$7:$F$26,5,0)</f>
        <v>#N/A</v>
      </c>
    </row>
    <row r="2021" spans="2:11">
      <c r="B2021">
        <f t="shared" si="315"/>
        <v>0</v>
      </c>
      <c r="F2021" s="57" t="e">
        <f t="shared" si="316"/>
        <v>#N/A</v>
      </c>
      <c r="G2021" t="str">
        <f t="shared" si="317"/>
        <v/>
      </c>
      <c r="I2021" t="e">
        <f>VLOOKUP(F2021,'1PROJE'!$B$7:$F$26,2,0)</f>
        <v>#N/A</v>
      </c>
      <c r="J2021" t="e">
        <f>VLOOKUP(F2021,'1PROJE'!$B$7:$F$26,4,0)</f>
        <v>#N/A</v>
      </c>
      <c r="K2021" t="e">
        <f>VLOOKUP(F2021,'1PROJE'!$B$7:$F$26,5,0)</f>
        <v>#N/A</v>
      </c>
    </row>
    <row r="2022" spans="2:11">
      <c r="B2022">
        <f t="shared" si="315"/>
        <v>0</v>
      </c>
      <c r="F2022" s="57" t="e">
        <f t="shared" si="316"/>
        <v>#N/A</v>
      </c>
      <c r="G2022" t="str">
        <f t="shared" si="317"/>
        <v/>
      </c>
      <c r="I2022" t="e">
        <f>VLOOKUP(F2022,'1PROJE'!$B$7:$F$26,2,0)</f>
        <v>#N/A</v>
      </c>
      <c r="J2022" t="e">
        <f>VLOOKUP(F2022,'1PROJE'!$B$7:$F$26,4,0)</f>
        <v>#N/A</v>
      </c>
      <c r="K2022" t="e">
        <f>VLOOKUP(F2022,'1PROJE'!$B$7:$F$26,5,0)</f>
        <v>#N/A</v>
      </c>
    </row>
    <row r="2023" spans="2:11">
      <c r="B2023">
        <f t="shared" si="315"/>
        <v>0</v>
      </c>
      <c r="F2023" s="57" t="e">
        <f t="shared" si="316"/>
        <v>#N/A</v>
      </c>
      <c r="G2023" t="str">
        <f t="shared" si="317"/>
        <v/>
      </c>
      <c r="I2023" t="e">
        <f>VLOOKUP(F2023,'1PROJE'!$B$7:$F$26,2,0)</f>
        <v>#N/A</v>
      </c>
      <c r="J2023" t="e">
        <f>VLOOKUP(F2023,'1PROJE'!$B$7:$F$26,4,0)</f>
        <v>#N/A</v>
      </c>
      <c r="K2023" t="e">
        <f>VLOOKUP(F2023,'1PROJE'!$B$7:$F$26,5,0)</f>
        <v>#N/A</v>
      </c>
    </row>
    <row r="2024" spans="2:11">
      <c r="B2024">
        <f t="shared" si="315"/>
        <v>0</v>
      </c>
      <c r="F2024" s="57" t="e">
        <f t="shared" si="316"/>
        <v>#N/A</v>
      </c>
      <c r="G2024" t="str">
        <f t="shared" si="317"/>
        <v/>
      </c>
      <c r="I2024" t="e">
        <f>VLOOKUP(F2024,'1PROJE'!$B$7:$F$26,2,0)</f>
        <v>#N/A</v>
      </c>
      <c r="J2024" t="e">
        <f>VLOOKUP(F2024,'1PROJE'!$B$7:$F$26,4,0)</f>
        <v>#N/A</v>
      </c>
      <c r="K2024" t="e">
        <f>VLOOKUP(F2024,'1PROJE'!$B$7:$F$26,5,0)</f>
        <v>#N/A</v>
      </c>
    </row>
    <row r="2025" spans="2:11">
      <c r="B2025">
        <f t="shared" si="315"/>
        <v>0</v>
      </c>
      <c r="F2025" s="57" t="e">
        <f t="shared" si="316"/>
        <v>#N/A</v>
      </c>
      <c r="G2025" t="str">
        <f t="shared" si="317"/>
        <v/>
      </c>
      <c r="I2025" t="e">
        <f>VLOOKUP(F2025,'1PROJE'!$B$7:$F$26,2,0)</f>
        <v>#N/A</v>
      </c>
      <c r="J2025" t="e">
        <f>VLOOKUP(F2025,'1PROJE'!$B$7:$F$26,4,0)</f>
        <v>#N/A</v>
      </c>
      <c r="K2025" t="e">
        <f>VLOOKUP(F2025,'1PROJE'!$B$7:$F$26,5,0)</f>
        <v>#N/A</v>
      </c>
    </row>
    <row r="2026" spans="2:11">
      <c r="B2026">
        <f t="shared" si="315"/>
        <v>0</v>
      </c>
      <c r="F2026" s="57" t="e">
        <f t="shared" si="316"/>
        <v>#N/A</v>
      </c>
      <c r="G2026" t="str">
        <f t="shared" si="317"/>
        <v/>
      </c>
      <c r="I2026" t="e">
        <f>VLOOKUP(F2026,'1PROJE'!$B$7:$F$26,2,0)</f>
        <v>#N/A</v>
      </c>
      <c r="J2026" t="e">
        <f>VLOOKUP(F2026,'1PROJE'!$B$7:$F$26,4,0)</f>
        <v>#N/A</v>
      </c>
      <c r="K2026" t="e">
        <f>VLOOKUP(F2026,'1PROJE'!$B$7:$F$26,5,0)</f>
        <v>#N/A</v>
      </c>
    </row>
    <row r="2027" spans="2:11">
      <c r="B2027">
        <f t="shared" ref="B2027:B2058" si="318">IF(($C$46-A127)&lt;0,0,"POZ"&amp;" "&amp;$U$61&amp;"."&amp;A127)</f>
        <v>0</v>
      </c>
      <c r="F2027" s="57" t="e">
        <f t="shared" si="316"/>
        <v>#N/A</v>
      </c>
      <c r="G2027" t="str">
        <f t="shared" si="317"/>
        <v/>
      </c>
      <c r="I2027" t="e">
        <f>VLOOKUP(F2027,'1PROJE'!$B$7:$F$26,2,0)</f>
        <v>#N/A</v>
      </c>
      <c r="J2027" t="e">
        <f>VLOOKUP(F2027,'1PROJE'!$B$7:$F$26,4,0)</f>
        <v>#N/A</v>
      </c>
      <c r="K2027" t="e">
        <f>VLOOKUP(F2027,'1PROJE'!$B$7:$F$26,5,0)</f>
        <v>#N/A</v>
      </c>
    </row>
    <row r="2028" spans="2:11">
      <c r="B2028">
        <f t="shared" si="318"/>
        <v>0</v>
      </c>
      <c r="F2028" s="57" t="e">
        <f t="shared" si="316"/>
        <v>#N/A</v>
      </c>
      <c r="G2028" t="str">
        <f t="shared" si="317"/>
        <v/>
      </c>
      <c r="I2028" t="e">
        <f>VLOOKUP(F2028,'1PROJE'!$B$7:$F$26,2,0)</f>
        <v>#N/A</v>
      </c>
      <c r="J2028" t="e">
        <f>VLOOKUP(F2028,'1PROJE'!$B$7:$F$26,4,0)</f>
        <v>#N/A</v>
      </c>
      <c r="K2028" t="e">
        <f>VLOOKUP(F2028,'1PROJE'!$B$7:$F$26,5,0)</f>
        <v>#N/A</v>
      </c>
    </row>
    <row r="2029" spans="2:11">
      <c r="B2029">
        <f t="shared" si="318"/>
        <v>0</v>
      </c>
      <c r="F2029" s="57" t="e">
        <f t="shared" si="316"/>
        <v>#N/A</v>
      </c>
      <c r="G2029" t="str">
        <f t="shared" si="317"/>
        <v/>
      </c>
      <c r="I2029" t="e">
        <f>VLOOKUP(F2029,'1PROJE'!$B$7:$F$26,2,0)</f>
        <v>#N/A</v>
      </c>
      <c r="J2029" t="e">
        <f>VLOOKUP(F2029,'1PROJE'!$B$7:$F$26,4,0)</f>
        <v>#N/A</v>
      </c>
      <c r="K2029" t="e">
        <f>VLOOKUP(F2029,'1PROJE'!$B$7:$F$26,5,0)</f>
        <v>#N/A</v>
      </c>
    </row>
    <row r="2030" spans="2:11">
      <c r="B2030">
        <f t="shared" si="318"/>
        <v>0</v>
      </c>
      <c r="F2030" s="57" t="e">
        <f t="shared" si="316"/>
        <v>#N/A</v>
      </c>
      <c r="G2030" t="str">
        <f t="shared" si="317"/>
        <v/>
      </c>
      <c r="I2030" t="e">
        <f>VLOOKUP(F2030,'1PROJE'!$B$7:$F$26,2,0)</f>
        <v>#N/A</v>
      </c>
      <c r="J2030" t="e">
        <f>VLOOKUP(F2030,'1PROJE'!$B$7:$F$26,4,0)</f>
        <v>#N/A</v>
      </c>
      <c r="K2030" t="e">
        <f>VLOOKUP(F2030,'1PROJE'!$B$7:$F$26,5,0)</f>
        <v>#N/A</v>
      </c>
    </row>
    <row r="2031" spans="2:11">
      <c r="B2031">
        <f t="shared" si="318"/>
        <v>0</v>
      </c>
      <c r="F2031" s="57" t="e">
        <f t="shared" si="316"/>
        <v>#N/A</v>
      </c>
      <c r="G2031" t="str">
        <f t="shared" si="317"/>
        <v/>
      </c>
      <c r="I2031" t="e">
        <f>VLOOKUP(F2031,'1PROJE'!$B$7:$F$26,2,0)</f>
        <v>#N/A</v>
      </c>
      <c r="J2031" t="e">
        <f>VLOOKUP(F2031,'1PROJE'!$B$7:$F$26,4,0)</f>
        <v>#N/A</v>
      </c>
      <c r="K2031" t="e">
        <f>VLOOKUP(F2031,'1PROJE'!$B$7:$F$26,5,0)</f>
        <v>#N/A</v>
      </c>
    </row>
    <row r="2032" spans="2:11">
      <c r="B2032">
        <f t="shared" si="318"/>
        <v>0</v>
      </c>
      <c r="F2032" s="57" t="e">
        <f t="shared" si="316"/>
        <v>#N/A</v>
      </c>
      <c r="G2032" t="str">
        <f t="shared" si="317"/>
        <v/>
      </c>
      <c r="I2032" t="e">
        <f>VLOOKUP(F2032,'1PROJE'!$B$7:$F$26,2,0)</f>
        <v>#N/A</v>
      </c>
      <c r="J2032" t="e">
        <f>VLOOKUP(F2032,'1PROJE'!$B$7:$F$26,4,0)</f>
        <v>#N/A</v>
      </c>
      <c r="K2032" t="e">
        <f>VLOOKUP(F2032,'1PROJE'!$B$7:$F$26,5,0)</f>
        <v>#N/A</v>
      </c>
    </row>
    <row r="2033" spans="2:11">
      <c r="B2033">
        <f t="shared" si="318"/>
        <v>0</v>
      </c>
      <c r="F2033" s="57" t="e">
        <f t="shared" si="316"/>
        <v>#N/A</v>
      </c>
      <c r="G2033" t="str">
        <f t="shared" si="317"/>
        <v/>
      </c>
      <c r="I2033" t="e">
        <f>VLOOKUP(F2033,'1PROJE'!$B$7:$F$26,2,0)</f>
        <v>#N/A</v>
      </c>
      <c r="J2033" t="e">
        <f>VLOOKUP(F2033,'1PROJE'!$B$7:$F$26,4,0)</f>
        <v>#N/A</v>
      </c>
      <c r="K2033" t="e">
        <f>VLOOKUP(F2033,'1PROJE'!$B$7:$F$26,5,0)</f>
        <v>#N/A</v>
      </c>
    </row>
    <row r="2034" spans="2:11">
      <c r="B2034">
        <f t="shared" si="318"/>
        <v>0</v>
      </c>
      <c r="F2034" s="57" t="e">
        <f t="shared" si="316"/>
        <v>#N/A</v>
      </c>
      <c r="G2034" t="str">
        <f t="shared" si="317"/>
        <v/>
      </c>
      <c r="I2034" t="e">
        <f>VLOOKUP(F2034,'1PROJE'!$B$7:$F$26,2,0)</f>
        <v>#N/A</v>
      </c>
      <c r="J2034" t="e">
        <f>VLOOKUP(F2034,'1PROJE'!$B$7:$F$26,4,0)</f>
        <v>#N/A</v>
      </c>
      <c r="K2034" t="e">
        <f>VLOOKUP(F2034,'1PROJE'!$B$7:$F$26,5,0)</f>
        <v>#N/A</v>
      </c>
    </row>
    <row r="2035" spans="2:11">
      <c r="B2035">
        <f t="shared" si="318"/>
        <v>0</v>
      </c>
      <c r="F2035" s="57" t="e">
        <f t="shared" si="316"/>
        <v>#N/A</v>
      </c>
      <c r="G2035" t="str">
        <f t="shared" si="317"/>
        <v/>
      </c>
      <c r="I2035" t="e">
        <f>VLOOKUP(F2035,'1PROJE'!$B$7:$F$26,2,0)</f>
        <v>#N/A</v>
      </c>
      <c r="J2035" t="e">
        <f>VLOOKUP(F2035,'1PROJE'!$B$7:$F$26,4,0)</f>
        <v>#N/A</v>
      </c>
      <c r="K2035" t="e">
        <f>VLOOKUP(F2035,'1PROJE'!$B$7:$F$26,5,0)</f>
        <v>#N/A</v>
      </c>
    </row>
    <row r="2036" spans="2:11">
      <c r="B2036">
        <f t="shared" si="318"/>
        <v>0</v>
      </c>
      <c r="F2036" s="57" t="e">
        <f t="shared" si="316"/>
        <v>#N/A</v>
      </c>
      <c r="G2036" t="str">
        <f t="shared" si="317"/>
        <v/>
      </c>
      <c r="I2036" t="e">
        <f>VLOOKUP(F2036,'1PROJE'!$B$7:$F$26,2,0)</f>
        <v>#N/A</v>
      </c>
      <c r="J2036" t="e">
        <f>VLOOKUP(F2036,'1PROJE'!$B$7:$F$26,4,0)</f>
        <v>#N/A</v>
      </c>
      <c r="K2036" t="e">
        <f>VLOOKUP(F2036,'1PROJE'!$B$7:$F$26,5,0)</f>
        <v>#N/A</v>
      </c>
    </row>
    <row r="2037" spans="2:11">
      <c r="B2037">
        <f t="shared" si="318"/>
        <v>0</v>
      </c>
      <c r="F2037" s="57" t="e">
        <f t="shared" si="316"/>
        <v>#N/A</v>
      </c>
      <c r="G2037" t="str">
        <f t="shared" si="317"/>
        <v/>
      </c>
      <c r="I2037" t="e">
        <f>VLOOKUP(F2037,'1PROJE'!$B$7:$F$26,2,0)</f>
        <v>#N/A</v>
      </c>
      <c r="J2037" t="e">
        <f>VLOOKUP(F2037,'1PROJE'!$B$7:$F$26,4,0)</f>
        <v>#N/A</v>
      </c>
      <c r="K2037" t="e">
        <f>VLOOKUP(F2037,'1PROJE'!$B$7:$F$26,5,0)</f>
        <v>#N/A</v>
      </c>
    </row>
    <row r="2038" spans="2:11">
      <c r="B2038">
        <f t="shared" si="318"/>
        <v>0</v>
      </c>
      <c r="F2038" s="57" t="e">
        <f t="shared" si="316"/>
        <v>#N/A</v>
      </c>
      <c r="G2038" t="str">
        <f t="shared" si="317"/>
        <v/>
      </c>
      <c r="I2038" t="e">
        <f>VLOOKUP(F2038,'1PROJE'!$B$7:$F$26,2,0)</f>
        <v>#N/A</v>
      </c>
      <c r="J2038" t="e">
        <f>VLOOKUP(F2038,'1PROJE'!$B$7:$F$26,4,0)</f>
        <v>#N/A</v>
      </c>
      <c r="K2038" t="e">
        <f>VLOOKUP(F2038,'1PROJE'!$B$7:$F$26,5,0)</f>
        <v>#N/A</v>
      </c>
    </row>
    <row r="2039" spans="2:11">
      <c r="B2039">
        <f t="shared" si="318"/>
        <v>0</v>
      </c>
      <c r="F2039" s="57" t="e">
        <f t="shared" si="316"/>
        <v>#N/A</v>
      </c>
      <c r="G2039" t="str">
        <f t="shared" si="317"/>
        <v/>
      </c>
      <c r="I2039" t="e">
        <f>VLOOKUP(F2039,'1PROJE'!$B$7:$F$26,2,0)</f>
        <v>#N/A</v>
      </c>
      <c r="J2039" t="e">
        <f>VLOOKUP(F2039,'1PROJE'!$B$7:$F$26,4,0)</f>
        <v>#N/A</v>
      </c>
      <c r="K2039" t="e">
        <f>VLOOKUP(F2039,'1PROJE'!$B$7:$F$26,5,0)</f>
        <v>#N/A</v>
      </c>
    </row>
    <row r="2040" spans="2:11">
      <c r="B2040">
        <f t="shared" si="318"/>
        <v>0</v>
      </c>
      <c r="F2040" s="57" t="e">
        <f t="shared" si="316"/>
        <v>#N/A</v>
      </c>
      <c r="G2040" t="str">
        <f t="shared" si="317"/>
        <v/>
      </c>
      <c r="I2040" t="e">
        <f>VLOOKUP(F2040,'1PROJE'!$B$7:$F$26,2,0)</f>
        <v>#N/A</v>
      </c>
      <c r="J2040" t="e">
        <f>VLOOKUP(F2040,'1PROJE'!$B$7:$F$26,4,0)</f>
        <v>#N/A</v>
      </c>
      <c r="K2040" t="e">
        <f>VLOOKUP(F2040,'1PROJE'!$B$7:$F$26,5,0)</f>
        <v>#N/A</v>
      </c>
    </row>
    <row r="2041" spans="2:11">
      <c r="B2041">
        <f t="shared" si="318"/>
        <v>0</v>
      </c>
      <c r="F2041" s="57" t="e">
        <f t="shared" si="316"/>
        <v>#N/A</v>
      </c>
      <c r="G2041" t="str">
        <f t="shared" si="317"/>
        <v/>
      </c>
      <c r="I2041" t="e">
        <f>VLOOKUP(F2041,'1PROJE'!$B$7:$F$26,2,0)</f>
        <v>#N/A</v>
      </c>
      <c r="J2041" t="e">
        <f>VLOOKUP(F2041,'1PROJE'!$B$7:$F$26,4,0)</f>
        <v>#N/A</v>
      </c>
      <c r="K2041" t="e">
        <f>VLOOKUP(F2041,'1PROJE'!$B$7:$F$26,5,0)</f>
        <v>#N/A</v>
      </c>
    </row>
    <row r="2042" spans="2:11">
      <c r="B2042">
        <f t="shared" si="318"/>
        <v>0</v>
      </c>
      <c r="F2042" s="57" t="e">
        <f t="shared" si="316"/>
        <v>#N/A</v>
      </c>
      <c r="G2042" t="str">
        <f t="shared" si="317"/>
        <v/>
      </c>
      <c r="I2042" t="e">
        <f>VLOOKUP(F2042,'1PROJE'!$B$7:$F$26,2,0)</f>
        <v>#N/A</v>
      </c>
      <c r="J2042" t="e">
        <f>VLOOKUP(F2042,'1PROJE'!$B$7:$F$26,4,0)</f>
        <v>#N/A</v>
      </c>
      <c r="K2042" t="e">
        <f>VLOOKUP(F2042,'1PROJE'!$B$7:$F$26,5,0)</f>
        <v>#N/A</v>
      </c>
    </row>
    <row r="2043" spans="2:11">
      <c r="B2043">
        <f t="shared" si="318"/>
        <v>0</v>
      </c>
      <c r="F2043" s="57" t="e">
        <f t="shared" si="316"/>
        <v>#N/A</v>
      </c>
      <c r="G2043" t="str">
        <f t="shared" si="317"/>
        <v/>
      </c>
      <c r="I2043" t="e">
        <f>VLOOKUP(F2043,'1PROJE'!$B$7:$F$26,2,0)</f>
        <v>#N/A</v>
      </c>
      <c r="J2043" t="e">
        <f>VLOOKUP(F2043,'1PROJE'!$B$7:$F$26,4,0)</f>
        <v>#N/A</v>
      </c>
      <c r="K2043" t="e">
        <f>VLOOKUP(F2043,'1PROJE'!$B$7:$F$26,5,0)</f>
        <v>#N/A</v>
      </c>
    </row>
    <row r="2044" spans="2:11">
      <c r="B2044">
        <f t="shared" si="318"/>
        <v>0</v>
      </c>
      <c r="F2044" s="57" t="e">
        <f t="shared" si="316"/>
        <v>#N/A</v>
      </c>
      <c r="G2044" t="str">
        <f t="shared" si="317"/>
        <v/>
      </c>
      <c r="I2044" t="e">
        <f>VLOOKUP(F2044,'1PROJE'!$B$7:$F$26,2,0)</f>
        <v>#N/A</v>
      </c>
      <c r="J2044" t="e">
        <f>VLOOKUP(F2044,'1PROJE'!$B$7:$F$26,4,0)</f>
        <v>#N/A</v>
      </c>
      <c r="K2044" t="e">
        <f>VLOOKUP(F2044,'1PROJE'!$B$7:$F$26,5,0)</f>
        <v>#N/A</v>
      </c>
    </row>
    <row r="2045" spans="2:11">
      <c r="B2045">
        <f t="shared" si="318"/>
        <v>0</v>
      </c>
      <c r="F2045" s="57" t="e">
        <f t="shared" si="316"/>
        <v>#N/A</v>
      </c>
      <c r="G2045" t="str">
        <f t="shared" si="317"/>
        <v/>
      </c>
      <c r="I2045" t="e">
        <f>VLOOKUP(F2045,'1PROJE'!$B$7:$F$26,2,0)</f>
        <v>#N/A</v>
      </c>
      <c r="J2045" t="e">
        <f>VLOOKUP(F2045,'1PROJE'!$B$7:$F$26,4,0)</f>
        <v>#N/A</v>
      </c>
      <c r="K2045" t="e">
        <f>VLOOKUP(F2045,'1PROJE'!$B$7:$F$26,5,0)</f>
        <v>#N/A</v>
      </c>
    </row>
    <row r="2046" spans="2:11">
      <c r="B2046">
        <f t="shared" si="318"/>
        <v>0</v>
      </c>
      <c r="F2046" s="57" t="e">
        <f t="shared" si="316"/>
        <v>#N/A</v>
      </c>
      <c r="G2046" t="str">
        <f t="shared" si="317"/>
        <v/>
      </c>
      <c r="I2046" t="e">
        <f>VLOOKUP(F2046,'1PROJE'!$B$7:$F$26,2,0)</f>
        <v>#N/A</v>
      </c>
      <c r="J2046" t="e">
        <f>VLOOKUP(F2046,'1PROJE'!$B$7:$F$26,4,0)</f>
        <v>#N/A</v>
      </c>
      <c r="K2046" t="e">
        <f>VLOOKUP(F2046,'1PROJE'!$B$7:$F$26,5,0)</f>
        <v>#N/A</v>
      </c>
    </row>
    <row r="2047" spans="2:11">
      <c r="B2047">
        <f t="shared" si="318"/>
        <v>0</v>
      </c>
      <c r="F2047" s="57" t="e">
        <f t="shared" si="316"/>
        <v>#N/A</v>
      </c>
      <c r="G2047" t="str">
        <f t="shared" si="317"/>
        <v/>
      </c>
      <c r="I2047" t="e">
        <f>VLOOKUP(F2047,'1PROJE'!$B$7:$F$26,2,0)</f>
        <v>#N/A</v>
      </c>
      <c r="J2047" t="e">
        <f>VLOOKUP(F2047,'1PROJE'!$B$7:$F$26,4,0)</f>
        <v>#N/A</v>
      </c>
      <c r="K2047" t="e">
        <f>VLOOKUP(F2047,'1PROJE'!$B$7:$F$26,5,0)</f>
        <v>#N/A</v>
      </c>
    </row>
    <row r="2048" spans="2:11">
      <c r="B2048">
        <f t="shared" si="318"/>
        <v>0</v>
      </c>
      <c r="F2048" s="57" t="e">
        <f t="shared" si="316"/>
        <v>#N/A</v>
      </c>
      <c r="G2048" t="str">
        <f t="shared" si="317"/>
        <v/>
      </c>
      <c r="I2048" t="e">
        <f>VLOOKUP(F2048,'1PROJE'!$B$7:$F$26,2,0)</f>
        <v>#N/A</v>
      </c>
      <c r="J2048" t="e">
        <f>VLOOKUP(F2048,'1PROJE'!$B$7:$F$26,4,0)</f>
        <v>#N/A</v>
      </c>
      <c r="K2048" t="e">
        <f>VLOOKUP(F2048,'1PROJE'!$B$7:$F$26,5,0)</f>
        <v>#N/A</v>
      </c>
    </row>
    <row r="2049" spans="2:11">
      <c r="B2049">
        <f t="shared" si="318"/>
        <v>0</v>
      </c>
      <c r="F2049" s="57" t="e">
        <f t="shared" si="316"/>
        <v>#N/A</v>
      </c>
      <c r="G2049" t="str">
        <f t="shared" si="317"/>
        <v/>
      </c>
      <c r="I2049" t="e">
        <f>VLOOKUP(F2049,'1PROJE'!$B$7:$F$26,2,0)</f>
        <v>#N/A</v>
      </c>
      <c r="J2049" t="e">
        <f>VLOOKUP(F2049,'1PROJE'!$B$7:$F$26,4,0)</f>
        <v>#N/A</v>
      </c>
      <c r="K2049" t="e">
        <f>VLOOKUP(F2049,'1PROJE'!$B$7:$F$26,5,0)</f>
        <v>#N/A</v>
      </c>
    </row>
    <row r="2050" spans="2:11">
      <c r="B2050">
        <f t="shared" si="318"/>
        <v>0</v>
      </c>
      <c r="F2050" s="57" t="e">
        <f t="shared" si="316"/>
        <v>#N/A</v>
      </c>
      <c r="G2050" t="str">
        <f t="shared" si="317"/>
        <v/>
      </c>
      <c r="I2050" t="e">
        <f>VLOOKUP(F2050,'1PROJE'!$B$7:$F$26,2,0)</f>
        <v>#N/A</v>
      </c>
      <c r="J2050" t="e">
        <f>VLOOKUP(F2050,'1PROJE'!$B$7:$F$26,4,0)</f>
        <v>#N/A</v>
      </c>
      <c r="K2050" t="e">
        <f>VLOOKUP(F2050,'1PROJE'!$B$7:$F$26,5,0)</f>
        <v>#N/A</v>
      </c>
    </row>
    <row r="2051" spans="2:11">
      <c r="B2051">
        <f t="shared" si="318"/>
        <v>0</v>
      </c>
      <c r="F2051" s="57" t="e">
        <f t="shared" si="316"/>
        <v>#N/A</v>
      </c>
      <c r="G2051" t="str">
        <f t="shared" si="317"/>
        <v/>
      </c>
      <c r="I2051" t="e">
        <f>VLOOKUP(F2051,'1PROJE'!$B$7:$F$26,2,0)</f>
        <v>#N/A</v>
      </c>
      <c r="J2051" t="e">
        <f>VLOOKUP(F2051,'1PROJE'!$B$7:$F$26,4,0)</f>
        <v>#N/A</v>
      </c>
      <c r="K2051" t="e">
        <f>VLOOKUP(F2051,'1PROJE'!$B$7:$F$26,5,0)</f>
        <v>#N/A</v>
      </c>
    </row>
    <row r="2052" spans="2:11">
      <c r="B2052">
        <f t="shared" si="318"/>
        <v>0</v>
      </c>
      <c r="F2052" s="57" t="e">
        <f t="shared" si="316"/>
        <v>#N/A</v>
      </c>
      <c r="G2052" t="str">
        <f t="shared" si="317"/>
        <v/>
      </c>
      <c r="I2052" t="e">
        <f>VLOOKUP(F2052,'1PROJE'!$B$7:$F$26,2,0)</f>
        <v>#N/A</v>
      </c>
      <c r="J2052" t="e">
        <f>VLOOKUP(F2052,'1PROJE'!$B$7:$F$26,4,0)</f>
        <v>#N/A</v>
      </c>
      <c r="K2052" t="e">
        <f>VLOOKUP(F2052,'1PROJE'!$B$7:$F$26,5,0)</f>
        <v>#N/A</v>
      </c>
    </row>
    <row r="2053" spans="2:11">
      <c r="B2053">
        <f t="shared" si="318"/>
        <v>0</v>
      </c>
      <c r="F2053" s="57" t="e">
        <f t="shared" si="316"/>
        <v>#N/A</v>
      </c>
      <c r="G2053" t="str">
        <f t="shared" si="317"/>
        <v/>
      </c>
      <c r="I2053" t="e">
        <f>VLOOKUP(F2053,'1PROJE'!$B$7:$F$26,2,0)</f>
        <v>#N/A</v>
      </c>
      <c r="J2053" t="e">
        <f>VLOOKUP(F2053,'1PROJE'!$B$7:$F$26,4,0)</f>
        <v>#N/A</v>
      </c>
      <c r="K2053" t="e">
        <f>VLOOKUP(F2053,'1PROJE'!$B$7:$F$26,5,0)</f>
        <v>#N/A</v>
      </c>
    </row>
    <row r="2054" spans="2:11">
      <c r="B2054">
        <f t="shared" si="318"/>
        <v>0</v>
      </c>
      <c r="F2054" s="57" t="e">
        <f t="shared" si="316"/>
        <v>#N/A</v>
      </c>
      <c r="G2054" t="str">
        <f t="shared" si="317"/>
        <v/>
      </c>
      <c r="I2054" t="e">
        <f>VLOOKUP(F2054,'1PROJE'!$B$7:$F$26,2,0)</f>
        <v>#N/A</v>
      </c>
      <c r="J2054" t="e">
        <f>VLOOKUP(F2054,'1PROJE'!$B$7:$F$26,4,0)</f>
        <v>#N/A</v>
      </c>
      <c r="K2054" t="e">
        <f>VLOOKUP(F2054,'1PROJE'!$B$7:$F$26,5,0)</f>
        <v>#N/A</v>
      </c>
    </row>
    <row r="2055" spans="2:11">
      <c r="B2055">
        <f t="shared" si="318"/>
        <v>0</v>
      </c>
      <c r="F2055" s="57" t="e">
        <f t="shared" si="316"/>
        <v>#N/A</v>
      </c>
      <c r="G2055" t="str">
        <f t="shared" si="317"/>
        <v/>
      </c>
      <c r="I2055" t="e">
        <f>VLOOKUP(F2055,'1PROJE'!$B$7:$F$26,2,0)</f>
        <v>#N/A</v>
      </c>
      <c r="J2055" t="e">
        <f>VLOOKUP(F2055,'1PROJE'!$B$7:$F$26,4,0)</f>
        <v>#N/A</v>
      </c>
      <c r="K2055" t="e">
        <f>VLOOKUP(F2055,'1PROJE'!$B$7:$F$26,5,0)</f>
        <v>#N/A</v>
      </c>
    </row>
    <row r="2056" spans="2:11">
      <c r="B2056">
        <f t="shared" si="318"/>
        <v>0</v>
      </c>
      <c r="F2056" s="57" t="e">
        <f t="shared" si="316"/>
        <v>#N/A</v>
      </c>
      <c r="G2056" t="str">
        <f t="shared" si="317"/>
        <v/>
      </c>
      <c r="I2056" t="e">
        <f>VLOOKUP(F2056,'1PROJE'!$B$7:$F$26,2,0)</f>
        <v>#N/A</v>
      </c>
      <c r="J2056" t="e">
        <f>VLOOKUP(F2056,'1PROJE'!$B$7:$F$26,4,0)</f>
        <v>#N/A</v>
      </c>
      <c r="K2056" t="e">
        <f>VLOOKUP(F2056,'1PROJE'!$B$7:$F$26,5,0)</f>
        <v>#N/A</v>
      </c>
    </row>
    <row r="2057" spans="2:11">
      <c r="B2057">
        <f t="shared" si="318"/>
        <v>0</v>
      </c>
      <c r="F2057" s="57" t="e">
        <f t="shared" si="316"/>
        <v>#N/A</v>
      </c>
      <c r="G2057" t="str">
        <f t="shared" si="317"/>
        <v/>
      </c>
      <c r="I2057" t="e">
        <f>VLOOKUP(F2057,'1PROJE'!$B$7:$F$26,2,0)</f>
        <v>#N/A</v>
      </c>
      <c r="J2057" t="e">
        <f>VLOOKUP(F2057,'1PROJE'!$B$7:$F$26,4,0)</f>
        <v>#N/A</v>
      </c>
      <c r="K2057" t="e">
        <f>VLOOKUP(F2057,'1PROJE'!$B$7:$F$26,5,0)</f>
        <v>#N/A</v>
      </c>
    </row>
    <row r="2058" spans="2:11">
      <c r="B2058">
        <f t="shared" si="318"/>
        <v>0</v>
      </c>
      <c r="F2058" s="57" t="e">
        <f t="shared" si="316"/>
        <v>#N/A</v>
      </c>
      <c r="G2058" t="str">
        <f t="shared" si="317"/>
        <v/>
      </c>
      <c r="I2058" t="e">
        <f>VLOOKUP(F2058,'1PROJE'!$B$7:$F$26,2,0)</f>
        <v>#N/A</v>
      </c>
      <c r="J2058" t="e">
        <f>VLOOKUP(F2058,'1PROJE'!$B$7:$F$26,4,0)</f>
        <v>#N/A</v>
      </c>
      <c r="K2058" t="e">
        <f>VLOOKUP(F2058,'1PROJE'!$B$7:$F$26,5,0)</f>
        <v>#N/A</v>
      </c>
    </row>
    <row r="2059" spans="2:11">
      <c r="B2059">
        <f t="shared" ref="B2059:B2061" si="319">IF(($C$46-A159)&lt;0,0,"POZ"&amp;" "&amp;$U$61&amp;"."&amp;A159)</f>
        <v>0</v>
      </c>
      <c r="F2059" s="57" t="e">
        <f t="shared" ref="F2059:F2074" si="320">VLOOKUP(G2059,$C$64:$D$83,2,0)</f>
        <v>#N/A</v>
      </c>
      <c r="G2059" t="str">
        <f t="shared" ref="G2059:G2074" si="321">LEFT(H2059,6)</f>
        <v/>
      </c>
      <c r="I2059" t="e">
        <f>VLOOKUP(F2059,'1PROJE'!$B$7:$F$26,2,0)</f>
        <v>#N/A</v>
      </c>
      <c r="J2059" t="e">
        <f>VLOOKUP(F2059,'1PROJE'!$B$7:$F$26,4,0)</f>
        <v>#N/A</v>
      </c>
      <c r="K2059" t="e">
        <f>VLOOKUP(F2059,'1PROJE'!$B$7:$F$26,5,0)</f>
        <v>#N/A</v>
      </c>
    </row>
    <row r="2060" spans="2:11">
      <c r="B2060">
        <f t="shared" si="319"/>
        <v>0</v>
      </c>
      <c r="F2060" s="57" t="e">
        <f t="shared" si="320"/>
        <v>#N/A</v>
      </c>
      <c r="G2060" t="str">
        <f t="shared" si="321"/>
        <v/>
      </c>
      <c r="I2060" t="e">
        <f>VLOOKUP(F2060,'1PROJE'!$B$7:$F$26,2,0)</f>
        <v>#N/A</v>
      </c>
      <c r="J2060" t="e">
        <f>VLOOKUP(F2060,'1PROJE'!$B$7:$F$26,4,0)</f>
        <v>#N/A</v>
      </c>
      <c r="K2060" t="e">
        <f>VLOOKUP(F2060,'1PROJE'!$B$7:$F$26,5,0)</f>
        <v>#N/A</v>
      </c>
    </row>
    <row r="2061" spans="2:11">
      <c r="B2061">
        <f t="shared" si="319"/>
        <v>0</v>
      </c>
      <c r="F2061" s="57" t="e">
        <f t="shared" si="320"/>
        <v>#N/A</v>
      </c>
      <c r="G2061" t="str">
        <f t="shared" si="321"/>
        <v/>
      </c>
      <c r="I2061" t="e">
        <f>VLOOKUP(F2061,'1PROJE'!$B$7:$F$26,2,0)</f>
        <v>#N/A</v>
      </c>
      <c r="J2061" t="e">
        <f>VLOOKUP(F2061,'1PROJE'!$B$7:$F$26,4,0)</f>
        <v>#N/A</v>
      </c>
      <c r="K2061" t="e">
        <f>VLOOKUP(F2061,'1PROJE'!$B$7:$F$26,5,0)</f>
        <v>#N/A</v>
      </c>
    </row>
    <row r="2062" spans="2:11">
      <c r="F2062" s="57" t="e">
        <f t="shared" si="320"/>
        <v>#N/A</v>
      </c>
      <c r="G2062" t="str">
        <f t="shared" si="321"/>
        <v/>
      </c>
      <c r="I2062" t="e">
        <f>VLOOKUP(F2062,'1PROJE'!$B$7:$F$26,2,0)</f>
        <v>#N/A</v>
      </c>
      <c r="J2062" t="e">
        <f>VLOOKUP(F2062,'1PROJE'!$B$7:$F$26,4,0)</f>
        <v>#N/A</v>
      </c>
      <c r="K2062" t="e">
        <f>VLOOKUP(F2062,'1PROJE'!$B$7:$F$26,5,0)</f>
        <v>#N/A</v>
      </c>
    </row>
    <row r="2063" spans="2:11">
      <c r="F2063" s="57" t="e">
        <f t="shared" si="320"/>
        <v>#N/A</v>
      </c>
      <c r="G2063" t="str">
        <f t="shared" si="321"/>
        <v/>
      </c>
      <c r="I2063" t="e">
        <f>VLOOKUP(F2063,'1PROJE'!$B$7:$F$26,2,0)</f>
        <v>#N/A</v>
      </c>
      <c r="J2063" t="e">
        <f>VLOOKUP(F2063,'1PROJE'!$B$7:$F$26,4,0)</f>
        <v>#N/A</v>
      </c>
      <c r="K2063" t="e">
        <f>VLOOKUP(F2063,'1PROJE'!$B$7:$F$26,5,0)</f>
        <v>#N/A</v>
      </c>
    </row>
    <row r="2064" spans="2:11">
      <c r="F2064" s="57" t="e">
        <f t="shared" si="320"/>
        <v>#N/A</v>
      </c>
      <c r="G2064" t="str">
        <f t="shared" si="321"/>
        <v/>
      </c>
      <c r="I2064" t="e">
        <f>VLOOKUP(F2064,'1PROJE'!$B$7:$F$26,2,0)</f>
        <v>#N/A</v>
      </c>
      <c r="J2064" t="e">
        <f>VLOOKUP(F2064,'1PROJE'!$B$7:$F$26,4,0)</f>
        <v>#N/A</v>
      </c>
      <c r="K2064" t="e">
        <f>VLOOKUP(F2064,'1PROJE'!$B$7:$F$26,5,0)</f>
        <v>#N/A</v>
      </c>
    </row>
    <row r="2065" spans="6:11">
      <c r="F2065" s="57" t="e">
        <f t="shared" si="320"/>
        <v>#N/A</v>
      </c>
      <c r="G2065" t="str">
        <f t="shared" si="321"/>
        <v/>
      </c>
      <c r="I2065" t="e">
        <f>VLOOKUP(F2065,'1PROJE'!$B$7:$F$26,2,0)</f>
        <v>#N/A</v>
      </c>
      <c r="J2065" t="e">
        <f>VLOOKUP(F2065,'1PROJE'!$B$7:$F$26,4,0)</f>
        <v>#N/A</v>
      </c>
      <c r="K2065" t="e">
        <f>VLOOKUP(F2065,'1PROJE'!$B$7:$F$26,5,0)</f>
        <v>#N/A</v>
      </c>
    </row>
    <row r="2066" spans="6:11">
      <c r="F2066" s="57" t="e">
        <f t="shared" si="320"/>
        <v>#N/A</v>
      </c>
      <c r="G2066" t="str">
        <f t="shared" si="321"/>
        <v/>
      </c>
      <c r="I2066" t="e">
        <f>VLOOKUP(F2066,'1PROJE'!$B$7:$F$26,2,0)</f>
        <v>#N/A</v>
      </c>
      <c r="J2066" t="e">
        <f>VLOOKUP(F2066,'1PROJE'!$B$7:$F$26,4,0)</f>
        <v>#N/A</v>
      </c>
      <c r="K2066" t="e">
        <f>VLOOKUP(F2066,'1PROJE'!$B$7:$F$26,5,0)</f>
        <v>#N/A</v>
      </c>
    </row>
    <row r="2067" spans="6:11">
      <c r="F2067" s="57" t="e">
        <f t="shared" si="320"/>
        <v>#N/A</v>
      </c>
      <c r="G2067" t="str">
        <f t="shared" si="321"/>
        <v/>
      </c>
      <c r="I2067" t="e">
        <f>VLOOKUP(F2067,'1PROJE'!$B$7:$F$26,2,0)</f>
        <v>#N/A</v>
      </c>
      <c r="J2067" t="e">
        <f>VLOOKUP(F2067,'1PROJE'!$B$7:$F$26,4,0)</f>
        <v>#N/A</v>
      </c>
      <c r="K2067" t="e">
        <f>VLOOKUP(F2067,'1PROJE'!$B$7:$F$26,5,0)</f>
        <v>#N/A</v>
      </c>
    </row>
    <row r="2068" spans="6:11">
      <c r="F2068" s="57" t="e">
        <f t="shared" si="320"/>
        <v>#N/A</v>
      </c>
      <c r="G2068" t="str">
        <f t="shared" si="321"/>
        <v/>
      </c>
      <c r="I2068" t="e">
        <f>VLOOKUP(F2068,'1PROJE'!$B$7:$F$26,2,0)</f>
        <v>#N/A</v>
      </c>
      <c r="J2068" t="e">
        <f>VLOOKUP(F2068,'1PROJE'!$B$7:$F$26,4,0)</f>
        <v>#N/A</v>
      </c>
      <c r="K2068" t="e">
        <f>VLOOKUP(F2068,'1PROJE'!$B$7:$F$26,5,0)</f>
        <v>#N/A</v>
      </c>
    </row>
    <row r="2069" spans="6:11">
      <c r="F2069" s="57" t="e">
        <f t="shared" si="320"/>
        <v>#N/A</v>
      </c>
      <c r="G2069" t="str">
        <f t="shared" si="321"/>
        <v/>
      </c>
      <c r="I2069" t="e">
        <f>VLOOKUP(F2069,'1PROJE'!$B$7:$F$26,2,0)</f>
        <v>#N/A</v>
      </c>
      <c r="J2069" t="e">
        <f>VLOOKUP(F2069,'1PROJE'!$B$7:$F$26,4,0)</f>
        <v>#N/A</v>
      </c>
      <c r="K2069" t="e">
        <f>VLOOKUP(F2069,'1PROJE'!$B$7:$F$26,5,0)</f>
        <v>#N/A</v>
      </c>
    </row>
    <row r="2070" spans="6:11">
      <c r="F2070" s="57" t="e">
        <f t="shared" si="320"/>
        <v>#N/A</v>
      </c>
      <c r="G2070" t="str">
        <f t="shared" si="321"/>
        <v/>
      </c>
      <c r="I2070" t="e">
        <f>VLOOKUP(F2070,'1PROJE'!$B$7:$F$26,2,0)</f>
        <v>#N/A</v>
      </c>
      <c r="J2070" t="e">
        <f>VLOOKUP(F2070,'1PROJE'!$B$7:$F$26,4,0)</f>
        <v>#N/A</v>
      </c>
      <c r="K2070" t="e">
        <f>VLOOKUP(F2070,'1PROJE'!$B$7:$F$26,5,0)</f>
        <v>#N/A</v>
      </c>
    </row>
    <row r="2071" spans="6:11">
      <c r="F2071" s="57" t="e">
        <f t="shared" si="320"/>
        <v>#N/A</v>
      </c>
      <c r="G2071" t="str">
        <f t="shared" si="321"/>
        <v/>
      </c>
      <c r="I2071" t="e">
        <f>VLOOKUP(F2071,'1PROJE'!$B$7:$F$26,2,0)</f>
        <v>#N/A</v>
      </c>
      <c r="J2071" t="e">
        <f>VLOOKUP(F2071,'1PROJE'!$B$7:$F$26,4,0)</f>
        <v>#N/A</v>
      </c>
      <c r="K2071" t="e">
        <f>VLOOKUP(F2071,'1PROJE'!$B$7:$F$26,5,0)</f>
        <v>#N/A</v>
      </c>
    </row>
    <row r="2072" spans="6:11">
      <c r="F2072" s="57" t="e">
        <f t="shared" si="320"/>
        <v>#N/A</v>
      </c>
      <c r="G2072" t="str">
        <f t="shared" si="321"/>
        <v/>
      </c>
      <c r="I2072" t="e">
        <f>VLOOKUP(F2072,'1PROJE'!$B$7:$F$26,2,0)</f>
        <v>#N/A</v>
      </c>
      <c r="J2072" t="e">
        <f>VLOOKUP(F2072,'1PROJE'!$B$7:$F$26,4,0)</f>
        <v>#N/A</v>
      </c>
      <c r="K2072" t="e">
        <f>VLOOKUP(F2072,'1PROJE'!$B$7:$F$26,5,0)</f>
        <v>#N/A</v>
      </c>
    </row>
    <row r="2073" spans="6:11">
      <c r="F2073" s="57" t="e">
        <f t="shared" si="320"/>
        <v>#N/A</v>
      </c>
      <c r="G2073" t="str">
        <f t="shared" si="321"/>
        <v/>
      </c>
      <c r="I2073" t="e">
        <f>VLOOKUP(F2073,'1PROJE'!$B$7:$F$26,2,0)</f>
        <v>#N/A</v>
      </c>
      <c r="J2073" t="e">
        <f>VLOOKUP(F2073,'1PROJE'!$B$7:$F$26,4,0)</f>
        <v>#N/A</v>
      </c>
      <c r="K2073" t="e">
        <f>VLOOKUP(F2073,'1PROJE'!$B$7:$F$26,5,0)</f>
        <v>#N/A</v>
      </c>
    </row>
    <row r="2074" spans="6:11">
      <c r="F2074" s="57" t="e">
        <f t="shared" si="320"/>
        <v>#N/A</v>
      </c>
      <c r="G2074" t="str">
        <f t="shared" si="321"/>
        <v/>
      </c>
      <c r="I2074" t="e">
        <f>VLOOKUP(F2074,'1PROJE'!$B$7:$F$26,2,0)</f>
        <v>#N/A</v>
      </c>
      <c r="J2074" t="e">
        <f>VLOOKUP(F2074,'1PROJE'!$B$7:$F$26,4,0)</f>
        <v>#N/A</v>
      </c>
      <c r="K2074" t="e">
        <f>VLOOKUP(F2074,'1PROJE'!$B$7:$F$26,5,0)</f>
        <v>#N/A</v>
      </c>
    </row>
  </sheetData>
  <phoneticPr fontId="8" type="noConversion"/>
  <conditionalFormatting sqref="Y1:AG18">
    <cfRule type="cellIs" dxfId="59" priority="10" operator="equal">
      <formula>1</formula>
    </cfRule>
  </conditionalFormatting>
  <conditionalFormatting sqref="AH20:FH25">
    <cfRule type="cellIs" dxfId="58" priority="4" operator="equal">
      <formula>"""GENİŞLİK"""</formula>
    </cfRule>
  </conditionalFormatting>
  <conditionalFormatting sqref="AM26:AO26">
    <cfRule type="cellIs" dxfId="57" priority="14" operator="equal">
      <formula>1</formula>
    </cfRule>
  </conditionalFormatting>
  <conditionalFormatting sqref="BV26">
    <cfRule type="cellIs" dxfId="56" priority="13" operator="equal">
      <formula>1</formula>
    </cfRule>
  </conditionalFormatting>
  <conditionalFormatting sqref="CR26">
    <cfRule type="cellIs" dxfId="55" priority="12" operator="equal">
      <formula>1</formula>
    </cfRule>
  </conditionalFormatting>
  <conditionalFormatting sqref="CV26">
    <cfRule type="cellIs" dxfId="54" priority="11" operator="equal">
      <formula>1</formula>
    </cfRule>
  </conditionalFormatting>
  <conditionalFormatting sqref="FV26">
    <cfRule type="cellIs" dxfId="53" priority="7" operator="equal">
      <formula>1</formula>
    </cfRule>
  </conditionalFormatting>
  <conditionalFormatting sqref="FZ26">
    <cfRule type="cellIs" dxfId="52" priority="6" operator="equal">
      <formula>1</formula>
    </cfRule>
  </conditionalFormatting>
  <conditionalFormatting sqref="DQ26 DS26">
    <cfRule type="cellIs" dxfId="51" priority="2" operator="equal">
      <formula>1</formula>
    </cfRule>
  </conditionalFormatting>
  <conditionalFormatting sqref="EQ26">
    <cfRule type="cellIs" dxfId="50" priority="1" operator="equal">
      <formula>1</formula>
    </cfRule>
  </conditionalFormatting>
  <hyperlinks>
    <hyperlink ref="V2" r:id="rId1" display="\\datasrv\Proje4\ZIPLINE PERDE\ZİYA\ZipProjeler\" xr:uid="{12BA2570-3100-4EB4-8257-625D866CA35F}"/>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DF175-5037-4A0B-B8A6-743F5F7CF3CC}">
  <sheetPr codeName="Sayfa5">
    <tabColor theme="4" tint="0.39997558519241921"/>
  </sheetPr>
  <dimension ref="D11:AB142"/>
  <sheetViews>
    <sheetView topLeftCell="A64" zoomScale="70" zoomScaleNormal="70" workbookViewId="0">
      <selection activeCell="G74" sqref="G74"/>
    </sheetView>
  </sheetViews>
  <sheetFormatPr defaultRowHeight="14.25"/>
  <cols>
    <col min="3" max="3" width="8.125" customWidth="1"/>
    <col min="4" max="4" width="18.625" customWidth="1"/>
    <col min="5" max="5" width="27.125" style="3" customWidth="1"/>
    <col min="6" max="6" width="23" customWidth="1"/>
    <col min="7" max="7" width="20.625" customWidth="1"/>
    <col min="8" max="8" width="10.5" bestFit="1" customWidth="1"/>
  </cols>
  <sheetData>
    <row r="11" spans="4:28">
      <c r="D11" s="62" t="s">
        <v>409</v>
      </c>
      <c r="E11" s="3" t="s">
        <v>783</v>
      </c>
      <c r="F11" s="62" t="s">
        <v>782</v>
      </c>
      <c r="G11" s="62" t="s">
        <v>15</v>
      </c>
      <c r="H11" s="62" t="s">
        <v>17</v>
      </c>
      <c r="I11" t="s">
        <v>390</v>
      </c>
      <c r="J11" t="s">
        <v>653</v>
      </c>
      <c r="K11" t="s">
        <v>396</v>
      </c>
      <c r="L11" t="s">
        <v>654</v>
      </c>
      <c r="M11" t="s">
        <v>397</v>
      </c>
      <c r="N11" t="s">
        <v>398</v>
      </c>
      <c r="O11" t="s">
        <v>399</v>
      </c>
      <c r="P11" t="s">
        <v>400</v>
      </c>
      <c r="Q11" t="s">
        <v>401</v>
      </c>
      <c r="R11" t="s">
        <v>402</v>
      </c>
      <c r="S11" t="s">
        <v>403</v>
      </c>
      <c r="T11" t="s">
        <v>404</v>
      </c>
      <c r="U11" t="s">
        <v>405</v>
      </c>
      <c r="V11" t="s">
        <v>406</v>
      </c>
      <c r="W11" t="s">
        <v>407</v>
      </c>
      <c r="X11" t="s">
        <v>655</v>
      </c>
      <c r="Y11" t="s">
        <v>656</v>
      </c>
      <c r="Z11" t="s">
        <v>657</v>
      </c>
      <c r="AA11" t="s">
        <v>658</v>
      </c>
      <c r="AB11" t="s">
        <v>659</v>
      </c>
    </row>
    <row r="12" spans="4:28" ht="52.5">
      <c r="D12" s="53" t="s">
        <v>410</v>
      </c>
      <c r="E12" s="3" t="str">
        <f>'x Malzemeler ve Özellikleri'!S2</f>
        <v>MT</v>
      </c>
      <c r="F12" t="s">
        <v>18</v>
      </c>
      <c r="G12" s="9" t="str">
        <f>VLOOKUP(D12,'x Malzemeler ve Özellikleri'!$O$2:$P$136,2,0)</f>
        <v>PA14000101</v>
      </c>
      <c r="H12" s="63">
        <f>VLOOKUP(D12,'x Malzemeler ve Özellikleri'!$O$2:$R$136,4,0)</f>
        <v>16.711199999999998</v>
      </c>
      <c r="I12" s="4" t="str">
        <f>IFERROR(HLOOKUP(D12,xHesaplama!$AH$74:$BZ$75,2,0),"")</f>
        <v/>
      </c>
      <c r="J12" s="4" t="str">
        <f>IFERROR(HLOOKUP(D12,xHesaplama!$AG$77:$BZ$79,3,0),"")</f>
        <v/>
      </c>
      <c r="K12" s="4" t="str">
        <f>IFERROR(HLOOKUP(D12,xHesaplama!$AG$81:$BZ$84,4,0),"")</f>
        <v/>
      </c>
      <c r="L12" s="4" t="str">
        <f>IFERROR(HLOOKUP(D12,xHesaplama!$AG$86:$BZ$90,5,0),"")</f>
        <v/>
      </c>
      <c r="M12" s="4" t="str">
        <f>IFERROR(HLOOKUP(D12,xHesaplama!$AG$92:$BZ$97,6,0),"")</f>
        <v/>
      </c>
      <c r="N12" s="4" t="str">
        <f>IFERROR(HLOOKUP(D12,xHesaplama!$AG$99:$BZ$105,7,0),"")</f>
        <v/>
      </c>
      <c r="O12" s="4" t="str">
        <f>IFERROR(HLOOKUP(D12,xHesaplama!$AG$107:$BZ$114,8,0),"")</f>
        <v/>
      </c>
      <c r="P12" s="4" t="str">
        <f>IFERROR(HLOOKUP(D12,xHesaplama!$AG$116:$BZ$124,9,0),"")</f>
        <v/>
      </c>
      <c r="Q12" s="4" t="str">
        <f>IFERROR(HLOOKUP(D12,xHesaplama!$AG$126:$BZ$135,10,0),"")</f>
        <v/>
      </c>
      <c r="R12" s="4" t="str">
        <f>IFERROR(HLOOKUP(D12,xHesaplama!$AG$137:$BZ$147,11,0),"")</f>
        <v/>
      </c>
      <c r="S12" s="4" t="str">
        <f>IFERROR(HLOOKUP(D12,xHesaplama!$AH$149:$BZ$160,12,0),"")</f>
        <v/>
      </c>
      <c r="T12" s="4" t="str">
        <f>IFERROR(HLOOKUP(D12,xHesaplama!$AH$162:$BZ$174,13,0),"")</f>
        <v/>
      </c>
      <c r="U12" s="4" t="str">
        <f>IFERROR(HLOOKUP(D12,xHesaplama!$AH$176:$BZ$189,14,0),"")</f>
        <v/>
      </c>
      <c r="V12" s="4" t="str">
        <f>IFERROR(HLOOKUP(D12,xHesaplama!$AH$191:$BZ$205,15,0),"")</f>
        <v/>
      </c>
      <c r="W12" s="4" t="str">
        <f>IFERROR(HLOOKUP(D12,xHesaplama!$AH$207:$BZ$222,16,0),"")</f>
        <v/>
      </c>
      <c r="X12" s="4" t="str">
        <f>IFERROR(HLOOKUP(D12,xHesaplama!$AH$224:$BZ$240,17,0),"")</f>
        <v/>
      </c>
      <c r="Y12" s="4" t="str">
        <f>IFERROR(HLOOKUP(D12,xHesaplama!$AH$242:$BZ$259,18,0),"")</f>
        <v/>
      </c>
      <c r="Z12" s="4" t="str">
        <f>IFERROR(HLOOKUP(D12,xHesaplama!$AH$261:$BZ$279,19,0),"")</f>
        <v/>
      </c>
      <c r="AA12" s="4" t="str">
        <f>IFERROR(HLOOKUP(D12,xHesaplama!$AH$281:$BZ$300,20,0),"")</f>
        <v/>
      </c>
      <c r="AB12" s="4" t="str">
        <f>IFERROR(HLOOKUP(D12,xHesaplama!$AH$302:$BZ$322,21,0),"")</f>
        <v/>
      </c>
    </row>
    <row r="13" spans="4:28" ht="52.5">
      <c r="D13" s="53" t="s">
        <v>411</v>
      </c>
      <c r="E13" s="3" t="str">
        <f>'x Malzemeler ve Özellikleri'!S3</f>
        <v>MT</v>
      </c>
      <c r="F13" t="s">
        <v>19</v>
      </c>
      <c r="G13" s="9" t="str">
        <f>VLOOKUP(D13,'x Malzemeler ve Özellikleri'!$O$2:$P$136,2,0)</f>
        <v>PA14000201</v>
      </c>
      <c r="H13" s="63">
        <f>VLOOKUP(D13,'x Malzemeler ve Özellikleri'!$O$2:$R$136,4,0)</f>
        <v>8.8439999999999994</v>
      </c>
      <c r="I13" s="4" t="str">
        <f>IFERROR(HLOOKUP(D13,xHesaplama!$AH$74:$BZ$75,2,0),"")</f>
        <v/>
      </c>
      <c r="J13" s="4" t="str">
        <f>IFERROR(HLOOKUP(D13,xHesaplama!$AG$77:$BZ$79,3,0),"")</f>
        <v/>
      </c>
      <c r="K13" s="4" t="str">
        <f>IFERROR(HLOOKUP(D13,xHesaplama!$AG$81:$BZ$84,4,0),"")</f>
        <v/>
      </c>
      <c r="L13" s="4" t="str">
        <f>IFERROR(HLOOKUP(D13,xHesaplama!$AG$86:$BZ$90,5,0),"")</f>
        <v/>
      </c>
      <c r="M13" s="4" t="str">
        <f>IFERROR(HLOOKUP(D13,xHesaplama!$AG$92:$BZ$97,6,0),"")</f>
        <v/>
      </c>
      <c r="N13" s="4" t="str">
        <f>IFERROR(HLOOKUP(D13,xHesaplama!$AG$99:$BZ$105,7,0),"")</f>
        <v/>
      </c>
      <c r="O13" s="4" t="str">
        <f>IFERROR(HLOOKUP(D13,xHesaplama!$AG$107:$BZ$114,8,0),"")</f>
        <v/>
      </c>
      <c r="P13" s="4" t="str">
        <f>IFERROR(HLOOKUP(D13,xHesaplama!$AG$116:$BZ$124,9,0),"")</f>
        <v/>
      </c>
      <c r="Q13" s="4" t="str">
        <f>IFERROR(HLOOKUP(D13,xHesaplama!$AG$126:$BZ$135,10,0),"")</f>
        <v/>
      </c>
      <c r="R13" s="4" t="str">
        <f>IFERROR(HLOOKUP(D13,xHesaplama!$AG$137:$BZ$147,11,0),"")</f>
        <v/>
      </c>
      <c r="S13" s="4" t="str">
        <f>IFERROR(HLOOKUP(D13,xHesaplama!$AH$149:$BZ$160,12,0),"")</f>
        <v/>
      </c>
      <c r="T13" s="4" t="str">
        <f>IFERROR(HLOOKUP(D13,xHesaplama!$AH$162:$BZ$174,13,0),"")</f>
        <v/>
      </c>
      <c r="U13" s="4" t="str">
        <f>IFERROR(HLOOKUP(D13,xHesaplama!$AH$176:$BZ$189,14,0),"")</f>
        <v/>
      </c>
      <c r="V13" s="4" t="str">
        <f>IFERROR(HLOOKUP(D13,xHesaplama!$AH$191:$BZ$205,15,0),"")</f>
        <v/>
      </c>
      <c r="W13" s="4" t="str">
        <f>IFERROR(HLOOKUP(D13,xHesaplama!$AH$207:$BZ$222,16,0),"")</f>
        <v/>
      </c>
      <c r="X13" s="4" t="str">
        <f>IFERROR(HLOOKUP(D13,xHesaplama!$AH$224:$BZ$240,17,0),"")</f>
        <v/>
      </c>
      <c r="Y13" s="4" t="str">
        <f>IFERROR(HLOOKUP(D13,xHesaplama!$AH$242:$BZ$259,18,0),"")</f>
        <v/>
      </c>
      <c r="Z13" s="4" t="str">
        <f>IFERROR(HLOOKUP(D13,xHesaplama!$AH$261:$BZ$279,19,0),"")</f>
        <v/>
      </c>
      <c r="AA13" s="4" t="str">
        <f>IFERROR(HLOOKUP(D13,xHesaplama!$AH$281:$BZ$300,20,0),"")</f>
        <v/>
      </c>
      <c r="AB13" s="4" t="str">
        <f>IFERROR(HLOOKUP(D13,xHesaplama!$AH$302:$BZ$322,21,0),"")</f>
        <v/>
      </c>
    </row>
    <row r="14" spans="4:28" ht="52.5">
      <c r="D14" s="53" t="s">
        <v>412</v>
      </c>
      <c r="E14" s="3" t="str">
        <f>'x Malzemeler ve Özellikleri'!S4</f>
        <v>MT</v>
      </c>
      <c r="F14" t="s">
        <v>0</v>
      </c>
      <c r="G14" s="9" t="str">
        <f>VLOOKUP(D14,'x Malzemeler ve Özellikleri'!$O$2:$P$136,2,0)</f>
        <v>PA14000301</v>
      </c>
      <c r="H14" s="63">
        <f>VLOOKUP(D14,'x Malzemeler ve Özellikleri'!$O$2:$R$136,4,0)</f>
        <v>19.338000000000001</v>
      </c>
      <c r="I14" s="4" t="str">
        <f>IFERROR(HLOOKUP(D14,xHesaplama!$AH$74:$BZ$75,2,0),"")</f>
        <v/>
      </c>
      <c r="J14" s="4" t="str">
        <f>IFERROR(HLOOKUP(D14,xHesaplama!$AG$77:$BZ$79,3,0),"")</f>
        <v/>
      </c>
      <c r="K14" s="4" t="str">
        <f>IFERROR(HLOOKUP(D14,xHesaplama!$AG$81:$BZ$84,4,0),"")</f>
        <v/>
      </c>
      <c r="L14" s="4" t="str">
        <f>IFERROR(HLOOKUP(D14,xHesaplama!$AG$86:$BZ$90,5,0),"")</f>
        <v/>
      </c>
      <c r="M14" s="4" t="str">
        <f>IFERROR(HLOOKUP(D14,xHesaplama!$AG$92:$BZ$97,6,0),"")</f>
        <v/>
      </c>
      <c r="N14" s="4" t="str">
        <f>IFERROR(HLOOKUP(D14,xHesaplama!$AG$99:$BZ$105,7,0),"")</f>
        <v/>
      </c>
      <c r="O14" s="4" t="str">
        <f>IFERROR(HLOOKUP(D14,xHesaplama!$AG$107:$BZ$114,8,0),"")</f>
        <v/>
      </c>
      <c r="P14" s="4" t="str">
        <f>IFERROR(HLOOKUP(D14,xHesaplama!$AG$116:$BZ$124,9,0),"")</f>
        <v/>
      </c>
      <c r="Q14" s="4" t="str">
        <f>IFERROR(HLOOKUP(D14,xHesaplama!$AG$126:$BZ$135,10,0),"")</f>
        <v/>
      </c>
      <c r="R14" s="4" t="str">
        <f>IFERROR(HLOOKUP(D14,xHesaplama!$AG$137:$BZ$147,11,0),"")</f>
        <v/>
      </c>
      <c r="S14" s="4" t="str">
        <f>IFERROR(HLOOKUP(D14,xHesaplama!$AH$149:$BZ$160,12,0),"")</f>
        <v/>
      </c>
      <c r="T14" s="4" t="str">
        <f>IFERROR(HLOOKUP(D14,xHesaplama!$AH$162:$BZ$174,13,0),"")</f>
        <v/>
      </c>
      <c r="U14" s="4" t="str">
        <f>IFERROR(HLOOKUP(D14,xHesaplama!$AH$176:$BZ$189,14,0),"")</f>
        <v/>
      </c>
      <c r="V14" s="4" t="str">
        <f>IFERROR(HLOOKUP(D14,xHesaplama!$AH$191:$BZ$205,15,0),"")</f>
        <v/>
      </c>
      <c r="W14" s="4" t="str">
        <f>IFERROR(HLOOKUP(D14,xHesaplama!$AH$207:$BZ$222,16,0),"")</f>
        <v/>
      </c>
      <c r="X14" s="4" t="str">
        <f>IFERROR(HLOOKUP(D14,xHesaplama!$AH$224:$BZ$240,17,0),"")</f>
        <v/>
      </c>
      <c r="Y14" s="4" t="str">
        <f>IFERROR(HLOOKUP(D14,xHesaplama!$AH$242:$BZ$259,18,0),"")</f>
        <v/>
      </c>
      <c r="Z14" s="4" t="str">
        <f>IFERROR(HLOOKUP(D14,xHesaplama!$AH$261:$BZ$279,19,0),"")</f>
        <v/>
      </c>
      <c r="AA14" s="4" t="str">
        <f>IFERROR(HLOOKUP(D14,xHesaplama!$AH$281:$BZ$300,20,0),"")</f>
        <v/>
      </c>
      <c r="AB14" s="4" t="str">
        <f>IFERROR(HLOOKUP(D14,xHesaplama!$AH$302:$BZ$322,21,0),"")</f>
        <v/>
      </c>
    </row>
    <row r="15" spans="4:28" ht="52.5">
      <c r="D15" s="53" t="s">
        <v>413</v>
      </c>
      <c r="E15" s="3" t="str">
        <f>'x Malzemeler ve Özellikleri'!S5</f>
        <v>MT</v>
      </c>
      <c r="F15" t="s">
        <v>1</v>
      </c>
      <c r="G15" s="9" t="str">
        <f>VLOOKUP(D15,'x Malzemeler ve Özellikleri'!$O$2:$P$136,2,0)</f>
        <v>PA14000401</v>
      </c>
      <c r="H15" s="63">
        <f>VLOOKUP(D15,'x Malzemeler ve Özellikleri'!$O$2:$R$136,4,0)</f>
        <v>3.4847999999999999</v>
      </c>
      <c r="I15" s="4" t="str">
        <f>IFERROR(HLOOKUP(D15,xHesaplama!$AH$74:$BZ$75,2,0),"")</f>
        <v/>
      </c>
      <c r="J15" s="4" t="str">
        <f>IFERROR(HLOOKUP(D15,xHesaplama!$AG$77:$BZ$79,3,0),"")</f>
        <v/>
      </c>
      <c r="K15" s="4" t="str">
        <f>IFERROR(HLOOKUP(D15,xHesaplama!$AG$81:$BZ$84,4,0),"")</f>
        <v/>
      </c>
      <c r="L15" s="4" t="str">
        <f>IFERROR(HLOOKUP(D15,xHesaplama!$AG$86:$BZ$90,5,0),"")</f>
        <v/>
      </c>
      <c r="M15" s="4" t="str">
        <f>IFERROR(HLOOKUP(D15,xHesaplama!$AG$92:$BZ$97,6,0),"")</f>
        <v/>
      </c>
      <c r="N15" s="4" t="str">
        <f>IFERROR(HLOOKUP(D15,xHesaplama!$AG$99:$BZ$105,7,0),"")</f>
        <v/>
      </c>
      <c r="O15" s="4" t="str">
        <f>IFERROR(HLOOKUP(D15,xHesaplama!$AG$107:$BZ$114,8,0),"")</f>
        <v/>
      </c>
      <c r="P15" s="4" t="str">
        <f>IFERROR(HLOOKUP(D15,xHesaplama!$AG$116:$BZ$124,9,0),"")</f>
        <v/>
      </c>
      <c r="Q15" s="4" t="str">
        <f>IFERROR(HLOOKUP(D15,xHesaplama!$AG$126:$BZ$135,10,0),"")</f>
        <v/>
      </c>
      <c r="R15" s="4" t="str">
        <f>IFERROR(HLOOKUP(D15,xHesaplama!$AG$137:$BZ$147,11,0),"")</f>
        <v/>
      </c>
      <c r="S15" s="4" t="str">
        <f>IFERROR(HLOOKUP(D15,xHesaplama!$AH$149:$BZ$160,12,0),"")</f>
        <v/>
      </c>
      <c r="T15" s="4" t="str">
        <f>IFERROR(HLOOKUP(D15,xHesaplama!$AH$162:$BZ$174,13,0),"")</f>
        <v/>
      </c>
      <c r="U15" s="4" t="str">
        <f>IFERROR(HLOOKUP(D15,xHesaplama!$AH$176:$BZ$189,14,0),"")</f>
        <v/>
      </c>
      <c r="V15" s="4" t="str">
        <f>IFERROR(HLOOKUP(D15,xHesaplama!$AH$191:$BZ$205,15,0),"")</f>
        <v/>
      </c>
      <c r="W15" s="4" t="str">
        <f>IFERROR(HLOOKUP(D15,xHesaplama!$AH$207:$BZ$222,16,0),"")</f>
        <v/>
      </c>
      <c r="X15" s="4" t="str">
        <f>IFERROR(HLOOKUP(D15,xHesaplama!$AH$224:$BZ$240,17,0),"")</f>
        <v/>
      </c>
      <c r="Y15" s="4" t="str">
        <f>IFERROR(HLOOKUP(D15,xHesaplama!$AH$242:$BZ$259,18,0),"")</f>
        <v/>
      </c>
      <c r="Z15" s="4" t="str">
        <f>IFERROR(HLOOKUP(D15,xHesaplama!$AH$261:$BZ$279,19,0),"")</f>
        <v/>
      </c>
      <c r="AA15" s="4" t="str">
        <f>IFERROR(HLOOKUP(D15,xHesaplama!$AH$281:$BZ$300,20,0),"")</f>
        <v/>
      </c>
      <c r="AB15" s="4" t="str">
        <f>IFERROR(HLOOKUP(D15,xHesaplama!$AH$302:$BZ$322,21,0),"")</f>
        <v/>
      </c>
    </row>
    <row r="16" spans="4:28" ht="52.5">
      <c r="D16" s="53" t="s">
        <v>414</v>
      </c>
      <c r="E16" s="3" t="str">
        <f>'x Malzemeler ve Özellikleri'!S6</f>
        <v>MT</v>
      </c>
      <c r="F16" t="s">
        <v>2</v>
      </c>
      <c r="G16" s="9" t="str">
        <f>VLOOKUP(D16,'x Malzemeler ve Özellikleri'!$O$2:$P$136,2,0)</f>
        <v>PA14000501</v>
      </c>
      <c r="H16" s="63">
        <f>VLOOKUP(D16,'x Malzemeler ve Özellikleri'!$O$2:$R$136,4,0)</f>
        <v>16.5</v>
      </c>
      <c r="I16" s="4" t="str">
        <f>IFERROR(HLOOKUP(D16,xHesaplama!$AH$74:$BZ$75,2,0),"")</f>
        <v/>
      </c>
      <c r="J16" s="4" t="str">
        <f>IFERROR(HLOOKUP(D16,xHesaplama!$AG$77:$BZ$79,3,0),"")</f>
        <v/>
      </c>
      <c r="K16" s="4" t="str">
        <f>IFERROR(HLOOKUP(D16,xHesaplama!$AG$81:$BZ$84,4,0),"")</f>
        <v/>
      </c>
      <c r="L16" s="4" t="str">
        <f>IFERROR(HLOOKUP(D16,xHesaplama!$AG$86:$BZ$90,5,0),"")</f>
        <v/>
      </c>
      <c r="M16" s="4" t="str">
        <f>IFERROR(HLOOKUP(D16,xHesaplama!$AG$92:$BZ$97,6,0),"")</f>
        <v/>
      </c>
      <c r="N16" s="4" t="str">
        <f>IFERROR(HLOOKUP(D16,xHesaplama!$AG$99:$BZ$105,7,0),"")</f>
        <v/>
      </c>
      <c r="O16" s="4" t="str">
        <f>IFERROR(HLOOKUP(D16,xHesaplama!$AG$107:$BZ$114,8,0),"")</f>
        <v/>
      </c>
      <c r="P16" s="4" t="str">
        <f>IFERROR(HLOOKUP(D16,xHesaplama!$AG$116:$BZ$124,9,0),"")</f>
        <v/>
      </c>
      <c r="Q16" s="4" t="str">
        <f>IFERROR(HLOOKUP(D16,xHesaplama!$AG$126:$BZ$135,10,0),"")</f>
        <v/>
      </c>
      <c r="R16" s="4" t="str">
        <f>IFERROR(HLOOKUP(D16,xHesaplama!$AG$137:$BZ$147,11,0),"")</f>
        <v/>
      </c>
      <c r="S16" s="4" t="str">
        <f>IFERROR(HLOOKUP(D16,xHesaplama!$AH$149:$BZ$160,12,0),"")</f>
        <v/>
      </c>
      <c r="T16" s="4" t="str">
        <f>IFERROR(HLOOKUP(D16,xHesaplama!$AH$162:$BZ$174,13,0),"")</f>
        <v/>
      </c>
      <c r="U16" s="4" t="str">
        <f>IFERROR(HLOOKUP(D16,xHesaplama!$AH$176:$BZ$189,14,0),"")</f>
        <v/>
      </c>
      <c r="V16" s="4" t="str">
        <f>IFERROR(HLOOKUP(D16,xHesaplama!$AH$191:$BZ$205,15,0),"")</f>
        <v/>
      </c>
      <c r="W16" s="4" t="str">
        <f>IFERROR(HLOOKUP(D16,xHesaplama!$AH$207:$BZ$222,16,0),"")</f>
        <v/>
      </c>
      <c r="X16" s="4" t="str">
        <f>IFERROR(HLOOKUP(D16,xHesaplama!$AH$224:$BZ$240,17,0),"")</f>
        <v/>
      </c>
      <c r="Y16" s="4" t="str">
        <f>IFERROR(HLOOKUP(D16,xHesaplama!$AH$242:$BZ$259,18,0),"")</f>
        <v/>
      </c>
      <c r="Z16" s="4" t="str">
        <f>IFERROR(HLOOKUP(D16,xHesaplama!$AH$261:$BZ$279,19,0),"")</f>
        <v/>
      </c>
      <c r="AA16" s="4" t="str">
        <f>IFERROR(HLOOKUP(D16,xHesaplama!$AH$281:$BZ$300,20,0),"")</f>
        <v/>
      </c>
      <c r="AB16" s="4" t="str">
        <f>IFERROR(HLOOKUP(D16,xHesaplama!$AH$302:$BZ$322,21,0),"")</f>
        <v/>
      </c>
    </row>
    <row r="17" spans="4:28" ht="26.25">
      <c r="D17" s="9" t="s">
        <v>415</v>
      </c>
      <c r="E17" s="3" t="str">
        <f>'x Malzemeler ve Özellikleri'!S7</f>
        <v>MT</v>
      </c>
      <c r="F17" t="s">
        <v>3</v>
      </c>
      <c r="G17" s="9" t="str">
        <f>VLOOKUP(D17,'x Malzemeler ve Özellikleri'!$O$2:$P$136,2,0)</f>
        <v>78BOR</v>
      </c>
      <c r="H17" s="63">
        <f>VLOOKUP(D17,'x Malzemeler ve Özellikleri'!$O$2:$R$136,4,0)</f>
        <v>2.4604330708661419</v>
      </c>
      <c r="I17" s="4" t="str">
        <f>IFERROR(HLOOKUP(D17,xHesaplama!$AH$74:$BZ$75,2,0),"")</f>
        <v/>
      </c>
      <c r="J17" s="4" t="str">
        <f>IFERROR(HLOOKUP(D17,xHesaplama!$AG$77:$BZ$79,3,0),"")</f>
        <v/>
      </c>
      <c r="K17" s="4" t="str">
        <f>IFERROR(HLOOKUP(D17,xHesaplama!$AG$81:$BZ$84,4,0),"")</f>
        <v/>
      </c>
      <c r="L17" s="4" t="str">
        <f>IFERROR(HLOOKUP(D17,xHesaplama!$AG$86:$BZ$90,5,0),"")</f>
        <v/>
      </c>
      <c r="M17" s="4" t="str">
        <f>IFERROR(HLOOKUP(D17,xHesaplama!$AG$92:$BZ$97,6,0),"")</f>
        <v/>
      </c>
      <c r="N17" s="4" t="str">
        <f>IFERROR(HLOOKUP(D17,xHesaplama!$AG$99:$BZ$105,7,0),"")</f>
        <v/>
      </c>
      <c r="O17" s="4" t="str">
        <f>IFERROR(HLOOKUP(D17,xHesaplama!$AG$107:$BZ$114,8,0),"")</f>
        <v/>
      </c>
      <c r="P17" s="4" t="str">
        <f>IFERROR(HLOOKUP(D17,xHesaplama!$AG$116:$BZ$124,9,0),"")</f>
        <v/>
      </c>
      <c r="Q17" s="4" t="str">
        <f>IFERROR(HLOOKUP(D17,xHesaplama!$AG$126:$BZ$135,10,0),"")</f>
        <v/>
      </c>
      <c r="R17" s="4" t="str">
        <f>IFERROR(HLOOKUP(D17,xHesaplama!$AG$137:$BZ$147,11,0),"")</f>
        <v/>
      </c>
      <c r="S17" s="4" t="str">
        <f>IFERROR(HLOOKUP(D17,xHesaplama!$AH$149:$BZ$160,12,0),"")</f>
        <v/>
      </c>
      <c r="T17" s="4" t="str">
        <f>IFERROR(HLOOKUP(D17,xHesaplama!$AH$162:$BZ$174,13,0),"")</f>
        <v/>
      </c>
      <c r="U17" s="4" t="str">
        <f>IFERROR(HLOOKUP(D17,xHesaplama!$AH$176:$BZ$189,14,0),"")</f>
        <v/>
      </c>
      <c r="V17" s="4" t="str">
        <f>IFERROR(HLOOKUP(D17,xHesaplama!$AH$191:$BZ$205,15,0),"")</f>
        <v/>
      </c>
      <c r="W17" s="4" t="str">
        <f>IFERROR(HLOOKUP(D17,xHesaplama!$AH$207:$BZ$222,16,0),"")</f>
        <v/>
      </c>
      <c r="X17" s="4" t="str">
        <f>IFERROR(HLOOKUP(D17,xHesaplama!$AH$224:$BZ$240,17,0),"")</f>
        <v/>
      </c>
      <c r="Y17" s="4" t="str">
        <f>IFERROR(HLOOKUP(D17,xHesaplama!$AH$242:$BZ$259,18,0),"")</f>
        <v/>
      </c>
      <c r="Z17" s="4" t="str">
        <f>IFERROR(HLOOKUP(D17,xHesaplama!$AH$261:$BZ$279,19,0),"")</f>
        <v/>
      </c>
      <c r="AA17" s="4" t="str">
        <f>IFERROR(HLOOKUP(D17,xHesaplama!$AH$281:$BZ$300,20,0),"")</f>
        <v/>
      </c>
      <c r="AB17" s="4" t="str">
        <f>IFERROR(HLOOKUP(D17,xHesaplama!$AH$302:$BZ$322,21,0),"")</f>
        <v/>
      </c>
    </row>
    <row r="18" spans="4:28" ht="26.25">
      <c r="D18" s="9" t="s">
        <v>416</v>
      </c>
      <c r="E18" s="3" t="str">
        <f>'x Malzemeler ve Özellikleri'!S8</f>
        <v>MT</v>
      </c>
      <c r="F18" t="s">
        <v>129</v>
      </c>
      <c r="G18" s="9" t="str">
        <f>VLOOKUP(D18,'x Malzemeler ve Özellikleri'!$O$2:$P$136,2,0)</f>
        <v>100BOR</v>
      </c>
      <c r="H18" s="63">
        <f>VLOOKUP(D18,'x Malzemeler ve Özellikleri'!$O$2:$R$136,4,0)</f>
        <v>7</v>
      </c>
      <c r="I18" s="4" t="str">
        <f>IFERROR(HLOOKUP(D18,xHesaplama!$AH$74:$BZ$75,2,0),"")</f>
        <v/>
      </c>
      <c r="J18" s="4" t="str">
        <f>IFERROR(HLOOKUP(D18,xHesaplama!$AG$77:$BZ$79,3,0),"")</f>
        <v/>
      </c>
      <c r="K18" s="4" t="str">
        <f>IFERROR(HLOOKUP(D18,xHesaplama!$AG$81:$BZ$84,4,0),"")</f>
        <v/>
      </c>
      <c r="L18" s="4" t="str">
        <f>IFERROR(HLOOKUP(D18,xHesaplama!$AG$86:$BZ$90,5,0),"")</f>
        <v/>
      </c>
      <c r="M18" s="4" t="str">
        <f>IFERROR(HLOOKUP(D18,xHesaplama!$AG$92:$BZ$97,6,0),"")</f>
        <v/>
      </c>
      <c r="N18" s="4" t="str">
        <f>IFERROR(HLOOKUP(D18,xHesaplama!$AG$99:$BZ$105,7,0),"")</f>
        <v/>
      </c>
      <c r="O18" s="4" t="str">
        <f>IFERROR(HLOOKUP(D18,xHesaplama!$AG$107:$BZ$114,8,0),"")</f>
        <v/>
      </c>
      <c r="P18" s="4" t="str">
        <f>IFERROR(HLOOKUP(D18,xHesaplama!$AG$116:$BZ$124,9,0),"")</f>
        <v/>
      </c>
      <c r="Q18" s="4" t="str">
        <f>IFERROR(HLOOKUP(D18,xHesaplama!$AG$126:$BZ$135,10,0),"")</f>
        <v/>
      </c>
      <c r="R18" s="4" t="str">
        <f>IFERROR(HLOOKUP(D18,xHesaplama!$AG$137:$BZ$147,11,0),"")</f>
        <v/>
      </c>
      <c r="S18" s="4" t="str">
        <f>IFERROR(HLOOKUP(D18,xHesaplama!$AH$149:$BZ$160,12,0),"")</f>
        <v/>
      </c>
      <c r="T18" s="4" t="str">
        <f>IFERROR(HLOOKUP(D18,xHesaplama!$AH$162:$BZ$174,13,0),"")</f>
        <v/>
      </c>
      <c r="U18" s="4" t="str">
        <f>IFERROR(HLOOKUP(D18,xHesaplama!$AH$176:$BZ$189,14,0),"")</f>
        <v/>
      </c>
      <c r="V18" s="4" t="str">
        <f>IFERROR(HLOOKUP(D18,xHesaplama!$AH$191:$BZ$205,15,0),"")</f>
        <v/>
      </c>
      <c r="W18" s="4" t="str">
        <f>IFERROR(HLOOKUP(D18,xHesaplama!$AH$207:$BZ$222,16,0),"")</f>
        <v/>
      </c>
      <c r="X18" s="4" t="str">
        <f>IFERROR(HLOOKUP(D18,xHesaplama!$AH$224:$BZ$240,17,0),"")</f>
        <v/>
      </c>
      <c r="Y18" s="4" t="str">
        <f>IFERROR(HLOOKUP(D18,xHesaplama!$AH$242:$BZ$259,18,0),"")</f>
        <v/>
      </c>
      <c r="Z18" s="4" t="str">
        <f>IFERROR(HLOOKUP(D18,xHesaplama!$AH$261:$BZ$279,19,0),"")</f>
        <v/>
      </c>
      <c r="AA18" s="4" t="str">
        <f>IFERROR(HLOOKUP(D18,xHesaplama!$AH$281:$BZ$300,20,0),"")</f>
        <v/>
      </c>
      <c r="AB18" s="4" t="str">
        <f>IFERROR(HLOOKUP(D18,xHesaplama!$AH$302:$BZ$322,21,0),"")</f>
        <v/>
      </c>
    </row>
    <row r="19" spans="4:28" ht="52.5">
      <c r="D19" s="9" t="s">
        <v>417</v>
      </c>
      <c r="E19" s="3" t="str">
        <f>'x Malzemeler ve Özellikleri'!S9</f>
        <v>MT</v>
      </c>
      <c r="F19" t="s">
        <v>983</v>
      </c>
      <c r="G19" s="9" t="str">
        <f>VLOOKUP(D19,'x Malzemeler ve Özellikleri'!$O$2:$P$136,2,0)</f>
        <v>DPY00105801</v>
      </c>
      <c r="H19" s="63">
        <f>VLOOKUP(D19,'x Malzemeler ve Özellikleri'!$O$2:$R$136,4,0)</f>
        <v>2.2999999999999998</v>
      </c>
      <c r="I19" s="4" t="str">
        <f>IFERROR(HLOOKUP(D19,xHesaplama!$AH$74:$BZ$75,2,0),"")</f>
        <v/>
      </c>
      <c r="J19" s="4" t="str">
        <f>IFERROR(HLOOKUP(D19,xHesaplama!$AG$77:$BZ$79,3,0),"")</f>
        <v/>
      </c>
      <c r="K19" s="4" t="str">
        <f>IFERROR(HLOOKUP(D19,xHesaplama!$AG$81:$BZ$84,4,0),"")</f>
        <v/>
      </c>
      <c r="L19" s="4" t="str">
        <f>IFERROR(HLOOKUP(D19,xHesaplama!$AG$86:$BZ$90,5,0),"")</f>
        <v/>
      </c>
      <c r="M19" s="4" t="str">
        <f>IFERROR(HLOOKUP(D19,xHesaplama!$AG$92:$BZ$97,6,0),"")</f>
        <v/>
      </c>
      <c r="N19" s="4" t="str">
        <f>IFERROR(HLOOKUP(D19,xHesaplama!$AG$99:$BZ$105,7,0),"")</f>
        <v/>
      </c>
      <c r="O19" s="4" t="str">
        <f>IFERROR(HLOOKUP(D19,xHesaplama!$AG$107:$BZ$114,8,0),"")</f>
        <v/>
      </c>
      <c r="P19" s="4" t="str">
        <f>IFERROR(HLOOKUP(D19,xHesaplama!$AG$116:$BZ$124,9,0),"")</f>
        <v/>
      </c>
      <c r="Q19" s="4" t="str">
        <f>IFERROR(HLOOKUP(D19,xHesaplama!$AG$126:$BZ$135,10,0),"")</f>
        <v/>
      </c>
      <c r="R19" s="4" t="str">
        <f>IFERROR(HLOOKUP(D19,xHesaplama!$AG$137:$BZ$147,11,0),"")</f>
        <v/>
      </c>
      <c r="S19" s="4" t="str">
        <f>IFERROR(HLOOKUP(D19,xHesaplama!$AH$149:$BZ$160,12,0),"")</f>
        <v/>
      </c>
      <c r="T19" s="4" t="str">
        <f>IFERROR(HLOOKUP(D19,xHesaplama!$AH$162:$BZ$174,13,0),"")</f>
        <v/>
      </c>
      <c r="U19" s="4" t="str">
        <f>IFERROR(HLOOKUP(D19,xHesaplama!$AH$176:$BZ$189,14,0),"")</f>
        <v/>
      </c>
      <c r="V19" s="4" t="str">
        <f>IFERROR(HLOOKUP(D19,xHesaplama!$AH$191:$BZ$205,15,0),"")</f>
        <v/>
      </c>
      <c r="W19" s="4" t="str">
        <f>IFERROR(HLOOKUP(D19,xHesaplama!$AH$207:$BZ$222,16,0),"")</f>
        <v/>
      </c>
      <c r="X19" s="4" t="str">
        <f>IFERROR(HLOOKUP(D19,xHesaplama!$AH$224:$BZ$240,17,0),"")</f>
        <v/>
      </c>
      <c r="Y19" s="4" t="str">
        <f>IFERROR(HLOOKUP(D19,xHesaplama!$AH$242:$BZ$259,18,0),"")</f>
        <v/>
      </c>
      <c r="Z19" s="4" t="str">
        <f>IFERROR(HLOOKUP(D19,xHesaplama!$AH$261:$BZ$279,19,0),"")</f>
        <v/>
      </c>
      <c r="AA19" s="4" t="str">
        <f>IFERROR(HLOOKUP(D19,xHesaplama!$AH$281:$BZ$300,20,0),"")</f>
        <v/>
      </c>
      <c r="AB19" s="4" t="str">
        <f>IFERROR(HLOOKUP(D19,xHesaplama!$AH$302:$BZ$322,21,0),"")</f>
        <v/>
      </c>
    </row>
    <row r="20" spans="4:28" ht="105">
      <c r="D20" s="53" t="s">
        <v>418</v>
      </c>
      <c r="E20" s="3" t="str">
        <f>'x Malzemeler ve Özellikleri'!S10</f>
        <v>TAKIM</v>
      </c>
      <c r="F20" t="s">
        <v>694</v>
      </c>
      <c r="G20" s="9" t="str">
        <f>VLOOKUP(D20,'x Malzemeler ve Özellikleri'!$O$2:$P$136,2,0)</f>
        <v>EMY14000101R - EMY14000101L</v>
      </c>
      <c r="H20" s="63">
        <f>VLOOKUP(D20,'x Malzemeler ve Özellikleri'!$O$2:$R$136,4,0)</f>
        <v>26.76</v>
      </c>
      <c r="I20" s="4" t="str">
        <f>IFERROR(HLOOKUP(D20,xHesaplama!$AH$74:$BZ$75,2,0),"")</f>
        <v/>
      </c>
      <c r="J20" s="4" t="str">
        <f>IFERROR(HLOOKUP(D20,xHesaplama!$AG$77:$BZ$79,3,0),"")</f>
        <v/>
      </c>
      <c r="K20" s="4" t="str">
        <f>IFERROR(HLOOKUP(D20,xHesaplama!$AG$81:$BZ$84,4,0),"")</f>
        <v/>
      </c>
      <c r="L20" s="4" t="str">
        <f>IFERROR(HLOOKUP(D20,xHesaplama!$AG$86:$BZ$90,5,0),"")</f>
        <v/>
      </c>
      <c r="M20" s="4" t="str">
        <f>IFERROR(HLOOKUP(D20,xHesaplama!$AG$92:$BZ$97,6,0),"")</f>
        <v/>
      </c>
      <c r="N20" s="4" t="str">
        <f>IFERROR(HLOOKUP(D20,xHesaplama!$AG$99:$BZ$105,7,0),"")</f>
        <v/>
      </c>
      <c r="O20" s="4" t="str">
        <f>IFERROR(HLOOKUP(D20,xHesaplama!$AG$107:$BZ$114,8,0),"")</f>
        <v/>
      </c>
      <c r="P20" s="4" t="str">
        <f>IFERROR(HLOOKUP(D20,xHesaplama!$AG$116:$BZ$124,9,0),"")</f>
        <v/>
      </c>
      <c r="Q20" s="4" t="str">
        <f>IFERROR(HLOOKUP(D20,xHesaplama!$AG$126:$BZ$135,10,0),"")</f>
        <v/>
      </c>
      <c r="R20" s="4" t="str">
        <f>IFERROR(HLOOKUP(D20,xHesaplama!$AG$137:$BZ$147,11,0),"")</f>
        <v/>
      </c>
      <c r="S20" s="4" t="str">
        <f>IFERROR(HLOOKUP(D20,xHesaplama!$AH$149:$BZ$160,12,0),"")</f>
        <v/>
      </c>
      <c r="T20" s="4" t="str">
        <f>IFERROR(HLOOKUP(D20,xHesaplama!$AH$162:$BZ$174,13,0),"")</f>
        <v/>
      </c>
      <c r="U20" s="4" t="str">
        <f>IFERROR(HLOOKUP(D20,xHesaplama!$AH$176:$BZ$189,14,0),"")</f>
        <v/>
      </c>
      <c r="V20" s="4" t="str">
        <f>IFERROR(HLOOKUP(D20,xHesaplama!$AH$191:$BZ$205,15,0),"")</f>
        <v/>
      </c>
      <c r="W20" s="4" t="str">
        <f>IFERROR(HLOOKUP(D20,xHesaplama!$AH$207:$BZ$222,16,0),"")</f>
        <v/>
      </c>
      <c r="X20" s="4" t="str">
        <f>IFERROR(HLOOKUP(D20,xHesaplama!$AH$224:$BZ$240,17,0),"")</f>
        <v/>
      </c>
      <c r="Y20" s="4" t="str">
        <f>IFERROR(HLOOKUP(D20,xHesaplama!$AH$242:$BZ$259,18,0),"")</f>
        <v/>
      </c>
      <c r="Z20" s="4" t="str">
        <f>IFERROR(HLOOKUP(D20,xHesaplama!$AH$261:$BZ$279,19,0),"")</f>
        <v/>
      </c>
      <c r="AA20" s="4" t="str">
        <f>IFERROR(HLOOKUP(D20,xHesaplama!$AH$281:$BZ$300,20,0),"")</f>
        <v/>
      </c>
      <c r="AB20" s="4" t="str">
        <f>IFERROR(HLOOKUP(D20,xHesaplama!$AH$302:$BZ$322,21,0),"")</f>
        <v/>
      </c>
    </row>
    <row r="21" spans="4:28" ht="105">
      <c r="D21" s="53" t="s">
        <v>419</v>
      </c>
      <c r="E21" s="3" t="str">
        <f>'x Malzemeler ve Özellikleri'!S11</f>
        <v>TAKIM</v>
      </c>
      <c r="F21" t="s">
        <v>695</v>
      </c>
      <c r="G21" s="9" t="str">
        <f>VLOOKUP(D21,'x Malzemeler ve Özellikleri'!$O$2:$P$136,2,0)</f>
        <v>EMY14000301R - EMY14000301L</v>
      </c>
      <c r="H21" s="63">
        <f>VLOOKUP(D21,'x Malzemeler ve Özellikleri'!$O$2:$R$136,4,0)</f>
        <v>27.57</v>
      </c>
      <c r="I21" s="4" t="str">
        <f>IFERROR(HLOOKUP(D21,xHesaplama!$AH$74:$BZ$75,2,0),"")</f>
        <v/>
      </c>
      <c r="J21" s="4" t="str">
        <f>IFERROR(HLOOKUP(D21,xHesaplama!$AG$77:$BZ$79,3,0),"")</f>
        <v/>
      </c>
      <c r="K21" s="4" t="str">
        <f>IFERROR(HLOOKUP(D21,xHesaplama!$AG$81:$BZ$84,4,0),"")</f>
        <v/>
      </c>
      <c r="L21" s="4" t="str">
        <f>IFERROR(HLOOKUP(D21,xHesaplama!$AG$86:$BZ$90,5,0),"")</f>
        <v/>
      </c>
      <c r="M21" s="4" t="str">
        <f>IFERROR(HLOOKUP(D21,xHesaplama!$AG$92:$BZ$97,6,0),"")</f>
        <v/>
      </c>
      <c r="N21" s="4" t="str">
        <f>IFERROR(HLOOKUP(D21,xHesaplama!$AG$99:$BZ$105,7,0),"")</f>
        <v/>
      </c>
      <c r="O21" s="4" t="str">
        <f>IFERROR(HLOOKUP(D21,xHesaplama!$AG$107:$BZ$114,8,0),"")</f>
        <v/>
      </c>
      <c r="P21" s="4" t="str">
        <f>IFERROR(HLOOKUP(D21,xHesaplama!$AG$116:$BZ$124,9,0),"")</f>
        <v/>
      </c>
      <c r="Q21" s="4" t="str">
        <f>IFERROR(HLOOKUP(D21,xHesaplama!$AG$126:$BZ$135,10,0),"")</f>
        <v/>
      </c>
      <c r="R21" s="4" t="str">
        <f>IFERROR(HLOOKUP(D21,xHesaplama!$AG$137:$BZ$147,11,0),"")</f>
        <v/>
      </c>
      <c r="S21" s="4" t="str">
        <f>IFERROR(HLOOKUP(D21,xHesaplama!$AH$149:$BZ$160,12,0),"")</f>
        <v/>
      </c>
      <c r="T21" s="4" t="str">
        <f>IFERROR(HLOOKUP(D21,xHesaplama!$AH$162:$BZ$174,13,0),"")</f>
        <v/>
      </c>
      <c r="U21" s="4" t="str">
        <f>IFERROR(HLOOKUP(D21,xHesaplama!$AH$176:$BZ$189,14,0),"")</f>
        <v/>
      </c>
      <c r="V21" s="4" t="str">
        <f>IFERROR(HLOOKUP(D21,xHesaplama!$AH$191:$BZ$205,15,0),"")</f>
        <v/>
      </c>
      <c r="W21" s="4" t="str">
        <f>IFERROR(HLOOKUP(D21,xHesaplama!$AH$207:$BZ$222,16,0),"")</f>
        <v/>
      </c>
      <c r="X21" s="4" t="str">
        <f>IFERROR(HLOOKUP(D21,xHesaplama!$AH$224:$BZ$240,17,0),"")</f>
        <v/>
      </c>
      <c r="Y21" s="4" t="str">
        <f>IFERROR(HLOOKUP(D21,xHesaplama!$AH$242:$BZ$259,18,0),"")</f>
        <v/>
      </c>
      <c r="Z21" s="4" t="str">
        <f>IFERROR(HLOOKUP(D21,xHesaplama!$AH$261:$BZ$279,19,0),"")</f>
        <v/>
      </c>
      <c r="AA21" s="4" t="str">
        <f>IFERROR(HLOOKUP(D21,xHesaplama!$AH$281:$BZ$300,20,0),"")</f>
        <v/>
      </c>
      <c r="AB21" s="4" t="str">
        <f>IFERROR(HLOOKUP(D21,xHesaplama!$AH$302:$BZ$322,21,0),"")</f>
        <v/>
      </c>
    </row>
    <row r="22" spans="4:28" ht="52.5">
      <c r="D22" s="9" t="s">
        <v>420</v>
      </c>
      <c r="E22" s="3" t="str">
        <f>'x Malzemeler ve Özellikleri'!S12</f>
        <v>ADET</v>
      </c>
      <c r="F22" t="s">
        <v>35</v>
      </c>
      <c r="G22" s="9" t="str">
        <f>VLOOKUP(D22,'x Malzemeler ve Özellikleri'!$O$2:$P$136,2,0)</f>
        <v>EPH07803101</v>
      </c>
      <c r="H22" s="63">
        <f>VLOOKUP(D22,'x Malzemeler ve Özellikleri'!$O$2:$R$136,4,0)</f>
        <v>5.34</v>
      </c>
      <c r="I22" s="4" t="str">
        <f>IFERROR(HLOOKUP(D22,xHesaplama!$AH$74:$BZ$75,2,0),"")</f>
        <v/>
      </c>
      <c r="J22" s="4" t="str">
        <f>IFERROR(HLOOKUP(D22,xHesaplama!$AG$77:$BZ$79,3,0),"")</f>
        <v/>
      </c>
      <c r="K22" s="4" t="str">
        <f>IFERROR(HLOOKUP(D22,xHesaplama!$AG$81:$BZ$84,4,0),"")</f>
        <v/>
      </c>
      <c r="L22" s="4" t="str">
        <f>IFERROR(HLOOKUP(D22,xHesaplama!$AG$86:$BZ$90,5,0),"")</f>
        <v/>
      </c>
      <c r="M22" s="4" t="str">
        <f>IFERROR(HLOOKUP(D22,xHesaplama!$AG$92:$BZ$97,6,0),"")</f>
        <v/>
      </c>
      <c r="N22" s="4" t="str">
        <f>IFERROR(HLOOKUP(D22,xHesaplama!$AG$99:$BZ$105,7,0),"")</f>
        <v/>
      </c>
      <c r="O22" s="4" t="str">
        <f>IFERROR(HLOOKUP(D22,xHesaplama!$AG$107:$BZ$114,8,0),"")</f>
        <v/>
      </c>
      <c r="P22" s="4" t="str">
        <f>IFERROR(HLOOKUP(D22,xHesaplama!$AG$116:$BZ$124,9,0),"")</f>
        <v/>
      </c>
      <c r="Q22" s="4" t="str">
        <f>IFERROR(HLOOKUP(D22,xHesaplama!$AG$126:$BZ$135,10,0),"")</f>
        <v/>
      </c>
      <c r="R22" s="4" t="str">
        <f>IFERROR(HLOOKUP(D22,xHesaplama!$AG$137:$BZ$147,11,0),"")</f>
        <v/>
      </c>
      <c r="S22" s="4" t="str">
        <f>IFERROR(HLOOKUP(D22,xHesaplama!$AH$149:$BZ$160,12,0),"")</f>
        <v/>
      </c>
      <c r="T22" s="4" t="str">
        <f>IFERROR(HLOOKUP(D22,xHesaplama!$AH$162:$BZ$174,13,0),"")</f>
        <v/>
      </c>
      <c r="U22" s="4" t="str">
        <f>IFERROR(HLOOKUP(D22,xHesaplama!$AH$176:$BZ$189,14,0),"")</f>
        <v/>
      </c>
      <c r="V22" s="4" t="str">
        <f>IFERROR(HLOOKUP(D22,xHesaplama!$AH$191:$BZ$205,15,0),"")</f>
        <v/>
      </c>
      <c r="W22" s="4" t="str">
        <f>IFERROR(HLOOKUP(D22,xHesaplama!$AH$207:$BZ$222,16,0),"")</f>
        <v/>
      </c>
      <c r="X22" s="4" t="str">
        <f>IFERROR(HLOOKUP(D22,xHesaplama!$AH$224:$BZ$240,17,0),"")</f>
        <v/>
      </c>
      <c r="Y22" s="4" t="str">
        <f>IFERROR(HLOOKUP(D22,xHesaplama!$AH$242:$BZ$259,18,0),"")</f>
        <v/>
      </c>
      <c r="Z22" s="4" t="str">
        <f>IFERROR(HLOOKUP(D22,xHesaplama!$AH$261:$BZ$279,19,0),"")</f>
        <v/>
      </c>
      <c r="AA22" s="4" t="str">
        <f>IFERROR(HLOOKUP(D22,xHesaplama!$AH$281:$BZ$300,20,0),"")</f>
        <v/>
      </c>
      <c r="AB22" s="4" t="str">
        <f>IFERROR(HLOOKUP(D22,xHesaplama!$AH$302:$BZ$322,21,0),"")</f>
        <v/>
      </c>
    </row>
    <row r="23" spans="4:28" ht="52.5">
      <c r="D23" s="9" t="s">
        <v>421</v>
      </c>
      <c r="E23" s="3" t="str">
        <f>'x Malzemeler ve Özellikleri'!S13</f>
        <v>ADET</v>
      </c>
      <c r="F23" t="s">
        <v>36</v>
      </c>
      <c r="G23" s="9" t="str">
        <f>VLOOKUP(D23,'x Malzemeler ve Özellikleri'!$O$2:$P$136,2,0)</f>
        <v>EPH07803001</v>
      </c>
      <c r="H23" s="63">
        <f>VLOOKUP(D23,'x Malzemeler ve Özellikleri'!$O$2:$R$136,4,0)</f>
        <v>3.65</v>
      </c>
      <c r="I23" s="4" t="str">
        <f>IFERROR(HLOOKUP(D23,xHesaplama!$AH$74:$BZ$75,2,0),"")</f>
        <v/>
      </c>
      <c r="J23" s="4" t="str">
        <f>IFERROR(HLOOKUP(D23,xHesaplama!$AG$77:$BZ$79,3,0),"")</f>
        <v/>
      </c>
      <c r="K23" s="4" t="str">
        <f>IFERROR(HLOOKUP(D23,xHesaplama!$AG$81:$BZ$84,4,0),"")</f>
        <v/>
      </c>
      <c r="L23" s="4" t="str">
        <f>IFERROR(HLOOKUP(D23,xHesaplama!$AG$86:$BZ$90,5,0),"")</f>
        <v/>
      </c>
      <c r="M23" s="4" t="str">
        <f>IFERROR(HLOOKUP(D23,xHesaplama!$AG$92:$BZ$97,6,0),"")</f>
        <v/>
      </c>
      <c r="N23" s="4" t="str">
        <f>IFERROR(HLOOKUP(D23,xHesaplama!$AG$99:$BZ$105,7,0),"")</f>
        <v/>
      </c>
      <c r="O23" s="4" t="str">
        <f>IFERROR(HLOOKUP(D23,xHesaplama!$AG$107:$BZ$114,8,0),"")</f>
        <v/>
      </c>
      <c r="P23" s="4" t="str">
        <f>IFERROR(HLOOKUP(D23,xHesaplama!$AG$116:$BZ$124,9,0),"")</f>
        <v/>
      </c>
      <c r="Q23" s="4" t="str">
        <f>IFERROR(HLOOKUP(D23,xHesaplama!$AG$126:$BZ$135,10,0),"")</f>
        <v/>
      </c>
      <c r="R23" s="4" t="str">
        <f>IFERROR(HLOOKUP(D23,xHesaplama!$AG$137:$BZ$147,11,0),"")</f>
        <v/>
      </c>
      <c r="S23" s="4" t="str">
        <f>IFERROR(HLOOKUP(D23,xHesaplama!$AH$149:$BZ$160,12,0),"")</f>
        <v/>
      </c>
      <c r="T23" s="4" t="str">
        <f>IFERROR(HLOOKUP(D23,xHesaplama!$AH$162:$BZ$174,13,0),"")</f>
        <v/>
      </c>
      <c r="U23" s="4" t="str">
        <f>IFERROR(HLOOKUP(D23,xHesaplama!$AH$176:$BZ$189,14,0),"")</f>
        <v/>
      </c>
      <c r="V23" s="4" t="str">
        <f>IFERROR(HLOOKUP(D23,xHesaplama!$AH$191:$BZ$205,15,0),"")</f>
        <v/>
      </c>
      <c r="W23" s="4" t="str">
        <f>IFERROR(HLOOKUP(D23,xHesaplama!$AH$207:$BZ$222,16,0),"")</f>
        <v/>
      </c>
      <c r="X23" s="4" t="str">
        <f>IFERROR(HLOOKUP(D23,xHesaplama!$AH$224:$BZ$240,17,0),"")</f>
        <v/>
      </c>
      <c r="Y23" s="4" t="str">
        <f>IFERROR(HLOOKUP(D23,xHesaplama!$AH$242:$BZ$259,18,0),"")</f>
        <v/>
      </c>
      <c r="Z23" s="4" t="str">
        <f>IFERROR(HLOOKUP(D23,xHesaplama!$AH$261:$BZ$279,19,0),"")</f>
        <v/>
      </c>
      <c r="AA23" s="4" t="str">
        <f>IFERROR(HLOOKUP(D23,xHesaplama!$AH$281:$BZ$300,20,0),"")</f>
        <v/>
      </c>
      <c r="AB23" s="4" t="str">
        <f>IFERROR(HLOOKUP(D23,xHesaplama!$AH$302:$BZ$322,21,0),"")</f>
        <v/>
      </c>
    </row>
    <row r="24" spans="4:28" ht="105">
      <c r="D24" s="53" t="s">
        <v>422</v>
      </c>
      <c r="E24" s="3" t="str">
        <f>'x Malzemeler ve Özellikleri'!S14</f>
        <v>TAKIM</v>
      </c>
      <c r="F24" t="s">
        <v>37</v>
      </c>
      <c r="G24" s="9" t="str">
        <f>VLOOKUP(D24,'x Malzemeler ve Özellikleri'!$O$2:$P$136,2,0)</f>
        <v>EMY14000501R - EMY14000501L</v>
      </c>
      <c r="H24" s="63">
        <f>VLOOKUP(D24,'x Malzemeler ve Özellikleri'!$O$2:$R$136,4,0)</f>
        <v>18.14</v>
      </c>
      <c r="I24" s="4" t="str">
        <f>IFERROR(HLOOKUP(D24,xHesaplama!$AH$74:$BZ$75,2,0),"")</f>
        <v/>
      </c>
      <c r="J24" s="4" t="str">
        <f>IFERROR(HLOOKUP(D24,xHesaplama!$AG$77:$BZ$79,3,0),"")</f>
        <v/>
      </c>
      <c r="K24" s="4" t="str">
        <f>IFERROR(HLOOKUP(D24,xHesaplama!$AG$81:$BZ$84,4,0),"")</f>
        <v/>
      </c>
      <c r="L24" s="4" t="str">
        <f>IFERROR(HLOOKUP(D24,xHesaplama!$AG$86:$BZ$90,5,0),"")</f>
        <v/>
      </c>
      <c r="M24" s="4" t="str">
        <f>IFERROR(HLOOKUP(D24,xHesaplama!$AG$92:$BZ$97,6,0),"")</f>
        <v/>
      </c>
      <c r="N24" s="4" t="str">
        <f>IFERROR(HLOOKUP(D24,xHesaplama!$AG$99:$BZ$105,7,0),"")</f>
        <v/>
      </c>
      <c r="O24" s="4" t="str">
        <f>IFERROR(HLOOKUP(D24,xHesaplama!$AG$107:$BZ$114,8,0),"")</f>
        <v/>
      </c>
      <c r="P24" s="4" t="str">
        <f>IFERROR(HLOOKUP(D24,xHesaplama!$AG$116:$BZ$124,9,0),"")</f>
        <v/>
      </c>
      <c r="Q24" s="4" t="str">
        <f>IFERROR(HLOOKUP(D24,xHesaplama!$AG$126:$BZ$135,10,0),"")</f>
        <v/>
      </c>
      <c r="R24" s="4" t="str">
        <f>IFERROR(HLOOKUP(D24,xHesaplama!$AG$137:$BZ$147,11,0),"")</f>
        <v/>
      </c>
      <c r="S24" s="4" t="str">
        <f>IFERROR(HLOOKUP(D24,xHesaplama!$AH$149:$BZ$160,12,0),"")</f>
        <v/>
      </c>
      <c r="T24" s="4" t="str">
        <f>IFERROR(HLOOKUP(D24,xHesaplama!$AH$162:$BZ$174,13,0),"")</f>
        <v/>
      </c>
      <c r="U24" s="4" t="str">
        <f>IFERROR(HLOOKUP(D24,xHesaplama!$AH$176:$BZ$189,14,0),"")</f>
        <v/>
      </c>
      <c r="V24" s="4" t="str">
        <f>IFERROR(HLOOKUP(D24,xHesaplama!$AH$191:$BZ$205,15,0),"")</f>
        <v/>
      </c>
      <c r="W24" s="4" t="str">
        <f>IFERROR(HLOOKUP(D24,xHesaplama!$AH$207:$BZ$222,16,0),"")</f>
        <v/>
      </c>
      <c r="X24" s="4" t="str">
        <f>IFERROR(HLOOKUP(D24,xHesaplama!$AH$224:$BZ$240,17,0),"")</f>
        <v/>
      </c>
      <c r="Y24" s="4" t="str">
        <f>IFERROR(HLOOKUP(D24,xHesaplama!$AH$242:$BZ$259,18,0),"")</f>
        <v/>
      </c>
      <c r="Z24" s="4" t="str">
        <f>IFERROR(HLOOKUP(D24,xHesaplama!$AH$261:$BZ$279,19,0),"")</f>
        <v/>
      </c>
      <c r="AA24" s="4" t="str">
        <f>IFERROR(HLOOKUP(D24,xHesaplama!$AH$281:$BZ$300,20,0),"")</f>
        <v/>
      </c>
      <c r="AB24" s="4" t="str">
        <f>IFERROR(HLOOKUP(D24,xHesaplama!$AH$302:$BZ$322,21,0),"")</f>
        <v/>
      </c>
    </row>
    <row r="25" spans="4:28" ht="52.5">
      <c r="D25" s="9" t="s">
        <v>423</v>
      </c>
      <c r="E25" s="3" t="str">
        <f>'x Malzemeler ve Özellikleri'!S15</f>
        <v>ADET</v>
      </c>
      <c r="F25" t="s">
        <v>7</v>
      </c>
      <c r="G25" s="9" t="str">
        <f>VLOOKUP(D25,'x Malzemeler ve Özellikleri'!$O$2:$P$136,2,0)</f>
        <v>DMH00105001</v>
      </c>
      <c r="H25" s="63">
        <f>VLOOKUP(D25,'x Malzemeler ve Özellikleri'!$O$2:$R$136,4,0)</f>
        <v>0.83</v>
      </c>
      <c r="I25" s="4" t="str">
        <f>IFERROR(HLOOKUP(D25,xHesaplama!$AH$74:$BZ$75,2,0),"")</f>
        <v/>
      </c>
      <c r="J25" s="4" t="str">
        <f>IFERROR(HLOOKUP(D25,xHesaplama!$AG$77:$BZ$79,3,0),"")</f>
        <v/>
      </c>
      <c r="K25" s="4" t="str">
        <f>IFERROR(HLOOKUP(D25,xHesaplama!$AG$81:$BZ$84,4,0),"")</f>
        <v/>
      </c>
      <c r="L25" s="4" t="str">
        <f>IFERROR(HLOOKUP(D25,xHesaplama!$AG$86:$BZ$90,5,0),"")</f>
        <v/>
      </c>
      <c r="M25" s="4" t="str">
        <f>IFERROR(HLOOKUP(D25,xHesaplama!$AG$92:$BZ$97,6,0),"")</f>
        <v/>
      </c>
      <c r="N25" s="4" t="str">
        <f>IFERROR(HLOOKUP(D25,xHesaplama!$AG$99:$BZ$105,7,0),"")</f>
        <v/>
      </c>
      <c r="O25" s="4" t="str">
        <f>IFERROR(HLOOKUP(D25,xHesaplama!$AG$107:$BZ$114,8,0),"")</f>
        <v/>
      </c>
      <c r="P25" s="4" t="str">
        <f>IFERROR(HLOOKUP(D25,xHesaplama!$AG$116:$BZ$124,9,0),"")</f>
        <v/>
      </c>
      <c r="Q25" s="4" t="str">
        <f>IFERROR(HLOOKUP(D25,xHesaplama!$AG$126:$BZ$135,10,0),"")</f>
        <v/>
      </c>
      <c r="R25" s="4" t="str">
        <f>IFERROR(HLOOKUP(D25,xHesaplama!$AG$137:$BZ$147,11,0),"")</f>
        <v/>
      </c>
      <c r="S25" s="4" t="str">
        <f>IFERROR(HLOOKUP(D25,xHesaplama!$AH$149:$BZ$160,12,0),"")</f>
        <v/>
      </c>
      <c r="T25" s="4" t="str">
        <f>IFERROR(HLOOKUP(D25,xHesaplama!$AH$162:$BZ$174,13,0),"")</f>
        <v/>
      </c>
      <c r="U25" s="4" t="str">
        <f>IFERROR(HLOOKUP(D25,xHesaplama!$AH$176:$BZ$189,14,0),"")</f>
        <v/>
      </c>
      <c r="V25" s="4" t="str">
        <f>IFERROR(HLOOKUP(D25,xHesaplama!$AH$191:$BZ$205,15,0),"")</f>
        <v/>
      </c>
      <c r="W25" s="4" t="str">
        <f>IFERROR(HLOOKUP(D25,xHesaplama!$AH$207:$BZ$222,16,0),"")</f>
        <v/>
      </c>
      <c r="X25" s="4" t="str">
        <f>IFERROR(HLOOKUP(D25,xHesaplama!$AH$224:$BZ$240,17,0),"")</f>
        <v/>
      </c>
      <c r="Y25" s="4" t="str">
        <f>IFERROR(HLOOKUP(D25,xHesaplama!$AH$242:$BZ$259,18,0),"")</f>
        <v/>
      </c>
      <c r="Z25" s="4" t="str">
        <f>IFERROR(HLOOKUP(D25,xHesaplama!$AH$261:$BZ$279,19,0),"")</f>
        <v/>
      </c>
      <c r="AA25" s="4" t="str">
        <f>IFERROR(HLOOKUP(D25,xHesaplama!$AH$281:$BZ$300,20,0),"")</f>
        <v/>
      </c>
      <c r="AB25" s="4" t="str">
        <f>IFERROR(HLOOKUP(D25,xHesaplama!$AH$302:$BZ$322,21,0),"")</f>
        <v/>
      </c>
    </row>
    <row r="26" spans="4:28" ht="52.5">
      <c r="D26" s="9" t="s">
        <v>788</v>
      </c>
      <c r="E26" s="3" t="str">
        <f>'x Malzemeler ve Özellikleri'!S16</f>
        <v>ADET</v>
      </c>
      <c r="F26" t="s">
        <v>38</v>
      </c>
      <c r="G26" s="9" t="str">
        <f>VLOOKUP(D26,'x Malzemeler ve Özellikleri'!$O$2:$P$136,2,0)</f>
        <v>DMH14006502</v>
      </c>
      <c r="H26" s="63">
        <f>VLOOKUP(D26,'x Malzemeler ve Özellikleri'!$O$2:$R$136,4,0)</f>
        <v>1.96</v>
      </c>
      <c r="I26" s="4" t="str">
        <f>IFERROR(HLOOKUP(D26,xHesaplama!$AH$74:$BZ$75,2,0),"")</f>
        <v/>
      </c>
      <c r="J26" s="4" t="str">
        <f>IFERROR(HLOOKUP(D26,xHesaplama!$AG$77:$BZ$79,3,0),"")</f>
        <v/>
      </c>
      <c r="K26" s="4" t="str">
        <f>IFERROR(HLOOKUP(D26,xHesaplama!$AG$81:$BZ$84,4,0),"")</f>
        <v/>
      </c>
      <c r="L26" s="4" t="str">
        <f>IFERROR(HLOOKUP(D26,xHesaplama!$AG$86:$BZ$90,5,0),"")</f>
        <v/>
      </c>
      <c r="M26" s="4" t="str">
        <f>IFERROR(HLOOKUP(D26,xHesaplama!$AG$92:$BZ$97,6,0),"")</f>
        <v/>
      </c>
      <c r="N26" s="4" t="str">
        <f>IFERROR(HLOOKUP(D26,xHesaplama!$AG$99:$BZ$105,7,0),"")</f>
        <v/>
      </c>
      <c r="O26" s="4" t="str">
        <f>IFERROR(HLOOKUP(D26,xHesaplama!$AG$107:$BZ$114,8,0),"")</f>
        <v/>
      </c>
      <c r="P26" s="4" t="str">
        <f>IFERROR(HLOOKUP(D26,xHesaplama!$AG$116:$BZ$124,9,0),"")</f>
        <v/>
      </c>
      <c r="Q26" s="4" t="str">
        <f>IFERROR(HLOOKUP(D26,xHesaplama!$AG$126:$BZ$135,10,0),"")</f>
        <v/>
      </c>
      <c r="R26" s="4" t="str">
        <f>IFERROR(HLOOKUP(D26,xHesaplama!$AG$137:$BZ$147,11,0),"")</f>
        <v/>
      </c>
      <c r="S26" s="4" t="str">
        <f>IFERROR(HLOOKUP(D26,xHesaplama!$AH$149:$BZ$160,12,0),"")</f>
        <v/>
      </c>
      <c r="T26" s="4" t="str">
        <f>IFERROR(HLOOKUP(D26,xHesaplama!$AH$162:$BZ$174,13,0),"")</f>
        <v/>
      </c>
      <c r="U26" s="4" t="str">
        <f>IFERROR(HLOOKUP(D26,xHesaplama!$AH$176:$BZ$189,14,0),"")</f>
        <v/>
      </c>
      <c r="V26" s="4" t="str">
        <f>IFERROR(HLOOKUP(D26,xHesaplama!$AH$191:$BZ$205,15,0),"")</f>
        <v/>
      </c>
      <c r="W26" s="4" t="str">
        <f>IFERROR(HLOOKUP(D26,xHesaplama!$AH$207:$BZ$222,16,0),"")</f>
        <v/>
      </c>
      <c r="X26" s="4" t="str">
        <f>IFERROR(HLOOKUP(D26,xHesaplama!$AH$224:$BZ$240,17,0),"")</f>
        <v/>
      </c>
      <c r="Y26" s="4" t="str">
        <f>IFERROR(HLOOKUP(D26,xHesaplama!$AH$242:$BZ$259,18,0),"")</f>
        <v/>
      </c>
      <c r="Z26" s="4" t="str">
        <f>IFERROR(HLOOKUP(D26,xHesaplama!$AH$261:$BZ$279,19,0),"")</f>
        <v/>
      </c>
      <c r="AA26" s="4" t="str">
        <f>IFERROR(HLOOKUP(D26,xHesaplama!$AH$281:$BZ$300,20,0),"")</f>
        <v/>
      </c>
      <c r="AB26" s="4" t="str">
        <f>IFERROR(HLOOKUP(D26,xHesaplama!$AH$302:$BZ$322,21,0),"")</f>
        <v/>
      </c>
    </row>
    <row r="27" spans="4:28" ht="52.5">
      <c r="D27" s="9" t="s">
        <v>424</v>
      </c>
      <c r="E27" s="3" t="str">
        <f>'x Malzemeler ve Özellikleri'!S17</f>
        <v>MT</v>
      </c>
      <c r="F27" t="s">
        <v>9</v>
      </c>
      <c r="G27" s="9" t="str">
        <f>VLOOKUP(D27,'x Malzemeler ve Özellikleri'!$O$2:$P$136,2,0)</f>
        <v>DPH00106501</v>
      </c>
      <c r="H27" s="63">
        <f>VLOOKUP(D27,'x Malzemeler ve Özellikleri'!$O$2:$R$136,4,0)</f>
        <v>2</v>
      </c>
      <c r="I27" s="4" t="str">
        <f>IFERROR(HLOOKUP(D27,xHesaplama!$AH$74:$BZ$75,2,0),"")</f>
        <v/>
      </c>
      <c r="J27" s="4" t="str">
        <f>IFERROR(HLOOKUP(D27,xHesaplama!$AG$77:$BZ$79,3,0),"")</f>
        <v/>
      </c>
      <c r="K27" s="4" t="str">
        <f>IFERROR(HLOOKUP(D27,xHesaplama!$AG$81:$BZ$84,4,0),"")</f>
        <v/>
      </c>
      <c r="L27" s="4" t="str">
        <f>IFERROR(HLOOKUP(D27,xHesaplama!$AG$86:$BZ$90,5,0),"")</f>
        <v/>
      </c>
      <c r="M27" s="4" t="str">
        <f>IFERROR(HLOOKUP(D27,xHesaplama!$AG$92:$BZ$97,6,0),"")</f>
        <v/>
      </c>
      <c r="N27" s="4" t="str">
        <f>IFERROR(HLOOKUP(D27,xHesaplama!$AG$99:$BZ$105,7,0),"")</f>
        <v/>
      </c>
      <c r="O27" s="4" t="str">
        <f>IFERROR(HLOOKUP(D27,xHesaplama!$AG$107:$BZ$114,8,0),"")</f>
        <v/>
      </c>
      <c r="P27" s="4" t="str">
        <f>IFERROR(HLOOKUP(D27,xHesaplama!$AG$116:$BZ$124,9,0),"")</f>
        <v/>
      </c>
      <c r="Q27" s="4" t="str">
        <f>IFERROR(HLOOKUP(D27,xHesaplama!$AG$126:$BZ$135,10,0),"")</f>
        <v/>
      </c>
      <c r="R27" s="4" t="str">
        <f>IFERROR(HLOOKUP(D27,xHesaplama!$AG$137:$BZ$147,11,0),"")</f>
        <v/>
      </c>
      <c r="S27" s="4" t="str">
        <f>IFERROR(HLOOKUP(D27,xHesaplama!$AH$149:$BZ$160,12,0),"")</f>
        <v/>
      </c>
      <c r="T27" s="4" t="str">
        <f>IFERROR(HLOOKUP(D27,xHesaplama!$AH$162:$BZ$174,13,0),"")</f>
        <v/>
      </c>
      <c r="U27" s="4" t="str">
        <f>IFERROR(HLOOKUP(D27,xHesaplama!$AH$176:$BZ$189,14,0),"")</f>
        <v/>
      </c>
      <c r="V27" s="4" t="str">
        <f>IFERROR(HLOOKUP(D27,xHesaplama!$AH$191:$BZ$205,15,0),"")</f>
        <v/>
      </c>
      <c r="W27" s="4" t="str">
        <f>IFERROR(HLOOKUP(D27,xHesaplama!$AH$207:$BZ$222,16,0),"")</f>
        <v/>
      </c>
      <c r="X27" s="4" t="str">
        <f>IFERROR(HLOOKUP(D27,xHesaplama!$AH$224:$BZ$240,17,0),"")</f>
        <v/>
      </c>
      <c r="Y27" s="4" t="str">
        <f>IFERROR(HLOOKUP(D27,xHesaplama!$AH$242:$BZ$259,18,0),"")</f>
        <v/>
      </c>
      <c r="Z27" s="4" t="str">
        <f>IFERROR(HLOOKUP(D27,xHesaplama!$AH$261:$BZ$279,19,0),"")</f>
        <v/>
      </c>
      <c r="AA27" s="4" t="str">
        <f>IFERROR(HLOOKUP(D27,xHesaplama!$AH$281:$BZ$300,20,0),"")</f>
        <v/>
      </c>
      <c r="AB27" s="4" t="str">
        <f>IFERROR(HLOOKUP(D27,xHesaplama!$AH$302:$BZ$322,21,0),"")</f>
        <v/>
      </c>
    </row>
    <row r="28" spans="4:28" ht="52.5">
      <c r="D28" s="9" t="s">
        <v>425</v>
      </c>
      <c r="E28" s="3" t="str">
        <f>'x Malzemeler ve Özellikleri'!S18</f>
        <v>ADET</v>
      </c>
      <c r="F28" t="s">
        <v>39</v>
      </c>
      <c r="G28" s="9" t="str">
        <f>VLOOKUP(D28,'x Malzemeler ve Özellikleri'!$O$2:$P$136,2,0)</f>
        <v>EPH00105301</v>
      </c>
      <c r="H28" s="63">
        <f>VLOOKUP(D28,'x Malzemeler ve Özellikleri'!$O$2:$R$136,4,0)</f>
        <v>0.57999999999999996</v>
      </c>
      <c r="I28" s="4" t="str">
        <f>IFERROR(HLOOKUP(D28,xHesaplama!$AH$74:$BZ$75,2,0),"")</f>
        <v/>
      </c>
      <c r="J28" s="4" t="str">
        <f>IFERROR(HLOOKUP(D28,xHesaplama!$AG$77:$BZ$79,3,0),"")</f>
        <v/>
      </c>
      <c r="K28" s="4" t="str">
        <f>IFERROR(HLOOKUP(D28,xHesaplama!$AG$81:$BZ$84,4,0),"")</f>
        <v/>
      </c>
      <c r="L28" s="4" t="str">
        <f>IFERROR(HLOOKUP(D28,xHesaplama!$AG$86:$BZ$90,5,0),"")</f>
        <v/>
      </c>
      <c r="M28" s="4" t="str">
        <f>IFERROR(HLOOKUP(D28,xHesaplama!$AG$92:$BZ$97,6,0),"")</f>
        <v/>
      </c>
      <c r="N28" s="4" t="str">
        <f>IFERROR(HLOOKUP(D28,xHesaplama!$AG$99:$BZ$105,7,0),"")</f>
        <v/>
      </c>
      <c r="O28" s="4" t="str">
        <f>IFERROR(HLOOKUP(D28,xHesaplama!$AG$107:$BZ$114,8,0),"")</f>
        <v/>
      </c>
      <c r="P28" s="4" t="str">
        <f>IFERROR(HLOOKUP(D28,xHesaplama!$AG$116:$BZ$124,9,0),"")</f>
        <v/>
      </c>
      <c r="Q28" s="4" t="str">
        <f>IFERROR(HLOOKUP(D28,xHesaplama!$AG$126:$BZ$135,10,0),"")</f>
        <v/>
      </c>
      <c r="R28" s="4" t="str">
        <f>IFERROR(HLOOKUP(D28,xHesaplama!$AG$137:$BZ$147,11,0),"")</f>
        <v/>
      </c>
      <c r="S28" s="4" t="str">
        <f>IFERROR(HLOOKUP(D28,xHesaplama!$AH$149:$BZ$160,12,0),"")</f>
        <v/>
      </c>
      <c r="T28" s="4" t="str">
        <f>IFERROR(HLOOKUP(D28,xHesaplama!$AH$162:$BZ$174,13,0),"")</f>
        <v/>
      </c>
      <c r="U28" s="4" t="str">
        <f>IFERROR(HLOOKUP(D28,xHesaplama!$AH$176:$BZ$189,14,0),"")</f>
        <v/>
      </c>
      <c r="V28" s="4" t="str">
        <f>IFERROR(HLOOKUP(D28,xHesaplama!$AH$191:$BZ$205,15,0),"")</f>
        <v/>
      </c>
      <c r="W28" s="4" t="str">
        <f>IFERROR(HLOOKUP(D28,xHesaplama!$AH$207:$BZ$222,16,0),"")</f>
        <v/>
      </c>
      <c r="X28" s="4" t="str">
        <f>IFERROR(HLOOKUP(D28,xHesaplama!$AH$224:$BZ$240,17,0),"")</f>
        <v/>
      </c>
      <c r="Y28" s="4" t="str">
        <f>IFERROR(HLOOKUP(D28,xHesaplama!$AH$242:$BZ$259,18,0),"")</f>
        <v/>
      </c>
      <c r="Z28" s="4" t="str">
        <f>IFERROR(HLOOKUP(D28,xHesaplama!$AH$261:$BZ$279,19,0),"")</f>
        <v/>
      </c>
      <c r="AA28" s="4" t="str">
        <f>IFERROR(HLOOKUP(D28,xHesaplama!$AH$281:$BZ$300,20,0),"")</f>
        <v/>
      </c>
      <c r="AB28" s="4" t="str">
        <f>IFERROR(HLOOKUP(D28,xHesaplama!$AH$302:$BZ$322,21,0),"")</f>
        <v/>
      </c>
    </row>
    <row r="29" spans="4:28" ht="52.5">
      <c r="D29" s="9" t="s">
        <v>426</v>
      </c>
      <c r="E29" s="3" t="str">
        <f>'x Malzemeler ve Özellikleri'!S19</f>
        <v>ADET</v>
      </c>
      <c r="F29" t="s">
        <v>40</v>
      </c>
      <c r="G29" s="9" t="str">
        <f>VLOOKUP(D29,'x Malzemeler ve Özellikleri'!$O$2:$P$136,2,0)</f>
        <v>EPH07802301</v>
      </c>
      <c r="H29" s="63">
        <f>VLOOKUP(D29,'x Malzemeler ve Özellikleri'!$O$2:$R$136,4,0)</f>
        <v>1.61</v>
      </c>
      <c r="I29" s="4" t="str">
        <f>IFERROR(HLOOKUP(D29,xHesaplama!$AH$74:$BZ$75,2,0),"")</f>
        <v/>
      </c>
      <c r="J29" s="4" t="str">
        <f>IFERROR(HLOOKUP(D29,xHesaplama!$AG$77:$BZ$79,3,0),"")</f>
        <v/>
      </c>
      <c r="K29" s="4" t="str">
        <f>IFERROR(HLOOKUP(D29,xHesaplama!$AG$81:$BZ$84,4,0),"")</f>
        <v/>
      </c>
      <c r="L29" s="4" t="str">
        <f>IFERROR(HLOOKUP(D29,xHesaplama!$AG$86:$BZ$90,5,0),"")</f>
        <v/>
      </c>
      <c r="M29" s="4" t="str">
        <f>IFERROR(HLOOKUP(D29,xHesaplama!$AG$92:$BZ$97,6,0),"")</f>
        <v/>
      </c>
      <c r="N29" s="4" t="str">
        <f>IFERROR(HLOOKUP(D29,xHesaplama!$AG$99:$BZ$105,7,0),"")</f>
        <v/>
      </c>
      <c r="O29" s="4" t="str">
        <f>IFERROR(HLOOKUP(D29,xHesaplama!$AG$107:$BZ$114,8,0),"")</f>
        <v/>
      </c>
      <c r="P29" s="4" t="str">
        <f>IFERROR(HLOOKUP(D29,xHesaplama!$AG$116:$BZ$124,9,0),"")</f>
        <v/>
      </c>
      <c r="Q29" s="4" t="str">
        <f>IFERROR(HLOOKUP(D29,xHesaplama!$AG$126:$BZ$135,10,0),"")</f>
        <v/>
      </c>
      <c r="R29" s="4" t="str">
        <f>IFERROR(HLOOKUP(D29,xHesaplama!$AG$137:$BZ$147,11,0),"")</f>
        <v/>
      </c>
      <c r="S29" s="4" t="str">
        <f>IFERROR(HLOOKUP(D29,xHesaplama!$AH$149:$BZ$160,12,0),"")</f>
        <v/>
      </c>
      <c r="T29" s="4" t="str">
        <f>IFERROR(HLOOKUP(D29,xHesaplama!$AH$162:$BZ$174,13,0),"")</f>
        <v/>
      </c>
      <c r="U29" s="4" t="str">
        <f>IFERROR(HLOOKUP(D29,xHesaplama!$AH$176:$BZ$189,14,0),"")</f>
        <v/>
      </c>
      <c r="V29" s="4" t="str">
        <f>IFERROR(HLOOKUP(D29,xHesaplama!$AH$191:$BZ$205,15,0),"")</f>
        <v/>
      </c>
      <c r="W29" s="4" t="str">
        <f>IFERROR(HLOOKUP(D29,xHesaplama!$AH$207:$BZ$222,16,0),"")</f>
        <v/>
      </c>
      <c r="X29" s="4" t="str">
        <f>IFERROR(HLOOKUP(D29,xHesaplama!$AH$224:$BZ$240,17,0),"")</f>
        <v/>
      </c>
      <c r="Y29" s="4" t="str">
        <f>IFERROR(HLOOKUP(D29,xHesaplama!$AH$242:$BZ$259,18,0),"")</f>
        <v/>
      </c>
      <c r="Z29" s="4" t="str">
        <f>IFERROR(HLOOKUP(D29,xHesaplama!$AH$261:$BZ$279,19,0),"")</f>
        <v/>
      </c>
      <c r="AA29" s="4" t="str">
        <f>IFERROR(HLOOKUP(D29,xHesaplama!$AH$281:$BZ$300,20,0),"")</f>
        <v/>
      </c>
      <c r="AB29" s="4" t="str">
        <f>IFERROR(HLOOKUP(D29,xHesaplama!$AH$302:$BZ$322,21,0),"")</f>
        <v/>
      </c>
    </row>
    <row r="30" spans="4:28" ht="52.5">
      <c r="D30" s="9" t="s">
        <v>427</v>
      </c>
      <c r="E30" s="3" t="str">
        <f>'x Malzemeler ve Özellikleri'!S20</f>
        <v>ADET</v>
      </c>
      <c r="F30" t="s">
        <v>41</v>
      </c>
      <c r="G30" s="9" t="str">
        <f>VLOOKUP(D30,'x Malzemeler ve Özellikleri'!$O$2:$P$136,2,0)</f>
        <v>EPH00107101</v>
      </c>
      <c r="H30" s="63">
        <f>VLOOKUP(D30,'x Malzemeler ve Özellikleri'!$O$2:$R$136,4,0)</f>
        <v>0.2</v>
      </c>
      <c r="I30" s="4" t="str">
        <f>IFERROR(HLOOKUP(D30,xHesaplama!$AH$74:$BZ$75,2,0),"")</f>
        <v/>
      </c>
      <c r="J30" s="4" t="str">
        <f>IFERROR(HLOOKUP(D30,xHesaplama!$AG$77:$BZ$79,3,0),"")</f>
        <v/>
      </c>
      <c r="K30" s="4" t="str">
        <f>IFERROR(HLOOKUP(D30,xHesaplama!$AG$81:$BZ$84,4,0),"")</f>
        <v/>
      </c>
      <c r="L30" s="4" t="str">
        <f>IFERROR(HLOOKUP(D30,xHesaplama!$AG$86:$BZ$90,5,0),"")</f>
        <v/>
      </c>
      <c r="M30" s="4" t="str">
        <f>IFERROR(HLOOKUP(D30,xHesaplama!$AG$92:$BZ$97,6,0),"")</f>
        <v/>
      </c>
      <c r="N30" s="4" t="str">
        <f>IFERROR(HLOOKUP(D30,xHesaplama!$AG$99:$BZ$105,7,0),"")</f>
        <v/>
      </c>
      <c r="O30" s="4" t="str">
        <f>IFERROR(HLOOKUP(D30,xHesaplama!$AG$107:$BZ$114,8,0),"")</f>
        <v/>
      </c>
      <c r="P30" s="4" t="str">
        <f>IFERROR(HLOOKUP(D30,xHesaplama!$AG$116:$BZ$124,9,0),"")</f>
        <v/>
      </c>
      <c r="Q30" s="4" t="str">
        <f>IFERROR(HLOOKUP(D30,xHesaplama!$AG$126:$BZ$135,10,0),"")</f>
        <v/>
      </c>
      <c r="R30" s="4" t="str">
        <f>IFERROR(HLOOKUP(D30,xHesaplama!$AG$137:$BZ$147,11,0),"")</f>
        <v/>
      </c>
      <c r="S30" s="4" t="str">
        <f>IFERROR(HLOOKUP(D30,xHesaplama!$AH$149:$BZ$160,12,0),"")</f>
        <v/>
      </c>
      <c r="T30" s="4" t="str">
        <f>IFERROR(HLOOKUP(D30,xHesaplama!$AH$162:$BZ$174,13,0),"")</f>
        <v/>
      </c>
      <c r="U30" s="4" t="str">
        <f>IFERROR(HLOOKUP(D30,xHesaplama!$AH$176:$BZ$189,14,0),"")</f>
        <v/>
      </c>
      <c r="V30" s="4" t="str">
        <f>IFERROR(HLOOKUP(D30,xHesaplama!$AH$191:$BZ$205,15,0),"")</f>
        <v/>
      </c>
      <c r="W30" s="4" t="str">
        <f>IFERROR(HLOOKUP(D30,xHesaplama!$AH$207:$BZ$222,16,0),"")</f>
        <v/>
      </c>
      <c r="X30" s="4" t="str">
        <f>IFERROR(HLOOKUP(D30,xHesaplama!$AH$224:$BZ$240,17,0),"")</f>
        <v/>
      </c>
      <c r="Y30" s="4" t="str">
        <f>IFERROR(HLOOKUP(D30,xHesaplama!$AH$242:$BZ$259,18,0),"")</f>
        <v/>
      </c>
      <c r="Z30" s="4" t="str">
        <f>IFERROR(HLOOKUP(D30,xHesaplama!$AH$261:$BZ$279,19,0),"")</f>
        <v/>
      </c>
      <c r="AA30" s="4" t="str">
        <f>IFERROR(HLOOKUP(D30,xHesaplama!$AH$281:$BZ$300,20,0),"")</f>
        <v/>
      </c>
      <c r="AB30" s="4" t="str">
        <f>IFERROR(HLOOKUP(D30,xHesaplama!$AH$302:$BZ$322,21,0),"")</f>
        <v/>
      </c>
    </row>
    <row r="31" spans="4:28" ht="52.5">
      <c r="D31" s="9" t="s">
        <v>428</v>
      </c>
      <c r="E31" s="3" t="str">
        <f>'x Malzemeler ve Özellikleri'!S21</f>
        <v>MT</v>
      </c>
      <c r="F31" t="s">
        <v>42</v>
      </c>
      <c r="G31" s="9" t="str">
        <f>VLOOKUP(D31,'x Malzemeler ve Özellikleri'!$O$2:$P$136,2,0)</f>
        <v>PP00106001</v>
      </c>
      <c r="H31" s="63">
        <f>VLOOKUP(D31,'x Malzemeler ve Özellikleri'!$O$2:$R$136,4,0)</f>
        <v>0.11</v>
      </c>
      <c r="I31" s="4" t="str">
        <f>IFERROR(HLOOKUP(D31,xHesaplama!$AH$74:$BZ$75,2,0),"")</f>
        <v/>
      </c>
      <c r="J31" s="4" t="str">
        <f>IFERROR(HLOOKUP(D31,xHesaplama!$AG$77:$BZ$79,3,0),"")</f>
        <v/>
      </c>
      <c r="K31" s="4" t="str">
        <f>IFERROR(HLOOKUP(D31,xHesaplama!$AG$81:$BZ$84,4,0),"")</f>
        <v/>
      </c>
      <c r="L31" s="4" t="str">
        <f>IFERROR(HLOOKUP(D31,xHesaplama!$AG$86:$BZ$90,5,0),"")</f>
        <v/>
      </c>
      <c r="M31" s="4" t="str">
        <f>IFERROR(HLOOKUP(D31,xHesaplama!$AG$92:$BZ$97,6,0),"")</f>
        <v/>
      </c>
      <c r="N31" s="4" t="str">
        <f>IFERROR(HLOOKUP(D31,xHesaplama!$AG$99:$BZ$105,7,0),"")</f>
        <v/>
      </c>
      <c r="O31" s="4" t="str">
        <f>IFERROR(HLOOKUP(D31,xHesaplama!$AG$107:$BZ$114,8,0),"")</f>
        <v/>
      </c>
      <c r="P31" s="4" t="str">
        <f>IFERROR(HLOOKUP(D31,xHesaplama!$AG$116:$BZ$124,9,0),"")</f>
        <v/>
      </c>
      <c r="Q31" s="4" t="str">
        <f>IFERROR(HLOOKUP(D31,xHesaplama!$AG$126:$BZ$135,10,0),"")</f>
        <v/>
      </c>
      <c r="R31" s="4" t="str">
        <f>IFERROR(HLOOKUP(D31,xHesaplama!$AG$137:$BZ$147,11,0),"")</f>
        <v/>
      </c>
      <c r="S31" s="4" t="str">
        <f>IFERROR(HLOOKUP(D31,xHesaplama!$AH$149:$BZ$160,12,0),"")</f>
        <v/>
      </c>
      <c r="T31" s="4" t="str">
        <f>IFERROR(HLOOKUP(D31,xHesaplama!$AH$162:$BZ$174,13,0),"")</f>
        <v/>
      </c>
      <c r="U31" s="4" t="str">
        <f>IFERROR(HLOOKUP(D31,xHesaplama!$AH$176:$BZ$189,14,0),"")</f>
        <v/>
      </c>
      <c r="V31" s="4" t="str">
        <f>IFERROR(HLOOKUP(D31,xHesaplama!$AH$191:$BZ$205,15,0),"")</f>
        <v/>
      </c>
      <c r="W31" s="4" t="str">
        <f>IFERROR(HLOOKUP(D31,xHesaplama!$AH$207:$BZ$222,16,0),"")</f>
        <v/>
      </c>
      <c r="X31" s="4" t="str">
        <f>IFERROR(HLOOKUP(D31,xHesaplama!$AH$224:$BZ$240,17,0),"")</f>
        <v/>
      </c>
      <c r="Y31" s="4" t="str">
        <f>IFERROR(HLOOKUP(D31,xHesaplama!$AH$242:$BZ$259,18,0),"")</f>
        <v/>
      </c>
      <c r="Z31" s="4" t="str">
        <f>IFERROR(HLOOKUP(D31,xHesaplama!$AH$261:$BZ$279,19,0),"")</f>
        <v/>
      </c>
      <c r="AA31" s="4" t="str">
        <f>IFERROR(HLOOKUP(D31,xHesaplama!$AH$281:$BZ$300,20,0),"")</f>
        <v/>
      </c>
      <c r="AB31" s="4" t="str">
        <f>IFERROR(HLOOKUP(D31,xHesaplama!$AH$302:$BZ$322,21,0),"")</f>
        <v/>
      </c>
    </row>
    <row r="32" spans="4:28" ht="52.5">
      <c r="D32" s="9" t="s">
        <v>429</v>
      </c>
      <c r="E32" s="3" t="str">
        <f>'x Malzemeler ve Özellikleri'!S22</f>
        <v>ADET</v>
      </c>
      <c r="F32" t="s">
        <v>12</v>
      </c>
      <c r="G32" s="9" t="str">
        <f>VLOOKUP(D32,'x Malzemeler ve Özellikleri'!$O$2:$P$136,2,0)</f>
        <v>DMH14005001</v>
      </c>
      <c r="H32" s="63">
        <f>VLOOKUP(D32,'x Malzemeler ve Özellikleri'!$O$2:$R$136,4,0)</f>
        <v>9.5</v>
      </c>
      <c r="I32" s="4" t="str">
        <f>IFERROR(HLOOKUP(D32,xHesaplama!$AH$74:$BZ$75,2,0),"")</f>
        <v/>
      </c>
      <c r="J32" s="4" t="str">
        <f>IFERROR(HLOOKUP(D32,xHesaplama!$AG$77:$BZ$79,3,0),"")</f>
        <v/>
      </c>
      <c r="K32" s="4" t="str">
        <f>IFERROR(HLOOKUP(D32,xHesaplama!$AG$81:$BZ$84,4,0),"")</f>
        <v/>
      </c>
      <c r="L32" s="4" t="str">
        <f>IFERROR(HLOOKUP(D32,xHesaplama!$AG$86:$BZ$90,5,0),"")</f>
        <v/>
      </c>
      <c r="M32" s="4" t="str">
        <f>IFERROR(HLOOKUP(D32,xHesaplama!$AG$92:$BZ$97,6,0),"")</f>
        <v/>
      </c>
      <c r="N32" s="4" t="str">
        <f>IFERROR(HLOOKUP(D32,xHesaplama!$AG$99:$BZ$105,7,0),"")</f>
        <v/>
      </c>
      <c r="O32" s="4" t="str">
        <f>IFERROR(HLOOKUP(D32,xHesaplama!$AG$107:$BZ$114,8,0),"")</f>
        <v/>
      </c>
      <c r="P32" s="4" t="str">
        <f>IFERROR(HLOOKUP(D32,xHesaplama!$AG$116:$BZ$124,9,0),"")</f>
        <v/>
      </c>
      <c r="Q32" s="4" t="str">
        <f>IFERROR(HLOOKUP(D32,xHesaplama!$AG$126:$BZ$135,10,0),"")</f>
        <v/>
      </c>
      <c r="R32" s="4" t="str">
        <f>IFERROR(HLOOKUP(D32,xHesaplama!$AG$137:$BZ$147,11,0),"")</f>
        <v/>
      </c>
      <c r="S32" s="4" t="str">
        <f>IFERROR(HLOOKUP(D32,xHesaplama!$AH$149:$BZ$160,12,0),"")</f>
        <v/>
      </c>
      <c r="T32" s="4" t="str">
        <f>IFERROR(HLOOKUP(D32,xHesaplama!$AH$162:$BZ$174,13,0),"")</f>
        <v/>
      </c>
      <c r="U32" s="4" t="str">
        <f>IFERROR(HLOOKUP(D32,xHesaplama!$AH$176:$BZ$189,14,0),"")</f>
        <v/>
      </c>
      <c r="V32" s="4" t="str">
        <f>IFERROR(HLOOKUP(D32,xHesaplama!$AH$191:$BZ$205,15,0),"")</f>
        <v/>
      </c>
      <c r="W32" s="4" t="str">
        <f>IFERROR(HLOOKUP(D32,xHesaplama!$AH$207:$BZ$222,16,0),"")</f>
        <v/>
      </c>
      <c r="X32" s="4" t="str">
        <f>IFERROR(HLOOKUP(D32,xHesaplama!$AH$224:$BZ$240,17,0),"")</f>
        <v/>
      </c>
      <c r="Y32" s="4" t="str">
        <f>IFERROR(HLOOKUP(D32,xHesaplama!$AH$242:$BZ$259,18,0),"")</f>
        <v/>
      </c>
      <c r="Z32" s="4" t="str">
        <f>IFERROR(HLOOKUP(D32,xHesaplama!$AH$261:$BZ$279,19,0),"")</f>
        <v/>
      </c>
      <c r="AA32" s="4" t="str">
        <f>IFERROR(HLOOKUP(D32,xHesaplama!$AH$281:$BZ$300,20,0),"")</f>
        <v/>
      </c>
      <c r="AB32" s="4" t="str">
        <f>IFERROR(HLOOKUP(D32,xHesaplama!$AH$302:$BZ$322,21,0),"")</f>
        <v/>
      </c>
    </row>
    <row r="33" spans="4:28" ht="26.25">
      <c r="D33" s="9" t="s">
        <v>430</v>
      </c>
      <c r="E33" s="3" t="str">
        <f>'x Malzemeler ve Özellikleri'!S23</f>
        <v>TAKIM</v>
      </c>
      <c r="F33" t="s">
        <v>11</v>
      </c>
      <c r="G33" s="9" t="str">
        <f>VLOOKUP(D33,'x Malzemeler ve Özellikleri'!$O$2:$P$136,2,0)</f>
        <v>VİDA1</v>
      </c>
      <c r="H33" s="63">
        <f>VLOOKUP(D33,'x Malzemeler ve Özellikleri'!$O$2:$R$136,4,0)</f>
        <v>1</v>
      </c>
      <c r="I33" s="4" t="str">
        <f>IFERROR(HLOOKUP(D33,xHesaplama!$AH$74:$BZ$75,2,0),"")</f>
        <v/>
      </c>
      <c r="J33" s="4" t="str">
        <f>IFERROR(HLOOKUP(D33,xHesaplama!$AG$77:$BZ$79,3,0),"")</f>
        <v/>
      </c>
      <c r="K33" s="4" t="str">
        <f>IFERROR(HLOOKUP(D33,xHesaplama!$AG$81:$BZ$84,4,0),"")</f>
        <v/>
      </c>
      <c r="L33" s="4" t="str">
        <f>IFERROR(HLOOKUP(D33,xHesaplama!$AG$86:$BZ$90,5,0),"")</f>
        <v/>
      </c>
      <c r="M33" s="4" t="str">
        <f>IFERROR(HLOOKUP(D33,xHesaplama!$AG$92:$BZ$97,6,0),"")</f>
        <v/>
      </c>
      <c r="N33" s="4" t="str">
        <f>IFERROR(HLOOKUP(D33,xHesaplama!$AG$99:$BZ$105,7,0),"")</f>
        <v/>
      </c>
      <c r="O33" s="4" t="str">
        <f>IFERROR(HLOOKUP(D33,xHesaplama!$AG$107:$BZ$114,8,0),"")</f>
        <v/>
      </c>
      <c r="P33" s="4" t="str">
        <f>IFERROR(HLOOKUP(D33,xHesaplama!$AG$116:$BZ$124,9,0),"")</f>
        <v/>
      </c>
      <c r="Q33" s="4" t="str">
        <f>IFERROR(HLOOKUP(D33,xHesaplama!$AG$126:$BZ$135,10,0),"")</f>
        <v/>
      </c>
      <c r="R33" s="4" t="str">
        <f>IFERROR(HLOOKUP(D33,xHesaplama!$AG$137:$BZ$147,11,0),"")</f>
        <v/>
      </c>
      <c r="S33" s="4" t="str">
        <f>IFERROR(HLOOKUP(D33,xHesaplama!$AH$149:$BZ$160,12,0),"")</f>
        <v/>
      </c>
      <c r="T33" s="4" t="str">
        <f>IFERROR(HLOOKUP(D33,xHesaplama!$AH$162:$BZ$174,13,0),"")</f>
        <v/>
      </c>
      <c r="U33" s="4" t="str">
        <f>IFERROR(HLOOKUP(D33,xHesaplama!$AH$176:$BZ$189,14,0),"")</f>
        <v/>
      </c>
      <c r="V33" s="4" t="str">
        <f>IFERROR(HLOOKUP(D33,xHesaplama!$AH$191:$BZ$205,15,0),"")</f>
        <v/>
      </c>
      <c r="W33" s="4" t="str">
        <f>IFERROR(HLOOKUP(D33,xHesaplama!$AH$207:$BZ$222,16,0),"")</f>
        <v/>
      </c>
      <c r="X33" s="4" t="str">
        <f>IFERROR(HLOOKUP(D33,xHesaplama!$AH$224:$BZ$240,17,0),"")</f>
        <v/>
      </c>
      <c r="Y33" s="4" t="str">
        <f>IFERROR(HLOOKUP(D33,xHesaplama!$AH$242:$BZ$259,18,0),"")</f>
        <v/>
      </c>
      <c r="Z33" s="4" t="str">
        <f>IFERROR(HLOOKUP(D33,xHesaplama!$AH$261:$BZ$279,19,0),"")</f>
        <v/>
      </c>
      <c r="AA33" s="4" t="str">
        <f>IFERROR(HLOOKUP(D33,xHesaplama!$AH$281:$BZ$300,20,0),"")</f>
        <v/>
      </c>
      <c r="AB33" s="4" t="str">
        <f>IFERROR(HLOOKUP(D33,xHesaplama!$AH$302:$BZ$322,21,0),"")</f>
        <v/>
      </c>
    </row>
    <row r="34" spans="4:28" ht="52.5">
      <c r="D34" s="9" t="s">
        <v>431</v>
      </c>
      <c r="E34" s="3" t="str">
        <f>'x Malzemeler ve Özellikleri'!S24</f>
        <v>ADET</v>
      </c>
      <c r="F34" t="s">
        <v>899</v>
      </c>
      <c r="G34" s="9" t="str">
        <f>VLOOKUP(D34,'x Malzemeler ve Özellikleri'!$O$2:$P$136,2,0)</f>
        <v>EPH14006701</v>
      </c>
      <c r="H34" s="63">
        <f>VLOOKUP(D34,'x Malzemeler ve Özellikleri'!$O$2:$R$136,4,0)</f>
        <v>2.0499999999999998</v>
      </c>
      <c r="I34" s="4" t="str">
        <f>IFERROR(HLOOKUP(D34,xHesaplama!$AH$74:$BZ$75,2,0),"")</f>
        <v/>
      </c>
      <c r="J34" s="4" t="str">
        <f>IFERROR(HLOOKUP(D34,xHesaplama!$AG$77:$BZ$79,3,0),"")</f>
        <v/>
      </c>
      <c r="K34" s="4" t="str">
        <f>IFERROR(HLOOKUP(D34,xHesaplama!$AG$81:$BZ$84,4,0),"")</f>
        <v/>
      </c>
      <c r="L34" s="4" t="str">
        <f>IFERROR(HLOOKUP(D34,xHesaplama!$AG$86:$BZ$90,5,0),"")</f>
        <v/>
      </c>
      <c r="M34" s="4" t="str">
        <f>IFERROR(HLOOKUP(D34,xHesaplama!$AG$92:$BZ$97,6,0),"")</f>
        <v/>
      </c>
      <c r="N34" s="4" t="str">
        <f>IFERROR(HLOOKUP(D34,xHesaplama!$AG$99:$BZ$105,7,0),"")</f>
        <v/>
      </c>
      <c r="O34" s="4" t="str">
        <f>IFERROR(HLOOKUP(D34,xHesaplama!$AG$107:$BZ$114,8,0),"")</f>
        <v/>
      </c>
      <c r="P34" s="4" t="str">
        <f>IFERROR(HLOOKUP(D34,xHesaplama!$AG$116:$BZ$124,9,0),"")</f>
        <v/>
      </c>
      <c r="Q34" s="4" t="str">
        <f>IFERROR(HLOOKUP(D34,xHesaplama!$AG$126:$BZ$135,10,0),"")</f>
        <v/>
      </c>
      <c r="R34" s="4" t="str">
        <f>IFERROR(HLOOKUP(D34,xHesaplama!$AG$137:$BZ$147,11,0),"")</f>
        <v/>
      </c>
      <c r="S34" s="4" t="str">
        <f>IFERROR(HLOOKUP(D34,xHesaplama!$AH$149:$BZ$160,12,0),"")</f>
        <v/>
      </c>
      <c r="T34" s="4" t="str">
        <f>IFERROR(HLOOKUP(D34,xHesaplama!$AH$162:$BZ$174,13,0),"")</f>
        <v/>
      </c>
      <c r="U34" s="4" t="str">
        <f>IFERROR(HLOOKUP(D34,xHesaplama!$AH$176:$BZ$189,14,0),"")</f>
        <v/>
      </c>
      <c r="V34" s="4" t="str">
        <f>IFERROR(HLOOKUP(D34,xHesaplama!$AH$191:$BZ$205,15,0),"")</f>
        <v/>
      </c>
      <c r="W34" s="4" t="str">
        <f>IFERROR(HLOOKUP(D34,xHesaplama!$AH$207:$BZ$222,16,0),"")</f>
        <v/>
      </c>
      <c r="X34" s="4" t="str">
        <f>IFERROR(HLOOKUP(D34,xHesaplama!$AH$224:$BZ$240,17,0),"")</f>
        <v/>
      </c>
      <c r="Y34" s="4" t="str">
        <f>IFERROR(HLOOKUP(D34,xHesaplama!$AH$242:$BZ$259,18,0),"")</f>
        <v/>
      </c>
      <c r="Z34" s="4" t="str">
        <f>IFERROR(HLOOKUP(D34,xHesaplama!$AH$261:$BZ$279,19,0),"")</f>
        <v/>
      </c>
      <c r="AA34" s="4" t="str">
        <f>IFERROR(HLOOKUP(D34,xHesaplama!$AH$281:$BZ$300,20,0),"")</f>
        <v/>
      </c>
      <c r="AB34" s="4" t="str">
        <f>IFERROR(HLOOKUP(D34,xHesaplama!$AH$302:$BZ$322,21,0),"")</f>
        <v/>
      </c>
    </row>
    <row r="35" spans="4:28" ht="26.25">
      <c r="D35" s="9" t="s">
        <v>432</v>
      </c>
      <c r="E35" s="3" t="str">
        <f>'x Malzemeler ve Özellikleri'!S25</f>
        <v>ADET</v>
      </c>
      <c r="F35" t="s">
        <v>44</v>
      </c>
      <c r="G35" s="9">
        <f>VLOOKUP(D35,'x Malzemeler ve Özellikleri'!$O$2:$P$136,2,0)</f>
        <v>0</v>
      </c>
      <c r="H35" s="63">
        <f>VLOOKUP(D35,'x Malzemeler ve Özellikleri'!$O$2:$R$136,4,0)</f>
        <v>0</v>
      </c>
      <c r="I35" s="4" t="str">
        <f>IFERROR(HLOOKUP(D35,xHesaplama!$AH$74:$BZ$75,2,0),"")</f>
        <v/>
      </c>
      <c r="J35" s="4" t="str">
        <f>IFERROR(HLOOKUP(D35,xHesaplama!$AG$77:$BZ$79,3,0),"")</f>
        <v/>
      </c>
      <c r="K35" s="4" t="str">
        <f>IFERROR(HLOOKUP(D35,xHesaplama!$AG$81:$BZ$84,4,0),"")</f>
        <v/>
      </c>
      <c r="L35" s="4" t="str">
        <f>IFERROR(HLOOKUP(D35,xHesaplama!$AG$86:$BZ$90,5,0),"")</f>
        <v/>
      </c>
      <c r="M35" s="4" t="str">
        <f>IFERROR(HLOOKUP(D35,xHesaplama!$AG$92:$BZ$97,6,0),"")</f>
        <v/>
      </c>
      <c r="N35" s="4" t="str">
        <f>IFERROR(HLOOKUP(D35,xHesaplama!$AG$99:$BZ$105,7,0),"")</f>
        <v/>
      </c>
      <c r="O35" s="4" t="str">
        <f>IFERROR(HLOOKUP(D35,xHesaplama!$AG$107:$BZ$114,8,0),"")</f>
        <v/>
      </c>
      <c r="P35" s="4" t="str">
        <f>IFERROR(HLOOKUP(D35,xHesaplama!$AG$116:$BZ$124,9,0),"")</f>
        <v/>
      </c>
      <c r="Q35" s="4" t="str">
        <f>IFERROR(HLOOKUP(D35,xHesaplama!$AG$126:$BZ$135,10,0),"")</f>
        <v/>
      </c>
      <c r="R35" s="4" t="str">
        <f>IFERROR(HLOOKUP(D35,xHesaplama!$AG$137:$BZ$147,11,0),"")</f>
        <v/>
      </c>
      <c r="S35" s="4" t="str">
        <f>IFERROR(HLOOKUP(D35,xHesaplama!$AH$149:$BZ$160,12,0),"")</f>
        <v/>
      </c>
      <c r="T35" s="4" t="str">
        <f>IFERROR(HLOOKUP(D35,xHesaplama!$AH$162:$BZ$174,13,0),"")</f>
        <v/>
      </c>
      <c r="U35" s="4" t="str">
        <f>IFERROR(HLOOKUP(D35,xHesaplama!$AH$176:$BZ$189,14,0),"")</f>
        <v/>
      </c>
      <c r="V35" s="4" t="str">
        <f>IFERROR(HLOOKUP(D35,xHesaplama!$AH$191:$BZ$205,15,0),"")</f>
        <v/>
      </c>
      <c r="W35" s="4" t="str">
        <f>IFERROR(HLOOKUP(D35,xHesaplama!$AH$207:$BZ$222,16,0),"")</f>
        <v/>
      </c>
      <c r="X35" s="4" t="str">
        <f>IFERROR(HLOOKUP(D35,xHesaplama!$AH$224:$BZ$240,17,0),"")</f>
        <v/>
      </c>
      <c r="Y35" s="4" t="str">
        <f>IFERROR(HLOOKUP(D35,xHesaplama!$AH$242:$BZ$259,18,0),"")</f>
        <v/>
      </c>
      <c r="Z35" s="4" t="str">
        <f>IFERROR(HLOOKUP(D35,xHesaplama!$AH$261:$BZ$279,19,0),"")</f>
        <v/>
      </c>
      <c r="AA35" s="4" t="str">
        <f>IFERROR(HLOOKUP(D35,xHesaplama!$AH$281:$BZ$300,20,0),"")</f>
        <v/>
      </c>
      <c r="AB35" s="4" t="str">
        <f>IFERROR(HLOOKUP(D35,xHesaplama!$AH$302:$BZ$322,21,0),"")</f>
        <v/>
      </c>
    </row>
    <row r="36" spans="4:28" ht="26.25">
      <c r="D36" s="9" t="s">
        <v>433</v>
      </c>
      <c r="E36" s="3" t="str">
        <f>'x Malzemeler ve Özellikleri'!S26</f>
        <v>ADET</v>
      </c>
      <c r="F36" t="s">
        <v>45</v>
      </c>
      <c r="G36" s="9">
        <f>VLOOKUP(D36,'x Malzemeler ve Özellikleri'!$O$2:$P$136,2,0)</f>
        <v>0</v>
      </c>
      <c r="H36" s="63">
        <f>VLOOKUP(D36,'x Malzemeler ve Özellikleri'!$O$2:$R$136,4,0)</f>
        <v>0</v>
      </c>
      <c r="I36" s="4" t="str">
        <f>IFERROR(HLOOKUP(D36,xHesaplama!$AH$74:$BZ$75,2,0),"")</f>
        <v/>
      </c>
      <c r="J36" s="4" t="str">
        <f>IFERROR(HLOOKUP(D36,xHesaplama!$AG$77:$BZ$79,3,0),"")</f>
        <v/>
      </c>
      <c r="K36" s="4" t="str">
        <f>IFERROR(HLOOKUP(D36,xHesaplama!$AG$81:$BZ$84,4,0),"")</f>
        <v/>
      </c>
      <c r="L36" s="4" t="str">
        <f>IFERROR(HLOOKUP(D36,xHesaplama!$AG$86:$BZ$90,5,0),"")</f>
        <v/>
      </c>
      <c r="M36" s="4" t="str">
        <f>IFERROR(HLOOKUP(D36,xHesaplama!$AG$92:$BZ$97,6,0),"")</f>
        <v/>
      </c>
      <c r="N36" s="4" t="str">
        <f>IFERROR(HLOOKUP(D36,xHesaplama!$AG$99:$BZ$105,7,0),"")</f>
        <v/>
      </c>
      <c r="O36" s="4" t="str">
        <f>IFERROR(HLOOKUP(D36,xHesaplama!$AG$107:$BZ$114,8,0),"")</f>
        <v/>
      </c>
      <c r="P36" s="4" t="str">
        <f>IFERROR(HLOOKUP(D36,xHesaplama!$AG$116:$BZ$124,9,0),"")</f>
        <v/>
      </c>
      <c r="Q36" s="4" t="str">
        <f>IFERROR(HLOOKUP(D36,xHesaplama!$AG$126:$BZ$135,10,0),"")</f>
        <v/>
      </c>
      <c r="R36" s="4" t="str">
        <f>IFERROR(HLOOKUP(D36,xHesaplama!$AG$137:$BZ$147,11,0),"")</f>
        <v/>
      </c>
      <c r="S36" s="4" t="str">
        <f>IFERROR(HLOOKUP(D36,xHesaplama!$AH$149:$BZ$160,12,0),"")</f>
        <v/>
      </c>
      <c r="T36" s="4" t="str">
        <f>IFERROR(HLOOKUP(D36,xHesaplama!$AH$162:$BZ$174,13,0),"")</f>
        <v/>
      </c>
      <c r="U36" s="4" t="str">
        <f>IFERROR(HLOOKUP(D36,xHesaplama!$AH$176:$BZ$189,14,0),"")</f>
        <v/>
      </c>
      <c r="V36" s="4" t="str">
        <f>IFERROR(HLOOKUP(D36,xHesaplama!$AH$191:$BZ$205,15,0),"")</f>
        <v/>
      </c>
      <c r="W36" s="4" t="str">
        <f>IFERROR(HLOOKUP(D36,xHesaplama!$AH$207:$BZ$222,16,0),"")</f>
        <v/>
      </c>
      <c r="X36" s="4" t="str">
        <f>IFERROR(HLOOKUP(D36,xHesaplama!$AH$224:$BZ$240,17,0),"")</f>
        <v/>
      </c>
      <c r="Y36" s="4" t="str">
        <f>IFERROR(HLOOKUP(D36,xHesaplama!$AH$242:$BZ$259,18,0),"")</f>
        <v/>
      </c>
      <c r="Z36" s="4" t="str">
        <f>IFERROR(HLOOKUP(D36,xHesaplama!$AH$261:$BZ$279,19,0),"")</f>
        <v/>
      </c>
      <c r="AA36" s="4" t="str">
        <f>IFERROR(HLOOKUP(D36,xHesaplama!$AH$281:$BZ$300,20,0),"")</f>
        <v/>
      </c>
      <c r="AB36" s="4" t="str">
        <f>IFERROR(HLOOKUP(D36,xHesaplama!$AH$302:$BZ$322,21,0),"")</f>
        <v/>
      </c>
    </row>
    <row r="37" spans="4:28" ht="26.25">
      <c r="D37" s="9" t="s">
        <v>434</v>
      </c>
      <c r="E37" s="3" t="str">
        <f>'x Malzemeler ve Özellikleri'!S27</f>
        <v>ADET</v>
      </c>
      <c r="F37" t="s">
        <v>43</v>
      </c>
      <c r="G37" s="9">
        <f>VLOOKUP(D37,'x Malzemeler ve Özellikleri'!$O$2:$P$136,2,0)</f>
        <v>0</v>
      </c>
      <c r="H37" s="63">
        <f>VLOOKUP(D37,'x Malzemeler ve Özellikleri'!$O$2:$R$136,4,0)</f>
        <v>1</v>
      </c>
      <c r="I37" s="4" t="str">
        <f>IFERROR(HLOOKUP(D37,xHesaplama!$AH$74:$BZ$75,2,0),"")</f>
        <v/>
      </c>
      <c r="J37" s="4" t="str">
        <f>IFERROR(HLOOKUP(D37,xHesaplama!$AG$77:$BZ$79,3,0),"")</f>
        <v/>
      </c>
      <c r="K37" s="4" t="str">
        <f>IFERROR(HLOOKUP(D37,xHesaplama!$AG$81:$BZ$84,4,0),"")</f>
        <v/>
      </c>
      <c r="L37" s="4" t="str">
        <f>IFERROR(HLOOKUP(D37,xHesaplama!$AG$86:$BZ$90,5,0),"")</f>
        <v/>
      </c>
      <c r="M37" s="4" t="str">
        <f>IFERROR(HLOOKUP(D37,xHesaplama!$AG$92:$BZ$97,6,0),"")</f>
        <v/>
      </c>
      <c r="N37" s="4" t="str">
        <f>IFERROR(HLOOKUP(D37,xHesaplama!$AG$99:$BZ$105,7,0),"")</f>
        <v/>
      </c>
      <c r="O37" s="4" t="str">
        <f>IFERROR(HLOOKUP(D37,xHesaplama!$AG$107:$BZ$114,8,0),"")</f>
        <v/>
      </c>
      <c r="P37" s="4" t="str">
        <f>IFERROR(HLOOKUP(D37,xHesaplama!$AG$116:$BZ$124,9,0),"")</f>
        <v/>
      </c>
      <c r="Q37" s="4" t="str">
        <f>IFERROR(HLOOKUP(D37,xHesaplama!$AG$126:$BZ$135,10,0),"")</f>
        <v/>
      </c>
      <c r="R37" s="4" t="str">
        <f>IFERROR(HLOOKUP(D37,xHesaplama!$AG$137:$BZ$147,11,0),"")</f>
        <v/>
      </c>
      <c r="S37" s="4" t="str">
        <f>IFERROR(HLOOKUP(D37,xHesaplama!$AH$149:$BZ$160,12,0),"")</f>
        <v/>
      </c>
      <c r="T37" s="4" t="str">
        <f>IFERROR(HLOOKUP(D37,xHesaplama!$AH$162:$BZ$174,13,0),"")</f>
        <v/>
      </c>
      <c r="U37" s="4" t="str">
        <f>IFERROR(HLOOKUP(D37,xHesaplama!$AH$176:$BZ$189,14,0),"")</f>
        <v/>
      </c>
      <c r="V37" s="4" t="str">
        <f>IFERROR(HLOOKUP(D37,xHesaplama!$AH$191:$BZ$205,15,0),"")</f>
        <v/>
      </c>
      <c r="W37" s="4" t="str">
        <f>IFERROR(HLOOKUP(D37,xHesaplama!$AH$207:$BZ$222,16,0),"")</f>
        <v/>
      </c>
      <c r="X37" s="4" t="str">
        <f>IFERROR(HLOOKUP(D37,xHesaplama!$AH$224:$BZ$240,17,0),"")</f>
        <v/>
      </c>
      <c r="Y37" s="4" t="str">
        <f>IFERROR(HLOOKUP(D37,xHesaplama!$AH$242:$BZ$259,18,0),"")</f>
        <v/>
      </c>
      <c r="Z37" s="4" t="str">
        <f>IFERROR(HLOOKUP(D37,xHesaplama!$AH$261:$BZ$279,19,0),"")</f>
        <v/>
      </c>
      <c r="AA37" s="4" t="str">
        <f>IFERROR(HLOOKUP(D37,xHesaplama!$AH$281:$BZ$300,20,0),"")</f>
        <v/>
      </c>
      <c r="AB37" s="4" t="str">
        <f>IFERROR(HLOOKUP(D37,xHesaplama!$AH$302:$BZ$322,21,0),"")</f>
        <v/>
      </c>
    </row>
    <row r="38" spans="4:28" ht="52.5">
      <c r="D38" s="9" t="s">
        <v>435</v>
      </c>
      <c r="E38" s="3" t="str">
        <f>'x Malzemeler ve Özellikleri'!S28</f>
        <v>ADET</v>
      </c>
      <c r="F38" t="s">
        <v>46</v>
      </c>
      <c r="G38" s="9" t="str">
        <f>VLOOKUP(D38,'x Malzemeler ve Özellikleri'!$O$2:$P$136,2,0)</f>
        <v>EMY14005901</v>
      </c>
      <c r="H38" s="63">
        <f>VLOOKUP(D38,'x Malzemeler ve Özellikleri'!$O$2:$R$136,4,0)</f>
        <v>5.3940000000000001</v>
      </c>
      <c r="I38" s="4" t="str">
        <f>IFERROR(HLOOKUP(D38,xHesaplama!$AH$74:$BZ$75,2,0),"")</f>
        <v/>
      </c>
      <c r="J38" s="4" t="str">
        <f>IFERROR(HLOOKUP(D38,xHesaplama!$AG$77:$BZ$79,3,0),"")</f>
        <v/>
      </c>
      <c r="K38" s="4" t="str">
        <f>IFERROR(HLOOKUP(D38,xHesaplama!$AG$81:$BZ$84,4,0),"")</f>
        <v/>
      </c>
      <c r="L38" s="4" t="str">
        <f>IFERROR(HLOOKUP(D38,xHesaplama!$AG$86:$BZ$90,5,0),"")</f>
        <v/>
      </c>
      <c r="M38" s="4" t="str">
        <f>IFERROR(HLOOKUP(D38,xHesaplama!$AG$92:$BZ$97,6,0),"")</f>
        <v/>
      </c>
      <c r="N38" s="4" t="str">
        <f>IFERROR(HLOOKUP(D38,xHesaplama!$AG$99:$BZ$105,7,0),"")</f>
        <v/>
      </c>
      <c r="O38" s="4" t="str">
        <f>IFERROR(HLOOKUP(D38,xHesaplama!$AG$107:$BZ$114,8,0),"")</f>
        <v/>
      </c>
      <c r="P38" s="4" t="str">
        <f>IFERROR(HLOOKUP(D38,xHesaplama!$AG$116:$BZ$124,9,0),"")</f>
        <v/>
      </c>
      <c r="Q38" s="4" t="str">
        <f>IFERROR(HLOOKUP(D38,xHesaplama!$AG$126:$BZ$135,10,0),"")</f>
        <v/>
      </c>
      <c r="R38" s="4" t="str">
        <f>IFERROR(HLOOKUP(D38,xHesaplama!$AG$137:$BZ$147,11,0),"")</f>
        <v/>
      </c>
      <c r="S38" s="4" t="str">
        <f>IFERROR(HLOOKUP(D38,xHesaplama!$AH$149:$BZ$160,12,0),"")</f>
        <v/>
      </c>
      <c r="T38" s="4" t="str">
        <f>IFERROR(HLOOKUP(D38,xHesaplama!$AH$162:$BZ$174,13,0),"")</f>
        <v/>
      </c>
      <c r="U38" s="4" t="str">
        <f>IFERROR(HLOOKUP(D38,xHesaplama!$AH$176:$BZ$189,14,0),"")</f>
        <v/>
      </c>
      <c r="V38" s="4" t="str">
        <f>IFERROR(HLOOKUP(D38,xHesaplama!$AH$191:$BZ$205,15,0),"")</f>
        <v/>
      </c>
      <c r="W38" s="4" t="str">
        <f>IFERROR(HLOOKUP(D38,xHesaplama!$AH$207:$BZ$222,16,0),"")</f>
        <v/>
      </c>
      <c r="X38" s="4" t="str">
        <f>IFERROR(HLOOKUP(D38,xHesaplama!$AH$224:$BZ$240,17,0),"")</f>
        <v/>
      </c>
      <c r="Y38" s="4" t="str">
        <f>IFERROR(HLOOKUP(D38,xHesaplama!$AH$242:$BZ$259,18,0),"")</f>
        <v/>
      </c>
      <c r="Z38" s="4" t="str">
        <f>IFERROR(HLOOKUP(D38,xHesaplama!$AH$261:$BZ$279,19,0),"")</f>
        <v/>
      </c>
      <c r="AA38" s="4" t="str">
        <f>IFERROR(HLOOKUP(D38,xHesaplama!$AH$281:$BZ$300,20,0),"")</f>
        <v/>
      </c>
      <c r="AB38" s="4" t="str">
        <f>IFERROR(HLOOKUP(D38,xHesaplama!$AH$302:$BZ$322,21,0),"")</f>
        <v/>
      </c>
    </row>
    <row r="39" spans="4:28" ht="26.25">
      <c r="D39" s="9" t="s">
        <v>436</v>
      </c>
      <c r="E39" s="3" t="str">
        <f>'x Malzemeler ve Özellikleri'!S29</f>
        <v>ADET</v>
      </c>
      <c r="F39" t="s">
        <v>47</v>
      </c>
      <c r="G39" s="9">
        <f>VLOOKUP(D39,'x Malzemeler ve Özellikleri'!$O$2:$P$136,2,0)</f>
        <v>0</v>
      </c>
      <c r="H39" s="63">
        <f>VLOOKUP(D39,'x Malzemeler ve Özellikleri'!$O$2:$R$136,4,0)</f>
        <v>0</v>
      </c>
      <c r="I39" s="4" t="str">
        <f>IFERROR(HLOOKUP(D39,xHesaplama!$AH$74:$BZ$75,2,0),"")</f>
        <v/>
      </c>
      <c r="J39" s="4" t="str">
        <f>IFERROR(HLOOKUP(D39,xHesaplama!$AG$77:$BZ$79,3,0),"")</f>
        <v/>
      </c>
      <c r="K39" s="4" t="str">
        <f>IFERROR(HLOOKUP(D39,xHesaplama!$AG$81:$BZ$84,4,0),"")</f>
        <v/>
      </c>
      <c r="L39" s="4" t="str">
        <f>IFERROR(HLOOKUP(D39,xHesaplama!$AG$86:$BZ$90,5,0),"")</f>
        <v/>
      </c>
      <c r="M39" s="4" t="str">
        <f>IFERROR(HLOOKUP(D39,xHesaplama!$AG$92:$BZ$97,6,0),"")</f>
        <v/>
      </c>
      <c r="N39" s="4" t="str">
        <f>IFERROR(HLOOKUP(D39,xHesaplama!$AG$99:$BZ$105,7,0),"")</f>
        <v/>
      </c>
      <c r="O39" s="4" t="str">
        <f>IFERROR(HLOOKUP(D39,xHesaplama!$AG$107:$BZ$114,8,0),"")</f>
        <v/>
      </c>
      <c r="P39" s="4" t="str">
        <f>IFERROR(HLOOKUP(D39,xHesaplama!$AG$116:$BZ$124,9,0),"")</f>
        <v/>
      </c>
      <c r="Q39" s="4" t="str">
        <f>IFERROR(HLOOKUP(D39,xHesaplama!$AG$126:$BZ$135,10,0),"")</f>
        <v/>
      </c>
      <c r="R39" s="4" t="str">
        <f>IFERROR(HLOOKUP(D39,xHesaplama!$AG$137:$BZ$147,11,0),"")</f>
        <v/>
      </c>
      <c r="S39" s="4" t="str">
        <f>IFERROR(HLOOKUP(D39,xHesaplama!$AH$149:$BZ$160,12,0),"")</f>
        <v/>
      </c>
      <c r="T39" s="4" t="str">
        <f>IFERROR(HLOOKUP(D39,xHesaplama!$AH$162:$BZ$174,13,0),"")</f>
        <v/>
      </c>
      <c r="U39" s="4" t="str">
        <f>IFERROR(HLOOKUP(D39,xHesaplama!$AH$176:$BZ$189,14,0),"")</f>
        <v/>
      </c>
      <c r="V39" s="4" t="str">
        <f>IFERROR(HLOOKUP(D39,xHesaplama!$AH$191:$BZ$205,15,0),"")</f>
        <v/>
      </c>
      <c r="W39" s="4" t="str">
        <f>IFERROR(HLOOKUP(D39,xHesaplama!$AH$207:$BZ$222,16,0),"")</f>
        <v/>
      </c>
      <c r="X39" s="4" t="str">
        <f>IFERROR(HLOOKUP(D39,xHesaplama!$AH$224:$BZ$240,17,0),"")</f>
        <v/>
      </c>
      <c r="Y39" s="4" t="str">
        <f>IFERROR(HLOOKUP(D39,xHesaplama!$AH$242:$BZ$259,18,0),"")</f>
        <v/>
      </c>
      <c r="Z39" s="4" t="str">
        <f>IFERROR(HLOOKUP(D39,xHesaplama!$AH$261:$BZ$279,19,0),"")</f>
        <v/>
      </c>
      <c r="AA39" s="4" t="str">
        <f>IFERROR(HLOOKUP(D39,xHesaplama!$AH$281:$BZ$300,20,0),"")</f>
        <v/>
      </c>
      <c r="AB39" s="4" t="str">
        <f>IFERROR(HLOOKUP(D39,xHesaplama!$AH$302:$BZ$322,21,0),"")</f>
        <v/>
      </c>
    </row>
    <row r="40" spans="4:28" ht="52.5">
      <c r="D40" s="9" t="s">
        <v>437</v>
      </c>
      <c r="E40" s="3" t="str">
        <f>'x Malzemeler ve Özellikleri'!S30</f>
        <v>ADET</v>
      </c>
      <c r="F40" t="s">
        <v>48</v>
      </c>
      <c r="G40" s="9" t="str">
        <f>VLOOKUP(D40,'x Malzemeler ve Özellikleri'!$O$2:$P$136,2,0)</f>
        <v>DPH00107801</v>
      </c>
      <c r="H40" s="63">
        <f>VLOOKUP(D40,'x Malzemeler ve Özellikleri'!$O$2:$R$136,4,0)</f>
        <v>8.0950000000000006</v>
      </c>
      <c r="I40" s="4" t="str">
        <f>IFERROR(HLOOKUP(D40,xHesaplama!$AH$74:$BZ$75,2,0),"")</f>
        <v/>
      </c>
      <c r="J40" s="4" t="str">
        <f>IFERROR(HLOOKUP(D40,xHesaplama!$AG$77:$BZ$79,3,0),"")</f>
        <v/>
      </c>
      <c r="K40" s="4" t="str">
        <f>IFERROR(HLOOKUP(D40,xHesaplama!$AG$81:$BZ$84,4,0),"")</f>
        <v/>
      </c>
      <c r="L40" s="4" t="str">
        <f>IFERROR(HLOOKUP(D40,xHesaplama!$AG$86:$BZ$90,5,0),"")</f>
        <v/>
      </c>
      <c r="M40" s="4" t="str">
        <f>IFERROR(HLOOKUP(D40,xHesaplama!$AG$92:$BZ$97,6,0),"")</f>
        <v/>
      </c>
      <c r="N40" s="4" t="str">
        <f>IFERROR(HLOOKUP(D40,xHesaplama!$AG$99:$BZ$105,7,0),"")</f>
        <v/>
      </c>
      <c r="O40" s="4" t="str">
        <f>IFERROR(HLOOKUP(D40,xHesaplama!$AG$107:$BZ$114,8,0),"")</f>
        <v/>
      </c>
      <c r="P40" s="4" t="str">
        <f>IFERROR(HLOOKUP(D40,xHesaplama!$AG$116:$BZ$124,9,0),"")</f>
        <v/>
      </c>
      <c r="Q40" s="4" t="str">
        <f>IFERROR(HLOOKUP(D40,xHesaplama!$AG$126:$BZ$135,10,0),"")</f>
        <v/>
      </c>
      <c r="R40" s="4" t="str">
        <f>IFERROR(HLOOKUP(D40,xHesaplama!$AG$137:$BZ$147,11,0),"")</f>
        <v/>
      </c>
      <c r="S40" s="4" t="str">
        <f>IFERROR(HLOOKUP(D40,xHesaplama!$AH$149:$BZ$160,12,0),"")</f>
        <v/>
      </c>
      <c r="T40" s="4" t="str">
        <f>IFERROR(HLOOKUP(D40,xHesaplama!$AH$162:$BZ$174,13,0),"")</f>
        <v/>
      </c>
      <c r="U40" s="4" t="str">
        <f>IFERROR(HLOOKUP(D40,xHesaplama!$AH$176:$BZ$189,14,0),"")</f>
        <v/>
      </c>
      <c r="V40" s="4" t="str">
        <f>IFERROR(HLOOKUP(D40,xHesaplama!$AH$191:$BZ$205,15,0),"")</f>
        <v/>
      </c>
      <c r="W40" s="4" t="str">
        <f>IFERROR(HLOOKUP(D40,xHesaplama!$AH$207:$BZ$222,16,0),"")</f>
        <v/>
      </c>
      <c r="X40" s="4" t="str">
        <f>IFERROR(HLOOKUP(D40,xHesaplama!$AH$224:$BZ$240,17,0),"")</f>
        <v/>
      </c>
      <c r="Y40" s="4" t="str">
        <f>IFERROR(HLOOKUP(D40,xHesaplama!$AH$242:$BZ$259,18,0),"")</f>
        <v/>
      </c>
      <c r="Z40" s="4" t="str">
        <f>IFERROR(HLOOKUP(D40,xHesaplama!$AH$261:$BZ$279,19,0),"")</f>
        <v/>
      </c>
      <c r="AA40" s="4" t="str">
        <f>IFERROR(HLOOKUP(D40,xHesaplama!$AH$281:$BZ$300,20,0),"")</f>
        <v/>
      </c>
      <c r="AB40" s="4" t="str">
        <f>IFERROR(HLOOKUP(D40,xHesaplama!$AH$302:$BZ$322,21,0),"")</f>
        <v/>
      </c>
    </row>
    <row r="41" spans="4:28" ht="52.5">
      <c r="D41" s="9" t="s">
        <v>438</v>
      </c>
      <c r="E41" s="3" t="str">
        <f>'x Malzemeler ve Özellikleri'!S31</f>
        <v>ADET</v>
      </c>
      <c r="F41" t="s">
        <v>49</v>
      </c>
      <c r="G41" s="9" t="str">
        <f>VLOOKUP(D41,'x Malzemeler ve Özellikleri'!$O$2:$P$136,2,0)</f>
        <v>DPH00107701</v>
      </c>
      <c r="H41" s="63">
        <f>VLOOKUP(D41,'x Malzemeler ve Özellikleri'!$O$2:$R$136,4,0)</f>
        <v>16.350000000000001</v>
      </c>
      <c r="I41" s="4" t="str">
        <f>IFERROR(HLOOKUP(D41,xHesaplama!$AH$74:$BZ$75,2,0),"")</f>
        <v/>
      </c>
      <c r="J41" s="4" t="str">
        <f>IFERROR(HLOOKUP(D41,xHesaplama!$AG$77:$BZ$79,3,0),"")</f>
        <v/>
      </c>
      <c r="K41" s="4" t="str">
        <f>IFERROR(HLOOKUP(D41,xHesaplama!$AG$81:$BZ$84,4,0),"")</f>
        <v/>
      </c>
      <c r="L41" s="4" t="str">
        <f>IFERROR(HLOOKUP(D41,xHesaplama!$AG$86:$BZ$90,5,0),"")</f>
        <v/>
      </c>
      <c r="M41" s="4" t="str">
        <f>IFERROR(HLOOKUP(D41,xHesaplama!$AG$92:$BZ$97,6,0),"")</f>
        <v/>
      </c>
      <c r="N41" s="4" t="str">
        <f>IFERROR(HLOOKUP(D41,xHesaplama!$AG$99:$BZ$105,7,0),"")</f>
        <v/>
      </c>
      <c r="O41" s="4" t="str">
        <f>IFERROR(HLOOKUP(D41,xHesaplama!$AG$107:$BZ$114,8,0),"")</f>
        <v/>
      </c>
      <c r="P41" s="4" t="str">
        <f>IFERROR(HLOOKUP(D41,xHesaplama!$AG$116:$BZ$124,9,0),"")</f>
        <v/>
      </c>
      <c r="Q41" s="4" t="str">
        <f>IFERROR(HLOOKUP(D41,xHesaplama!$AG$126:$BZ$135,10,0),"")</f>
        <v/>
      </c>
      <c r="R41" s="4" t="str">
        <f>IFERROR(HLOOKUP(D41,xHesaplama!$AG$137:$BZ$147,11,0),"")</f>
        <v/>
      </c>
      <c r="S41" s="4" t="str">
        <f>IFERROR(HLOOKUP(D41,xHesaplama!$AH$149:$BZ$160,12,0),"")</f>
        <v/>
      </c>
      <c r="T41" s="4" t="str">
        <f>IFERROR(HLOOKUP(D41,xHesaplama!$AH$162:$BZ$174,13,0),"")</f>
        <v/>
      </c>
      <c r="U41" s="4" t="str">
        <f>IFERROR(HLOOKUP(D41,xHesaplama!$AH$176:$BZ$189,14,0),"")</f>
        <v/>
      </c>
      <c r="V41" s="4" t="str">
        <f>IFERROR(HLOOKUP(D41,xHesaplama!$AH$191:$BZ$205,15,0),"")</f>
        <v/>
      </c>
      <c r="W41" s="4" t="str">
        <f>IFERROR(HLOOKUP(D41,xHesaplama!$AH$207:$BZ$222,16,0),"")</f>
        <v/>
      </c>
      <c r="X41" s="4" t="str">
        <f>IFERROR(HLOOKUP(D41,xHesaplama!$AH$224:$BZ$240,17,0),"")</f>
        <v/>
      </c>
      <c r="Y41" s="4" t="str">
        <f>IFERROR(HLOOKUP(D41,xHesaplama!$AH$242:$BZ$259,18,0),"")</f>
        <v/>
      </c>
      <c r="Z41" s="4" t="str">
        <f>IFERROR(HLOOKUP(D41,xHesaplama!$AH$261:$BZ$279,19,0),"")</f>
        <v/>
      </c>
      <c r="AA41" s="4" t="str">
        <f>IFERROR(HLOOKUP(D41,xHesaplama!$AH$281:$BZ$300,20,0),"")</f>
        <v/>
      </c>
      <c r="AB41" s="4" t="str">
        <f>IFERROR(HLOOKUP(D41,xHesaplama!$AH$302:$BZ$322,21,0),"")</f>
        <v/>
      </c>
    </row>
    <row r="42" spans="4:28" ht="52.5">
      <c r="D42" s="9" t="s">
        <v>439</v>
      </c>
      <c r="E42" s="3" t="str">
        <f>'x Malzemeler ve Özellikleri'!S32</f>
        <v>ADET</v>
      </c>
      <c r="F42" t="s">
        <v>50</v>
      </c>
      <c r="G42" s="9" t="str">
        <f>VLOOKUP(D42,'x Malzemeler ve Özellikleri'!$O$2:$P$136,2,0)</f>
        <v>EPH00105101</v>
      </c>
      <c r="H42" s="63">
        <f>VLOOKUP(D42,'x Malzemeler ve Özellikleri'!$O$2:$R$136,4,0)</f>
        <v>1.1299999999999999</v>
      </c>
      <c r="I42" s="4" t="str">
        <f>IFERROR(HLOOKUP(D42,xHesaplama!$AH$74:$BZ$75,2,0),"")</f>
        <v/>
      </c>
      <c r="J42" s="4" t="str">
        <f>IFERROR(HLOOKUP(D42,xHesaplama!$AG$77:$BZ$79,3,0),"")</f>
        <v/>
      </c>
      <c r="K42" s="4" t="str">
        <f>IFERROR(HLOOKUP(D42,xHesaplama!$AG$81:$BZ$84,4,0),"")</f>
        <v/>
      </c>
      <c r="L42" s="4" t="str">
        <f>IFERROR(HLOOKUP(D42,xHesaplama!$AG$86:$BZ$90,5,0),"")</f>
        <v/>
      </c>
      <c r="M42" s="4" t="str">
        <f>IFERROR(HLOOKUP(D42,xHesaplama!$AG$92:$BZ$97,6,0),"")</f>
        <v/>
      </c>
      <c r="N42" s="4" t="str">
        <f>IFERROR(HLOOKUP(D42,xHesaplama!$AG$99:$BZ$105,7,0),"")</f>
        <v/>
      </c>
      <c r="O42" s="4" t="str">
        <f>IFERROR(HLOOKUP(D42,xHesaplama!$AG$107:$BZ$114,8,0),"")</f>
        <v/>
      </c>
      <c r="P42" s="4" t="str">
        <f>IFERROR(HLOOKUP(D42,xHesaplama!$AG$116:$BZ$124,9,0),"")</f>
        <v/>
      </c>
      <c r="Q42" s="4" t="str">
        <f>IFERROR(HLOOKUP(D42,xHesaplama!$AG$126:$BZ$135,10,0),"")</f>
        <v/>
      </c>
      <c r="R42" s="4" t="str">
        <f>IFERROR(HLOOKUP(D42,xHesaplama!$AG$137:$BZ$147,11,0),"")</f>
        <v/>
      </c>
      <c r="S42" s="4" t="str">
        <f>IFERROR(HLOOKUP(D42,xHesaplama!$AH$149:$BZ$160,12,0),"")</f>
        <v/>
      </c>
      <c r="T42" s="4" t="str">
        <f>IFERROR(HLOOKUP(D42,xHesaplama!$AH$162:$BZ$174,13,0),"")</f>
        <v/>
      </c>
      <c r="U42" s="4" t="str">
        <f>IFERROR(HLOOKUP(D42,xHesaplama!$AH$176:$BZ$189,14,0),"")</f>
        <v/>
      </c>
      <c r="V42" s="4" t="str">
        <f>IFERROR(HLOOKUP(D42,xHesaplama!$AH$191:$BZ$205,15,0),"")</f>
        <v/>
      </c>
      <c r="W42" s="4" t="str">
        <f>IFERROR(HLOOKUP(D42,xHesaplama!$AH$207:$BZ$222,16,0),"")</f>
        <v/>
      </c>
      <c r="X42" s="4" t="str">
        <f>IFERROR(HLOOKUP(D42,xHesaplama!$AH$224:$BZ$240,17,0),"")</f>
        <v/>
      </c>
      <c r="Y42" s="4" t="str">
        <f>IFERROR(HLOOKUP(D42,xHesaplama!$AH$242:$BZ$259,18,0),"")</f>
        <v/>
      </c>
      <c r="Z42" s="4" t="str">
        <f>IFERROR(HLOOKUP(D42,xHesaplama!$AH$261:$BZ$279,19,0),"")</f>
        <v/>
      </c>
      <c r="AA42" s="4" t="str">
        <f>IFERROR(HLOOKUP(D42,xHesaplama!$AH$281:$BZ$300,20,0),"")</f>
        <v/>
      </c>
      <c r="AB42" s="4" t="str">
        <f>IFERROR(HLOOKUP(D42,xHesaplama!$AH$302:$BZ$322,21,0),"")</f>
        <v/>
      </c>
    </row>
    <row r="43" spans="4:28" ht="52.5">
      <c r="D43" s="9" t="s">
        <v>440</v>
      </c>
      <c r="E43" s="3" t="str">
        <f>'x Malzemeler ve Özellikleri'!S33</f>
        <v>TAKIM</v>
      </c>
      <c r="F43" t="s">
        <v>51</v>
      </c>
      <c r="G43" s="9" t="str">
        <f>VLOOKUP(D43,'x Malzemeler ve Özellikleri'!$O$2:$P$136,2,0)</f>
        <v>EPH00107601</v>
      </c>
      <c r="H43" s="63">
        <f>VLOOKUP(D43,'x Malzemeler ve Özellikleri'!$O$2:$R$136,4,0)</f>
        <v>0.81</v>
      </c>
      <c r="I43" s="4" t="str">
        <f>IFERROR(HLOOKUP(D43,xHesaplama!$AH$74:$BZ$75,2,0),"")</f>
        <v/>
      </c>
      <c r="J43" s="4" t="str">
        <f>IFERROR(HLOOKUP(D43,xHesaplama!$AG$77:$BZ$79,3,0),"")</f>
        <v/>
      </c>
      <c r="K43" s="4" t="str">
        <f>IFERROR(HLOOKUP(D43,xHesaplama!$AG$81:$BZ$84,4,0),"")</f>
        <v/>
      </c>
      <c r="L43" s="4" t="str">
        <f>IFERROR(HLOOKUP(D43,xHesaplama!$AG$86:$BZ$90,5,0),"")</f>
        <v/>
      </c>
      <c r="M43" s="4" t="str">
        <f>IFERROR(HLOOKUP(D43,xHesaplama!$AG$92:$BZ$97,6,0),"")</f>
        <v/>
      </c>
      <c r="N43" s="4" t="str">
        <f>IFERROR(HLOOKUP(D43,xHesaplama!$AG$99:$BZ$105,7,0),"")</f>
        <v/>
      </c>
      <c r="O43" s="4" t="str">
        <f>IFERROR(HLOOKUP(D43,xHesaplama!$AG$107:$BZ$114,8,0),"")</f>
        <v/>
      </c>
      <c r="P43" s="4" t="str">
        <f>IFERROR(HLOOKUP(D43,xHesaplama!$AG$116:$BZ$124,9,0),"")</f>
        <v/>
      </c>
      <c r="Q43" s="4" t="str">
        <f>IFERROR(HLOOKUP(D43,xHesaplama!$AG$126:$BZ$135,10,0),"")</f>
        <v/>
      </c>
      <c r="R43" s="4" t="str">
        <f>IFERROR(HLOOKUP(D43,xHesaplama!$AG$137:$BZ$147,11,0),"")</f>
        <v/>
      </c>
      <c r="S43" s="4" t="str">
        <f>IFERROR(HLOOKUP(D43,xHesaplama!$AH$149:$BZ$160,12,0),"")</f>
        <v/>
      </c>
      <c r="T43" s="4" t="str">
        <f>IFERROR(HLOOKUP(D43,xHesaplama!$AH$162:$BZ$174,13,0),"")</f>
        <v/>
      </c>
      <c r="U43" s="4" t="str">
        <f>IFERROR(HLOOKUP(D43,xHesaplama!$AH$176:$BZ$189,14,0),"")</f>
        <v/>
      </c>
      <c r="V43" s="4" t="str">
        <f>IFERROR(HLOOKUP(D43,xHesaplama!$AH$191:$BZ$205,15,0),"")</f>
        <v/>
      </c>
      <c r="W43" s="4" t="str">
        <f>IFERROR(HLOOKUP(D43,xHesaplama!$AH$207:$BZ$222,16,0),"")</f>
        <v/>
      </c>
      <c r="X43" s="4" t="str">
        <f>IFERROR(HLOOKUP(D43,xHesaplama!$AH$224:$BZ$240,17,0),"")</f>
        <v/>
      </c>
      <c r="Y43" s="4" t="str">
        <f>IFERROR(HLOOKUP(D43,xHesaplama!$AH$242:$BZ$259,18,0),"")</f>
        <v/>
      </c>
      <c r="Z43" s="4" t="str">
        <f>IFERROR(HLOOKUP(D43,xHesaplama!$AH$261:$BZ$279,19,0),"")</f>
        <v/>
      </c>
      <c r="AA43" s="4" t="str">
        <f>IFERROR(HLOOKUP(D43,xHesaplama!$AH$281:$BZ$300,20,0),"")</f>
        <v/>
      </c>
      <c r="AB43" s="4" t="str">
        <f>IFERROR(HLOOKUP(D43,xHesaplama!$AH$302:$BZ$322,21,0),"")</f>
        <v/>
      </c>
    </row>
    <row r="44" spans="4:28" ht="52.5">
      <c r="D44" s="9" t="s">
        <v>441</v>
      </c>
      <c r="E44" s="3" t="str">
        <f>'x Malzemeler ve Özellikleri'!S34</f>
        <v>TAKIM</v>
      </c>
      <c r="F44" t="s">
        <v>52</v>
      </c>
      <c r="G44" s="9" t="str">
        <f>VLOOKUP(D44,'x Malzemeler ve Özellikleri'!$O$2:$P$136,2,0)</f>
        <v>EMY14005201</v>
      </c>
      <c r="H44" s="63">
        <f>VLOOKUP(D44,'x Malzemeler ve Özellikleri'!$O$2:$R$136,4,0)</f>
        <v>11.78</v>
      </c>
      <c r="I44" s="4" t="str">
        <f>IFERROR(HLOOKUP(D44,xHesaplama!$AH$74:$BZ$75,2,0),"")</f>
        <v/>
      </c>
      <c r="J44" s="4" t="str">
        <f>IFERROR(HLOOKUP(D44,xHesaplama!$AG$77:$BZ$79,3,0),"")</f>
        <v/>
      </c>
      <c r="K44" s="4" t="str">
        <f>IFERROR(HLOOKUP(D44,xHesaplama!$AG$81:$BZ$84,4,0),"")</f>
        <v/>
      </c>
      <c r="L44" s="4" t="str">
        <f>IFERROR(HLOOKUP(D44,xHesaplama!$AG$86:$BZ$90,5,0),"")</f>
        <v/>
      </c>
      <c r="M44" s="4" t="str">
        <f>IFERROR(HLOOKUP(D44,xHesaplama!$AG$92:$BZ$97,6,0),"")</f>
        <v/>
      </c>
      <c r="N44" s="4" t="str">
        <f>IFERROR(HLOOKUP(D44,xHesaplama!$AG$99:$BZ$105,7,0),"")</f>
        <v/>
      </c>
      <c r="O44" s="4" t="str">
        <f>IFERROR(HLOOKUP(D44,xHesaplama!$AG$107:$BZ$114,8,0),"")</f>
        <v/>
      </c>
      <c r="P44" s="4" t="str">
        <f>IFERROR(HLOOKUP(D44,xHesaplama!$AG$116:$BZ$124,9,0),"")</f>
        <v/>
      </c>
      <c r="Q44" s="4" t="str">
        <f>IFERROR(HLOOKUP(D44,xHesaplama!$AG$126:$BZ$135,10,0),"")</f>
        <v/>
      </c>
      <c r="R44" s="4" t="str">
        <f>IFERROR(HLOOKUP(D44,xHesaplama!$AG$137:$BZ$147,11,0),"")</f>
        <v/>
      </c>
      <c r="S44" s="4" t="str">
        <f>IFERROR(HLOOKUP(D44,xHesaplama!$AH$149:$BZ$160,12,0),"")</f>
        <v/>
      </c>
      <c r="T44" s="4" t="str">
        <f>IFERROR(HLOOKUP(D44,xHesaplama!$AH$162:$BZ$174,13,0),"")</f>
        <v/>
      </c>
      <c r="U44" s="4" t="str">
        <f>IFERROR(HLOOKUP(D44,xHesaplama!$AH$176:$BZ$189,14,0),"")</f>
        <v/>
      </c>
      <c r="V44" s="4" t="str">
        <f>IFERROR(HLOOKUP(D44,xHesaplama!$AH$191:$BZ$205,15,0),"")</f>
        <v/>
      </c>
      <c r="W44" s="4" t="str">
        <f>IFERROR(HLOOKUP(D44,xHesaplama!$AH$207:$BZ$222,16,0),"")</f>
        <v/>
      </c>
      <c r="X44" s="4" t="str">
        <f>IFERROR(HLOOKUP(D44,xHesaplama!$AH$224:$BZ$240,17,0),"")</f>
        <v/>
      </c>
      <c r="Y44" s="4" t="str">
        <f>IFERROR(HLOOKUP(D44,xHesaplama!$AH$242:$BZ$259,18,0),"")</f>
        <v/>
      </c>
      <c r="Z44" s="4" t="str">
        <f>IFERROR(HLOOKUP(D44,xHesaplama!$AH$261:$BZ$279,19,0),"")</f>
        <v/>
      </c>
      <c r="AA44" s="4" t="str">
        <f>IFERROR(HLOOKUP(D44,xHesaplama!$AH$281:$BZ$300,20,0),"")</f>
        <v/>
      </c>
      <c r="AB44" s="4" t="str">
        <f>IFERROR(HLOOKUP(D44,xHesaplama!$AH$302:$BZ$322,21,0),"")</f>
        <v/>
      </c>
    </row>
    <row r="45" spans="4:28" ht="52.5">
      <c r="D45" s="9" t="s">
        <v>781</v>
      </c>
      <c r="E45" s="3" t="str">
        <f>'x Malzemeler ve Özellikleri'!S35</f>
        <v>MT</v>
      </c>
      <c r="F45" t="s">
        <v>708</v>
      </c>
      <c r="G45" s="9" t="str">
        <f>VLOOKUP(D45,'x Malzemeler ve Özellikleri'!$O$2:$P$136,2,0)</f>
        <v>DPH00107901</v>
      </c>
      <c r="H45" s="63">
        <f>VLOOKUP(D45,'x Malzemeler ve Özellikleri'!$O$2:$R$136,4,0)</f>
        <v>0.3</v>
      </c>
      <c r="I45" s="4" t="str">
        <f>IFERROR(HLOOKUP(D45,xHesaplama!$AH$74:$BZ$75,2,0),"")</f>
        <v/>
      </c>
      <c r="J45" s="4" t="str">
        <f>IFERROR(HLOOKUP(D45,xHesaplama!$AG$77:$BZ$79,3,0),"")</f>
        <v/>
      </c>
      <c r="K45" s="4" t="str">
        <f>IFERROR(HLOOKUP(D45,xHesaplama!$AG$81:$BZ$84,4,0),"")</f>
        <v/>
      </c>
      <c r="L45" s="4" t="str">
        <f>IFERROR(HLOOKUP(D45,xHesaplama!$AG$86:$BZ$90,5,0),"")</f>
        <v/>
      </c>
      <c r="M45" s="4" t="str">
        <f>IFERROR(HLOOKUP(D45,xHesaplama!$AG$92:$BZ$97,6,0),"")</f>
        <v/>
      </c>
      <c r="N45" s="4" t="str">
        <f>IFERROR(HLOOKUP(D45,xHesaplama!$AG$99:$BZ$105,7,0),"")</f>
        <v/>
      </c>
      <c r="O45" s="4" t="str">
        <f>IFERROR(HLOOKUP(D45,xHesaplama!$AG$107:$BZ$114,8,0),"")</f>
        <v/>
      </c>
      <c r="P45" s="4" t="str">
        <f>IFERROR(HLOOKUP(D45,xHesaplama!$AG$116:$BZ$124,9,0),"")</f>
        <v/>
      </c>
      <c r="Q45" s="4" t="str">
        <f>IFERROR(HLOOKUP(D45,xHesaplama!$AG$126:$BZ$135,10,0),"")</f>
        <v/>
      </c>
      <c r="R45" s="4" t="str">
        <f>IFERROR(HLOOKUP(D45,xHesaplama!$AG$137:$BZ$147,11,0),"")</f>
        <v/>
      </c>
      <c r="S45" s="4" t="str">
        <f>IFERROR(HLOOKUP(D45,xHesaplama!$AH$149:$BZ$160,12,0),"")</f>
        <v/>
      </c>
      <c r="T45" s="4" t="str">
        <f>IFERROR(HLOOKUP(D45,xHesaplama!$AH$162:$BZ$174,13,0),"")</f>
        <v/>
      </c>
      <c r="U45" s="4" t="str">
        <f>IFERROR(HLOOKUP(D45,xHesaplama!$AH$176:$BZ$189,14,0),"")</f>
        <v/>
      </c>
      <c r="V45" s="4" t="str">
        <f>IFERROR(HLOOKUP(D45,xHesaplama!$AH$191:$BZ$205,15,0),"")</f>
        <v/>
      </c>
      <c r="W45" s="4" t="str">
        <f>IFERROR(HLOOKUP(D45,xHesaplama!$AH$207:$BZ$222,16,0),"")</f>
        <v/>
      </c>
      <c r="X45" s="4" t="str">
        <f>IFERROR(HLOOKUP(D45,xHesaplama!$AH$224:$BZ$240,17,0),"")</f>
        <v/>
      </c>
      <c r="Y45" s="4" t="str">
        <f>IFERROR(HLOOKUP(D45,xHesaplama!$AH$242:$BZ$259,18,0),"")</f>
        <v/>
      </c>
      <c r="Z45" s="4" t="str">
        <f>IFERROR(HLOOKUP(D45,xHesaplama!$AH$261:$BZ$279,19,0),"")</f>
        <v/>
      </c>
      <c r="AA45" s="4" t="str">
        <f>IFERROR(HLOOKUP(D45,xHesaplama!$AH$281:$BZ$300,20,0),"")</f>
        <v/>
      </c>
      <c r="AB45" s="4" t="str">
        <f>IFERROR(HLOOKUP(D45,xHesaplama!$AH$302:$BZ$322,21,0),"")</f>
        <v/>
      </c>
    </row>
    <row r="46" spans="4:28" ht="26.25">
      <c r="D46" s="53" t="s">
        <v>442</v>
      </c>
      <c r="E46" s="3" t="str">
        <f>'x Malzemeler ve Özellikleri'!S37</f>
        <v>MT</v>
      </c>
      <c r="F46" t="s">
        <v>54</v>
      </c>
      <c r="G46" s="9" t="str">
        <f>VLOOKUP(D46,'x Malzemeler ve Özellikleri'!$O$2:$P$136,2,0)</f>
        <v>BP.403</v>
      </c>
      <c r="H46" s="63">
        <f>VLOOKUP(D46,'x Malzemeler ve Özellikleri'!$O$2:$R$136,4,0)</f>
        <v>4.3676929133858273</v>
      </c>
      <c r="I46" s="4" t="str">
        <f>IFERROR(HLOOKUP(D46,xHesaplama!$AH$74:$BZ$75,2,0),"")</f>
        <v/>
      </c>
      <c r="J46" s="4" t="str">
        <f>IFERROR(HLOOKUP(D46,xHesaplama!$AG$77:$BZ$79,3,0),"")</f>
        <v/>
      </c>
      <c r="K46" s="4" t="str">
        <f>IFERROR(HLOOKUP(D46,xHesaplama!$AG$81:$BZ$84,4,0),"")</f>
        <v/>
      </c>
      <c r="L46" s="4" t="str">
        <f>IFERROR(HLOOKUP(D46,xHesaplama!$AG$86:$BZ$90,5,0),"")</f>
        <v/>
      </c>
      <c r="M46" s="4" t="str">
        <f>IFERROR(HLOOKUP(D46,xHesaplama!$AG$92:$BZ$97,6,0),"")</f>
        <v/>
      </c>
      <c r="N46" s="4" t="str">
        <f>IFERROR(HLOOKUP(D46,xHesaplama!$AG$99:$BZ$105,7,0),"")</f>
        <v/>
      </c>
      <c r="O46" s="4" t="str">
        <f>IFERROR(HLOOKUP(D46,xHesaplama!$AG$107:$BZ$114,8,0),"")</f>
        <v/>
      </c>
      <c r="P46" s="4" t="str">
        <f>IFERROR(HLOOKUP(D46,xHesaplama!$AG$116:$BZ$124,9,0),"")</f>
        <v/>
      </c>
      <c r="Q46" s="4" t="str">
        <f>IFERROR(HLOOKUP(D46,xHesaplama!$AG$126:$BZ$135,10,0),"")</f>
        <v/>
      </c>
      <c r="R46" s="4" t="str">
        <f>IFERROR(HLOOKUP(D46,xHesaplama!$AG$137:$BZ$147,11,0),"")</f>
        <v/>
      </c>
      <c r="S46" s="4" t="str">
        <f>IFERROR(HLOOKUP(D46,xHesaplama!$AH$149:$BZ$160,12,0),"")</f>
        <v/>
      </c>
      <c r="T46" s="4" t="str">
        <f>IFERROR(HLOOKUP(D46,xHesaplama!$AH$162:$BZ$174,13,0),"")</f>
        <v/>
      </c>
      <c r="U46" s="4" t="str">
        <f>IFERROR(HLOOKUP(D46,xHesaplama!$AH$176:$BZ$189,14,0),"")</f>
        <v/>
      </c>
      <c r="V46" s="4" t="str">
        <f>IFERROR(HLOOKUP(D46,xHesaplama!$AH$191:$BZ$205,15,0),"")</f>
        <v/>
      </c>
      <c r="W46" s="4" t="str">
        <f>IFERROR(HLOOKUP(D46,xHesaplama!$AH$207:$BZ$222,16,0),"")</f>
        <v/>
      </c>
      <c r="X46" s="4" t="str">
        <f>IFERROR(HLOOKUP(D46,xHesaplama!$AH$224:$BZ$240,17,0),"")</f>
        <v/>
      </c>
      <c r="Y46" s="4" t="str">
        <f>IFERROR(HLOOKUP(D46,xHesaplama!$AH$242:$BZ$259,18,0),"")</f>
        <v/>
      </c>
      <c r="Z46" s="4" t="str">
        <f>IFERROR(HLOOKUP(D46,xHesaplama!$AH$261:$BZ$279,19,0),"")</f>
        <v/>
      </c>
      <c r="AA46" s="4" t="str">
        <f>IFERROR(HLOOKUP(D46,xHesaplama!$AH$281:$BZ$300,20,0),"")</f>
        <v/>
      </c>
      <c r="AB46" s="4" t="str">
        <f>IFERROR(HLOOKUP(D46,xHesaplama!$AH$302:$BZ$322,21,0),"")</f>
        <v/>
      </c>
    </row>
    <row r="47" spans="4:28" ht="26.25">
      <c r="D47" s="53" t="s">
        <v>443</v>
      </c>
      <c r="E47" s="3" t="str">
        <f>'x Malzemeler ve Özellikleri'!S38</f>
        <v>MT</v>
      </c>
      <c r="F47" t="s">
        <v>80</v>
      </c>
      <c r="G47" s="9" t="str">
        <f>VLOOKUP(D47,'x Malzemeler ve Özellikleri'!$O$2:$P$136,2,0)</f>
        <v>BP.404</v>
      </c>
      <c r="H47" s="63">
        <f>VLOOKUP(D47,'x Malzemeler ve Özellikleri'!$O$2:$R$136,4,0)</f>
        <v>3.2664370078740164</v>
      </c>
      <c r="I47" s="4" t="str">
        <f>IFERROR(HLOOKUP(D47,xHesaplama!$AH$74:$BZ$75,2,0),"")</f>
        <v/>
      </c>
      <c r="J47" s="4" t="str">
        <f>IFERROR(HLOOKUP(D47,xHesaplama!$AG$77:$BZ$79,3,0),"")</f>
        <v/>
      </c>
      <c r="K47" s="4" t="str">
        <f>IFERROR(HLOOKUP(D47,xHesaplama!$AG$81:$BZ$84,4,0),"")</f>
        <v/>
      </c>
      <c r="L47" s="4" t="str">
        <f>IFERROR(HLOOKUP(D47,xHesaplama!$AG$86:$BZ$90,5,0),"")</f>
        <v/>
      </c>
      <c r="M47" s="4" t="str">
        <f>IFERROR(HLOOKUP(D47,xHesaplama!$AG$92:$BZ$97,6,0),"")</f>
        <v/>
      </c>
      <c r="N47" s="4" t="str">
        <f>IFERROR(HLOOKUP(D47,xHesaplama!$AG$99:$BZ$105,7,0),"")</f>
        <v/>
      </c>
      <c r="O47" s="4" t="str">
        <f>IFERROR(HLOOKUP(D47,xHesaplama!$AG$107:$BZ$114,8,0),"")</f>
        <v/>
      </c>
      <c r="P47" s="4" t="str">
        <f>IFERROR(HLOOKUP(D47,xHesaplama!$AG$116:$BZ$124,9,0),"")</f>
        <v/>
      </c>
      <c r="Q47" s="4" t="str">
        <f>IFERROR(HLOOKUP(D47,xHesaplama!$AG$126:$BZ$135,10,0),"")</f>
        <v/>
      </c>
      <c r="R47" s="4" t="str">
        <f>IFERROR(HLOOKUP(D47,xHesaplama!$AG$137:$BZ$147,11,0),"")</f>
        <v/>
      </c>
      <c r="S47" s="4" t="str">
        <f>IFERROR(HLOOKUP(D47,xHesaplama!$AH$149:$BZ$160,12,0),"")</f>
        <v/>
      </c>
      <c r="T47" s="4" t="str">
        <f>IFERROR(HLOOKUP(D47,xHesaplama!$AH$162:$BZ$174,13,0),"")</f>
        <v/>
      </c>
      <c r="U47" s="4" t="str">
        <f>IFERROR(HLOOKUP(D47,xHesaplama!$AH$176:$BZ$189,14,0),"")</f>
        <v/>
      </c>
      <c r="V47" s="4" t="str">
        <f>IFERROR(HLOOKUP(D47,xHesaplama!$AH$191:$BZ$205,15,0),"")</f>
        <v/>
      </c>
      <c r="W47" s="4" t="str">
        <f>IFERROR(HLOOKUP(D47,xHesaplama!$AH$207:$BZ$222,16,0),"")</f>
        <v/>
      </c>
      <c r="X47" s="4" t="str">
        <f>IFERROR(HLOOKUP(D47,xHesaplama!$AH$224:$BZ$240,17,0),"")</f>
        <v/>
      </c>
      <c r="Y47" s="4" t="str">
        <f>IFERROR(HLOOKUP(D47,xHesaplama!$AH$242:$BZ$259,18,0),"")</f>
        <v/>
      </c>
      <c r="Z47" s="4" t="str">
        <f>IFERROR(HLOOKUP(D47,xHesaplama!$AH$261:$BZ$279,19,0),"")</f>
        <v/>
      </c>
      <c r="AA47" s="4" t="str">
        <f>IFERROR(HLOOKUP(D47,xHesaplama!$AH$281:$BZ$300,20,0),"")</f>
        <v/>
      </c>
      <c r="AB47" s="4" t="str">
        <f>IFERROR(HLOOKUP(D47,xHesaplama!$AH$302:$BZ$322,21,0),"")</f>
        <v/>
      </c>
    </row>
    <row r="48" spans="4:28" ht="78.75">
      <c r="D48" s="53" t="s">
        <v>444</v>
      </c>
      <c r="E48" s="3" t="str">
        <f>'x Malzemeler ve Özellikleri'!S39</f>
        <v>MT</v>
      </c>
      <c r="F48" t="s">
        <v>81</v>
      </c>
      <c r="G48" s="9" t="str">
        <f>VLOOKUP(D48,'x Malzemeler ve Özellikleri'!$O$2:$P$136,2,0)</f>
        <v>KASA ALIN PROFİLİ - soft</v>
      </c>
      <c r="H48" s="63">
        <f>VLOOKUP(D48,'x Malzemeler ve Özellikleri'!$O$2:$R$136,4,0)</f>
        <v>3.2664370078740164</v>
      </c>
      <c r="I48" s="4" t="str">
        <f>IFERROR(HLOOKUP(D48,xHesaplama!$AH$74:$BZ$75,2,0),"")</f>
        <v/>
      </c>
      <c r="J48" s="4" t="str">
        <f>IFERROR(HLOOKUP(D48,xHesaplama!$AG$77:$BZ$79,3,0),"")</f>
        <v/>
      </c>
      <c r="K48" s="4" t="str">
        <f>IFERROR(HLOOKUP(D48,xHesaplama!$AG$81:$BZ$84,4,0),"")</f>
        <v/>
      </c>
      <c r="L48" s="4" t="str">
        <f>IFERROR(HLOOKUP(D48,xHesaplama!$AG$86:$BZ$90,5,0),"")</f>
        <v/>
      </c>
      <c r="M48" s="4" t="str">
        <f>IFERROR(HLOOKUP(D48,xHesaplama!$AG$92:$BZ$97,6,0),"")</f>
        <v/>
      </c>
      <c r="N48" s="4" t="str">
        <f>IFERROR(HLOOKUP(D48,xHesaplama!$AG$99:$BZ$105,7,0),"")</f>
        <v/>
      </c>
      <c r="O48" s="4" t="str">
        <f>IFERROR(HLOOKUP(D48,xHesaplama!$AG$107:$BZ$114,8,0),"")</f>
        <v/>
      </c>
      <c r="P48" s="4" t="str">
        <f>IFERROR(HLOOKUP(D48,xHesaplama!$AG$116:$BZ$124,9,0),"")</f>
        <v/>
      </c>
      <c r="Q48" s="4" t="str">
        <f>IFERROR(HLOOKUP(D48,xHesaplama!$AG$126:$BZ$135,10,0),"")</f>
        <v/>
      </c>
      <c r="R48" s="4" t="str">
        <f>IFERROR(HLOOKUP(D48,xHesaplama!$AG$137:$BZ$147,11,0),"")</f>
        <v/>
      </c>
      <c r="S48" s="4" t="str">
        <f>IFERROR(HLOOKUP(D48,xHesaplama!$AH$149:$BZ$160,12,0),"")</f>
        <v/>
      </c>
      <c r="T48" s="4" t="str">
        <f>IFERROR(HLOOKUP(D48,xHesaplama!$AH$162:$BZ$174,13,0),"")</f>
        <v/>
      </c>
      <c r="U48" s="4" t="str">
        <f>IFERROR(HLOOKUP(D48,xHesaplama!$AH$176:$BZ$189,14,0),"")</f>
        <v/>
      </c>
      <c r="V48" s="4" t="str">
        <f>IFERROR(HLOOKUP(D48,xHesaplama!$AH$191:$BZ$205,15,0),"")</f>
        <v/>
      </c>
      <c r="W48" s="4" t="str">
        <f>IFERROR(HLOOKUP(D48,xHesaplama!$AH$207:$BZ$222,16,0),"")</f>
        <v/>
      </c>
      <c r="X48" s="4" t="str">
        <f>IFERROR(HLOOKUP(D48,xHesaplama!$AH$224:$BZ$240,17,0),"")</f>
        <v/>
      </c>
      <c r="Y48" s="4" t="str">
        <f>IFERROR(HLOOKUP(D48,xHesaplama!$AH$242:$BZ$259,18,0),"")</f>
        <v/>
      </c>
      <c r="Z48" s="4" t="str">
        <f>IFERROR(HLOOKUP(D48,xHesaplama!$AH$261:$BZ$279,19,0),"")</f>
        <v/>
      </c>
      <c r="AA48" s="4" t="str">
        <f>IFERROR(HLOOKUP(D48,xHesaplama!$AH$281:$BZ$300,20,0),"")</f>
        <v/>
      </c>
      <c r="AB48" s="4" t="str">
        <f>IFERROR(HLOOKUP(D48,xHesaplama!$AH$302:$BZ$322,21,0),"")</f>
        <v/>
      </c>
    </row>
    <row r="49" spans="4:28" ht="78.75">
      <c r="D49" s="53" t="s">
        <v>445</v>
      </c>
      <c r="E49" s="3" t="str">
        <f>'x Malzemeler ve Özellikleri'!S40</f>
        <v>MT</v>
      </c>
      <c r="F49" t="s">
        <v>96</v>
      </c>
      <c r="G49" s="9" t="str">
        <f>VLOOKUP(D49,'x Malzemeler ve Özellikleri'!$O$2:$P$136,2,0)</f>
        <v>KASA ALIN PROFİLİ - round</v>
      </c>
      <c r="H49" s="63">
        <f>VLOOKUP(D49,'x Malzemeler ve Özellikleri'!$O$2:$R$136,4,0)</f>
        <v>3.2664370078740164</v>
      </c>
      <c r="I49" s="4" t="str">
        <f>IFERROR(HLOOKUP(D49,xHesaplama!$AH$74:$BZ$75,2,0),"")</f>
        <v/>
      </c>
      <c r="J49" s="4" t="str">
        <f>IFERROR(HLOOKUP(D49,xHesaplama!$AG$77:$BZ$79,3,0),"")</f>
        <v/>
      </c>
      <c r="K49" s="4" t="str">
        <f>IFERROR(HLOOKUP(D49,xHesaplama!$AG$81:$BZ$84,4,0),"")</f>
        <v/>
      </c>
      <c r="L49" s="4" t="str">
        <f>IFERROR(HLOOKUP(D49,xHesaplama!$AG$86:$BZ$90,5,0),"")</f>
        <v/>
      </c>
      <c r="M49" s="4" t="str">
        <f>IFERROR(HLOOKUP(D49,xHesaplama!$AG$92:$BZ$97,6,0),"")</f>
        <v/>
      </c>
      <c r="N49" s="4" t="str">
        <f>IFERROR(HLOOKUP(D49,xHesaplama!$AG$99:$BZ$105,7,0),"")</f>
        <v/>
      </c>
      <c r="O49" s="4" t="str">
        <f>IFERROR(HLOOKUP(D49,xHesaplama!$AG$107:$BZ$114,8,0),"")</f>
        <v/>
      </c>
      <c r="P49" s="4" t="str">
        <f>IFERROR(HLOOKUP(D49,xHesaplama!$AG$116:$BZ$124,9,0),"")</f>
        <v/>
      </c>
      <c r="Q49" s="4" t="str">
        <f>IFERROR(HLOOKUP(D49,xHesaplama!$AG$126:$BZ$135,10,0),"")</f>
        <v/>
      </c>
      <c r="R49" s="4" t="str">
        <f>IFERROR(HLOOKUP(D49,xHesaplama!$AG$137:$BZ$147,11,0),"")</f>
        <v/>
      </c>
      <c r="S49" s="4" t="str">
        <f>IFERROR(HLOOKUP(D49,xHesaplama!$AH$149:$BZ$160,12,0),"")</f>
        <v/>
      </c>
      <c r="T49" s="4" t="str">
        <f>IFERROR(HLOOKUP(D49,xHesaplama!$AH$162:$BZ$174,13,0),"")</f>
        <v/>
      </c>
      <c r="U49" s="4" t="str">
        <f>IFERROR(HLOOKUP(D49,xHesaplama!$AH$176:$BZ$189,14,0),"")</f>
        <v/>
      </c>
      <c r="V49" s="4" t="str">
        <f>IFERROR(HLOOKUP(D49,xHesaplama!$AH$191:$BZ$205,15,0),"")</f>
        <v/>
      </c>
      <c r="W49" s="4" t="str">
        <f>IFERROR(HLOOKUP(D49,xHesaplama!$AH$207:$BZ$222,16,0),"")</f>
        <v/>
      </c>
      <c r="X49" s="4" t="str">
        <f>IFERROR(HLOOKUP(D49,xHesaplama!$AH$224:$BZ$240,17,0),"")</f>
        <v/>
      </c>
      <c r="Y49" s="4" t="str">
        <f>IFERROR(HLOOKUP(D49,xHesaplama!$AH$242:$BZ$259,18,0),"")</f>
        <v/>
      </c>
      <c r="Z49" s="4" t="str">
        <f>IFERROR(HLOOKUP(D49,xHesaplama!$AH$261:$BZ$279,19,0),"")</f>
        <v/>
      </c>
      <c r="AA49" s="4" t="str">
        <f>IFERROR(HLOOKUP(D49,xHesaplama!$AH$281:$BZ$300,20,0),"")</f>
        <v/>
      </c>
      <c r="AB49" s="4" t="str">
        <f>IFERROR(HLOOKUP(D49,xHesaplama!$AH$302:$BZ$322,21,0),"")</f>
        <v/>
      </c>
    </row>
    <row r="50" spans="4:28" ht="26.25">
      <c r="D50" s="53" t="s">
        <v>446</v>
      </c>
      <c r="E50" s="3" t="str">
        <f>'x Malzemeler ve Özellikleri'!S41</f>
        <v>TAKIM</v>
      </c>
      <c r="F50" t="s">
        <v>30</v>
      </c>
      <c r="G50" s="9" t="str">
        <f>VLOOKUP(D50,'x Malzemeler ve Özellikleri'!$O$2:$P$136,2,0)</f>
        <v>BP.414</v>
      </c>
      <c r="H50" s="63">
        <f>VLOOKUP(D50,'x Malzemeler ve Özellikleri'!$O$2:$R$136,4,0)</f>
        <v>2.9694881889763782</v>
      </c>
      <c r="I50" s="4" t="str">
        <f>IFERROR(HLOOKUP(D50,xHesaplama!$AH$74:$BZ$75,2,0),"")</f>
        <v/>
      </c>
      <c r="J50" s="4" t="str">
        <f>IFERROR(HLOOKUP(D50,xHesaplama!$AG$77:$BZ$79,3,0),"")</f>
        <v/>
      </c>
      <c r="K50" s="4" t="str">
        <f>IFERROR(HLOOKUP(D50,xHesaplama!$AG$81:$BZ$84,4,0),"")</f>
        <v/>
      </c>
      <c r="L50" s="4" t="str">
        <f>IFERROR(HLOOKUP(D50,xHesaplama!$AG$86:$BZ$90,5,0),"")</f>
        <v/>
      </c>
      <c r="M50" s="4" t="str">
        <f>IFERROR(HLOOKUP(D50,xHesaplama!$AG$92:$BZ$97,6,0),"")</f>
        <v/>
      </c>
      <c r="N50" s="4" t="str">
        <f>IFERROR(HLOOKUP(D50,xHesaplama!$AG$99:$BZ$105,7,0),"")</f>
        <v/>
      </c>
      <c r="O50" s="4" t="str">
        <f>IFERROR(HLOOKUP(D50,xHesaplama!$AG$107:$BZ$114,8,0),"")</f>
        <v/>
      </c>
      <c r="P50" s="4" t="str">
        <f>IFERROR(HLOOKUP(D50,xHesaplama!$AG$116:$BZ$124,9,0),"")</f>
        <v/>
      </c>
      <c r="Q50" s="4" t="str">
        <f>IFERROR(HLOOKUP(D50,xHesaplama!$AG$126:$BZ$135,10,0),"")</f>
        <v/>
      </c>
      <c r="R50" s="4" t="str">
        <f>IFERROR(HLOOKUP(D50,xHesaplama!$AG$137:$BZ$147,11,0),"")</f>
        <v/>
      </c>
      <c r="S50" s="4" t="str">
        <f>IFERROR(HLOOKUP(D50,xHesaplama!$AH$149:$BZ$160,12,0),"")</f>
        <v/>
      </c>
      <c r="T50" s="4" t="str">
        <f>IFERROR(HLOOKUP(D50,xHesaplama!$AH$162:$BZ$174,13,0),"")</f>
        <v/>
      </c>
      <c r="U50" s="4" t="str">
        <f>IFERROR(HLOOKUP(D50,xHesaplama!$AH$176:$BZ$189,14,0),"")</f>
        <v/>
      </c>
      <c r="V50" s="4" t="str">
        <f>IFERROR(HLOOKUP(D50,xHesaplama!$AH$191:$BZ$205,15,0),"")</f>
        <v/>
      </c>
      <c r="W50" s="4" t="str">
        <f>IFERROR(HLOOKUP(D50,xHesaplama!$AH$207:$BZ$222,16,0),"")</f>
        <v/>
      </c>
      <c r="X50" s="4" t="str">
        <f>IFERROR(HLOOKUP(D50,xHesaplama!$AH$224:$BZ$240,17,0),"")</f>
        <v/>
      </c>
      <c r="Y50" s="4" t="str">
        <f>IFERROR(HLOOKUP(D50,xHesaplama!$AH$242:$BZ$259,18,0),"")</f>
        <v/>
      </c>
      <c r="Z50" s="4" t="str">
        <f>IFERROR(HLOOKUP(D50,xHesaplama!$AH$261:$BZ$279,19,0),"")</f>
        <v/>
      </c>
      <c r="AA50" s="4" t="str">
        <f>IFERROR(HLOOKUP(D50,xHesaplama!$AH$281:$BZ$300,20,0),"")</f>
        <v/>
      </c>
      <c r="AB50" s="4" t="str">
        <f>IFERROR(HLOOKUP(D50,xHesaplama!$AH$302:$BZ$322,21,0),"")</f>
        <v/>
      </c>
    </row>
    <row r="51" spans="4:28" ht="26.25">
      <c r="D51" s="9" t="s">
        <v>483</v>
      </c>
      <c r="E51" s="3" t="str">
        <f>'x Malzemeler ve Özellikleri'!S42</f>
        <v>MT</v>
      </c>
      <c r="F51" t="s">
        <v>9</v>
      </c>
      <c r="G51" s="9" t="str">
        <f>VLOOKUP(D51,'x Malzemeler ve Özellikleri'!$O$2:$P$136,2,0)</f>
        <v>FERMUAR</v>
      </c>
      <c r="H51" s="63">
        <f>VLOOKUP(D51,'x Malzemeler ve Özellikleri'!$O$2:$R$136,4,0)</f>
        <v>2</v>
      </c>
      <c r="I51" s="4" t="str">
        <f>IFERROR(HLOOKUP(D51,xHesaplama!$AH$74:$BZ$75,2,0),"")</f>
        <v/>
      </c>
      <c r="J51" s="4" t="str">
        <f>IFERROR(HLOOKUP(D51,xHesaplama!$AG$77:$BZ$79,3,0),"")</f>
        <v/>
      </c>
      <c r="K51" s="4" t="str">
        <f>IFERROR(HLOOKUP(D51,xHesaplama!$AG$81:$BZ$84,4,0),"")</f>
        <v/>
      </c>
      <c r="L51" s="4" t="str">
        <f>IFERROR(HLOOKUP(D51,xHesaplama!$AG$86:$BZ$90,5,0),"")</f>
        <v/>
      </c>
      <c r="M51" s="4" t="str">
        <f>IFERROR(HLOOKUP(D51,xHesaplama!$AG$92:$BZ$97,6,0),"")</f>
        <v/>
      </c>
      <c r="N51" s="4" t="str">
        <f>IFERROR(HLOOKUP(D51,xHesaplama!$AG$99:$BZ$105,7,0),"")</f>
        <v/>
      </c>
      <c r="O51" s="4" t="str">
        <f>IFERROR(HLOOKUP(D51,xHesaplama!$AG$107:$BZ$114,8,0),"")</f>
        <v/>
      </c>
      <c r="P51" s="4" t="str">
        <f>IFERROR(HLOOKUP(D51,xHesaplama!$AG$116:$BZ$124,9,0),"")</f>
        <v/>
      </c>
      <c r="Q51" s="4" t="str">
        <f>IFERROR(HLOOKUP(D51,xHesaplama!$AG$126:$BZ$135,10,0),"")</f>
        <v/>
      </c>
      <c r="R51" s="4" t="str">
        <f>IFERROR(HLOOKUP(D51,xHesaplama!$AG$137:$BZ$147,11,0),"")</f>
        <v/>
      </c>
      <c r="S51" s="4" t="str">
        <f>IFERROR(HLOOKUP(D51,xHesaplama!$AH$149:$BZ$160,12,0),"")</f>
        <v/>
      </c>
      <c r="T51" s="4" t="str">
        <f>IFERROR(HLOOKUP(D51,xHesaplama!$AH$162:$BZ$174,13,0),"")</f>
        <v/>
      </c>
      <c r="U51" s="4" t="str">
        <f>IFERROR(HLOOKUP(D51,xHesaplama!$AH$176:$BZ$189,14,0),"")</f>
        <v/>
      </c>
      <c r="V51" s="4" t="str">
        <f>IFERROR(HLOOKUP(D51,xHesaplama!$AH$191:$BZ$205,15,0),"")</f>
        <v/>
      </c>
      <c r="W51" s="4" t="str">
        <f>IFERROR(HLOOKUP(D51,xHesaplama!$AH$207:$BZ$222,16,0),"")</f>
        <v/>
      </c>
      <c r="X51" s="4" t="str">
        <f>IFERROR(HLOOKUP(D51,xHesaplama!$AH$224:$BZ$240,17,0),"")</f>
        <v/>
      </c>
      <c r="Y51" s="4" t="str">
        <f>IFERROR(HLOOKUP(D51,xHesaplama!$AH$242:$BZ$259,18,0),"")</f>
        <v/>
      </c>
      <c r="Z51" s="4" t="str">
        <f>IFERROR(HLOOKUP(D51,xHesaplama!$AH$261:$BZ$279,19,0),"")</f>
        <v/>
      </c>
      <c r="AA51" s="4" t="str">
        <f>IFERROR(HLOOKUP(D51,xHesaplama!$AH$281:$BZ$300,20,0),"")</f>
        <v/>
      </c>
      <c r="AB51" s="4" t="str">
        <f>IFERROR(HLOOKUP(D51,xHesaplama!$AH$302:$BZ$322,21,0),"")</f>
        <v/>
      </c>
    </row>
    <row r="52" spans="4:28" ht="26.25">
      <c r="D52" s="9" t="s">
        <v>482</v>
      </c>
      <c r="E52" s="3" t="str">
        <f>'x Malzemeler ve Özellikleri'!S43</f>
        <v>MT</v>
      </c>
      <c r="F52" t="s">
        <v>3</v>
      </c>
      <c r="G52" s="9" t="str">
        <f>VLOOKUP(D52,'x Malzemeler ve Özellikleri'!$O$2:$P$136,2,0)</f>
        <v>78BOR</v>
      </c>
      <c r="H52" s="63">
        <f>VLOOKUP(D52,'x Malzemeler ve Özellikleri'!$O$2:$R$136,4,0)</f>
        <v>2.4604330708661419</v>
      </c>
      <c r="I52" s="4" t="str">
        <f>IFERROR(HLOOKUP(D52,xHesaplama!$AH$74:$BZ$75,2,0),"")</f>
        <v/>
      </c>
      <c r="J52" s="4" t="str">
        <f>IFERROR(HLOOKUP(D52,xHesaplama!$AG$77:$BZ$79,3,0),"")</f>
        <v/>
      </c>
      <c r="K52" s="4" t="str">
        <f>IFERROR(HLOOKUP(D52,xHesaplama!$AG$81:$BZ$84,4,0),"")</f>
        <v/>
      </c>
      <c r="L52" s="4" t="str">
        <f>IFERROR(HLOOKUP(D52,xHesaplama!$AG$86:$BZ$90,5,0),"")</f>
        <v/>
      </c>
      <c r="M52" s="4" t="str">
        <f>IFERROR(HLOOKUP(D52,xHesaplama!$AG$92:$BZ$97,6,0),"")</f>
        <v/>
      </c>
      <c r="N52" s="4" t="str">
        <f>IFERROR(HLOOKUP(D52,xHesaplama!$AG$99:$BZ$105,7,0),"")</f>
        <v/>
      </c>
      <c r="O52" s="4" t="str">
        <f>IFERROR(HLOOKUP(D52,xHesaplama!$AG$107:$BZ$114,8,0),"")</f>
        <v/>
      </c>
      <c r="P52" s="4" t="str">
        <f>IFERROR(HLOOKUP(D52,xHesaplama!$AG$116:$BZ$124,9,0),"")</f>
        <v/>
      </c>
      <c r="Q52" s="4" t="str">
        <f>IFERROR(HLOOKUP(D52,xHesaplama!$AG$126:$BZ$135,10,0),"")</f>
        <v/>
      </c>
      <c r="R52" s="4" t="str">
        <f>IFERROR(HLOOKUP(D52,xHesaplama!$AG$137:$BZ$147,11,0),"")</f>
        <v/>
      </c>
      <c r="S52" s="4" t="str">
        <f>IFERROR(HLOOKUP(D52,xHesaplama!$AH$149:$BZ$160,12,0),"")</f>
        <v/>
      </c>
      <c r="T52" s="4" t="str">
        <f>IFERROR(HLOOKUP(D52,xHesaplama!$AH$162:$BZ$174,13,0),"")</f>
        <v/>
      </c>
      <c r="U52" s="4" t="str">
        <f>IFERROR(HLOOKUP(D52,xHesaplama!$AH$176:$BZ$189,14,0),"")</f>
        <v/>
      </c>
      <c r="V52" s="4" t="str">
        <f>IFERROR(HLOOKUP(D52,xHesaplama!$AH$191:$BZ$205,15,0),"")</f>
        <v/>
      </c>
      <c r="W52" s="4" t="str">
        <f>IFERROR(HLOOKUP(D52,xHesaplama!$AH$207:$BZ$222,16,0),"")</f>
        <v/>
      </c>
      <c r="X52" s="4" t="str">
        <f>IFERROR(HLOOKUP(D52,xHesaplama!$AH$224:$BZ$240,17,0),"")</f>
        <v/>
      </c>
      <c r="Y52" s="4" t="str">
        <f>IFERROR(HLOOKUP(D52,xHesaplama!$AH$242:$BZ$259,18,0),"")</f>
        <v/>
      </c>
      <c r="Z52" s="4" t="str">
        <f>IFERROR(HLOOKUP(D52,xHesaplama!$AH$261:$BZ$279,19,0),"")</f>
        <v/>
      </c>
      <c r="AA52" s="4" t="str">
        <f>IFERROR(HLOOKUP(D52,xHesaplama!$AH$281:$BZ$300,20,0),"")</f>
        <v/>
      </c>
      <c r="AB52" s="4" t="str">
        <f>IFERROR(HLOOKUP(D52,xHesaplama!$AH$302:$BZ$322,21,0),"")</f>
        <v/>
      </c>
    </row>
    <row r="53" spans="4:28" ht="26.25">
      <c r="D53" s="9" t="s">
        <v>447</v>
      </c>
      <c r="E53" s="3" t="str">
        <f>'x Malzemeler ve Özellikleri'!S44</f>
        <v>ADET</v>
      </c>
      <c r="F53" t="s">
        <v>58</v>
      </c>
      <c r="G53" s="9" t="str">
        <f>VLOOKUP(D53,'x Malzemeler ve Özellikleri'!$O$2:$P$136,2,0)</f>
        <v>BP.434</v>
      </c>
      <c r="H53" s="63">
        <f>VLOOKUP(D53,'x Malzemeler ve Özellikleri'!$O$2:$R$136,4,0)</f>
        <v>1.3405118110236223</v>
      </c>
      <c r="I53" s="4" t="str">
        <f>IFERROR(HLOOKUP(D53,xHesaplama!$AH$74:$BZ$75,2,0),"")</f>
        <v/>
      </c>
      <c r="J53" s="4" t="str">
        <f>IFERROR(HLOOKUP(D53,xHesaplama!$AG$77:$BZ$79,3,0),"")</f>
        <v/>
      </c>
      <c r="K53" s="4" t="str">
        <f>IFERROR(HLOOKUP(D53,xHesaplama!$AG$81:$BZ$84,4,0),"")</f>
        <v/>
      </c>
      <c r="L53" s="4" t="str">
        <f>IFERROR(HLOOKUP(D53,xHesaplama!$AG$86:$BZ$90,5,0),"")</f>
        <v/>
      </c>
      <c r="M53" s="4" t="str">
        <f>IFERROR(HLOOKUP(D53,xHesaplama!$AG$92:$BZ$97,6,0),"")</f>
        <v/>
      </c>
      <c r="N53" s="4" t="str">
        <f>IFERROR(HLOOKUP(D53,xHesaplama!$AG$99:$BZ$105,7,0),"")</f>
        <v/>
      </c>
      <c r="O53" s="4" t="str">
        <f>IFERROR(HLOOKUP(D53,xHesaplama!$AG$107:$BZ$114,8,0),"")</f>
        <v/>
      </c>
      <c r="P53" s="4" t="str">
        <f>IFERROR(HLOOKUP(D53,xHesaplama!$AG$116:$BZ$124,9,0),"")</f>
        <v/>
      </c>
      <c r="Q53" s="4" t="str">
        <f>IFERROR(HLOOKUP(D53,xHesaplama!$AG$126:$BZ$135,10,0),"")</f>
        <v/>
      </c>
      <c r="R53" s="4" t="str">
        <f>IFERROR(HLOOKUP(D53,xHesaplama!$AG$137:$BZ$147,11,0),"")</f>
        <v/>
      </c>
      <c r="S53" s="4" t="str">
        <f>IFERROR(HLOOKUP(D53,xHesaplama!$AH$149:$BZ$160,12,0),"")</f>
        <v/>
      </c>
      <c r="T53" s="4" t="str">
        <f>IFERROR(HLOOKUP(D53,xHesaplama!$AH$162:$BZ$174,13,0),"")</f>
        <v/>
      </c>
      <c r="U53" s="4" t="str">
        <f>IFERROR(HLOOKUP(D53,xHesaplama!$AH$176:$BZ$189,14,0),"")</f>
        <v/>
      </c>
      <c r="V53" s="4" t="str">
        <f>IFERROR(HLOOKUP(D53,xHesaplama!$AH$191:$BZ$205,15,0),"")</f>
        <v/>
      </c>
      <c r="W53" s="4" t="str">
        <f>IFERROR(HLOOKUP(D53,xHesaplama!$AH$207:$BZ$222,16,0),"")</f>
        <v/>
      </c>
      <c r="X53" s="4" t="str">
        <f>IFERROR(HLOOKUP(D53,xHesaplama!$AH$224:$BZ$240,17,0),"")</f>
        <v/>
      </c>
      <c r="Y53" s="4" t="str">
        <f>IFERROR(HLOOKUP(D53,xHesaplama!$AH$242:$BZ$259,18,0),"")</f>
        <v/>
      </c>
      <c r="Z53" s="4" t="str">
        <f>IFERROR(HLOOKUP(D53,xHesaplama!$AH$261:$BZ$279,19,0),"")</f>
        <v/>
      </c>
      <c r="AA53" s="4" t="str">
        <f>IFERROR(HLOOKUP(D53,xHesaplama!$AH$281:$BZ$300,20,0),"")</f>
        <v/>
      </c>
      <c r="AB53" s="4" t="str">
        <f>IFERROR(HLOOKUP(D53,xHesaplama!$AH$302:$BZ$322,21,0),"")</f>
        <v/>
      </c>
    </row>
    <row r="54" spans="4:28" ht="26.25">
      <c r="D54" s="9" t="s">
        <v>682</v>
      </c>
      <c r="E54" s="3" t="str">
        <f>'x Malzemeler ve Özellikleri'!S45</f>
        <v>MT</v>
      </c>
      <c r="F54" t="s">
        <v>132</v>
      </c>
      <c r="G54" s="9" t="str">
        <f>VLOOKUP(D54,'x Malzemeler ve Özellikleri'!$O$2:$P$136,2,0)</f>
        <v>BP.422</v>
      </c>
      <c r="H54" s="63">
        <f>VLOOKUP(D54,'x Malzemeler ve Özellikleri'!$O$2:$R$136,4,0)</f>
        <v>0.58541338582677171</v>
      </c>
      <c r="I54" s="4" t="str">
        <f>IFERROR(HLOOKUP(D54,xHesaplama!$AH$74:$BZ$75,2,0),"")</f>
        <v/>
      </c>
      <c r="J54" s="4" t="str">
        <f>IFERROR(HLOOKUP(D54,xHesaplama!$AG$77:$BZ$79,3,0),"")</f>
        <v/>
      </c>
      <c r="K54" s="4" t="str">
        <f>IFERROR(HLOOKUP(D54,xHesaplama!$AG$81:$BZ$84,4,0),"")</f>
        <v/>
      </c>
      <c r="L54" s="4" t="str">
        <f>IFERROR(HLOOKUP(D54,xHesaplama!$AG$86:$BZ$90,5,0),"")</f>
        <v/>
      </c>
      <c r="M54" s="4" t="str">
        <f>IFERROR(HLOOKUP(D54,xHesaplama!$AG$92:$BZ$97,6,0),"")</f>
        <v/>
      </c>
      <c r="N54" s="4" t="str">
        <f>IFERROR(HLOOKUP(D54,xHesaplama!$AG$99:$BZ$105,7,0),"")</f>
        <v/>
      </c>
      <c r="O54" s="4" t="str">
        <f>IFERROR(HLOOKUP(D54,xHesaplama!$AG$107:$BZ$114,8,0),"")</f>
        <v/>
      </c>
      <c r="P54" s="4" t="str">
        <f>IFERROR(HLOOKUP(D54,xHesaplama!$AG$116:$BZ$124,9,0),"")</f>
        <v/>
      </c>
      <c r="Q54" s="4" t="str">
        <f>IFERROR(HLOOKUP(D54,xHesaplama!$AG$126:$BZ$135,10,0),"")</f>
        <v/>
      </c>
      <c r="R54" s="4" t="str">
        <f>IFERROR(HLOOKUP(D54,xHesaplama!$AG$137:$BZ$147,11,0),"")</f>
        <v/>
      </c>
      <c r="S54" s="4" t="str">
        <f>IFERROR(HLOOKUP(D54,xHesaplama!$AH$149:$BZ$160,12,0),"")</f>
        <v/>
      </c>
      <c r="T54" s="4" t="str">
        <f>IFERROR(HLOOKUP(D54,xHesaplama!$AH$162:$BZ$174,13,0),"")</f>
        <v/>
      </c>
      <c r="U54" s="4" t="str">
        <f>IFERROR(HLOOKUP(D54,xHesaplama!$AH$176:$BZ$189,14,0),"")</f>
        <v/>
      </c>
      <c r="V54" s="4" t="str">
        <f>IFERROR(HLOOKUP(D54,xHesaplama!$AH$191:$BZ$205,15,0),"")</f>
        <v/>
      </c>
      <c r="W54" s="4" t="str">
        <f>IFERROR(HLOOKUP(D54,xHesaplama!$AH$207:$BZ$222,16,0),"")</f>
        <v/>
      </c>
      <c r="X54" s="4" t="str">
        <f>IFERROR(HLOOKUP(D54,xHesaplama!$AH$224:$BZ$240,17,0),"")</f>
        <v/>
      </c>
      <c r="Y54" s="4" t="str">
        <f>IFERROR(HLOOKUP(D54,xHesaplama!$AH$242:$BZ$259,18,0),"")</f>
        <v/>
      </c>
      <c r="Z54" s="4" t="str">
        <f>IFERROR(HLOOKUP(D54,xHesaplama!$AH$261:$BZ$279,19,0),"")</f>
        <v/>
      </c>
      <c r="AA54" s="4" t="str">
        <f>IFERROR(HLOOKUP(D54,xHesaplama!$AH$281:$BZ$300,20,0),"")</f>
        <v/>
      </c>
      <c r="AB54" s="4" t="str">
        <f>IFERROR(HLOOKUP(D54,xHesaplama!$AH$302:$BZ$322,21,0),"")</f>
        <v/>
      </c>
    </row>
    <row r="55" spans="4:28" ht="52.5">
      <c r="D55" s="9" t="s">
        <v>449</v>
      </c>
      <c r="E55" s="3" t="str">
        <f>'x Malzemeler ve Özellikleri'!S46</f>
        <v>ADET</v>
      </c>
      <c r="F55" t="s">
        <v>131</v>
      </c>
      <c r="G55" s="9" t="str">
        <f>VLOOKUP(D55,'x Malzemeler ve Özellikleri'!$O$2:$P$136,2,0)</f>
        <v>GERDİRME ÇELİK YAY</v>
      </c>
      <c r="H55" s="63">
        <f>VLOOKUP(D55,'x Malzemeler ve Özellikleri'!$O$2:$R$136,4,0)</f>
        <v>0.2</v>
      </c>
      <c r="I55" s="4" t="str">
        <f>IFERROR(HLOOKUP(D55,xHesaplama!$AH$74:$BZ$75,2,0),"")</f>
        <v/>
      </c>
      <c r="J55" s="4" t="str">
        <f>IFERROR(HLOOKUP(D55,xHesaplama!$AG$77:$BZ$79,3,0),"")</f>
        <v/>
      </c>
      <c r="K55" s="4" t="str">
        <f>IFERROR(HLOOKUP(D55,xHesaplama!$AG$81:$BZ$84,4,0),"")</f>
        <v/>
      </c>
      <c r="L55" s="4" t="str">
        <f>IFERROR(HLOOKUP(D55,xHesaplama!$AG$86:$BZ$90,5,0),"")</f>
        <v/>
      </c>
      <c r="M55" s="4" t="str">
        <f>IFERROR(HLOOKUP(D55,xHesaplama!$AG$92:$BZ$97,6,0),"")</f>
        <v/>
      </c>
      <c r="N55" s="4" t="str">
        <f>IFERROR(HLOOKUP(D55,xHesaplama!$AG$99:$BZ$105,7,0),"")</f>
        <v/>
      </c>
      <c r="O55" s="4" t="str">
        <f>IFERROR(HLOOKUP(D55,xHesaplama!$AG$107:$BZ$114,8,0),"")</f>
        <v/>
      </c>
      <c r="P55" s="4" t="str">
        <f>IFERROR(HLOOKUP(D55,xHesaplama!$AG$116:$BZ$124,9,0),"")</f>
        <v/>
      </c>
      <c r="Q55" s="4" t="str">
        <f>IFERROR(HLOOKUP(D55,xHesaplama!$AG$126:$BZ$135,10,0),"")</f>
        <v/>
      </c>
      <c r="R55" s="4" t="str">
        <f>IFERROR(HLOOKUP(D55,xHesaplama!$AG$137:$BZ$147,11,0),"")</f>
        <v/>
      </c>
      <c r="S55" s="4" t="str">
        <f>IFERROR(HLOOKUP(D55,xHesaplama!$AH$149:$BZ$160,12,0),"")</f>
        <v/>
      </c>
      <c r="T55" s="4" t="str">
        <f>IFERROR(HLOOKUP(D55,xHesaplama!$AH$162:$BZ$174,13,0),"")</f>
        <v/>
      </c>
      <c r="U55" s="4" t="str">
        <f>IFERROR(HLOOKUP(D55,xHesaplama!$AH$176:$BZ$189,14,0),"")</f>
        <v/>
      </c>
      <c r="V55" s="4" t="str">
        <f>IFERROR(HLOOKUP(D55,xHesaplama!$AH$191:$BZ$205,15,0),"")</f>
        <v/>
      </c>
      <c r="W55" s="4" t="str">
        <f>IFERROR(HLOOKUP(D55,xHesaplama!$AH$207:$BZ$222,16,0),"")</f>
        <v/>
      </c>
      <c r="X55" s="4" t="str">
        <f>IFERROR(HLOOKUP(D55,xHesaplama!$AH$224:$BZ$240,17,0),"")</f>
        <v/>
      </c>
      <c r="Y55" s="4" t="str">
        <f>IFERROR(HLOOKUP(D55,xHesaplama!$AH$242:$BZ$259,18,0),"")</f>
        <v/>
      </c>
      <c r="Z55" s="4" t="str">
        <f>IFERROR(HLOOKUP(D55,xHesaplama!$AH$261:$BZ$279,19,0),"")</f>
        <v/>
      </c>
      <c r="AA55" s="4" t="str">
        <f>IFERROR(HLOOKUP(D55,xHesaplama!$AH$281:$BZ$300,20,0),"")</f>
        <v/>
      </c>
      <c r="AB55" s="4" t="str">
        <f>IFERROR(HLOOKUP(D55,xHesaplama!$AH$302:$BZ$322,21,0),"")</f>
        <v/>
      </c>
    </row>
    <row r="56" spans="4:28" ht="26.25">
      <c r="D56" s="9" t="s">
        <v>450</v>
      </c>
      <c r="E56" s="3" t="str">
        <f>'x Malzemeler ve Özellikleri'!S47</f>
        <v>ADET</v>
      </c>
      <c r="F56" t="s">
        <v>60</v>
      </c>
      <c r="G56" s="9" t="str">
        <f>VLOOKUP(D56,'x Malzemeler ve Özellikleri'!$O$2:$P$136,2,0)</f>
        <v>BP.413</v>
      </c>
      <c r="H56" s="63">
        <f>VLOOKUP(D56,'x Malzemeler ve Özellikleri'!$O$2:$R$136,4,0)</f>
        <v>0.70419291338582679</v>
      </c>
      <c r="I56" s="4" t="str">
        <f>IFERROR(HLOOKUP(D56,xHesaplama!$AH$74:$BZ$75,2,0),"")</f>
        <v/>
      </c>
      <c r="J56" s="4" t="str">
        <f>IFERROR(HLOOKUP(D56,xHesaplama!$AG$77:$BZ$79,3,0),"")</f>
        <v/>
      </c>
      <c r="K56" s="4" t="str">
        <f>IFERROR(HLOOKUP(D56,xHesaplama!$AG$81:$BZ$84,4,0),"")</f>
        <v/>
      </c>
      <c r="L56" s="4" t="str">
        <f>IFERROR(HLOOKUP(D56,xHesaplama!$AG$86:$BZ$90,5,0),"")</f>
        <v/>
      </c>
      <c r="M56" s="4" t="str">
        <f>IFERROR(HLOOKUP(D56,xHesaplama!$AG$92:$BZ$97,6,0),"")</f>
        <v/>
      </c>
      <c r="N56" s="4" t="str">
        <f>IFERROR(HLOOKUP(D56,xHesaplama!$AG$99:$BZ$105,7,0),"")</f>
        <v/>
      </c>
      <c r="O56" s="4" t="str">
        <f>IFERROR(HLOOKUP(D56,xHesaplama!$AG$107:$BZ$114,8,0),"")</f>
        <v/>
      </c>
      <c r="P56" s="4" t="str">
        <f>IFERROR(HLOOKUP(D56,xHesaplama!$AG$116:$BZ$124,9,0),"")</f>
        <v/>
      </c>
      <c r="Q56" s="4" t="str">
        <f>IFERROR(HLOOKUP(D56,xHesaplama!$AG$126:$BZ$135,10,0),"")</f>
        <v/>
      </c>
      <c r="R56" s="4" t="str">
        <f>IFERROR(HLOOKUP(D56,xHesaplama!$AG$137:$BZ$147,11,0),"")</f>
        <v/>
      </c>
      <c r="S56" s="4" t="str">
        <f>IFERROR(HLOOKUP(D56,xHesaplama!$AH$149:$BZ$160,12,0),"")</f>
        <v/>
      </c>
      <c r="T56" s="4" t="str">
        <f>IFERROR(HLOOKUP(D56,xHesaplama!$AH$162:$BZ$174,13,0),"")</f>
        <v/>
      </c>
      <c r="U56" s="4" t="str">
        <f>IFERROR(HLOOKUP(D56,xHesaplama!$AH$176:$BZ$189,14,0),"")</f>
        <v/>
      </c>
      <c r="V56" s="4" t="str">
        <f>IFERROR(HLOOKUP(D56,xHesaplama!$AH$191:$BZ$205,15,0),"")</f>
        <v/>
      </c>
      <c r="W56" s="4" t="str">
        <f>IFERROR(HLOOKUP(D56,xHesaplama!$AH$207:$BZ$222,16,0),"")</f>
        <v/>
      </c>
      <c r="X56" s="4" t="str">
        <f>IFERROR(HLOOKUP(D56,xHesaplama!$AH$224:$BZ$240,17,0),"")</f>
        <v/>
      </c>
      <c r="Y56" s="4" t="str">
        <f>IFERROR(HLOOKUP(D56,xHesaplama!$AH$242:$BZ$259,18,0),"")</f>
        <v/>
      </c>
      <c r="Z56" s="4" t="str">
        <f>IFERROR(HLOOKUP(D56,xHesaplama!$AH$261:$BZ$279,19,0),"")</f>
        <v/>
      </c>
      <c r="AA56" s="4" t="str">
        <f>IFERROR(HLOOKUP(D56,xHesaplama!$AH$281:$BZ$300,20,0),"")</f>
        <v/>
      </c>
      <c r="AB56" s="4" t="str">
        <f>IFERROR(HLOOKUP(D56,xHesaplama!$AH$302:$BZ$322,21,0),"")</f>
        <v/>
      </c>
    </row>
    <row r="57" spans="4:28" ht="26.25">
      <c r="D57" s="53" t="s">
        <v>451</v>
      </c>
      <c r="E57" s="3" t="str">
        <f>'x Malzemeler ve Özellikleri'!S48</f>
        <v>ADET</v>
      </c>
      <c r="F57" t="s">
        <v>62</v>
      </c>
      <c r="G57" s="9" t="str">
        <f>VLOOKUP(D57,'x Malzemeler ve Özellikleri'!$O$2:$P$136,2,0)</f>
        <v>BP.411</v>
      </c>
      <c r="H57" s="63">
        <f>VLOOKUP(D57,'x Malzemeler ve Özellikleri'!$O$2:$R$136,4,0)</f>
        <v>0.76358267716535444</v>
      </c>
      <c r="I57" s="4" t="str">
        <f>IFERROR(HLOOKUP(D57,xHesaplama!$AH$74:$BZ$75,2,0),"")</f>
        <v/>
      </c>
      <c r="J57" s="4" t="str">
        <f>IFERROR(HLOOKUP(D57,xHesaplama!$AG$77:$BZ$79,3,0),"")</f>
        <v/>
      </c>
      <c r="K57" s="4" t="str">
        <f>IFERROR(HLOOKUP(D57,xHesaplama!$AG$81:$BZ$84,4,0),"")</f>
        <v/>
      </c>
      <c r="L57" s="4" t="str">
        <f>IFERROR(HLOOKUP(D57,xHesaplama!$AG$86:$BZ$90,5,0),"")</f>
        <v/>
      </c>
      <c r="M57" s="4" t="str">
        <f>IFERROR(HLOOKUP(D57,xHesaplama!$AG$92:$BZ$97,6,0),"")</f>
        <v/>
      </c>
      <c r="N57" s="4" t="str">
        <f>IFERROR(HLOOKUP(D57,xHesaplama!$AG$99:$BZ$105,7,0),"")</f>
        <v/>
      </c>
      <c r="O57" s="4" t="str">
        <f>IFERROR(HLOOKUP(D57,xHesaplama!$AG$107:$BZ$114,8,0),"")</f>
        <v/>
      </c>
      <c r="P57" s="4" t="str">
        <f>IFERROR(HLOOKUP(D57,xHesaplama!$AG$116:$BZ$124,9,0),"")</f>
        <v/>
      </c>
      <c r="Q57" s="4" t="str">
        <f>IFERROR(HLOOKUP(D57,xHesaplama!$AG$126:$BZ$135,10,0),"")</f>
        <v/>
      </c>
      <c r="R57" s="4" t="str">
        <f>IFERROR(HLOOKUP(D57,xHesaplama!$AG$137:$BZ$147,11,0),"")</f>
        <v/>
      </c>
      <c r="S57" s="4" t="str">
        <f>IFERROR(HLOOKUP(D57,xHesaplama!$AH$149:$BZ$160,12,0),"")</f>
        <v/>
      </c>
      <c r="T57" s="4" t="str">
        <f>IFERROR(HLOOKUP(D57,xHesaplama!$AH$162:$BZ$174,13,0),"")</f>
        <v/>
      </c>
      <c r="U57" s="4" t="str">
        <f>IFERROR(HLOOKUP(D57,xHesaplama!$AH$176:$BZ$189,14,0),"")</f>
        <v/>
      </c>
      <c r="V57" s="4" t="str">
        <f>IFERROR(HLOOKUP(D57,xHesaplama!$AH$191:$BZ$205,15,0),"")</f>
        <v/>
      </c>
      <c r="W57" s="4" t="str">
        <f>IFERROR(HLOOKUP(D57,xHesaplama!$AH$207:$BZ$222,16,0),"")</f>
        <v/>
      </c>
      <c r="X57" s="4" t="str">
        <f>IFERROR(HLOOKUP(D57,xHesaplama!$AH$224:$BZ$240,17,0),"")</f>
        <v/>
      </c>
      <c r="Y57" s="4" t="str">
        <f>IFERROR(HLOOKUP(D57,xHesaplama!$AH$242:$BZ$259,18,0),"")</f>
        <v/>
      </c>
      <c r="Z57" s="4" t="str">
        <f>IFERROR(HLOOKUP(D57,xHesaplama!$AH$261:$BZ$279,19,0),"")</f>
        <v/>
      </c>
      <c r="AA57" s="4" t="str">
        <f>IFERROR(HLOOKUP(D57,xHesaplama!$AH$281:$BZ$300,20,0),"")</f>
        <v/>
      </c>
      <c r="AB57" s="4" t="str">
        <f>IFERROR(HLOOKUP(D57,xHesaplama!$AH$302:$BZ$322,21,0),"")</f>
        <v/>
      </c>
    </row>
    <row r="58" spans="4:28" ht="26.25">
      <c r="D58" s="9" t="s">
        <v>452</v>
      </c>
      <c r="E58" s="3" t="str">
        <f>'x Malzemeler ve Özellikleri'!S49</f>
        <v>MT</v>
      </c>
      <c r="F58" t="s">
        <v>64</v>
      </c>
      <c r="G58" s="9" t="str">
        <f>VLOOKUP(D58,'x Malzemeler ve Özellikleri'!$O$2:$P$136,2,0)</f>
        <v>BP.405</v>
      </c>
      <c r="H58" s="63">
        <f>VLOOKUP(D58,'x Malzemeler ve Özellikleri'!$O$2:$R$136,4,0)</f>
        <v>2.6691456692913391</v>
      </c>
      <c r="I58" s="4" t="str">
        <f>IFERROR(HLOOKUP(D58,xHesaplama!$AH$74:$BZ$75,2,0),"")</f>
        <v/>
      </c>
      <c r="J58" s="4" t="str">
        <f>IFERROR(HLOOKUP(D58,xHesaplama!$AG$77:$BZ$79,3,0),"")</f>
        <v/>
      </c>
      <c r="K58" s="4" t="str">
        <f>IFERROR(HLOOKUP(D58,xHesaplama!$AG$81:$BZ$84,4,0),"")</f>
        <v/>
      </c>
      <c r="L58" s="4" t="str">
        <f>IFERROR(HLOOKUP(D58,xHesaplama!$AG$86:$BZ$90,5,0),"")</f>
        <v/>
      </c>
      <c r="M58" s="4" t="str">
        <f>IFERROR(HLOOKUP(D58,xHesaplama!$AG$92:$BZ$97,6,0),"")</f>
        <v/>
      </c>
      <c r="N58" s="4" t="str">
        <f>IFERROR(HLOOKUP(D58,xHesaplama!$AG$99:$BZ$105,7,0),"")</f>
        <v/>
      </c>
      <c r="O58" s="4" t="str">
        <f>IFERROR(HLOOKUP(D58,xHesaplama!$AG$107:$BZ$114,8,0),"")</f>
        <v/>
      </c>
      <c r="P58" s="4" t="str">
        <f>IFERROR(HLOOKUP(D58,xHesaplama!$AG$116:$BZ$124,9,0),"")</f>
        <v/>
      </c>
      <c r="Q58" s="4" t="str">
        <f>IFERROR(HLOOKUP(D58,xHesaplama!$AG$126:$BZ$135,10,0),"")</f>
        <v/>
      </c>
      <c r="R58" s="4" t="str">
        <f>IFERROR(HLOOKUP(D58,xHesaplama!$AG$137:$BZ$147,11,0),"")</f>
        <v/>
      </c>
      <c r="S58" s="4" t="str">
        <f>IFERROR(HLOOKUP(D58,xHesaplama!$AH$149:$BZ$160,12,0),"")</f>
        <v/>
      </c>
      <c r="T58" s="4" t="str">
        <f>IFERROR(HLOOKUP(D58,xHesaplama!$AH$162:$BZ$174,13,0),"")</f>
        <v/>
      </c>
      <c r="U58" s="4" t="str">
        <f>IFERROR(HLOOKUP(D58,xHesaplama!$AH$176:$BZ$189,14,0),"")</f>
        <v/>
      </c>
      <c r="V58" s="4" t="str">
        <f>IFERROR(HLOOKUP(D58,xHesaplama!$AH$191:$BZ$205,15,0),"")</f>
        <v/>
      </c>
      <c r="W58" s="4" t="str">
        <f>IFERROR(HLOOKUP(D58,xHesaplama!$AH$207:$BZ$222,16,0),"")</f>
        <v/>
      </c>
      <c r="X58" s="4" t="str">
        <f>IFERROR(HLOOKUP(D58,xHesaplama!$AH$224:$BZ$240,17,0),"")</f>
        <v/>
      </c>
      <c r="Y58" s="4" t="str">
        <f>IFERROR(HLOOKUP(D58,xHesaplama!$AH$242:$BZ$259,18,0),"")</f>
        <v/>
      </c>
      <c r="Z58" s="4" t="str">
        <f>IFERROR(HLOOKUP(D58,xHesaplama!$AH$261:$BZ$279,19,0),"")</f>
        <v/>
      </c>
      <c r="AA58" s="4" t="str">
        <f>IFERROR(HLOOKUP(D58,xHesaplama!$AH$281:$BZ$300,20,0),"")</f>
        <v/>
      </c>
      <c r="AB58" s="4" t="str">
        <f>IFERROR(HLOOKUP(D58,xHesaplama!$AH$302:$BZ$322,21,0),"")</f>
        <v/>
      </c>
    </row>
    <row r="59" spans="4:28" ht="26.25">
      <c r="D59" s="9" t="s">
        <v>453</v>
      </c>
      <c r="E59" s="3" t="str">
        <f>'x Malzemeler ve Özellikleri'!S50</f>
        <v>MT</v>
      </c>
      <c r="F59" t="s">
        <v>97</v>
      </c>
      <c r="G59" s="9" t="str">
        <f>VLOOKUP(D59,'x Malzemeler ve Özellikleri'!$O$2:$P$136,2,0)</f>
        <v>BP.431</v>
      </c>
      <c r="H59" s="63">
        <f>VLOOKUP(D59,'x Malzemeler ve Özellikleri'!$O$2:$R$136,4,0)</f>
        <v>2</v>
      </c>
      <c r="I59" s="4" t="str">
        <f>IFERROR(HLOOKUP(D59,xHesaplama!$AH$74:$BZ$75,2,0),"")</f>
        <v/>
      </c>
      <c r="J59" s="4" t="str">
        <f>IFERROR(HLOOKUP(D59,xHesaplama!$AG$77:$BZ$79,3,0),"")</f>
        <v/>
      </c>
      <c r="K59" s="4" t="str">
        <f>IFERROR(HLOOKUP(D59,xHesaplama!$AG$81:$BZ$84,4,0),"")</f>
        <v/>
      </c>
      <c r="L59" s="4" t="str">
        <f>IFERROR(HLOOKUP(D59,xHesaplama!$AG$86:$BZ$90,5,0),"")</f>
        <v/>
      </c>
      <c r="M59" s="4" t="str">
        <f>IFERROR(HLOOKUP(D59,xHesaplama!$AG$92:$BZ$97,6,0),"")</f>
        <v/>
      </c>
      <c r="N59" s="4" t="str">
        <f>IFERROR(HLOOKUP(D59,xHesaplama!$AG$99:$BZ$105,7,0),"")</f>
        <v/>
      </c>
      <c r="O59" s="4" t="str">
        <f>IFERROR(HLOOKUP(D59,xHesaplama!$AG$107:$BZ$114,8,0),"")</f>
        <v/>
      </c>
      <c r="P59" s="4" t="str">
        <f>IFERROR(HLOOKUP(D59,xHesaplama!$AG$116:$BZ$124,9,0),"")</f>
        <v/>
      </c>
      <c r="Q59" s="4" t="str">
        <f>IFERROR(HLOOKUP(D59,xHesaplama!$AG$126:$BZ$135,10,0),"")</f>
        <v/>
      </c>
      <c r="R59" s="4" t="str">
        <f>IFERROR(HLOOKUP(D59,xHesaplama!$AG$137:$BZ$147,11,0),"")</f>
        <v/>
      </c>
      <c r="S59" s="4" t="str">
        <f>IFERROR(HLOOKUP(D59,xHesaplama!$AH$149:$BZ$160,12,0),"")</f>
        <v/>
      </c>
      <c r="T59" s="4" t="str">
        <f>IFERROR(HLOOKUP(D59,xHesaplama!$AH$162:$BZ$174,13,0),"")</f>
        <v/>
      </c>
      <c r="U59" s="4" t="str">
        <f>IFERROR(HLOOKUP(D59,xHesaplama!$AH$176:$BZ$189,14,0),"")</f>
        <v/>
      </c>
      <c r="V59" s="4" t="str">
        <f>IFERROR(HLOOKUP(D59,xHesaplama!$AH$191:$BZ$205,15,0),"")</f>
        <v/>
      </c>
      <c r="W59" s="4" t="str">
        <f>IFERROR(HLOOKUP(D59,xHesaplama!$AH$207:$BZ$222,16,0),"")</f>
        <v/>
      </c>
      <c r="X59" s="4" t="str">
        <f>IFERROR(HLOOKUP(D59,xHesaplama!$AH$224:$BZ$240,17,0),"")</f>
        <v/>
      </c>
      <c r="Y59" s="4" t="str">
        <f>IFERROR(HLOOKUP(D59,xHesaplama!$AH$242:$BZ$259,18,0),"")</f>
        <v/>
      </c>
      <c r="Z59" s="4" t="str">
        <f>IFERROR(HLOOKUP(D59,xHesaplama!$AH$261:$BZ$279,19,0),"")</f>
        <v/>
      </c>
      <c r="AA59" s="4" t="str">
        <f>IFERROR(HLOOKUP(D59,xHesaplama!$AH$281:$BZ$300,20,0),"")</f>
        <v/>
      </c>
      <c r="AB59" s="4" t="str">
        <f>IFERROR(HLOOKUP(D59,xHesaplama!$AH$302:$BZ$322,21,0),"")</f>
        <v/>
      </c>
    </row>
    <row r="60" spans="4:28" ht="26.25">
      <c r="D60" s="9" t="s">
        <v>484</v>
      </c>
      <c r="E60" s="3" t="str">
        <f>'x Malzemeler ve Özellikleri'!S51</f>
        <v>TAKIM</v>
      </c>
      <c r="F60" t="s">
        <v>11</v>
      </c>
      <c r="G60" s="9" t="str">
        <f>VLOOKUP(D60,'x Malzemeler ve Özellikleri'!$O$2:$P$136,2,0)</f>
        <v>VİDA2</v>
      </c>
      <c r="H60" s="63">
        <f>VLOOKUP(D60,'x Malzemeler ve Özellikleri'!$O$2:$R$136,4,0)</f>
        <v>1</v>
      </c>
      <c r="I60" s="4" t="str">
        <f>IFERROR(HLOOKUP(D60,xHesaplama!$AH$74:$BZ$75,2,0),"")</f>
        <v/>
      </c>
      <c r="J60" s="4" t="str">
        <f>IFERROR(HLOOKUP(D60,xHesaplama!$AG$77:$BZ$79,3,0),"")</f>
        <v/>
      </c>
      <c r="K60" s="4" t="str">
        <f>IFERROR(HLOOKUP(D60,xHesaplama!$AG$81:$BZ$84,4,0),"")</f>
        <v/>
      </c>
      <c r="L60" s="4" t="str">
        <f>IFERROR(HLOOKUP(D60,xHesaplama!$AG$86:$BZ$90,5,0),"")</f>
        <v/>
      </c>
      <c r="M60" s="4" t="str">
        <f>IFERROR(HLOOKUP(D60,xHesaplama!$AG$92:$BZ$97,6,0),"")</f>
        <v/>
      </c>
      <c r="N60" s="4" t="str">
        <f>IFERROR(HLOOKUP(D60,xHesaplama!$AG$99:$BZ$105,7,0),"")</f>
        <v/>
      </c>
      <c r="O60" s="4" t="str">
        <f>IFERROR(HLOOKUP(D60,xHesaplama!$AG$107:$BZ$114,8,0),"")</f>
        <v/>
      </c>
      <c r="P60" s="4" t="str">
        <f>IFERROR(HLOOKUP(D60,xHesaplama!$AG$116:$BZ$124,9,0),"")</f>
        <v/>
      </c>
      <c r="Q60" s="4" t="str">
        <f>IFERROR(HLOOKUP(D60,xHesaplama!$AG$126:$BZ$135,10,0),"")</f>
        <v/>
      </c>
      <c r="R60" s="4" t="str">
        <f>IFERROR(HLOOKUP(D60,xHesaplama!$AG$137:$BZ$147,11,0),"")</f>
        <v/>
      </c>
      <c r="S60" s="4" t="str">
        <f>IFERROR(HLOOKUP(D60,xHesaplama!$AH$149:$BZ$160,12,0),"")</f>
        <v/>
      </c>
      <c r="T60" s="4" t="str">
        <f>IFERROR(HLOOKUP(D60,xHesaplama!$AH$162:$BZ$174,13,0),"")</f>
        <v/>
      </c>
      <c r="U60" s="4" t="str">
        <f>IFERROR(HLOOKUP(D60,xHesaplama!$AH$176:$BZ$189,14,0),"")</f>
        <v/>
      </c>
      <c r="V60" s="4" t="str">
        <f>IFERROR(HLOOKUP(D60,xHesaplama!$AH$191:$BZ$205,15,0),"")</f>
        <v/>
      </c>
      <c r="W60" s="4" t="str">
        <f>IFERROR(HLOOKUP(D60,xHesaplama!$AH$207:$BZ$222,16,0),"")</f>
        <v/>
      </c>
      <c r="X60" s="4" t="str">
        <f>IFERROR(HLOOKUP(D60,xHesaplama!$AH$224:$BZ$240,17,0),"")</f>
        <v/>
      </c>
      <c r="Y60" s="4" t="str">
        <f>IFERROR(HLOOKUP(D60,xHesaplama!$AH$242:$BZ$259,18,0),"")</f>
        <v/>
      </c>
      <c r="Z60" s="4" t="str">
        <f>IFERROR(HLOOKUP(D60,xHesaplama!$AH$261:$BZ$279,19,0),"")</f>
        <v/>
      </c>
      <c r="AA60" s="4" t="str">
        <f>IFERROR(HLOOKUP(D60,xHesaplama!$AH$281:$BZ$300,20,0),"")</f>
        <v/>
      </c>
      <c r="AB60" s="4" t="str">
        <f>IFERROR(HLOOKUP(D60,xHesaplama!$AH$302:$BZ$322,21,0),"")</f>
        <v/>
      </c>
    </row>
    <row r="61" spans="4:28" ht="78.75">
      <c r="D61" s="9" t="s">
        <v>458</v>
      </c>
      <c r="E61" s="3" t="str">
        <f>'x Malzemeler ve Özellikleri'!S52</f>
        <v>MT</v>
      </c>
      <c r="F61" t="s">
        <v>66</v>
      </c>
      <c r="G61" s="9" t="str">
        <f>VLOOKUP(D61,'x Malzemeler ve Özellikleri'!$O$2:$P$136,2,0)</f>
        <v>ALT PARÇA KIL FİTİL 48*10</v>
      </c>
      <c r="H61" s="63">
        <f>VLOOKUP(D61,'x Malzemeler ve Özellikleri'!$O$2:$R$136,4,0)</f>
        <v>5.0905511811023624E-2</v>
      </c>
      <c r="I61" s="4" t="str">
        <f>IFERROR(HLOOKUP(D61,xHesaplama!$AH$74:$BZ$75,2,0),"")</f>
        <v/>
      </c>
      <c r="J61" s="4" t="str">
        <f>IFERROR(HLOOKUP(D61,xHesaplama!$AG$77:$BZ$79,3,0),"")</f>
        <v/>
      </c>
      <c r="K61" s="4" t="str">
        <f>IFERROR(HLOOKUP(D61,xHesaplama!$AG$81:$BZ$84,4,0),"")</f>
        <v/>
      </c>
      <c r="L61" s="4" t="str">
        <f>IFERROR(HLOOKUP(D61,xHesaplama!$AG$86:$BZ$90,5,0),"")</f>
        <v/>
      </c>
      <c r="M61" s="4" t="str">
        <f>IFERROR(HLOOKUP(D61,xHesaplama!$AG$92:$BZ$97,6,0),"")</f>
        <v/>
      </c>
      <c r="N61" s="4" t="str">
        <f>IFERROR(HLOOKUP(D61,xHesaplama!$AG$99:$BZ$105,7,0),"")</f>
        <v/>
      </c>
      <c r="O61" s="4" t="str">
        <f>IFERROR(HLOOKUP(D61,xHesaplama!$AG$107:$BZ$114,8,0),"")</f>
        <v/>
      </c>
      <c r="P61" s="4" t="str">
        <f>IFERROR(HLOOKUP(D61,xHesaplama!$AG$116:$BZ$124,9,0),"")</f>
        <v/>
      </c>
      <c r="Q61" s="4" t="str">
        <f>IFERROR(HLOOKUP(D61,xHesaplama!$AG$126:$BZ$135,10,0),"")</f>
        <v/>
      </c>
      <c r="R61" s="4" t="str">
        <f>IFERROR(HLOOKUP(D61,xHesaplama!$AG$137:$BZ$147,11,0),"")</f>
        <v/>
      </c>
      <c r="S61" s="4" t="str">
        <f>IFERROR(HLOOKUP(D61,xHesaplama!$AH$149:$BZ$160,12,0),"")</f>
        <v/>
      </c>
      <c r="T61" s="4" t="str">
        <f>IFERROR(HLOOKUP(D61,xHesaplama!$AH$162:$BZ$174,13,0),"")</f>
        <v/>
      </c>
      <c r="U61" s="4" t="str">
        <f>IFERROR(HLOOKUP(D61,xHesaplama!$AH$176:$BZ$189,14,0),"")</f>
        <v/>
      </c>
      <c r="V61" s="4" t="str">
        <f>IFERROR(HLOOKUP(D61,xHesaplama!$AH$191:$BZ$205,15,0),"")</f>
        <v/>
      </c>
      <c r="W61" s="4" t="str">
        <f>IFERROR(HLOOKUP(D61,xHesaplama!$AH$207:$BZ$222,16,0),"")</f>
        <v/>
      </c>
      <c r="X61" s="4" t="str">
        <f>IFERROR(HLOOKUP(D61,xHesaplama!$AH$224:$BZ$240,17,0),"")</f>
        <v/>
      </c>
      <c r="Y61" s="4" t="str">
        <f>IFERROR(HLOOKUP(D61,xHesaplama!$AH$242:$BZ$259,18,0),"")</f>
        <v/>
      </c>
      <c r="Z61" s="4" t="str">
        <f>IFERROR(HLOOKUP(D61,xHesaplama!$AH$261:$BZ$279,19,0),"")</f>
        <v/>
      </c>
      <c r="AA61" s="4" t="str">
        <f>IFERROR(HLOOKUP(D61,xHesaplama!$AH$281:$BZ$300,20,0),"")</f>
        <v/>
      </c>
      <c r="AB61" s="4" t="str">
        <f>IFERROR(HLOOKUP(D61,xHesaplama!$AH$302:$BZ$322,21,0),"")</f>
        <v/>
      </c>
    </row>
    <row r="62" spans="4:28" ht="26.25">
      <c r="D62" s="9" t="s">
        <v>485</v>
      </c>
      <c r="E62" s="3" t="str">
        <f>'x Malzemeler ve Özellikleri'!S53</f>
        <v>MT</v>
      </c>
      <c r="F62" t="s">
        <v>42</v>
      </c>
      <c r="G62" s="9" t="str">
        <f>VLOOKUP(D62,'x Malzemeler ve Özellikleri'!$O$2:$P$136,2,0)</f>
        <v>PVC FİTİL</v>
      </c>
      <c r="H62" s="63">
        <f>VLOOKUP(D62,'x Malzemeler ve Özellikleri'!$O$2:$R$136,4,0)</f>
        <v>7.874015748031496E-2</v>
      </c>
      <c r="I62" s="4" t="str">
        <f>IFERROR(HLOOKUP(D62,xHesaplama!$AH$74:$BZ$75,2,0),"")</f>
        <v/>
      </c>
      <c r="J62" s="4" t="str">
        <f>IFERROR(HLOOKUP(D62,xHesaplama!$AG$77:$BZ$79,3,0),"")</f>
        <v/>
      </c>
      <c r="K62" s="4" t="str">
        <f>IFERROR(HLOOKUP(D62,xHesaplama!$AG$81:$BZ$84,4,0),"")</f>
        <v/>
      </c>
      <c r="L62" s="4" t="str">
        <f>IFERROR(HLOOKUP(D62,xHesaplama!$AG$86:$BZ$90,5,0),"")</f>
        <v/>
      </c>
      <c r="M62" s="4" t="str">
        <f>IFERROR(HLOOKUP(D62,xHesaplama!$AG$92:$BZ$97,6,0),"")</f>
        <v/>
      </c>
      <c r="N62" s="4" t="str">
        <f>IFERROR(HLOOKUP(D62,xHesaplama!$AG$99:$BZ$105,7,0),"")</f>
        <v/>
      </c>
      <c r="O62" s="4" t="str">
        <f>IFERROR(HLOOKUP(D62,xHesaplama!$AG$107:$BZ$114,8,0),"")</f>
        <v/>
      </c>
      <c r="P62" s="4" t="str">
        <f>IFERROR(HLOOKUP(D62,xHesaplama!$AG$116:$BZ$124,9,0),"")</f>
        <v/>
      </c>
      <c r="Q62" s="4" t="str">
        <f>IFERROR(HLOOKUP(D62,xHesaplama!$AG$126:$BZ$135,10,0),"")</f>
        <v/>
      </c>
      <c r="R62" s="4" t="str">
        <f>IFERROR(HLOOKUP(D62,xHesaplama!$AG$137:$BZ$147,11,0),"")</f>
        <v/>
      </c>
      <c r="S62" s="4" t="str">
        <f>IFERROR(HLOOKUP(D62,xHesaplama!$AH$149:$BZ$160,12,0),"")</f>
        <v/>
      </c>
      <c r="T62" s="4" t="str">
        <f>IFERROR(HLOOKUP(D62,xHesaplama!$AH$162:$BZ$174,13,0),"")</f>
        <v/>
      </c>
      <c r="U62" s="4" t="str">
        <f>IFERROR(HLOOKUP(D62,xHesaplama!$AH$176:$BZ$189,14,0),"")</f>
        <v/>
      </c>
      <c r="V62" s="4" t="str">
        <f>IFERROR(HLOOKUP(D62,xHesaplama!$AH$191:$BZ$205,15,0),"")</f>
        <v/>
      </c>
      <c r="W62" s="4" t="str">
        <f>IFERROR(HLOOKUP(D62,xHesaplama!$AH$207:$BZ$222,16,0),"")</f>
        <v/>
      </c>
      <c r="X62" s="4" t="str">
        <f>IFERROR(HLOOKUP(D62,xHesaplama!$AH$224:$BZ$240,17,0),"")</f>
        <v/>
      </c>
      <c r="Y62" s="4" t="str">
        <f>IFERROR(HLOOKUP(D62,xHesaplama!$AH$242:$BZ$259,18,0),"")</f>
        <v/>
      </c>
      <c r="Z62" s="4" t="str">
        <f>IFERROR(HLOOKUP(D62,xHesaplama!$AH$261:$BZ$279,19,0),"")</f>
        <v/>
      </c>
      <c r="AA62" s="4" t="str">
        <f>IFERROR(HLOOKUP(D62,xHesaplama!$AH$281:$BZ$300,20,0),"")</f>
        <v/>
      </c>
      <c r="AB62" s="4" t="str">
        <f>IFERROR(HLOOKUP(D62,xHesaplama!$AH$302:$BZ$322,21,0),"")</f>
        <v/>
      </c>
    </row>
    <row r="63" spans="4:28" ht="26.25">
      <c r="D63" s="9" t="s">
        <v>454</v>
      </c>
      <c r="E63" s="3" t="str">
        <f>'x Malzemeler ve Özellikleri'!S54</f>
        <v>ADET</v>
      </c>
      <c r="F63" t="s">
        <v>68</v>
      </c>
      <c r="G63" s="9" t="str">
        <f>VLOOKUP(D63,'x Malzemeler ve Özellikleri'!$O$2:$P$136,2,0)</f>
        <v>BP.415</v>
      </c>
      <c r="H63" s="63">
        <f>VLOOKUP(D63,'x Malzemeler ve Özellikleri'!$O$2:$R$136,4,0)</f>
        <v>0.41572834645669293</v>
      </c>
      <c r="I63" s="4" t="str">
        <f>IFERROR(HLOOKUP(D63,xHesaplama!$AH$74:$BZ$75,2,0),"")</f>
        <v/>
      </c>
      <c r="J63" s="4" t="str">
        <f>IFERROR(HLOOKUP(D63,xHesaplama!$AG$77:$BZ$79,3,0),"")</f>
        <v/>
      </c>
      <c r="K63" s="4" t="str">
        <f>IFERROR(HLOOKUP(D63,xHesaplama!$AG$81:$BZ$84,4,0),"")</f>
        <v/>
      </c>
      <c r="L63" s="4" t="str">
        <f>IFERROR(HLOOKUP(D63,xHesaplama!$AG$86:$BZ$90,5,0),"")</f>
        <v/>
      </c>
      <c r="M63" s="4" t="str">
        <f>IFERROR(HLOOKUP(D63,xHesaplama!$AG$92:$BZ$97,6,0),"")</f>
        <v/>
      </c>
      <c r="N63" s="4" t="str">
        <f>IFERROR(HLOOKUP(D63,xHesaplama!$AG$99:$BZ$105,7,0),"")</f>
        <v/>
      </c>
      <c r="O63" s="4" t="str">
        <f>IFERROR(HLOOKUP(D63,xHesaplama!$AG$107:$BZ$114,8,0),"")</f>
        <v/>
      </c>
      <c r="P63" s="4" t="str">
        <f>IFERROR(HLOOKUP(D63,xHesaplama!$AG$116:$BZ$124,9,0),"")</f>
        <v/>
      </c>
      <c r="Q63" s="4" t="str">
        <f>IFERROR(HLOOKUP(D63,xHesaplama!$AG$126:$BZ$135,10,0),"")</f>
        <v/>
      </c>
      <c r="R63" s="4" t="str">
        <f>IFERROR(HLOOKUP(D63,xHesaplama!$AG$137:$BZ$147,11,0),"")</f>
        <v/>
      </c>
      <c r="S63" s="4" t="str">
        <f>IFERROR(HLOOKUP(D63,xHesaplama!$AH$149:$BZ$160,12,0),"")</f>
        <v/>
      </c>
      <c r="T63" s="4" t="str">
        <f>IFERROR(HLOOKUP(D63,xHesaplama!$AH$162:$BZ$174,13,0),"")</f>
        <v/>
      </c>
      <c r="U63" s="4" t="str">
        <f>IFERROR(HLOOKUP(D63,xHesaplama!$AH$176:$BZ$189,14,0),"")</f>
        <v/>
      </c>
      <c r="V63" s="4" t="str">
        <f>IFERROR(HLOOKUP(D63,xHesaplama!$AH$191:$BZ$205,15,0),"")</f>
        <v/>
      </c>
      <c r="W63" s="4" t="str">
        <f>IFERROR(HLOOKUP(D63,xHesaplama!$AH$207:$BZ$222,16,0),"")</f>
        <v/>
      </c>
      <c r="X63" s="4" t="str">
        <f>IFERROR(HLOOKUP(D63,xHesaplama!$AH$224:$BZ$240,17,0),"")</f>
        <v/>
      </c>
      <c r="Y63" s="4" t="str">
        <f>IFERROR(HLOOKUP(D63,xHesaplama!$AH$242:$BZ$259,18,0),"")</f>
        <v/>
      </c>
      <c r="Z63" s="4" t="str">
        <f>IFERROR(HLOOKUP(D63,xHesaplama!$AH$261:$BZ$279,19,0),"")</f>
        <v/>
      </c>
      <c r="AA63" s="4" t="str">
        <f>IFERROR(HLOOKUP(D63,xHesaplama!$AH$281:$BZ$300,20,0),"")</f>
        <v/>
      </c>
      <c r="AB63" s="4" t="str">
        <f>IFERROR(HLOOKUP(D63,xHesaplama!$AH$302:$BZ$322,21,0),"")</f>
        <v/>
      </c>
    </row>
    <row r="64" spans="4:28" ht="26.25">
      <c r="D64" s="53" t="s">
        <v>455</v>
      </c>
      <c r="E64" s="3" t="str">
        <f>'x Malzemeler ve Özellikleri'!S55</f>
        <v>MT</v>
      </c>
      <c r="F64" t="s">
        <v>70</v>
      </c>
      <c r="G64" s="9" t="str">
        <f>VLOOKUP(D64,'x Malzemeler ve Özellikleri'!$O$2:$P$136,2,0)</f>
        <v>BP.402</v>
      </c>
      <c r="H64" s="63">
        <f>VLOOKUP(D64,'x Malzemeler ve Özellikleri'!$O$2:$R$136,4,0)</f>
        <v>2.8222015748031501</v>
      </c>
      <c r="I64" s="4" t="str">
        <f>IFERROR(HLOOKUP(D64,xHesaplama!$AH$74:$BZ$75,2,0),"")</f>
        <v/>
      </c>
      <c r="J64" s="4" t="str">
        <f>IFERROR(HLOOKUP(D64,xHesaplama!$AG$77:$BZ$79,3,0),"")</f>
        <v/>
      </c>
      <c r="K64" s="4" t="str">
        <f>IFERROR(HLOOKUP(D64,xHesaplama!$AG$81:$BZ$84,4,0),"")</f>
        <v/>
      </c>
      <c r="L64" s="4" t="str">
        <f>IFERROR(HLOOKUP(D64,xHesaplama!$AG$86:$BZ$90,5,0),"")</f>
        <v/>
      </c>
      <c r="M64" s="4" t="str">
        <f>IFERROR(HLOOKUP(D64,xHesaplama!$AG$92:$BZ$97,6,0),"")</f>
        <v/>
      </c>
      <c r="N64" s="4" t="str">
        <f>IFERROR(HLOOKUP(D64,xHesaplama!$AG$99:$BZ$105,7,0),"")</f>
        <v/>
      </c>
      <c r="O64" s="4" t="str">
        <f>IFERROR(HLOOKUP(D64,xHesaplama!$AG$107:$BZ$114,8,0),"")</f>
        <v/>
      </c>
      <c r="P64" s="4" t="str">
        <f>IFERROR(HLOOKUP(D64,xHesaplama!$AG$116:$BZ$124,9,0),"")</f>
        <v/>
      </c>
      <c r="Q64" s="4" t="str">
        <f>IFERROR(HLOOKUP(D64,xHesaplama!$AG$126:$BZ$135,10,0),"")</f>
        <v/>
      </c>
      <c r="R64" s="4" t="str">
        <f>IFERROR(HLOOKUP(D64,xHesaplama!$AG$137:$BZ$147,11,0),"")</f>
        <v/>
      </c>
      <c r="S64" s="4" t="str">
        <f>IFERROR(HLOOKUP(D64,xHesaplama!$AH$149:$BZ$160,12,0),"")</f>
        <v/>
      </c>
      <c r="T64" s="4" t="str">
        <f>IFERROR(HLOOKUP(D64,xHesaplama!$AH$162:$BZ$174,13,0),"")</f>
        <v/>
      </c>
      <c r="U64" s="4" t="str">
        <f>IFERROR(HLOOKUP(D64,xHesaplama!$AH$176:$BZ$189,14,0),"")</f>
        <v/>
      </c>
      <c r="V64" s="4" t="str">
        <f>IFERROR(HLOOKUP(D64,xHesaplama!$AH$191:$BZ$205,15,0),"")</f>
        <v/>
      </c>
      <c r="W64" s="4" t="str">
        <f>IFERROR(HLOOKUP(D64,xHesaplama!$AH$207:$BZ$222,16,0),"")</f>
        <v/>
      </c>
      <c r="X64" s="4" t="str">
        <f>IFERROR(HLOOKUP(D64,xHesaplama!$AH$224:$BZ$240,17,0),"")</f>
        <v/>
      </c>
      <c r="Y64" s="4" t="str">
        <f>IFERROR(HLOOKUP(D64,xHesaplama!$AH$242:$BZ$259,18,0),"")</f>
        <v/>
      </c>
      <c r="Z64" s="4" t="str">
        <f>IFERROR(HLOOKUP(D64,xHesaplama!$AH$261:$BZ$279,19,0),"")</f>
        <v/>
      </c>
      <c r="AA64" s="4" t="str">
        <f>IFERROR(HLOOKUP(D64,xHesaplama!$AH$281:$BZ$300,20,0),"")</f>
        <v/>
      </c>
      <c r="AB64" s="4" t="str">
        <f>IFERROR(HLOOKUP(D64,xHesaplama!$AH$302:$BZ$322,21,0),"")</f>
        <v/>
      </c>
    </row>
    <row r="65" spans="4:28" ht="26.25">
      <c r="D65" s="53" t="s">
        <v>456</v>
      </c>
      <c r="E65" s="3" t="str">
        <f>'x Malzemeler ve Özellikleri'!S56</f>
        <v>MT</v>
      </c>
      <c r="F65" t="s">
        <v>72</v>
      </c>
      <c r="G65" s="9" t="str">
        <f>VLOOKUP(D65,'x Malzemeler ve Özellikleri'!$O$2:$P$136,2,0)</f>
        <v>BP.401</v>
      </c>
      <c r="H65" s="63">
        <f>VLOOKUP(D65,'x Malzemeler ve Özellikleri'!$O$2:$R$136,4,0)</f>
        <v>1.4111007874015751</v>
      </c>
      <c r="I65" s="4" t="str">
        <f>IFERROR(HLOOKUP(D65,xHesaplama!$AH$74:$BZ$75,2,0),"")</f>
        <v/>
      </c>
      <c r="J65" s="4" t="str">
        <f>IFERROR(HLOOKUP(D65,xHesaplama!$AG$77:$BZ$79,3,0),"")</f>
        <v/>
      </c>
      <c r="K65" s="4" t="str">
        <f>IFERROR(HLOOKUP(D65,xHesaplama!$AG$81:$BZ$84,4,0),"")</f>
        <v/>
      </c>
      <c r="L65" s="4" t="str">
        <f>IFERROR(HLOOKUP(D65,xHesaplama!$AG$86:$BZ$90,5,0),"")</f>
        <v/>
      </c>
      <c r="M65" s="4" t="str">
        <f>IFERROR(HLOOKUP(D65,xHesaplama!$AG$92:$BZ$97,6,0),"")</f>
        <v/>
      </c>
      <c r="N65" s="4" t="str">
        <f>IFERROR(HLOOKUP(D65,xHesaplama!$AG$99:$BZ$105,7,0),"")</f>
        <v/>
      </c>
      <c r="O65" s="4" t="str">
        <f>IFERROR(HLOOKUP(D65,xHesaplama!$AG$107:$BZ$114,8,0),"")</f>
        <v/>
      </c>
      <c r="P65" s="4" t="str">
        <f>IFERROR(HLOOKUP(D65,xHesaplama!$AG$116:$BZ$124,9,0),"")</f>
        <v/>
      </c>
      <c r="Q65" s="4" t="str">
        <f>IFERROR(HLOOKUP(D65,xHesaplama!$AG$126:$BZ$135,10,0),"")</f>
        <v/>
      </c>
      <c r="R65" s="4" t="str">
        <f>IFERROR(HLOOKUP(D65,xHesaplama!$AG$137:$BZ$147,11,0),"")</f>
        <v/>
      </c>
      <c r="S65" s="4" t="str">
        <f>IFERROR(HLOOKUP(D65,xHesaplama!$AH$149:$BZ$160,12,0),"")</f>
        <v/>
      </c>
      <c r="T65" s="4" t="str">
        <f>IFERROR(HLOOKUP(D65,xHesaplama!$AH$162:$BZ$174,13,0),"")</f>
        <v/>
      </c>
      <c r="U65" s="4" t="str">
        <f>IFERROR(HLOOKUP(D65,xHesaplama!$AH$176:$BZ$189,14,0),"")</f>
        <v/>
      </c>
      <c r="V65" s="4" t="str">
        <f>IFERROR(HLOOKUP(D65,xHesaplama!$AH$191:$BZ$205,15,0),"")</f>
        <v/>
      </c>
      <c r="W65" s="4" t="str">
        <f>IFERROR(HLOOKUP(D65,xHesaplama!$AH$207:$BZ$222,16,0),"")</f>
        <v/>
      </c>
      <c r="X65" s="4" t="str">
        <f>IFERROR(HLOOKUP(D65,xHesaplama!$AH$224:$BZ$240,17,0),"")</f>
        <v/>
      </c>
      <c r="Y65" s="4" t="str">
        <f>IFERROR(HLOOKUP(D65,xHesaplama!$AH$242:$BZ$259,18,0),"")</f>
        <v/>
      </c>
      <c r="Z65" s="4" t="str">
        <f>IFERROR(HLOOKUP(D65,xHesaplama!$AH$261:$BZ$279,19,0),"")</f>
        <v/>
      </c>
      <c r="AA65" s="4" t="str">
        <f>IFERROR(HLOOKUP(D65,xHesaplama!$AH$281:$BZ$300,20,0),"")</f>
        <v/>
      </c>
      <c r="AB65" s="4" t="str">
        <f>IFERROR(HLOOKUP(D65,xHesaplama!$AH$302:$BZ$322,21,0),"")</f>
        <v/>
      </c>
    </row>
    <row r="66" spans="4:28" ht="26.25">
      <c r="D66" s="9" t="s">
        <v>457</v>
      </c>
      <c r="E66" s="3" t="str">
        <f>'x Malzemeler ve Özellikleri'!S57</f>
        <v>TAKIM</v>
      </c>
      <c r="F66" t="s">
        <v>74</v>
      </c>
      <c r="G66" s="9" t="str">
        <f>VLOOKUP(D66,'x Malzemeler ve Özellikleri'!$O$2:$P$136,2,0)</f>
        <v>BP.417</v>
      </c>
      <c r="H66" s="63">
        <f>VLOOKUP(D66,'x Malzemeler ve Özellikleri'!$O$2:$R$136,4,0)</f>
        <v>0.33937007874015751</v>
      </c>
      <c r="I66" s="4" t="str">
        <f>IFERROR(HLOOKUP(D66,xHesaplama!$AH$74:$BZ$75,2,0),"")</f>
        <v/>
      </c>
      <c r="J66" s="4" t="str">
        <f>IFERROR(HLOOKUP(D66,xHesaplama!$AG$77:$BZ$79,3,0),"")</f>
        <v/>
      </c>
      <c r="K66" s="4" t="str">
        <f>IFERROR(HLOOKUP(D66,xHesaplama!$AG$81:$BZ$84,4,0),"")</f>
        <v/>
      </c>
      <c r="L66" s="4" t="str">
        <f>IFERROR(HLOOKUP(D66,xHesaplama!$AG$86:$BZ$90,5,0),"")</f>
        <v/>
      </c>
      <c r="M66" s="4" t="str">
        <f>IFERROR(HLOOKUP(D66,xHesaplama!$AG$92:$BZ$97,6,0),"")</f>
        <v/>
      </c>
      <c r="N66" s="4" t="str">
        <f>IFERROR(HLOOKUP(D66,xHesaplama!$AG$99:$BZ$105,7,0),"")</f>
        <v/>
      </c>
      <c r="O66" s="4" t="str">
        <f>IFERROR(HLOOKUP(D66,xHesaplama!$AG$107:$BZ$114,8,0),"")</f>
        <v/>
      </c>
      <c r="P66" s="4" t="str">
        <f>IFERROR(HLOOKUP(D66,xHesaplama!$AG$116:$BZ$124,9,0),"")</f>
        <v/>
      </c>
      <c r="Q66" s="4" t="str">
        <f>IFERROR(HLOOKUP(D66,xHesaplama!$AG$126:$BZ$135,10,0),"")</f>
        <v/>
      </c>
      <c r="R66" s="4" t="str">
        <f>IFERROR(HLOOKUP(D66,xHesaplama!$AG$137:$BZ$147,11,0),"")</f>
        <v/>
      </c>
      <c r="S66" s="4" t="str">
        <f>IFERROR(HLOOKUP(D66,xHesaplama!$AH$149:$BZ$160,12,0),"")</f>
        <v/>
      </c>
      <c r="T66" s="4" t="str">
        <f>IFERROR(HLOOKUP(D66,xHesaplama!$AH$162:$BZ$174,13,0),"")</f>
        <v/>
      </c>
      <c r="U66" s="4" t="str">
        <f>IFERROR(HLOOKUP(D66,xHesaplama!$AH$176:$BZ$189,14,0),"")</f>
        <v/>
      </c>
      <c r="V66" s="4" t="str">
        <f>IFERROR(HLOOKUP(D66,xHesaplama!$AH$191:$BZ$205,15,0),"")</f>
        <v/>
      </c>
      <c r="W66" s="4" t="str">
        <f>IFERROR(HLOOKUP(D66,xHesaplama!$AH$207:$BZ$222,16,0),"")</f>
        <v/>
      </c>
      <c r="X66" s="4" t="str">
        <f>IFERROR(HLOOKUP(D66,xHesaplama!$AH$224:$BZ$240,17,0),"")</f>
        <v/>
      </c>
      <c r="Y66" s="4" t="str">
        <f>IFERROR(HLOOKUP(D66,xHesaplama!$AH$242:$BZ$259,18,0),"")</f>
        <v/>
      </c>
      <c r="Z66" s="4" t="str">
        <f>IFERROR(HLOOKUP(D66,xHesaplama!$AH$261:$BZ$279,19,0),"")</f>
        <v/>
      </c>
      <c r="AA66" s="4" t="str">
        <f>IFERROR(HLOOKUP(D66,xHesaplama!$AH$281:$BZ$300,20,0),"")</f>
        <v/>
      </c>
      <c r="AB66" s="4" t="str">
        <f>IFERROR(HLOOKUP(D66,xHesaplama!$AH$302:$BZ$322,21,0),"")</f>
        <v/>
      </c>
    </row>
    <row r="67" spans="4:28" ht="26.25">
      <c r="D67" s="9" t="s">
        <v>459</v>
      </c>
      <c r="E67" s="3" t="str">
        <f>'x Malzemeler ve Özellikleri'!S58</f>
        <v>ADET</v>
      </c>
      <c r="F67" t="s">
        <v>78</v>
      </c>
      <c r="G67" s="9" t="str">
        <f>VLOOKUP(D67,'x Malzemeler ve Özellikleri'!$O$2:$P$136,2,0)</f>
        <v>BP.412</v>
      </c>
      <c r="H67" s="63">
        <f>VLOOKUP(D67,'x Malzemeler ve Özellikleri'!$O$2:$R$136,4,0)</f>
        <v>0.78055118110236232</v>
      </c>
      <c r="I67" s="4" t="str">
        <f>IFERROR(HLOOKUP(D67,xHesaplama!$AH$74:$BZ$75,2,0),"")</f>
        <v/>
      </c>
      <c r="J67" s="4" t="str">
        <f>IFERROR(HLOOKUP(D67,xHesaplama!$AG$77:$BZ$79,3,0),"")</f>
        <v/>
      </c>
      <c r="K67" s="4" t="str">
        <f>IFERROR(HLOOKUP(D67,xHesaplama!$AG$81:$BZ$84,4,0),"")</f>
        <v/>
      </c>
      <c r="L67" s="4" t="str">
        <f>IFERROR(HLOOKUP(D67,xHesaplama!$AG$86:$BZ$90,5,0),"")</f>
        <v/>
      </c>
      <c r="M67" s="4" t="str">
        <f>IFERROR(HLOOKUP(D67,xHesaplama!$AG$92:$BZ$97,6,0),"")</f>
        <v/>
      </c>
      <c r="N67" s="4" t="str">
        <f>IFERROR(HLOOKUP(D67,xHesaplama!$AG$99:$BZ$105,7,0),"")</f>
        <v/>
      </c>
      <c r="O67" s="4" t="str">
        <f>IFERROR(HLOOKUP(D67,xHesaplama!$AG$107:$BZ$114,8,0),"")</f>
        <v/>
      </c>
      <c r="P67" s="4" t="str">
        <f>IFERROR(HLOOKUP(D67,xHesaplama!$AG$116:$BZ$124,9,0),"")</f>
        <v/>
      </c>
      <c r="Q67" s="4" t="str">
        <f>IFERROR(HLOOKUP(D67,xHesaplama!$AG$126:$BZ$135,10,0),"")</f>
        <v/>
      </c>
      <c r="R67" s="4" t="str">
        <f>IFERROR(HLOOKUP(D67,xHesaplama!$AG$137:$BZ$147,11,0),"")</f>
        <v/>
      </c>
      <c r="S67" s="4" t="str">
        <f>IFERROR(HLOOKUP(D67,xHesaplama!$AH$149:$BZ$160,12,0),"")</f>
        <v/>
      </c>
      <c r="T67" s="4" t="str">
        <f>IFERROR(HLOOKUP(D67,xHesaplama!$AH$162:$BZ$174,13,0),"")</f>
        <v/>
      </c>
      <c r="U67" s="4" t="str">
        <f>IFERROR(HLOOKUP(D67,xHesaplama!$AH$176:$BZ$189,14,0),"")</f>
        <v/>
      </c>
      <c r="V67" s="4" t="str">
        <f>IFERROR(HLOOKUP(D67,xHesaplama!$AH$191:$BZ$205,15,0),"")</f>
        <v/>
      </c>
      <c r="W67" s="4" t="str">
        <f>IFERROR(HLOOKUP(D67,xHesaplama!$AH$207:$BZ$222,16,0),"")</f>
        <v/>
      </c>
      <c r="X67" s="4" t="str">
        <f>IFERROR(HLOOKUP(D67,xHesaplama!$AH$224:$BZ$240,17,0),"")</f>
        <v/>
      </c>
      <c r="Y67" s="4" t="str">
        <f>IFERROR(HLOOKUP(D67,xHesaplama!$AH$242:$BZ$259,18,0),"")</f>
        <v/>
      </c>
      <c r="Z67" s="4" t="str">
        <f>IFERROR(HLOOKUP(D67,xHesaplama!$AH$261:$BZ$279,19,0),"")</f>
        <v/>
      </c>
      <c r="AA67" s="4" t="str">
        <f>IFERROR(HLOOKUP(D67,xHesaplama!$AH$281:$BZ$300,20,0),"")</f>
        <v/>
      </c>
      <c r="AB67" s="4" t="str">
        <f>IFERROR(HLOOKUP(D67,xHesaplama!$AH$302:$BZ$322,21,0),"")</f>
        <v/>
      </c>
    </row>
    <row r="68" spans="4:28" ht="26.25">
      <c r="D68" s="9" t="s">
        <v>476</v>
      </c>
      <c r="E68" s="3" t="str">
        <f>'x Malzemeler ve Özellikleri'!S59</f>
        <v>ADET</v>
      </c>
      <c r="F68" t="s">
        <v>40</v>
      </c>
      <c r="G68" s="9">
        <f>VLOOKUP(D68,'x Malzemeler ve Özellikleri'!$O$2:$P$136,2,0)</f>
        <v>9761001</v>
      </c>
      <c r="H68" s="63">
        <f>VLOOKUP(D68,'x Malzemeler ve Özellikleri'!$O$2:$R$136,4,0)</f>
        <v>1.45</v>
      </c>
      <c r="I68" s="4" t="str">
        <f>IFERROR(HLOOKUP(D68,xHesaplama!$AH$74:$BZ$75,2,0),"")</f>
        <v/>
      </c>
      <c r="J68" s="4" t="str">
        <f>IFERROR(HLOOKUP(D68,xHesaplama!$AG$77:$BZ$79,3,0),"")</f>
        <v/>
      </c>
      <c r="K68" s="4" t="str">
        <f>IFERROR(HLOOKUP(D68,xHesaplama!$AG$81:$BZ$84,4,0),"")</f>
        <v/>
      </c>
      <c r="L68" s="4" t="str">
        <f>IFERROR(HLOOKUP(D68,xHesaplama!$AG$86:$BZ$90,5,0),"")</f>
        <v/>
      </c>
      <c r="M68" s="4" t="str">
        <f>IFERROR(HLOOKUP(D68,xHesaplama!$AG$92:$BZ$97,6,0),"")</f>
        <v/>
      </c>
      <c r="N68" s="4" t="str">
        <f>IFERROR(HLOOKUP(D68,xHesaplama!$AG$99:$BZ$105,7,0),"")</f>
        <v/>
      </c>
      <c r="O68" s="4" t="str">
        <f>IFERROR(HLOOKUP(D68,xHesaplama!$AG$107:$BZ$114,8,0),"")</f>
        <v/>
      </c>
      <c r="P68" s="4" t="str">
        <f>IFERROR(HLOOKUP(D68,xHesaplama!$AG$116:$BZ$124,9,0),"")</f>
        <v/>
      </c>
      <c r="Q68" s="4" t="str">
        <f>IFERROR(HLOOKUP(D68,xHesaplama!$AG$126:$BZ$135,10,0),"")</f>
        <v/>
      </c>
      <c r="R68" s="4" t="str">
        <f>IFERROR(HLOOKUP(D68,xHesaplama!$AG$137:$BZ$147,11,0),"")</f>
        <v/>
      </c>
      <c r="S68" s="4" t="str">
        <f>IFERROR(HLOOKUP(D68,xHesaplama!$AH$149:$BZ$160,12,0),"")</f>
        <v/>
      </c>
      <c r="T68" s="4" t="str">
        <f>IFERROR(HLOOKUP(D68,xHesaplama!$AH$162:$BZ$174,13,0),"")</f>
        <v/>
      </c>
      <c r="U68" s="4" t="str">
        <f>IFERROR(HLOOKUP(D68,xHesaplama!$AH$176:$BZ$189,14,0),"")</f>
        <v/>
      </c>
      <c r="V68" s="4" t="str">
        <f>IFERROR(HLOOKUP(D68,xHesaplama!$AH$191:$BZ$205,15,0),"")</f>
        <v/>
      </c>
      <c r="W68" s="4" t="str">
        <f>IFERROR(HLOOKUP(D68,xHesaplama!$AH$207:$BZ$222,16,0),"")</f>
        <v/>
      </c>
      <c r="X68" s="4" t="str">
        <f>IFERROR(HLOOKUP(D68,xHesaplama!$AH$224:$BZ$240,17,0),"")</f>
        <v/>
      </c>
      <c r="Y68" s="4" t="str">
        <f>IFERROR(HLOOKUP(D68,xHesaplama!$AH$242:$BZ$259,18,0),"")</f>
        <v/>
      </c>
      <c r="Z68" s="4" t="str">
        <f>IFERROR(HLOOKUP(D68,xHesaplama!$AH$261:$BZ$279,19,0),"")</f>
        <v/>
      </c>
      <c r="AA68" s="4" t="str">
        <f>IFERROR(HLOOKUP(D68,xHesaplama!$AH$281:$BZ$300,20,0),"")</f>
        <v/>
      </c>
      <c r="AB68" s="4" t="str">
        <f>IFERROR(HLOOKUP(D68,xHesaplama!$AH$302:$BZ$322,21,0),"")</f>
        <v/>
      </c>
    </row>
    <row r="69" spans="4:28" ht="26.25">
      <c r="D69" s="53" t="s">
        <v>460</v>
      </c>
      <c r="E69" s="3" t="str">
        <f>'x Malzemeler ve Özellikleri'!S61</f>
        <v>MT</v>
      </c>
      <c r="F69" t="s">
        <v>54</v>
      </c>
      <c r="G69" s="9" t="str">
        <f>VLOOKUP(D69,'x Malzemeler ve Özellikleri'!$O$2:$P$136,2,0)</f>
        <v>PDKP01</v>
      </c>
      <c r="H69" s="63">
        <f>VLOOKUP(D69,'x Malzemeler ve Özellikleri'!$O$2:$R$136,4,0)</f>
        <v>4.8529921259842528</v>
      </c>
      <c r="I69" s="4">
        <f>IFERROR(HLOOKUP(D69,xHesaplama!$AH$74:$BZ$75,2,0),"")</f>
        <v>1.1919999999999999</v>
      </c>
      <c r="J69" s="4" t="str">
        <f>IFERROR(HLOOKUP(D69,xHesaplama!$AG$77:$BZ$79,3,0),"")</f>
        <v/>
      </c>
      <c r="K69" s="4" t="str">
        <f>IFERROR(HLOOKUP(D69,xHesaplama!$AG$81:$BZ$84,4,0),"")</f>
        <v/>
      </c>
      <c r="L69" s="4" t="str">
        <f>IFERROR(HLOOKUP(D69,xHesaplama!$AG$86:$BZ$90,5,0),"")</f>
        <v/>
      </c>
      <c r="M69" s="4" t="str">
        <f>IFERROR(HLOOKUP(D69,xHesaplama!$AG$92:$BZ$97,6,0),"")</f>
        <v/>
      </c>
      <c r="N69" s="4" t="str">
        <f>IFERROR(HLOOKUP(D69,xHesaplama!$AG$99:$BZ$105,7,0),"")</f>
        <v/>
      </c>
      <c r="O69" s="4" t="str">
        <f>IFERROR(HLOOKUP(D69,xHesaplama!$AG$107:$BZ$114,8,0),"")</f>
        <v/>
      </c>
      <c r="P69" s="4" t="str">
        <f>IFERROR(HLOOKUP(D69,xHesaplama!$AG$116:$BZ$124,9,0),"")</f>
        <v/>
      </c>
      <c r="Q69" s="4" t="str">
        <f>IFERROR(HLOOKUP(D69,xHesaplama!$AG$126:$BZ$135,10,0),"")</f>
        <v/>
      </c>
      <c r="R69" s="4" t="str">
        <f>IFERROR(HLOOKUP(D69,xHesaplama!$AG$137:$BZ$147,11,0),"")</f>
        <v/>
      </c>
      <c r="S69" s="4" t="str">
        <f>IFERROR(HLOOKUP(D69,xHesaplama!$AH$149:$BZ$160,12,0),"")</f>
        <v/>
      </c>
      <c r="T69" s="4" t="str">
        <f>IFERROR(HLOOKUP(D69,xHesaplama!$AH$162:$BZ$174,13,0),"")</f>
        <v/>
      </c>
      <c r="U69" s="4" t="str">
        <f>IFERROR(HLOOKUP(D69,xHesaplama!$AH$176:$BZ$189,14,0),"")</f>
        <v/>
      </c>
      <c r="V69" s="4" t="str">
        <f>IFERROR(HLOOKUP(D69,xHesaplama!$AH$191:$BZ$205,15,0),"")</f>
        <v/>
      </c>
      <c r="W69" s="4" t="str">
        <f>IFERROR(HLOOKUP(D69,xHesaplama!$AH$207:$BZ$222,16,0),"")</f>
        <v/>
      </c>
      <c r="X69" s="4" t="str">
        <f>IFERROR(HLOOKUP(D69,xHesaplama!$AH$224:$BZ$240,17,0),"")</f>
        <v/>
      </c>
      <c r="Y69" s="4" t="str">
        <f>IFERROR(HLOOKUP(D69,xHesaplama!$AH$242:$BZ$259,18,0),"")</f>
        <v/>
      </c>
      <c r="Z69" s="4" t="str">
        <f>IFERROR(HLOOKUP(D69,xHesaplama!$AH$261:$BZ$279,19,0),"")</f>
        <v/>
      </c>
      <c r="AA69" s="4" t="str">
        <f>IFERROR(HLOOKUP(D69,xHesaplama!$AH$281:$BZ$300,20,0),"")</f>
        <v/>
      </c>
      <c r="AB69" s="4" t="str">
        <f>IFERROR(HLOOKUP(D69,xHesaplama!$AH$302:$BZ$322,21,0),"")</f>
        <v/>
      </c>
    </row>
    <row r="70" spans="4:28" ht="26.25">
      <c r="D70" s="53" t="s">
        <v>461</v>
      </c>
      <c r="E70" s="3" t="str">
        <f>'x Malzemeler ve Özellikleri'!S62</f>
        <v>MT</v>
      </c>
      <c r="F70" t="s">
        <v>79</v>
      </c>
      <c r="G70" s="9" t="str">
        <f>VLOOKUP(D70,'x Malzemeler ve Özellikleri'!$O$2:$P$136,2,0)</f>
        <v>PDKP01D</v>
      </c>
      <c r="H70" s="63">
        <f>VLOOKUP(D70,'x Malzemeler ve Özellikleri'!$O$2:$R$136,4,0)</f>
        <v>3.8077322834645679</v>
      </c>
      <c r="I70" s="4">
        <f>IFERROR(HLOOKUP(D70,xHesaplama!$AH$74:$BZ$75,2,0),"")</f>
        <v>1.1919999999999999</v>
      </c>
      <c r="J70" s="4" t="str">
        <f>IFERROR(HLOOKUP(D70,xHesaplama!$AG$77:$BZ$79,3,0),"")</f>
        <v/>
      </c>
      <c r="K70" s="4" t="str">
        <f>IFERROR(HLOOKUP(D70,xHesaplama!$AG$81:$BZ$84,4,0),"")</f>
        <v/>
      </c>
      <c r="L70" s="4" t="str">
        <f>IFERROR(HLOOKUP(D70,xHesaplama!$AG$86:$BZ$90,5,0),"")</f>
        <v/>
      </c>
      <c r="M70" s="4" t="str">
        <f>IFERROR(HLOOKUP(D70,xHesaplama!$AG$92:$BZ$97,6,0),"")</f>
        <v/>
      </c>
      <c r="N70" s="4" t="str">
        <f>IFERROR(HLOOKUP(D70,xHesaplama!$AG$99:$BZ$105,7,0),"")</f>
        <v/>
      </c>
      <c r="O70" s="4" t="str">
        <f>IFERROR(HLOOKUP(D70,xHesaplama!$AG$107:$BZ$114,8,0),"")</f>
        <v/>
      </c>
      <c r="P70" s="4" t="str">
        <f>IFERROR(HLOOKUP(D70,xHesaplama!$AG$116:$BZ$124,9,0),"")</f>
        <v/>
      </c>
      <c r="Q70" s="4" t="str">
        <f>IFERROR(HLOOKUP(D70,xHesaplama!$AG$126:$BZ$135,10,0),"")</f>
        <v/>
      </c>
      <c r="R70" s="4" t="str">
        <f>IFERROR(HLOOKUP(D70,xHesaplama!$AG$137:$BZ$147,11,0),"")</f>
        <v/>
      </c>
      <c r="S70" s="4" t="str">
        <f>IFERROR(HLOOKUP(D70,xHesaplama!$AH$149:$BZ$160,12,0),"")</f>
        <v/>
      </c>
      <c r="T70" s="4" t="str">
        <f>IFERROR(HLOOKUP(D70,xHesaplama!$AH$162:$BZ$174,13,0),"")</f>
        <v/>
      </c>
      <c r="U70" s="4" t="str">
        <f>IFERROR(HLOOKUP(D70,xHesaplama!$AH$176:$BZ$189,14,0),"")</f>
        <v/>
      </c>
      <c r="V70" s="4" t="str">
        <f>IFERROR(HLOOKUP(D70,xHesaplama!$AH$191:$BZ$205,15,0),"")</f>
        <v/>
      </c>
      <c r="W70" s="4" t="str">
        <f>IFERROR(HLOOKUP(D70,xHesaplama!$AH$207:$BZ$222,16,0),"")</f>
        <v/>
      </c>
      <c r="X70" s="4" t="str">
        <f>IFERROR(HLOOKUP(D70,xHesaplama!$AH$224:$BZ$240,17,0),"")</f>
        <v/>
      </c>
      <c r="Y70" s="4" t="str">
        <f>IFERROR(HLOOKUP(D70,xHesaplama!$AH$242:$BZ$259,18,0),"")</f>
        <v/>
      </c>
      <c r="Z70" s="4" t="str">
        <f>IFERROR(HLOOKUP(D70,xHesaplama!$AH$261:$BZ$279,19,0),"")</f>
        <v/>
      </c>
      <c r="AA70" s="4" t="str">
        <f>IFERROR(HLOOKUP(D70,xHesaplama!$AH$281:$BZ$300,20,0),"")</f>
        <v/>
      </c>
      <c r="AB70" s="4" t="str">
        <f>IFERROR(HLOOKUP(D70,xHesaplama!$AH$302:$BZ$322,21,0),"")</f>
        <v/>
      </c>
    </row>
    <row r="71" spans="4:28" ht="78.75">
      <c r="D71" s="53" t="s">
        <v>462</v>
      </c>
      <c r="E71" s="3" t="str">
        <f>'x Malzemeler ve Özellikleri'!S63</f>
        <v>MT</v>
      </c>
      <c r="F71" t="s">
        <v>80</v>
      </c>
      <c r="G71" s="9" t="str">
        <f>VLOOKUP(D71,'x Malzemeler ve Özellikleri'!$O$2:$P$136,2,0)</f>
        <v>KASA ALIN PROFİLİ - sharp</v>
      </c>
      <c r="H71" s="63">
        <f>VLOOKUP(D71,'x Malzemeler ve Özellikleri'!$O$2:$R$136,4,0)</f>
        <v>3.8077322834645679</v>
      </c>
      <c r="I71" s="4" t="str">
        <f>IFERROR(HLOOKUP(D71,xHesaplama!$AH$74:$BZ$75,2,0),"")</f>
        <v/>
      </c>
      <c r="J71" s="4" t="str">
        <f>IFERROR(HLOOKUP(D71,xHesaplama!$AG$77:$BZ$79,3,0),"")</f>
        <v/>
      </c>
      <c r="K71" s="4" t="str">
        <f>IFERROR(HLOOKUP(D71,xHesaplama!$AG$81:$BZ$84,4,0),"")</f>
        <v/>
      </c>
      <c r="L71" s="4" t="str">
        <f>IFERROR(HLOOKUP(D71,xHesaplama!$AG$86:$BZ$90,5,0),"")</f>
        <v/>
      </c>
      <c r="M71" s="4" t="str">
        <f>IFERROR(HLOOKUP(D71,xHesaplama!$AG$92:$BZ$97,6,0),"")</f>
        <v/>
      </c>
      <c r="N71" s="4" t="str">
        <f>IFERROR(HLOOKUP(D71,xHesaplama!$AG$99:$BZ$105,7,0),"")</f>
        <v/>
      </c>
      <c r="O71" s="4" t="str">
        <f>IFERROR(HLOOKUP(D71,xHesaplama!$AG$107:$BZ$114,8,0),"")</f>
        <v/>
      </c>
      <c r="P71" s="4" t="str">
        <f>IFERROR(HLOOKUP(D71,xHesaplama!$AG$116:$BZ$124,9,0),"")</f>
        <v/>
      </c>
      <c r="Q71" s="4" t="str">
        <f>IFERROR(HLOOKUP(D71,xHesaplama!$AG$126:$BZ$135,10,0),"")</f>
        <v/>
      </c>
      <c r="R71" s="4" t="str">
        <f>IFERROR(HLOOKUP(D71,xHesaplama!$AG$137:$BZ$147,11,0),"")</f>
        <v/>
      </c>
      <c r="S71" s="4" t="str">
        <f>IFERROR(HLOOKUP(D71,xHesaplama!$AH$149:$BZ$160,12,0),"")</f>
        <v/>
      </c>
      <c r="T71" s="4" t="str">
        <f>IFERROR(HLOOKUP(D71,xHesaplama!$AH$162:$BZ$174,13,0),"")</f>
        <v/>
      </c>
      <c r="U71" s="4" t="str">
        <f>IFERROR(HLOOKUP(D71,xHesaplama!$AH$176:$BZ$189,14,0),"")</f>
        <v/>
      </c>
      <c r="V71" s="4" t="str">
        <f>IFERROR(HLOOKUP(D71,xHesaplama!$AH$191:$BZ$205,15,0),"")</f>
        <v/>
      </c>
      <c r="W71" s="4" t="str">
        <f>IFERROR(HLOOKUP(D71,xHesaplama!$AH$207:$BZ$222,16,0),"")</f>
        <v/>
      </c>
      <c r="X71" s="4" t="str">
        <f>IFERROR(HLOOKUP(D71,xHesaplama!$AH$224:$BZ$240,17,0),"")</f>
        <v/>
      </c>
      <c r="Y71" s="4" t="str">
        <f>IFERROR(HLOOKUP(D71,xHesaplama!$AH$242:$BZ$259,18,0),"")</f>
        <v/>
      </c>
      <c r="Z71" s="4" t="str">
        <f>IFERROR(HLOOKUP(D71,xHesaplama!$AH$261:$BZ$279,19,0),"")</f>
        <v/>
      </c>
      <c r="AA71" s="4" t="str">
        <f>IFERROR(HLOOKUP(D71,xHesaplama!$AH$281:$BZ$300,20,0),"")</f>
        <v/>
      </c>
      <c r="AB71" s="4" t="str">
        <f>IFERROR(HLOOKUP(D71,xHesaplama!$AH$302:$BZ$322,21,0),"")</f>
        <v/>
      </c>
    </row>
    <row r="72" spans="4:28" ht="78.75">
      <c r="D72" s="53" t="s">
        <v>463</v>
      </c>
      <c r="E72" s="3" t="str">
        <f>'x Malzemeler ve Özellikleri'!S64</f>
        <v>MT</v>
      </c>
      <c r="F72" t="s">
        <v>81</v>
      </c>
      <c r="G72" s="9" t="str">
        <f>VLOOKUP(D72,'x Malzemeler ve Özellikleri'!$O$2:$P$136,2,0)</f>
        <v>KASA ALIN PROFİLİ - soft</v>
      </c>
      <c r="H72" s="63">
        <f>VLOOKUP(D72,'x Malzemeler ve Özellikleri'!$O$2:$R$136,4,0)</f>
        <v>3.8077322834645679</v>
      </c>
      <c r="I72" s="4" t="str">
        <f>IFERROR(HLOOKUP(D72,xHesaplama!$AH$74:$BZ$75,2,0),"")</f>
        <v/>
      </c>
      <c r="J72" s="4" t="str">
        <f>IFERROR(HLOOKUP(D72,xHesaplama!$AG$77:$BZ$79,3,0),"")</f>
        <v/>
      </c>
      <c r="K72" s="4" t="str">
        <f>IFERROR(HLOOKUP(D72,xHesaplama!$AG$81:$BZ$84,4,0),"")</f>
        <v/>
      </c>
      <c r="L72" s="4" t="str">
        <f>IFERROR(HLOOKUP(D72,xHesaplama!$AG$86:$BZ$90,5,0),"")</f>
        <v/>
      </c>
      <c r="M72" s="4" t="str">
        <f>IFERROR(HLOOKUP(D72,xHesaplama!$AG$92:$BZ$97,6,0),"")</f>
        <v/>
      </c>
      <c r="N72" s="4" t="str">
        <f>IFERROR(HLOOKUP(D72,xHesaplama!$AG$99:$BZ$105,7,0),"")</f>
        <v/>
      </c>
      <c r="O72" s="4" t="str">
        <f>IFERROR(HLOOKUP(D72,xHesaplama!$AG$107:$BZ$114,8,0),"")</f>
        <v/>
      </c>
      <c r="P72" s="4" t="str">
        <f>IFERROR(HLOOKUP(D72,xHesaplama!$AG$116:$BZ$124,9,0),"")</f>
        <v/>
      </c>
      <c r="Q72" s="4" t="str">
        <f>IFERROR(HLOOKUP(D72,xHesaplama!$AG$126:$BZ$135,10,0),"")</f>
        <v/>
      </c>
      <c r="R72" s="4" t="str">
        <f>IFERROR(HLOOKUP(D72,xHesaplama!$AG$137:$BZ$147,11,0),"")</f>
        <v/>
      </c>
      <c r="S72" s="4" t="str">
        <f>IFERROR(HLOOKUP(D72,xHesaplama!$AH$149:$BZ$160,12,0),"")</f>
        <v/>
      </c>
      <c r="T72" s="4" t="str">
        <f>IFERROR(HLOOKUP(D72,xHesaplama!$AH$162:$BZ$174,13,0),"")</f>
        <v/>
      </c>
      <c r="U72" s="4" t="str">
        <f>IFERROR(HLOOKUP(D72,xHesaplama!$AH$176:$BZ$189,14,0),"")</f>
        <v/>
      </c>
      <c r="V72" s="4" t="str">
        <f>IFERROR(HLOOKUP(D72,xHesaplama!$AH$191:$BZ$205,15,0),"")</f>
        <v/>
      </c>
      <c r="W72" s="4" t="str">
        <f>IFERROR(HLOOKUP(D72,xHesaplama!$AH$207:$BZ$222,16,0),"")</f>
        <v/>
      </c>
      <c r="X72" s="4" t="str">
        <f>IFERROR(HLOOKUP(D72,xHesaplama!$AH$224:$BZ$240,17,0),"")</f>
        <v/>
      </c>
      <c r="Y72" s="4" t="str">
        <f>IFERROR(HLOOKUP(D72,xHesaplama!$AH$242:$BZ$259,18,0),"")</f>
        <v/>
      </c>
      <c r="Z72" s="4" t="str">
        <f>IFERROR(HLOOKUP(D72,xHesaplama!$AH$261:$BZ$279,19,0),"")</f>
        <v/>
      </c>
      <c r="AA72" s="4" t="str">
        <f>IFERROR(HLOOKUP(D72,xHesaplama!$AH$281:$BZ$300,20,0),"")</f>
        <v/>
      </c>
      <c r="AB72" s="4" t="str">
        <f>IFERROR(HLOOKUP(D72,xHesaplama!$AH$302:$BZ$322,21,0),"")</f>
        <v/>
      </c>
    </row>
    <row r="73" spans="4:28" ht="26.25">
      <c r="D73" s="9" t="s">
        <v>489</v>
      </c>
      <c r="E73" s="3" t="str">
        <f>'x Malzemeler ve Özellikleri'!S65</f>
        <v>ADET</v>
      </c>
      <c r="F73" t="s">
        <v>41</v>
      </c>
      <c r="G73" s="9" t="str">
        <f>VLOOKUP(D73,'x Malzemeler ve Özellikleri'!$O$2:$P$136,2,0)</f>
        <v>PVC YAY</v>
      </c>
      <c r="H73" s="63">
        <f>VLOOKUP(D73,'x Malzemeler ve Özellikleri'!$O$2:$R$136,4,0)</f>
        <v>7.0000000000000007E-2</v>
      </c>
      <c r="I73" s="4">
        <f>IFERROR(HLOOKUP(D73,xHesaplama!$AH$74:$BZ$75,2,0),"")</f>
        <v>36</v>
      </c>
      <c r="J73" s="4" t="str">
        <f>IFERROR(HLOOKUP(D73,xHesaplama!$AG$77:$BZ$79,3,0),"")</f>
        <v/>
      </c>
      <c r="K73" s="4" t="str">
        <f>IFERROR(HLOOKUP(D73,xHesaplama!$AG$81:$BZ$84,4,0),"")</f>
        <v/>
      </c>
      <c r="L73" s="4" t="str">
        <f>IFERROR(HLOOKUP(D73,xHesaplama!$AG$86:$BZ$90,5,0),"")</f>
        <v/>
      </c>
      <c r="M73" s="4" t="str">
        <f>IFERROR(HLOOKUP(D73,xHesaplama!$AG$92:$BZ$97,6,0),"")</f>
        <v/>
      </c>
      <c r="N73" s="4" t="str">
        <f>IFERROR(HLOOKUP(D73,xHesaplama!$AG$99:$BZ$105,7,0),"")</f>
        <v/>
      </c>
      <c r="O73" s="4" t="str">
        <f>IFERROR(HLOOKUP(D73,xHesaplama!$AG$107:$BZ$114,8,0),"")</f>
        <v/>
      </c>
      <c r="P73" s="4" t="str">
        <f>IFERROR(HLOOKUP(D73,xHesaplama!$AG$116:$BZ$124,9,0),"")</f>
        <v/>
      </c>
      <c r="Q73" s="4" t="str">
        <f>IFERROR(HLOOKUP(D73,xHesaplama!$AG$126:$BZ$135,10,0),"")</f>
        <v/>
      </c>
      <c r="R73" s="4" t="str">
        <f>IFERROR(HLOOKUP(D73,xHesaplama!$AG$137:$BZ$147,11,0),"")</f>
        <v/>
      </c>
      <c r="S73" s="4" t="str">
        <f>IFERROR(HLOOKUP(D73,xHesaplama!$AH$149:$BZ$160,12,0),"")</f>
        <v/>
      </c>
      <c r="T73" s="4" t="str">
        <f>IFERROR(HLOOKUP(D73,xHesaplama!$AH$162:$BZ$174,13,0),"")</f>
        <v/>
      </c>
      <c r="U73" s="4" t="str">
        <f>IFERROR(HLOOKUP(D73,xHesaplama!$AH$176:$BZ$189,14,0),"")</f>
        <v/>
      </c>
      <c r="V73" s="4" t="str">
        <f>IFERROR(HLOOKUP(D73,xHesaplama!$AH$191:$BZ$205,15,0),"")</f>
        <v/>
      </c>
      <c r="W73" s="4" t="str">
        <f>IFERROR(HLOOKUP(D73,xHesaplama!$AH$207:$BZ$222,16,0),"")</f>
        <v/>
      </c>
      <c r="X73" s="4" t="str">
        <f>IFERROR(HLOOKUP(D73,xHesaplama!$AH$224:$BZ$240,17,0),"")</f>
        <v/>
      </c>
      <c r="Y73" s="4" t="str">
        <f>IFERROR(HLOOKUP(D73,xHesaplama!$AH$242:$BZ$259,18,0),"")</f>
        <v/>
      </c>
      <c r="Z73" s="4" t="str">
        <f>IFERROR(HLOOKUP(D73,xHesaplama!$AH$261:$BZ$279,19,0),"")</f>
        <v/>
      </c>
      <c r="AA73" s="4" t="str">
        <f>IFERROR(HLOOKUP(D73,xHesaplama!$AH$281:$BZ$300,20,0),"")</f>
        <v/>
      </c>
      <c r="AB73" s="4" t="str">
        <f>IFERROR(HLOOKUP(D73,xHesaplama!$AH$302:$BZ$322,21,0),"")</f>
        <v/>
      </c>
    </row>
    <row r="74" spans="4:28" ht="26.25">
      <c r="D74" s="9" t="s">
        <v>490</v>
      </c>
      <c r="E74" s="3" t="str">
        <f>'x Malzemeler ve Özellikleri'!S66</f>
        <v>MT</v>
      </c>
      <c r="F74" t="s">
        <v>3</v>
      </c>
      <c r="G74" s="9" t="str">
        <f>VLOOKUP(D74,'x Malzemeler ve Özellikleri'!$O$2:$P$136,2,0)</f>
        <v>78BOR</v>
      </c>
      <c r="H74" s="63">
        <f>VLOOKUP(D74,'x Malzemeler ve Özellikleri'!$O$2:$R$136,4,0)</f>
        <v>2.4604330708661419</v>
      </c>
      <c r="I74" s="4">
        <f>IFERROR(HLOOKUP(D74,xHesaplama!$AH$74:$BZ$75,2,0),"")</f>
        <v>1.0920000000000001</v>
      </c>
      <c r="J74" s="4" t="str">
        <f>IFERROR(HLOOKUP(D74,xHesaplama!$AG$77:$BZ$79,3,0),"")</f>
        <v/>
      </c>
      <c r="K74" s="4" t="str">
        <f>IFERROR(HLOOKUP(D74,xHesaplama!$AG$81:$BZ$84,4,0),"")</f>
        <v/>
      </c>
      <c r="L74" s="4" t="str">
        <f>IFERROR(HLOOKUP(D74,xHesaplama!$AG$86:$BZ$90,5,0),"")</f>
        <v/>
      </c>
      <c r="M74" s="4" t="str">
        <f>IFERROR(HLOOKUP(D74,xHesaplama!$AG$92:$BZ$97,6,0),"")</f>
        <v/>
      </c>
      <c r="N74" s="4" t="str">
        <f>IFERROR(HLOOKUP(D74,xHesaplama!$AG$99:$BZ$105,7,0),"")</f>
        <v/>
      </c>
      <c r="O74" s="4" t="str">
        <f>IFERROR(HLOOKUP(D74,xHesaplama!$AG$107:$BZ$114,8,0),"")</f>
        <v/>
      </c>
      <c r="P74" s="4" t="str">
        <f>IFERROR(HLOOKUP(D74,xHesaplama!$AG$116:$BZ$124,9,0),"")</f>
        <v/>
      </c>
      <c r="Q74" s="4" t="str">
        <f>IFERROR(HLOOKUP(D74,xHesaplama!$AG$126:$BZ$135,10,0),"")</f>
        <v/>
      </c>
      <c r="R74" s="4" t="str">
        <f>IFERROR(HLOOKUP(D74,xHesaplama!$AG$137:$BZ$147,11,0),"")</f>
        <v/>
      </c>
      <c r="S74" s="4" t="str">
        <f>IFERROR(HLOOKUP(D74,xHesaplama!$AH$149:$BZ$160,12,0),"")</f>
        <v/>
      </c>
      <c r="T74" s="4" t="str">
        <f>IFERROR(HLOOKUP(D74,xHesaplama!$AH$162:$BZ$174,13,0),"")</f>
        <v/>
      </c>
      <c r="U74" s="4" t="str">
        <f>IFERROR(HLOOKUP(D74,xHesaplama!$AH$176:$BZ$189,14,0),"")</f>
        <v/>
      </c>
      <c r="V74" s="4" t="str">
        <f>IFERROR(HLOOKUP(D74,xHesaplama!$AH$191:$BZ$205,15,0),"")</f>
        <v/>
      </c>
      <c r="W74" s="4" t="str">
        <f>IFERROR(HLOOKUP(D74,xHesaplama!$AH$207:$BZ$222,16,0),"")</f>
        <v/>
      </c>
      <c r="X74" s="4" t="str">
        <f>IFERROR(HLOOKUP(D74,xHesaplama!$AH$224:$BZ$240,17,0),"")</f>
        <v/>
      </c>
      <c r="Y74" s="4" t="str">
        <f>IFERROR(HLOOKUP(D74,xHesaplama!$AH$242:$BZ$259,18,0),"")</f>
        <v/>
      </c>
      <c r="Z74" s="4" t="str">
        <f>IFERROR(HLOOKUP(D74,xHesaplama!$AH$261:$BZ$279,19,0),"")</f>
        <v/>
      </c>
      <c r="AA74" s="4" t="str">
        <f>IFERROR(HLOOKUP(D74,xHesaplama!$AH$281:$BZ$300,20,0),"")</f>
        <v/>
      </c>
      <c r="AB74" s="4" t="str">
        <f>IFERROR(HLOOKUP(D74,xHesaplama!$AH$302:$BZ$322,21,0),"")</f>
        <v/>
      </c>
    </row>
    <row r="75" spans="4:28" ht="52.5">
      <c r="D75" s="9" t="s">
        <v>491</v>
      </c>
      <c r="E75" s="3" t="str">
        <f>'x Malzemeler ve Özellikleri'!S67</f>
        <v>ADET</v>
      </c>
      <c r="F75" t="s">
        <v>644</v>
      </c>
      <c r="G75" s="9" t="str">
        <f>VLOOKUP(D75,'x Malzemeler ve Özellikleri'!$O$2:$P$136,2,0)</f>
        <v>MNS.P1.014</v>
      </c>
      <c r="H75" s="63">
        <f>VLOOKUP(D75,'x Malzemeler ve Özellikleri'!$O$2:$R$136,4,0)</f>
        <v>0.86</v>
      </c>
      <c r="I75" s="4">
        <f>IFERROR(HLOOKUP(D75,xHesaplama!$AH$74:$BZ$75,2,0),"")</f>
        <v>1</v>
      </c>
      <c r="J75" s="4" t="str">
        <f>IFERROR(HLOOKUP(D75,xHesaplama!$AG$77:$BZ$79,3,0),"")</f>
        <v/>
      </c>
      <c r="K75" s="4" t="str">
        <f>IFERROR(HLOOKUP(D75,xHesaplama!$AG$81:$BZ$84,4,0),"")</f>
        <v/>
      </c>
      <c r="L75" s="4" t="str">
        <f>IFERROR(HLOOKUP(D75,xHesaplama!$AG$86:$BZ$90,5,0),"")</f>
        <v/>
      </c>
      <c r="M75" s="4" t="str">
        <f>IFERROR(HLOOKUP(D75,xHesaplama!$AG$92:$BZ$97,6,0),"")</f>
        <v/>
      </c>
      <c r="N75" s="4" t="str">
        <f>IFERROR(HLOOKUP(D75,xHesaplama!$AG$99:$BZ$105,7,0),"")</f>
        <v/>
      </c>
      <c r="O75" s="4" t="str">
        <f>IFERROR(HLOOKUP(D75,xHesaplama!$AG$107:$BZ$114,8,0),"")</f>
        <v/>
      </c>
      <c r="P75" s="4" t="str">
        <f>IFERROR(HLOOKUP(D75,xHesaplama!$AG$116:$BZ$124,9,0),"")</f>
        <v/>
      </c>
      <c r="Q75" s="4" t="str">
        <f>IFERROR(HLOOKUP(D75,xHesaplama!$AG$126:$BZ$135,10,0),"")</f>
        <v/>
      </c>
      <c r="R75" s="4" t="str">
        <f>IFERROR(HLOOKUP(D75,xHesaplama!$AG$137:$BZ$147,11,0),"")</f>
        <v/>
      </c>
      <c r="S75" s="4" t="str">
        <f>IFERROR(HLOOKUP(D75,xHesaplama!$AH$149:$BZ$160,12,0),"")</f>
        <v/>
      </c>
      <c r="T75" s="4" t="str">
        <f>IFERROR(HLOOKUP(D75,xHesaplama!$AH$162:$BZ$174,13,0),"")</f>
        <v/>
      </c>
      <c r="U75" s="4" t="str">
        <f>IFERROR(HLOOKUP(D75,xHesaplama!$AH$176:$BZ$189,14,0),"")</f>
        <v/>
      </c>
      <c r="V75" s="4" t="str">
        <f>IFERROR(HLOOKUP(D75,xHesaplama!$AH$191:$BZ$205,15,0),"")</f>
        <v/>
      </c>
      <c r="W75" s="4" t="str">
        <f>IFERROR(HLOOKUP(D75,xHesaplama!$AH$207:$BZ$222,16,0),"")</f>
        <v/>
      </c>
      <c r="X75" s="4" t="str">
        <f>IFERROR(HLOOKUP(D75,xHesaplama!$AH$224:$BZ$240,17,0),"")</f>
        <v/>
      </c>
      <c r="Y75" s="4" t="str">
        <f>IFERROR(HLOOKUP(D75,xHesaplama!$AH$242:$BZ$259,18,0),"")</f>
        <v/>
      </c>
      <c r="Z75" s="4" t="str">
        <f>IFERROR(HLOOKUP(D75,xHesaplama!$AH$261:$BZ$279,19,0),"")</f>
        <v/>
      </c>
      <c r="AA75" s="4" t="str">
        <f>IFERROR(HLOOKUP(D75,xHesaplama!$AH$281:$BZ$300,20,0),"")</f>
        <v/>
      </c>
      <c r="AB75" s="4" t="str">
        <f>IFERROR(HLOOKUP(D75,xHesaplama!$AH$302:$BZ$322,21,0),"")</f>
        <v/>
      </c>
    </row>
    <row r="76" spans="4:28" ht="26.25">
      <c r="D76" s="9" t="s">
        <v>492</v>
      </c>
      <c r="E76" s="3" t="str">
        <f>'x Malzemeler ve Özellikleri'!S68</f>
        <v>ADET</v>
      </c>
      <c r="F76" t="s">
        <v>40</v>
      </c>
      <c r="G76" s="9">
        <f>VLOOKUP(D76,'x Malzemeler ve Özellikleri'!$O$2:$P$136,2,0)</f>
        <v>9761001</v>
      </c>
      <c r="H76" s="63">
        <f>VLOOKUP(D76,'x Malzemeler ve Özellikleri'!$O$2:$R$136,4,0)</f>
        <v>0.5</v>
      </c>
      <c r="I76" s="4">
        <f>IFERROR(HLOOKUP(D76,xHesaplama!$AH$74:$BZ$75,2,0),"")</f>
        <v>1</v>
      </c>
      <c r="J76" s="4" t="str">
        <f>IFERROR(HLOOKUP(D76,xHesaplama!$AG$77:$BZ$79,3,0),"")</f>
        <v/>
      </c>
      <c r="K76" s="4" t="str">
        <f>IFERROR(HLOOKUP(D76,xHesaplama!$AG$81:$BZ$84,4,0),"")</f>
        <v/>
      </c>
      <c r="L76" s="4" t="str">
        <f>IFERROR(HLOOKUP(D76,xHesaplama!$AG$86:$BZ$90,5,0),"")</f>
        <v/>
      </c>
      <c r="M76" s="4" t="str">
        <f>IFERROR(HLOOKUP(D76,xHesaplama!$AG$92:$BZ$97,6,0),"")</f>
        <v/>
      </c>
      <c r="N76" s="4" t="str">
        <f>IFERROR(HLOOKUP(D76,xHesaplama!$AG$99:$BZ$105,7,0),"")</f>
        <v/>
      </c>
      <c r="O76" s="4" t="str">
        <f>IFERROR(HLOOKUP(D76,xHesaplama!$AG$107:$BZ$114,8,0),"")</f>
        <v/>
      </c>
      <c r="P76" s="4" t="str">
        <f>IFERROR(HLOOKUP(D76,xHesaplama!$AG$116:$BZ$124,9,0),"")</f>
        <v/>
      </c>
      <c r="Q76" s="4" t="str">
        <f>IFERROR(HLOOKUP(D76,xHesaplama!$AG$126:$BZ$135,10,0),"")</f>
        <v/>
      </c>
      <c r="R76" s="4" t="str">
        <f>IFERROR(HLOOKUP(D76,xHesaplama!$AG$137:$BZ$147,11,0),"")</f>
        <v/>
      </c>
      <c r="S76" s="4" t="str">
        <f>IFERROR(HLOOKUP(D76,xHesaplama!$AH$149:$BZ$160,12,0),"")</f>
        <v/>
      </c>
      <c r="T76" s="4" t="str">
        <f>IFERROR(HLOOKUP(D76,xHesaplama!$AH$162:$BZ$174,13,0),"")</f>
        <v/>
      </c>
      <c r="U76" s="4" t="str">
        <f>IFERROR(HLOOKUP(D76,xHesaplama!$AH$176:$BZ$189,14,0),"")</f>
        <v/>
      </c>
      <c r="V76" s="4" t="str">
        <f>IFERROR(HLOOKUP(D76,xHesaplama!$AH$191:$BZ$205,15,0),"")</f>
        <v/>
      </c>
      <c r="W76" s="4" t="str">
        <f>IFERROR(HLOOKUP(D76,xHesaplama!$AH$207:$BZ$222,16,0),"")</f>
        <v/>
      </c>
      <c r="X76" s="4" t="str">
        <f>IFERROR(HLOOKUP(D76,xHesaplama!$AH$224:$BZ$240,17,0),"")</f>
        <v/>
      </c>
      <c r="Y76" s="4" t="str">
        <f>IFERROR(HLOOKUP(D76,xHesaplama!$AH$242:$BZ$259,18,0),"")</f>
        <v/>
      </c>
      <c r="Z76" s="4" t="str">
        <f>IFERROR(HLOOKUP(D76,xHesaplama!$AH$261:$BZ$279,19,0),"")</f>
        <v/>
      </c>
      <c r="AA76" s="4" t="str">
        <f>IFERROR(HLOOKUP(D76,xHesaplama!$AH$281:$BZ$300,20,0),"")</f>
        <v/>
      </c>
      <c r="AB76" s="4" t="str">
        <f>IFERROR(HLOOKUP(D76,xHesaplama!$AH$302:$BZ$322,21,0),"")</f>
        <v/>
      </c>
    </row>
    <row r="77" spans="4:28" ht="26.25">
      <c r="D77" s="9" t="s">
        <v>493</v>
      </c>
      <c r="E77" s="3" t="str">
        <f>'x Malzemeler ve Özellikleri'!S69</f>
        <v>MT</v>
      </c>
      <c r="F77" t="s">
        <v>9</v>
      </c>
      <c r="G77" s="9" t="str">
        <f>VLOOKUP(D77,'x Malzemeler ve Özellikleri'!$O$2:$P$136,2,0)</f>
        <v>FERMUAR</v>
      </c>
      <c r="H77" s="63">
        <f>VLOOKUP(D77,'x Malzemeler ve Özellikleri'!$O$2:$R$136,4,0)</f>
        <v>1.1499999999999999</v>
      </c>
      <c r="I77" s="4">
        <f>IFERROR(HLOOKUP(D77,xHesaplama!$AH$74:$BZ$75,2,0),"")</f>
        <v>5.23</v>
      </c>
      <c r="J77" s="4" t="str">
        <f>IFERROR(HLOOKUP(D77,xHesaplama!$AG$77:$BZ$79,3,0),"")</f>
        <v/>
      </c>
      <c r="K77" s="4" t="str">
        <f>IFERROR(HLOOKUP(D77,xHesaplama!$AG$81:$BZ$84,4,0),"")</f>
        <v/>
      </c>
      <c r="L77" s="4" t="str">
        <f>IFERROR(HLOOKUP(D77,xHesaplama!$AG$86:$BZ$90,5,0),"")</f>
        <v/>
      </c>
      <c r="M77" s="4" t="str">
        <f>IFERROR(HLOOKUP(D77,xHesaplama!$AG$92:$BZ$97,6,0),"")</f>
        <v/>
      </c>
      <c r="N77" s="4" t="str">
        <f>IFERROR(HLOOKUP(D77,xHesaplama!$AG$99:$BZ$105,7,0),"")</f>
        <v/>
      </c>
      <c r="O77" s="4" t="str">
        <f>IFERROR(HLOOKUP(D77,xHesaplama!$AG$107:$BZ$114,8,0),"")</f>
        <v/>
      </c>
      <c r="P77" s="4" t="str">
        <f>IFERROR(HLOOKUP(D77,xHesaplama!$AG$116:$BZ$124,9,0),"")</f>
        <v/>
      </c>
      <c r="Q77" s="4" t="str">
        <f>IFERROR(HLOOKUP(D77,xHesaplama!$AG$126:$BZ$135,10,0),"")</f>
        <v/>
      </c>
      <c r="R77" s="4" t="str">
        <f>IFERROR(HLOOKUP(D77,xHesaplama!$AG$137:$BZ$147,11,0),"")</f>
        <v/>
      </c>
      <c r="S77" s="4" t="str">
        <f>IFERROR(HLOOKUP(D77,xHesaplama!$AH$149:$BZ$160,12,0),"")</f>
        <v/>
      </c>
      <c r="T77" s="4" t="str">
        <f>IFERROR(HLOOKUP(D77,xHesaplama!$AH$162:$BZ$174,13,0),"")</f>
        <v/>
      </c>
      <c r="U77" s="4" t="str">
        <f>IFERROR(HLOOKUP(D77,xHesaplama!$AH$176:$BZ$189,14,0),"")</f>
        <v/>
      </c>
      <c r="V77" s="4" t="str">
        <f>IFERROR(HLOOKUP(D77,xHesaplama!$AH$191:$BZ$205,15,0),"")</f>
        <v/>
      </c>
      <c r="W77" s="4" t="str">
        <f>IFERROR(HLOOKUP(D77,xHesaplama!$AH$207:$BZ$222,16,0),"")</f>
        <v/>
      </c>
      <c r="X77" s="4" t="str">
        <f>IFERROR(HLOOKUP(D77,xHesaplama!$AH$224:$BZ$240,17,0),"")</f>
        <v/>
      </c>
      <c r="Y77" s="4" t="str">
        <f>IFERROR(HLOOKUP(D77,xHesaplama!$AH$242:$BZ$259,18,0),"")</f>
        <v/>
      </c>
      <c r="Z77" s="4" t="str">
        <f>IFERROR(HLOOKUP(D77,xHesaplama!$AH$261:$BZ$279,19,0),"")</f>
        <v/>
      </c>
      <c r="AA77" s="4" t="str">
        <f>IFERROR(HLOOKUP(D77,xHesaplama!$AH$281:$BZ$300,20,0),"")</f>
        <v/>
      </c>
      <c r="AB77" s="4" t="str">
        <f>IFERROR(HLOOKUP(D77,xHesaplama!$AH$302:$BZ$322,21,0),"")</f>
        <v/>
      </c>
    </row>
    <row r="78" spans="4:28" ht="26.25">
      <c r="D78" s="9" t="s">
        <v>494</v>
      </c>
      <c r="E78" s="3" t="str">
        <f>'x Malzemeler ve Özellikleri'!S70</f>
        <v>MT</v>
      </c>
      <c r="F78" t="s">
        <v>982</v>
      </c>
      <c r="G78" s="9" t="str">
        <f>VLOOKUP(D78,'x Malzemeler ve Özellikleri'!$O$2:$P$136,2,0)</f>
        <v>BP.422</v>
      </c>
      <c r="H78" s="63">
        <f>VLOOKUP(D78,'x Malzemeler ve Özellikleri'!$O$2:$R$136,4,0)</f>
        <v>0.6</v>
      </c>
      <c r="I78" s="4">
        <f>IFERROR(HLOOKUP(D78,xHesaplama!$AH$74:$BZ$75,2,0),"")</f>
        <v>4.6100000000000003</v>
      </c>
      <c r="J78" s="4" t="str">
        <f>IFERROR(HLOOKUP(D78,xHesaplama!$AG$77:$BZ$79,3,0),"")</f>
        <v/>
      </c>
      <c r="K78" s="4" t="str">
        <f>IFERROR(HLOOKUP(D78,xHesaplama!$AG$81:$BZ$84,4,0),"")</f>
        <v/>
      </c>
      <c r="L78" s="4" t="str">
        <f>IFERROR(HLOOKUP(D78,xHesaplama!$AG$86:$BZ$90,5,0),"")</f>
        <v/>
      </c>
      <c r="M78" s="4" t="str">
        <f>IFERROR(HLOOKUP(D78,xHesaplama!$AG$92:$BZ$97,6,0),"")</f>
        <v/>
      </c>
      <c r="N78" s="4" t="str">
        <f>IFERROR(HLOOKUP(D78,xHesaplama!$AG$99:$BZ$105,7,0),"")</f>
        <v/>
      </c>
      <c r="O78" s="4" t="str">
        <f>IFERROR(HLOOKUP(D78,xHesaplama!$AG$107:$BZ$114,8,0),"")</f>
        <v/>
      </c>
      <c r="P78" s="4" t="str">
        <f>IFERROR(HLOOKUP(D78,xHesaplama!$AG$116:$BZ$124,9,0),"")</f>
        <v/>
      </c>
      <c r="Q78" s="4" t="str">
        <f>IFERROR(HLOOKUP(D78,xHesaplama!$AG$126:$BZ$135,10,0),"")</f>
        <v/>
      </c>
      <c r="R78" s="4" t="str">
        <f>IFERROR(HLOOKUP(D78,xHesaplama!$AG$137:$BZ$147,11,0),"")</f>
        <v/>
      </c>
      <c r="S78" s="4" t="str">
        <f>IFERROR(HLOOKUP(D78,xHesaplama!$AH$149:$BZ$160,12,0),"")</f>
        <v/>
      </c>
      <c r="T78" s="4" t="str">
        <f>IFERROR(HLOOKUP(D78,xHesaplama!$AH$162:$BZ$174,13,0),"")</f>
        <v/>
      </c>
      <c r="U78" s="4" t="str">
        <f>IFERROR(HLOOKUP(D78,xHesaplama!$AH$176:$BZ$189,14,0),"")</f>
        <v/>
      </c>
      <c r="V78" s="4" t="str">
        <f>IFERROR(HLOOKUP(D78,xHesaplama!$AH$191:$BZ$205,15,0),"")</f>
        <v/>
      </c>
      <c r="W78" s="4" t="str">
        <f>IFERROR(HLOOKUP(D78,xHesaplama!$AH$207:$BZ$222,16,0),"")</f>
        <v/>
      </c>
      <c r="X78" s="4" t="str">
        <f>IFERROR(HLOOKUP(D78,xHesaplama!$AH$224:$BZ$240,17,0),"")</f>
        <v/>
      </c>
      <c r="Y78" s="4" t="str">
        <f>IFERROR(HLOOKUP(D78,xHesaplama!$AH$242:$BZ$259,18,0),"")</f>
        <v/>
      </c>
      <c r="Z78" s="4" t="str">
        <f>IFERROR(HLOOKUP(D78,xHesaplama!$AH$261:$BZ$279,19,0),"")</f>
        <v/>
      </c>
      <c r="AA78" s="4" t="str">
        <f>IFERROR(HLOOKUP(D78,xHesaplama!$AH$281:$BZ$300,20,0),"")</f>
        <v/>
      </c>
      <c r="AB78" s="4" t="str">
        <f>IFERROR(HLOOKUP(D78,xHesaplama!$AH$302:$BZ$322,21,0),"")</f>
        <v/>
      </c>
    </row>
    <row r="79" spans="4:28" ht="26.25">
      <c r="D79" s="9" t="s">
        <v>495</v>
      </c>
      <c r="E79" s="3" t="str">
        <f>'x Malzemeler ve Özellikleri'!S71</f>
        <v>TAKIM</v>
      </c>
      <c r="F79" t="s">
        <v>11</v>
      </c>
      <c r="G79" s="9" t="str">
        <f>VLOOKUP(D79,'x Malzemeler ve Özellikleri'!$O$2:$P$136,2,0)</f>
        <v>VİDA3</v>
      </c>
      <c r="H79" s="63">
        <f>VLOOKUP(D79,'x Malzemeler ve Özellikleri'!$O$2:$R$136,4,0)</f>
        <v>1</v>
      </c>
      <c r="I79" s="4">
        <f>IFERROR(HLOOKUP(D79,xHesaplama!$AH$74:$BZ$75,2,0),"")</f>
        <v>1</v>
      </c>
      <c r="J79" s="4" t="str">
        <f>IFERROR(HLOOKUP(D79,xHesaplama!$AG$77:$BZ$79,3,0),"")</f>
        <v/>
      </c>
      <c r="K79" s="4" t="str">
        <f>IFERROR(HLOOKUP(D79,xHesaplama!$AG$81:$BZ$84,4,0),"")</f>
        <v/>
      </c>
      <c r="L79" s="4" t="str">
        <f>IFERROR(HLOOKUP(D79,xHesaplama!$AG$86:$BZ$90,5,0),"")</f>
        <v/>
      </c>
      <c r="M79" s="4" t="str">
        <f>IFERROR(HLOOKUP(D79,xHesaplama!$AG$92:$BZ$97,6,0),"")</f>
        <v/>
      </c>
      <c r="N79" s="4" t="str">
        <f>IFERROR(HLOOKUP(D79,xHesaplama!$AG$99:$BZ$105,7,0),"")</f>
        <v/>
      </c>
      <c r="O79" s="4" t="str">
        <f>IFERROR(HLOOKUP(D79,xHesaplama!$AG$107:$BZ$114,8,0),"")</f>
        <v/>
      </c>
      <c r="P79" s="4" t="str">
        <f>IFERROR(HLOOKUP(D79,xHesaplama!$AG$116:$BZ$124,9,0),"")</f>
        <v/>
      </c>
      <c r="Q79" s="4" t="str">
        <f>IFERROR(HLOOKUP(D79,xHesaplama!$AG$126:$BZ$135,10,0),"")</f>
        <v/>
      </c>
      <c r="R79" s="4" t="str">
        <f>IFERROR(HLOOKUP(D79,xHesaplama!$AG$137:$BZ$147,11,0),"")</f>
        <v/>
      </c>
      <c r="S79" s="4" t="str">
        <f>IFERROR(HLOOKUP(D79,xHesaplama!$AH$149:$BZ$160,12,0),"")</f>
        <v/>
      </c>
      <c r="T79" s="4" t="str">
        <f>IFERROR(HLOOKUP(D79,xHesaplama!$AH$162:$BZ$174,13,0),"")</f>
        <v/>
      </c>
      <c r="U79" s="4" t="str">
        <f>IFERROR(HLOOKUP(D79,xHesaplama!$AH$176:$BZ$189,14,0),"")</f>
        <v/>
      </c>
      <c r="V79" s="4" t="str">
        <f>IFERROR(HLOOKUP(D79,xHesaplama!$AH$191:$BZ$205,15,0),"")</f>
        <v/>
      </c>
      <c r="W79" s="4" t="str">
        <f>IFERROR(HLOOKUP(D79,xHesaplama!$AH$207:$BZ$222,16,0),"")</f>
        <v/>
      </c>
      <c r="X79" s="4" t="str">
        <f>IFERROR(HLOOKUP(D79,xHesaplama!$AH$224:$BZ$240,17,0),"")</f>
        <v/>
      </c>
      <c r="Y79" s="4" t="str">
        <f>IFERROR(HLOOKUP(D79,xHesaplama!$AH$242:$BZ$259,18,0),"")</f>
        <v/>
      </c>
      <c r="Z79" s="4" t="str">
        <f>IFERROR(HLOOKUP(D79,xHesaplama!$AH$261:$BZ$279,19,0),"")</f>
        <v/>
      </c>
      <c r="AA79" s="4" t="str">
        <f>IFERROR(HLOOKUP(D79,xHesaplama!$AH$281:$BZ$300,20,0),"")</f>
        <v/>
      </c>
      <c r="AB79" s="4" t="str">
        <f>IFERROR(HLOOKUP(D79,xHesaplama!$AH$302:$BZ$322,21,0),"")</f>
        <v/>
      </c>
    </row>
    <row r="80" spans="4:28" ht="78.75">
      <c r="D80" s="9" t="s">
        <v>496</v>
      </c>
      <c r="E80" s="3" t="str">
        <f>'x Malzemeler ve Özellikleri'!S72</f>
        <v>MT</v>
      </c>
      <c r="F80" t="s">
        <v>66</v>
      </c>
      <c r="G80" s="9" t="str">
        <f>VLOOKUP(D80,'x Malzemeler ve Özellikleri'!$O$2:$P$136,2,0)</f>
        <v>ALT PARÇA KIL FİTİL 48*10</v>
      </c>
      <c r="H80" s="63">
        <f>VLOOKUP(D80,'x Malzemeler ve Özellikleri'!$O$2:$R$136,4,0)</f>
        <v>0.08</v>
      </c>
      <c r="I80" s="4">
        <f>IFERROR(HLOOKUP(D80,xHesaplama!$AH$74:$BZ$75,2,0),"")</f>
        <v>1.0880000000000001</v>
      </c>
      <c r="J80" s="4" t="str">
        <f>IFERROR(HLOOKUP(D80,xHesaplama!$AG$77:$BZ$79,3,0),"")</f>
        <v/>
      </c>
      <c r="K80" s="4" t="str">
        <f>IFERROR(HLOOKUP(D80,xHesaplama!$AG$81:$BZ$84,4,0),"")</f>
        <v/>
      </c>
      <c r="L80" s="4" t="str">
        <f>IFERROR(HLOOKUP(D80,xHesaplama!$AG$86:$BZ$90,5,0),"")</f>
        <v/>
      </c>
      <c r="M80" s="4" t="str">
        <f>IFERROR(HLOOKUP(D80,xHesaplama!$AG$92:$BZ$97,6,0),"")</f>
        <v/>
      </c>
      <c r="N80" s="4" t="str">
        <f>IFERROR(HLOOKUP(D80,xHesaplama!$AG$99:$BZ$105,7,0),"")</f>
        <v/>
      </c>
      <c r="O80" s="4" t="str">
        <f>IFERROR(HLOOKUP(D80,xHesaplama!$AG$107:$BZ$114,8,0),"")</f>
        <v/>
      </c>
      <c r="P80" s="4" t="str">
        <f>IFERROR(HLOOKUP(D80,xHesaplama!$AG$116:$BZ$124,9,0),"")</f>
        <v/>
      </c>
      <c r="Q80" s="4" t="str">
        <f>IFERROR(HLOOKUP(D80,xHesaplama!$AG$126:$BZ$135,10,0),"")</f>
        <v/>
      </c>
      <c r="R80" s="4" t="str">
        <f>IFERROR(HLOOKUP(D80,xHesaplama!$AG$137:$BZ$147,11,0),"")</f>
        <v/>
      </c>
      <c r="S80" s="4" t="str">
        <f>IFERROR(HLOOKUP(D80,xHesaplama!$AH$149:$BZ$160,12,0),"")</f>
        <v/>
      </c>
      <c r="T80" s="4" t="str">
        <f>IFERROR(HLOOKUP(D80,xHesaplama!$AH$162:$BZ$174,13,0),"")</f>
        <v/>
      </c>
      <c r="U80" s="4" t="str">
        <f>IFERROR(HLOOKUP(D80,xHesaplama!$AH$176:$BZ$189,14,0),"")</f>
        <v/>
      </c>
      <c r="V80" s="4" t="str">
        <f>IFERROR(HLOOKUP(D80,xHesaplama!$AH$191:$BZ$205,15,0),"")</f>
        <v/>
      </c>
      <c r="W80" s="4" t="str">
        <f>IFERROR(HLOOKUP(D80,xHesaplama!$AH$207:$BZ$222,16,0),"")</f>
        <v/>
      </c>
      <c r="X80" s="4" t="str">
        <f>IFERROR(HLOOKUP(D80,xHesaplama!$AH$224:$BZ$240,17,0),"")</f>
        <v/>
      </c>
      <c r="Y80" s="4" t="str">
        <f>IFERROR(HLOOKUP(D80,xHesaplama!$AH$242:$BZ$259,18,0),"")</f>
        <v/>
      </c>
      <c r="Z80" s="4" t="str">
        <f>IFERROR(HLOOKUP(D80,xHesaplama!$AH$261:$BZ$279,19,0),"")</f>
        <v/>
      </c>
      <c r="AA80" s="4" t="str">
        <f>IFERROR(HLOOKUP(D80,xHesaplama!$AH$281:$BZ$300,20,0),"")</f>
        <v/>
      </c>
      <c r="AB80" s="4" t="str">
        <f>IFERROR(HLOOKUP(D80,xHesaplama!$AH$302:$BZ$322,21,0),"")</f>
        <v/>
      </c>
    </row>
    <row r="81" spans="4:28" ht="26.25">
      <c r="D81" s="9" t="s">
        <v>488</v>
      </c>
      <c r="E81" s="3" t="str">
        <f>'x Malzemeler ve Özellikleri'!S73</f>
        <v>MT</v>
      </c>
      <c r="F81" t="s">
        <v>42</v>
      </c>
      <c r="G81" s="9" t="str">
        <f>VLOOKUP(D81,'x Malzemeler ve Özellikleri'!$O$2:$P$136,2,0)</f>
        <v>PVC FİTİL</v>
      </c>
      <c r="H81" s="63">
        <f>VLOOKUP(D81,'x Malzemeler ve Özellikleri'!$O$2:$R$136,4,0)</f>
        <v>7.874015748031496E-2</v>
      </c>
      <c r="I81" s="4">
        <f>IFERROR(HLOOKUP(D81,xHesaplama!$AH$74:$BZ$75,2,0),"")</f>
        <v>2.1800000000000002</v>
      </c>
      <c r="J81" s="4" t="str">
        <f>IFERROR(HLOOKUP(D81,xHesaplama!$AG$77:$BZ$79,3,0),"")</f>
        <v/>
      </c>
      <c r="K81" s="4" t="str">
        <f>IFERROR(HLOOKUP(D81,xHesaplama!$AG$81:$BZ$84,4,0),"")</f>
        <v/>
      </c>
      <c r="L81" s="4" t="str">
        <f>IFERROR(HLOOKUP(D81,xHesaplama!$AG$86:$BZ$90,5,0),"")</f>
        <v/>
      </c>
      <c r="M81" s="4" t="str">
        <f>IFERROR(HLOOKUP(D81,xHesaplama!$AG$92:$BZ$97,6,0),"")</f>
        <v/>
      </c>
      <c r="N81" s="4" t="str">
        <f>IFERROR(HLOOKUP(D81,xHesaplama!$AG$99:$BZ$105,7,0),"")</f>
        <v/>
      </c>
      <c r="O81" s="4" t="str">
        <f>IFERROR(HLOOKUP(D81,xHesaplama!$AG$107:$BZ$114,8,0),"")</f>
        <v/>
      </c>
      <c r="P81" s="4" t="str">
        <f>IFERROR(HLOOKUP(D81,xHesaplama!$AG$116:$BZ$124,9,0),"")</f>
        <v/>
      </c>
      <c r="Q81" s="4" t="str">
        <f>IFERROR(HLOOKUP(D81,xHesaplama!$AG$126:$BZ$135,10,0),"")</f>
        <v/>
      </c>
      <c r="R81" s="4" t="str">
        <f>IFERROR(HLOOKUP(D81,xHesaplama!$AG$137:$BZ$147,11,0),"")</f>
        <v/>
      </c>
      <c r="S81" s="4" t="str">
        <f>IFERROR(HLOOKUP(D81,xHesaplama!$AH$149:$BZ$160,12,0),"")</f>
        <v/>
      </c>
      <c r="T81" s="4" t="str">
        <f>IFERROR(HLOOKUP(D81,xHesaplama!$AH$162:$BZ$174,13,0),"")</f>
        <v/>
      </c>
      <c r="U81" s="4" t="str">
        <f>IFERROR(HLOOKUP(D81,xHesaplama!$AH$176:$BZ$189,14,0),"")</f>
        <v/>
      </c>
      <c r="V81" s="4" t="str">
        <f>IFERROR(HLOOKUP(D81,xHesaplama!$AH$191:$BZ$205,15,0),"")</f>
        <v/>
      </c>
      <c r="W81" s="4" t="str">
        <f>IFERROR(HLOOKUP(D81,xHesaplama!$AH$207:$BZ$222,16,0),"")</f>
        <v/>
      </c>
      <c r="X81" s="4" t="str">
        <f>IFERROR(HLOOKUP(D81,xHesaplama!$AH$224:$BZ$240,17,0),"")</f>
        <v/>
      </c>
      <c r="Y81" s="4" t="str">
        <f>IFERROR(HLOOKUP(D81,xHesaplama!$AH$242:$BZ$259,18,0),"")</f>
        <v/>
      </c>
      <c r="Z81" s="4" t="str">
        <f>IFERROR(HLOOKUP(D81,xHesaplama!$AH$261:$BZ$279,19,0),"")</f>
        <v/>
      </c>
      <c r="AA81" s="4" t="str">
        <f>IFERROR(HLOOKUP(D81,xHesaplama!$AH$281:$BZ$300,20,0),"")</f>
        <v/>
      </c>
      <c r="AB81" s="4" t="str">
        <f>IFERROR(HLOOKUP(D81,xHesaplama!$AH$302:$BZ$322,21,0),"")</f>
        <v/>
      </c>
    </row>
    <row r="82" spans="4:28" ht="26.25">
      <c r="D82" s="53" t="s">
        <v>464</v>
      </c>
      <c r="E82" s="3" t="str">
        <f>'x Malzemeler ve Özellikleri'!S74</f>
        <v>TAKIM</v>
      </c>
      <c r="F82" t="s">
        <v>30</v>
      </c>
      <c r="G82" s="9" t="str">
        <f>VLOOKUP(D82,'x Malzemeler ve Özellikleri'!$O$2:$P$136,2,0)</f>
        <v>9108-P110</v>
      </c>
      <c r="H82" s="63">
        <f>VLOOKUP(D82,'x Malzemeler ve Özellikleri'!$O$2:$R$136,4,0)</f>
        <v>4.5</v>
      </c>
      <c r="I82" s="4">
        <f>IFERROR(HLOOKUP(D82,xHesaplama!$AH$74:$BZ$75,2,0),"")</f>
        <v>1</v>
      </c>
      <c r="J82" s="4" t="str">
        <f>IFERROR(HLOOKUP(D82,xHesaplama!$AG$77:$BZ$79,3,0),"")</f>
        <v/>
      </c>
      <c r="K82" s="4" t="str">
        <f>IFERROR(HLOOKUP(D82,xHesaplama!$AG$81:$BZ$84,4,0),"")</f>
        <v/>
      </c>
      <c r="L82" s="4" t="str">
        <f>IFERROR(HLOOKUP(D82,xHesaplama!$AG$86:$BZ$90,5,0),"")</f>
        <v/>
      </c>
      <c r="M82" s="4" t="str">
        <f>IFERROR(HLOOKUP(D82,xHesaplama!$AG$92:$BZ$97,6,0),"")</f>
        <v/>
      </c>
      <c r="N82" s="4" t="str">
        <f>IFERROR(HLOOKUP(D82,xHesaplama!$AG$99:$BZ$105,7,0),"")</f>
        <v/>
      </c>
      <c r="O82" s="4" t="str">
        <f>IFERROR(HLOOKUP(D82,xHesaplama!$AG$107:$BZ$114,8,0),"")</f>
        <v/>
      </c>
      <c r="P82" s="4" t="str">
        <f>IFERROR(HLOOKUP(D82,xHesaplama!$AG$116:$BZ$124,9,0),"")</f>
        <v/>
      </c>
      <c r="Q82" s="4" t="str">
        <f>IFERROR(HLOOKUP(D82,xHesaplama!$AG$126:$BZ$135,10,0),"")</f>
        <v/>
      </c>
      <c r="R82" s="4" t="str">
        <f>IFERROR(HLOOKUP(D82,xHesaplama!$AG$137:$BZ$147,11,0),"")</f>
        <v/>
      </c>
      <c r="S82" s="4" t="str">
        <f>IFERROR(HLOOKUP(D82,xHesaplama!$AH$149:$BZ$160,12,0),"")</f>
        <v/>
      </c>
      <c r="T82" s="4" t="str">
        <f>IFERROR(HLOOKUP(D82,xHesaplama!$AH$162:$BZ$174,13,0),"")</f>
        <v/>
      </c>
      <c r="U82" s="4" t="str">
        <f>IFERROR(HLOOKUP(D82,xHesaplama!$AH$176:$BZ$189,14,0),"")</f>
        <v/>
      </c>
      <c r="V82" s="4" t="str">
        <f>IFERROR(HLOOKUP(D82,xHesaplama!$AH$191:$BZ$205,15,0),"")</f>
        <v/>
      </c>
      <c r="W82" s="4" t="str">
        <f>IFERROR(HLOOKUP(D82,xHesaplama!$AH$207:$BZ$222,16,0),"")</f>
        <v/>
      </c>
      <c r="X82" s="4" t="str">
        <f>IFERROR(HLOOKUP(D82,xHesaplama!$AH$224:$BZ$240,17,0),"")</f>
        <v/>
      </c>
      <c r="Y82" s="4" t="str">
        <f>IFERROR(HLOOKUP(D82,xHesaplama!$AH$242:$BZ$259,18,0),"")</f>
        <v/>
      </c>
      <c r="Z82" s="4" t="str">
        <f>IFERROR(HLOOKUP(D82,xHesaplama!$AH$261:$BZ$279,19,0),"")</f>
        <v/>
      </c>
      <c r="AA82" s="4" t="str">
        <f>IFERROR(HLOOKUP(D82,xHesaplama!$AH$281:$BZ$300,20,0),"")</f>
        <v/>
      </c>
      <c r="AB82" s="4" t="str">
        <f>IFERROR(HLOOKUP(D82,xHesaplama!$AH$302:$BZ$322,21,0),"")</f>
        <v/>
      </c>
    </row>
    <row r="83" spans="4:28" ht="52.5">
      <c r="D83" s="9" t="s">
        <v>465</v>
      </c>
      <c r="E83" s="3" t="str">
        <f>'x Malzemeler ve Özellikleri'!S75</f>
        <v>ADET</v>
      </c>
      <c r="F83" t="s">
        <v>35</v>
      </c>
      <c r="G83" s="9" t="str">
        <f>VLOOKUP(D83,'x Malzemeler ve Özellikleri'!$O$2:$P$136,2,0)</f>
        <v>MNS.P1.028</v>
      </c>
      <c r="H83" s="63">
        <f>VLOOKUP(D83,'x Malzemeler ve Özellikleri'!$O$2:$R$136,4,0)</f>
        <v>1.43</v>
      </c>
      <c r="I83" s="4">
        <f>IFERROR(HLOOKUP(D83,xHesaplama!$AH$74:$BZ$75,2,0),"")</f>
        <v>1</v>
      </c>
      <c r="J83" s="4" t="str">
        <f>IFERROR(HLOOKUP(D83,xHesaplama!$AG$77:$BZ$79,3,0),"")</f>
        <v/>
      </c>
      <c r="K83" s="4" t="str">
        <f>IFERROR(HLOOKUP(D83,xHesaplama!$AG$81:$BZ$84,4,0),"")</f>
        <v/>
      </c>
      <c r="L83" s="4" t="str">
        <f>IFERROR(HLOOKUP(D83,xHesaplama!$AG$86:$BZ$90,5,0),"")</f>
        <v/>
      </c>
      <c r="M83" s="4" t="str">
        <f>IFERROR(HLOOKUP(D83,xHesaplama!$AG$92:$BZ$97,6,0),"")</f>
        <v/>
      </c>
      <c r="N83" s="4" t="str">
        <f>IFERROR(HLOOKUP(D83,xHesaplama!$AG$99:$BZ$105,7,0),"")</f>
        <v/>
      </c>
      <c r="O83" s="4" t="str">
        <f>IFERROR(HLOOKUP(D83,xHesaplama!$AG$107:$BZ$114,8,0),"")</f>
        <v/>
      </c>
      <c r="P83" s="4" t="str">
        <f>IFERROR(HLOOKUP(D83,xHesaplama!$AG$116:$BZ$124,9,0),"")</f>
        <v/>
      </c>
      <c r="Q83" s="4" t="str">
        <f>IFERROR(HLOOKUP(D83,xHesaplama!$AG$126:$BZ$135,10,0),"")</f>
        <v/>
      </c>
      <c r="R83" s="4" t="str">
        <f>IFERROR(HLOOKUP(D83,xHesaplama!$AG$137:$BZ$147,11,0),"")</f>
        <v/>
      </c>
      <c r="S83" s="4" t="str">
        <f>IFERROR(HLOOKUP(D83,xHesaplama!$AH$149:$BZ$160,12,0),"")</f>
        <v/>
      </c>
      <c r="T83" s="4" t="str">
        <f>IFERROR(HLOOKUP(D83,xHesaplama!$AH$162:$BZ$174,13,0),"")</f>
        <v/>
      </c>
      <c r="U83" s="4" t="str">
        <f>IFERROR(HLOOKUP(D83,xHesaplama!$AH$176:$BZ$189,14,0),"")</f>
        <v/>
      </c>
      <c r="V83" s="4" t="str">
        <f>IFERROR(HLOOKUP(D83,xHesaplama!$AH$191:$BZ$205,15,0),"")</f>
        <v/>
      </c>
      <c r="W83" s="4" t="str">
        <f>IFERROR(HLOOKUP(D83,xHesaplama!$AH$207:$BZ$222,16,0),"")</f>
        <v/>
      </c>
      <c r="X83" s="4" t="str">
        <f>IFERROR(HLOOKUP(D83,xHesaplama!$AH$224:$BZ$240,17,0),"")</f>
        <v/>
      </c>
      <c r="Y83" s="4" t="str">
        <f>IFERROR(HLOOKUP(D83,xHesaplama!$AH$242:$BZ$259,18,0),"")</f>
        <v/>
      </c>
      <c r="Z83" s="4" t="str">
        <f>IFERROR(HLOOKUP(D83,xHesaplama!$AH$261:$BZ$279,19,0),"")</f>
        <v/>
      </c>
      <c r="AA83" s="4" t="str">
        <f>IFERROR(HLOOKUP(D83,xHesaplama!$AH$281:$BZ$300,20,0),"")</f>
        <v/>
      </c>
      <c r="AB83" s="4" t="str">
        <f>IFERROR(HLOOKUP(D83,xHesaplama!$AH$302:$BZ$322,21,0),"")</f>
        <v/>
      </c>
    </row>
    <row r="84" spans="4:28" ht="26.25">
      <c r="D84" s="9" t="s">
        <v>466</v>
      </c>
      <c r="E84" s="3" t="str">
        <f>'x Malzemeler ve Özellikleri'!S76</f>
        <v>ADET</v>
      </c>
      <c r="F84" t="s">
        <v>7</v>
      </c>
      <c r="G84" s="9" t="str">
        <f>VLOOKUP(D84,'x Malzemeler ve Özellikleri'!$O$2:$P$136,2,0)</f>
        <v>KFL 001</v>
      </c>
      <c r="H84" s="63">
        <f>VLOOKUP(D84,'x Malzemeler ve Özellikleri'!$O$2:$R$136,4,0)</f>
        <v>0.99265748031496071</v>
      </c>
      <c r="I84" s="4">
        <f>IFERROR(HLOOKUP(D84,xHesaplama!$AH$74:$BZ$75,2,0),"")</f>
        <v>1</v>
      </c>
      <c r="J84" s="4" t="str">
        <f>IFERROR(HLOOKUP(D84,xHesaplama!$AG$77:$BZ$79,3,0),"")</f>
        <v/>
      </c>
      <c r="K84" s="4" t="str">
        <f>IFERROR(HLOOKUP(D84,xHesaplama!$AG$81:$BZ$84,4,0),"")</f>
        <v/>
      </c>
      <c r="L84" s="4" t="str">
        <f>IFERROR(HLOOKUP(D84,xHesaplama!$AG$86:$BZ$90,5,0),"")</f>
        <v/>
      </c>
      <c r="M84" s="4" t="str">
        <f>IFERROR(HLOOKUP(D84,xHesaplama!$AG$92:$BZ$97,6,0),"")</f>
        <v/>
      </c>
      <c r="N84" s="4" t="str">
        <f>IFERROR(HLOOKUP(D84,xHesaplama!$AG$99:$BZ$105,7,0),"")</f>
        <v/>
      </c>
      <c r="O84" s="4" t="str">
        <f>IFERROR(HLOOKUP(D84,xHesaplama!$AG$107:$BZ$114,8,0),"")</f>
        <v/>
      </c>
      <c r="P84" s="4" t="str">
        <f>IFERROR(HLOOKUP(D84,xHesaplama!$AG$116:$BZ$124,9,0),"")</f>
        <v/>
      </c>
      <c r="Q84" s="4" t="str">
        <f>IFERROR(HLOOKUP(D84,xHesaplama!$AG$126:$BZ$135,10,0),"")</f>
        <v/>
      </c>
      <c r="R84" s="4" t="str">
        <f>IFERROR(HLOOKUP(D84,xHesaplama!$AG$137:$BZ$147,11,0),"")</f>
        <v/>
      </c>
      <c r="S84" s="4" t="str">
        <f>IFERROR(HLOOKUP(D84,xHesaplama!$AH$149:$BZ$160,12,0),"")</f>
        <v/>
      </c>
      <c r="T84" s="4" t="str">
        <f>IFERROR(HLOOKUP(D84,xHesaplama!$AH$162:$BZ$174,13,0),"")</f>
        <v/>
      </c>
      <c r="U84" s="4" t="str">
        <f>IFERROR(HLOOKUP(D84,xHesaplama!$AH$176:$BZ$189,14,0),"")</f>
        <v/>
      </c>
      <c r="V84" s="4" t="str">
        <f>IFERROR(HLOOKUP(D84,xHesaplama!$AH$191:$BZ$205,15,0),"")</f>
        <v/>
      </c>
      <c r="W84" s="4" t="str">
        <f>IFERROR(HLOOKUP(D84,xHesaplama!$AH$207:$BZ$222,16,0),"")</f>
        <v/>
      </c>
      <c r="X84" s="4" t="str">
        <f>IFERROR(HLOOKUP(D84,xHesaplama!$AH$224:$BZ$240,17,0),"")</f>
        <v/>
      </c>
      <c r="Y84" s="4" t="str">
        <f>IFERROR(HLOOKUP(D84,xHesaplama!$AH$242:$BZ$259,18,0),"")</f>
        <v/>
      </c>
      <c r="Z84" s="4" t="str">
        <f>IFERROR(HLOOKUP(D84,xHesaplama!$AH$261:$BZ$279,19,0),"")</f>
        <v/>
      </c>
      <c r="AA84" s="4" t="str">
        <f>IFERROR(HLOOKUP(D84,xHesaplama!$AH$281:$BZ$300,20,0),"")</f>
        <v/>
      </c>
      <c r="AB84" s="4" t="str">
        <f>IFERROR(HLOOKUP(D84,xHesaplama!$AH$302:$BZ$322,21,0),"")</f>
        <v/>
      </c>
    </row>
    <row r="85" spans="4:28" ht="52.5">
      <c r="D85" s="9" t="s">
        <v>467</v>
      </c>
      <c r="E85" s="3" t="str">
        <f>'x Malzemeler ve Özellikleri'!S77</f>
        <v>ADET</v>
      </c>
      <c r="F85" t="s">
        <v>89</v>
      </c>
      <c r="G85" s="9" t="str">
        <f>VLOOKUP(D85,'x Malzemeler ve Özellikleri'!$O$2:$P$136,2,0)</f>
        <v>MNS.P1.009</v>
      </c>
      <c r="H85" s="63">
        <f>VLOOKUP(D85,'x Malzemeler ve Özellikleri'!$O$2:$R$136,4,0)</f>
        <v>1</v>
      </c>
      <c r="I85" s="4">
        <f>IFERROR(HLOOKUP(D85,xHesaplama!$AH$74:$BZ$75,2,0),"")</f>
        <v>2</v>
      </c>
      <c r="J85" s="4" t="str">
        <f>IFERROR(HLOOKUP(D85,xHesaplama!$AG$77:$BZ$79,3,0),"")</f>
        <v/>
      </c>
      <c r="K85" s="4" t="str">
        <f>IFERROR(HLOOKUP(D85,xHesaplama!$AG$81:$BZ$84,4,0),"")</f>
        <v/>
      </c>
      <c r="L85" s="4" t="str">
        <f>IFERROR(HLOOKUP(D85,xHesaplama!$AG$86:$BZ$90,5,0),"")</f>
        <v/>
      </c>
      <c r="M85" s="4" t="str">
        <f>IFERROR(HLOOKUP(D85,xHesaplama!$AG$92:$BZ$97,6,0),"")</f>
        <v/>
      </c>
      <c r="N85" s="4" t="str">
        <f>IFERROR(HLOOKUP(D85,xHesaplama!$AG$99:$BZ$105,7,0),"")</f>
        <v/>
      </c>
      <c r="O85" s="4" t="str">
        <f>IFERROR(HLOOKUP(D85,xHesaplama!$AG$107:$BZ$114,8,0),"")</f>
        <v/>
      </c>
      <c r="P85" s="4" t="str">
        <f>IFERROR(HLOOKUP(D85,xHesaplama!$AG$116:$BZ$124,9,0),"")</f>
        <v/>
      </c>
      <c r="Q85" s="4" t="str">
        <f>IFERROR(HLOOKUP(D85,xHesaplama!$AG$126:$BZ$135,10,0),"")</f>
        <v/>
      </c>
      <c r="R85" s="4" t="str">
        <f>IFERROR(HLOOKUP(D85,xHesaplama!$AG$137:$BZ$147,11,0),"")</f>
        <v/>
      </c>
      <c r="S85" s="4" t="str">
        <f>IFERROR(HLOOKUP(D85,xHesaplama!$AH$149:$BZ$160,12,0),"")</f>
        <v/>
      </c>
      <c r="T85" s="4" t="str">
        <f>IFERROR(HLOOKUP(D85,xHesaplama!$AH$162:$BZ$174,13,0),"")</f>
        <v/>
      </c>
      <c r="U85" s="4" t="str">
        <f>IFERROR(HLOOKUP(D85,xHesaplama!$AH$176:$BZ$189,14,0),"")</f>
        <v/>
      </c>
      <c r="V85" s="4" t="str">
        <f>IFERROR(HLOOKUP(D85,xHesaplama!$AH$191:$BZ$205,15,0),"")</f>
        <v/>
      </c>
      <c r="W85" s="4" t="str">
        <f>IFERROR(HLOOKUP(D85,xHesaplama!$AH$207:$BZ$222,16,0),"")</f>
        <v/>
      </c>
      <c r="X85" s="4" t="str">
        <f>IFERROR(HLOOKUP(D85,xHesaplama!$AH$224:$BZ$240,17,0),"")</f>
        <v/>
      </c>
      <c r="Y85" s="4" t="str">
        <f>IFERROR(HLOOKUP(D85,xHesaplama!$AH$242:$BZ$259,18,0),"")</f>
        <v/>
      </c>
      <c r="Z85" s="4" t="str">
        <f>IFERROR(HLOOKUP(D85,xHesaplama!$AH$261:$BZ$279,19,0),"")</f>
        <v/>
      </c>
      <c r="AA85" s="4" t="str">
        <f>IFERROR(HLOOKUP(D85,xHesaplama!$AH$281:$BZ$300,20,0),"")</f>
        <v/>
      </c>
      <c r="AB85" s="4" t="str">
        <f>IFERROR(HLOOKUP(D85,xHesaplama!$AH$302:$BZ$322,21,0),"")</f>
        <v/>
      </c>
    </row>
    <row r="86" spans="4:28" ht="26.25">
      <c r="D86" s="53" t="s">
        <v>468</v>
      </c>
      <c r="E86" s="3" t="str">
        <f>'x Malzemeler ve Özellikleri'!S78</f>
        <v>MT</v>
      </c>
      <c r="F86" t="s">
        <v>64</v>
      </c>
      <c r="G86" s="9" t="str">
        <f>VLOOKUP(D86,'x Malzemeler ve Özellikleri'!$O$2:$P$136,2,0)</f>
        <v>PDALT01</v>
      </c>
      <c r="H86" s="63">
        <f>VLOOKUP(D86,'x Malzemeler ve Özellikleri'!$O$2:$R$136,4,0)</f>
        <v>3.7330708661417331</v>
      </c>
      <c r="I86" s="4">
        <f>IFERROR(HLOOKUP(D86,xHesaplama!$AH$74:$BZ$75,2,0),"")</f>
        <v>1.0880000000000001</v>
      </c>
      <c r="J86" s="4" t="str">
        <f>IFERROR(HLOOKUP(D86,xHesaplama!$AG$77:$BZ$79,3,0),"")</f>
        <v/>
      </c>
      <c r="K86" s="4" t="str">
        <f>IFERROR(HLOOKUP(D86,xHesaplama!$AG$81:$BZ$84,4,0),"")</f>
        <v/>
      </c>
      <c r="L86" s="4" t="str">
        <f>IFERROR(HLOOKUP(D86,xHesaplama!$AG$86:$BZ$90,5,0),"")</f>
        <v/>
      </c>
      <c r="M86" s="4" t="str">
        <f>IFERROR(HLOOKUP(D86,xHesaplama!$AG$92:$BZ$97,6,0),"")</f>
        <v/>
      </c>
      <c r="N86" s="4" t="str">
        <f>IFERROR(HLOOKUP(D86,xHesaplama!$AG$99:$BZ$105,7,0),"")</f>
        <v/>
      </c>
      <c r="O86" s="4" t="str">
        <f>IFERROR(HLOOKUP(D86,xHesaplama!$AG$107:$BZ$114,8,0),"")</f>
        <v/>
      </c>
      <c r="P86" s="4" t="str">
        <f>IFERROR(HLOOKUP(D86,xHesaplama!$AG$116:$BZ$124,9,0),"")</f>
        <v/>
      </c>
      <c r="Q86" s="4" t="str">
        <f>IFERROR(HLOOKUP(D86,xHesaplama!$AG$126:$BZ$135,10,0),"")</f>
        <v/>
      </c>
      <c r="R86" s="4" t="str">
        <f>IFERROR(HLOOKUP(D86,xHesaplama!$AG$137:$BZ$147,11,0),"")</f>
        <v/>
      </c>
      <c r="S86" s="4" t="str">
        <f>IFERROR(HLOOKUP(D86,xHesaplama!$AH$149:$BZ$160,12,0),"")</f>
        <v/>
      </c>
      <c r="T86" s="4" t="str">
        <f>IFERROR(HLOOKUP(D86,xHesaplama!$AH$162:$BZ$174,13,0),"")</f>
        <v/>
      </c>
      <c r="U86" s="4" t="str">
        <f>IFERROR(HLOOKUP(D86,xHesaplama!$AH$176:$BZ$189,14,0),"")</f>
        <v/>
      </c>
      <c r="V86" s="4" t="str">
        <f>IFERROR(HLOOKUP(D86,xHesaplama!$AH$191:$BZ$205,15,0),"")</f>
        <v/>
      </c>
      <c r="W86" s="4" t="str">
        <f>IFERROR(HLOOKUP(D86,xHesaplama!$AH$207:$BZ$222,16,0),"")</f>
        <v/>
      </c>
      <c r="X86" s="4" t="str">
        <f>IFERROR(HLOOKUP(D86,xHesaplama!$AH$224:$BZ$240,17,0),"")</f>
        <v/>
      </c>
      <c r="Y86" s="4" t="str">
        <f>IFERROR(HLOOKUP(D86,xHesaplama!$AH$242:$BZ$259,18,0),"")</f>
        <v/>
      </c>
      <c r="Z86" s="4" t="str">
        <f>IFERROR(HLOOKUP(D86,xHesaplama!$AH$261:$BZ$279,19,0),"")</f>
        <v/>
      </c>
      <c r="AA86" s="4" t="str">
        <f>IFERROR(HLOOKUP(D86,xHesaplama!$AH$281:$BZ$300,20,0),"")</f>
        <v/>
      </c>
      <c r="AB86" s="4" t="str">
        <f>IFERROR(HLOOKUP(D86,xHesaplama!$AH$302:$BZ$322,21,0),"")</f>
        <v/>
      </c>
    </row>
    <row r="87" spans="4:28" ht="26.25">
      <c r="D87" s="9" t="s">
        <v>469</v>
      </c>
      <c r="E87" s="3" t="str">
        <f>'x Malzemeler ve Özellikleri'!S79</f>
        <v>MT</v>
      </c>
      <c r="F87" t="s">
        <v>82</v>
      </c>
      <c r="G87" s="9" t="str">
        <f>VLOOKUP(D87,'x Malzemeler ve Özellikleri'!$O$2:$P$136,2,0)</f>
        <v>BP.431</v>
      </c>
      <c r="H87" s="63">
        <f>VLOOKUP(D87,'x Malzemeler ve Özellikleri'!$O$2:$R$136,4,0)</f>
        <v>3.6991338582677171</v>
      </c>
      <c r="I87" s="4">
        <f>IFERROR(HLOOKUP(D87,xHesaplama!$AH$74:$BZ$75,2,0),"")</f>
        <v>1.085</v>
      </c>
      <c r="J87" s="4" t="str">
        <f>IFERROR(HLOOKUP(D87,xHesaplama!$AG$77:$BZ$79,3,0),"")</f>
        <v/>
      </c>
      <c r="K87" s="4" t="str">
        <f>IFERROR(HLOOKUP(D87,xHesaplama!$AG$81:$BZ$84,4,0),"")</f>
        <v/>
      </c>
      <c r="L87" s="4" t="str">
        <f>IFERROR(HLOOKUP(D87,xHesaplama!$AG$86:$BZ$90,5,0),"")</f>
        <v/>
      </c>
      <c r="M87" s="4" t="str">
        <f>IFERROR(HLOOKUP(D87,xHesaplama!$AG$92:$BZ$97,6,0),"")</f>
        <v/>
      </c>
      <c r="N87" s="4" t="str">
        <f>IFERROR(HLOOKUP(D87,xHesaplama!$AG$99:$BZ$105,7,0),"")</f>
        <v/>
      </c>
      <c r="O87" s="4" t="str">
        <f>IFERROR(HLOOKUP(D87,xHesaplama!$AG$107:$BZ$114,8,0),"")</f>
        <v/>
      </c>
      <c r="P87" s="4" t="str">
        <f>IFERROR(HLOOKUP(D87,xHesaplama!$AG$116:$BZ$124,9,0),"")</f>
        <v/>
      </c>
      <c r="Q87" s="4" t="str">
        <f>IFERROR(HLOOKUP(D87,xHesaplama!$AG$126:$BZ$135,10,0),"")</f>
        <v/>
      </c>
      <c r="R87" s="4" t="str">
        <f>IFERROR(HLOOKUP(D87,xHesaplama!$AG$137:$BZ$147,11,0),"")</f>
        <v/>
      </c>
      <c r="S87" s="4" t="str">
        <f>IFERROR(HLOOKUP(D87,xHesaplama!$AH$149:$BZ$160,12,0),"")</f>
        <v/>
      </c>
      <c r="T87" s="4" t="str">
        <f>IFERROR(HLOOKUP(D87,xHesaplama!$AH$162:$BZ$174,13,0),"")</f>
        <v/>
      </c>
      <c r="U87" s="4" t="str">
        <f>IFERROR(HLOOKUP(D87,xHesaplama!$AH$176:$BZ$189,14,0),"")</f>
        <v/>
      </c>
      <c r="V87" s="4" t="str">
        <f>IFERROR(HLOOKUP(D87,xHesaplama!$AH$191:$BZ$205,15,0),"")</f>
        <v/>
      </c>
      <c r="W87" s="4" t="str">
        <f>IFERROR(HLOOKUP(D87,xHesaplama!$AH$207:$BZ$222,16,0),"")</f>
        <v/>
      </c>
      <c r="X87" s="4" t="str">
        <f>IFERROR(HLOOKUP(D87,xHesaplama!$AH$224:$BZ$240,17,0),"")</f>
        <v/>
      </c>
      <c r="Y87" s="4" t="str">
        <f>IFERROR(HLOOKUP(D87,xHesaplama!$AH$242:$BZ$259,18,0),"")</f>
        <v/>
      </c>
      <c r="Z87" s="4" t="str">
        <f>IFERROR(HLOOKUP(D87,xHesaplama!$AH$261:$BZ$279,19,0),"")</f>
        <v/>
      </c>
      <c r="AA87" s="4" t="str">
        <f>IFERROR(HLOOKUP(D87,xHesaplama!$AH$281:$BZ$300,20,0),"")</f>
        <v/>
      </c>
      <c r="AB87" s="4" t="str">
        <f>IFERROR(HLOOKUP(D87,xHesaplama!$AH$302:$BZ$322,21,0),"")</f>
        <v/>
      </c>
    </row>
    <row r="88" spans="4:28" ht="52.5">
      <c r="D88" s="9" t="s">
        <v>470</v>
      </c>
      <c r="E88" s="3" t="str">
        <f>'x Malzemeler ve Özellikleri'!S80</f>
        <v>ADET</v>
      </c>
      <c r="F88" t="s">
        <v>68</v>
      </c>
      <c r="G88" s="9" t="str">
        <f>VLOOKUP(D88,'x Malzemeler ve Özellikleri'!$O$2:$P$136,2,0)</f>
        <v>MNS.P1.008-019</v>
      </c>
      <c r="H88" s="63">
        <f>VLOOKUP(D88,'x Malzemeler ve Özellikleri'!$O$2:$R$136,4,0)</f>
        <v>0.09</v>
      </c>
      <c r="I88" s="4">
        <f>IFERROR(HLOOKUP(D88,xHesaplama!$AH$74:$BZ$75,2,0),"")</f>
        <v>4</v>
      </c>
      <c r="J88" s="4" t="str">
        <f>IFERROR(HLOOKUP(D88,xHesaplama!$AG$77:$BZ$79,3,0),"")</f>
        <v/>
      </c>
      <c r="K88" s="4" t="str">
        <f>IFERROR(HLOOKUP(D88,xHesaplama!$AG$81:$BZ$84,4,0),"")</f>
        <v/>
      </c>
      <c r="L88" s="4" t="str">
        <f>IFERROR(HLOOKUP(D88,xHesaplama!$AG$86:$BZ$90,5,0),"")</f>
        <v/>
      </c>
      <c r="M88" s="4" t="str">
        <f>IFERROR(HLOOKUP(D88,xHesaplama!$AG$92:$BZ$97,6,0),"")</f>
        <v/>
      </c>
      <c r="N88" s="4" t="str">
        <f>IFERROR(HLOOKUP(D88,xHesaplama!$AG$99:$BZ$105,7,0),"")</f>
        <v/>
      </c>
      <c r="O88" s="4" t="str">
        <f>IFERROR(HLOOKUP(D88,xHesaplama!$AG$107:$BZ$114,8,0),"")</f>
        <v/>
      </c>
      <c r="P88" s="4" t="str">
        <f>IFERROR(HLOOKUP(D88,xHesaplama!$AG$116:$BZ$124,9,0),"")</f>
        <v/>
      </c>
      <c r="Q88" s="4" t="str">
        <f>IFERROR(HLOOKUP(D88,xHesaplama!$AG$126:$BZ$135,10,0),"")</f>
        <v/>
      </c>
      <c r="R88" s="4" t="str">
        <f>IFERROR(HLOOKUP(D88,xHesaplama!$AG$137:$BZ$147,11,0),"")</f>
        <v/>
      </c>
      <c r="S88" s="4" t="str">
        <f>IFERROR(HLOOKUP(D88,xHesaplama!$AH$149:$BZ$160,12,0),"")</f>
        <v/>
      </c>
      <c r="T88" s="4" t="str">
        <f>IFERROR(HLOOKUP(D88,xHesaplama!$AH$162:$BZ$174,13,0),"")</f>
        <v/>
      </c>
      <c r="U88" s="4" t="str">
        <f>IFERROR(HLOOKUP(D88,xHesaplama!$AH$176:$BZ$189,14,0),"")</f>
        <v/>
      </c>
      <c r="V88" s="4" t="str">
        <f>IFERROR(HLOOKUP(D88,xHesaplama!$AH$191:$BZ$205,15,0),"")</f>
        <v/>
      </c>
      <c r="W88" s="4" t="str">
        <f>IFERROR(HLOOKUP(D88,xHesaplama!$AH$207:$BZ$222,16,0),"")</f>
        <v/>
      </c>
      <c r="X88" s="4" t="str">
        <f>IFERROR(HLOOKUP(D88,xHesaplama!$AH$224:$BZ$240,17,0),"")</f>
        <v/>
      </c>
      <c r="Y88" s="4" t="str">
        <f>IFERROR(HLOOKUP(D88,xHesaplama!$AH$242:$BZ$259,18,0),"")</f>
        <v/>
      </c>
      <c r="Z88" s="4" t="str">
        <f>IFERROR(HLOOKUP(D88,xHesaplama!$AH$261:$BZ$279,19,0),"")</f>
        <v/>
      </c>
      <c r="AA88" s="4" t="str">
        <f>IFERROR(HLOOKUP(D88,xHesaplama!$AH$281:$BZ$300,20,0),"")</f>
        <v/>
      </c>
      <c r="AB88" s="4" t="str">
        <f>IFERROR(HLOOKUP(D88,xHesaplama!$AH$302:$BZ$322,21,0),"")</f>
        <v/>
      </c>
    </row>
    <row r="89" spans="4:28" ht="26.25">
      <c r="D89" s="53" t="s">
        <v>471</v>
      </c>
      <c r="E89" s="3" t="str">
        <f>'x Malzemeler ve Özellikleri'!S81</f>
        <v>MT</v>
      </c>
      <c r="F89" t="s">
        <v>70</v>
      </c>
      <c r="G89" s="9" t="str">
        <f>VLOOKUP(D89,'x Malzemeler ve Özellikleri'!$O$2:$P$136,2,0)</f>
        <v>PDDK03</v>
      </c>
      <c r="H89" s="63">
        <f>VLOOKUP(D89,'x Malzemeler ve Özellikleri'!$O$2:$R$136,4,0)</f>
        <v>2.9864566929133867</v>
      </c>
      <c r="I89" s="4">
        <f>IFERROR(HLOOKUP(D89,xHesaplama!$AH$74:$BZ$75,2,0),"")</f>
        <v>4.62</v>
      </c>
      <c r="J89" s="4" t="str">
        <f>IFERROR(HLOOKUP(D89,xHesaplama!$AG$77:$BZ$79,3,0),"")</f>
        <v/>
      </c>
      <c r="K89" s="4" t="str">
        <f>IFERROR(HLOOKUP(D89,xHesaplama!$AG$81:$BZ$84,4,0),"")</f>
        <v/>
      </c>
      <c r="L89" s="4" t="str">
        <f>IFERROR(HLOOKUP(D89,xHesaplama!$AG$86:$BZ$90,5,0),"")</f>
        <v/>
      </c>
      <c r="M89" s="4" t="str">
        <f>IFERROR(HLOOKUP(D89,xHesaplama!$AG$92:$BZ$97,6,0),"")</f>
        <v/>
      </c>
      <c r="N89" s="4" t="str">
        <f>IFERROR(HLOOKUP(D89,xHesaplama!$AG$99:$BZ$105,7,0),"")</f>
        <v/>
      </c>
      <c r="O89" s="4" t="str">
        <f>IFERROR(HLOOKUP(D89,xHesaplama!$AG$107:$BZ$114,8,0),"")</f>
        <v/>
      </c>
      <c r="P89" s="4" t="str">
        <f>IFERROR(HLOOKUP(D89,xHesaplama!$AG$116:$BZ$124,9,0),"")</f>
        <v/>
      </c>
      <c r="Q89" s="4" t="str">
        <f>IFERROR(HLOOKUP(D89,xHesaplama!$AG$126:$BZ$135,10,0),"")</f>
        <v/>
      </c>
      <c r="R89" s="4" t="str">
        <f>IFERROR(HLOOKUP(D89,xHesaplama!$AG$137:$BZ$147,11,0),"")</f>
        <v/>
      </c>
      <c r="S89" s="4" t="str">
        <f>IFERROR(HLOOKUP(D89,xHesaplama!$AH$149:$BZ$160,12,0),"")</f>
        <v/>
      </c>
      <c r="T89" s="4" t="str">
        <f>IFERROR(HLOOKUP(D89,xHesaplama!$AH$162:$BZ$174,13,0),"")</f>
        <v/>
      </c>
      <c r="U89" s="4" t="str">
        <f>IFERROR(HLOOKUP(D89,xHesaplama!$AH$176:$BZ$189,14,0),"")</f>
        <v/>
      </c>
      <c r="V89" s="4" t="str">
        <f>IFERROR(HLOOKUP(D89,xHesaplama!$AH$191:$BZ$205,15,0),"")</f>
        <v/>
      </c>
      <c r="W89" s="4" t="str">
        <f>IFERROR(HLOOKUP(D89,xHesaplama!$AH$207:$BZ$222,16,0),"")</f>
        <v/>
      </c>
      <c r="X89" s="4" t="str">
        <f>IFERROR(HLOOKUP(D89,xHesaplama!$AH$224:$BZ$240,17,0),"")</f>
        <v/>
      </c>
      <c r="Y89" s="4" t="str">
        <f>IFERROR(HLOOKUP(D89,xHesaplama!$AH$242:$BZ$259,18,0),"")</f>
        <v/>
      </c>
      <c r="Z89" s="4" t="str">
        <f>IFERROR(HLOOKUP(D89,xHesaplama!$AH$261:$BZ$279,19,0),"")</f>
        <v/>
      </c>
      <c r="AA89" s="4" t="str">
        <f>IFERROR(HLOOKUP(D89,xHesaplama!$AH$281:$BZ$300,20,0),"")</f>
        <v/>
      </c>
      <c r="AB89" s="4" t="str">
        <f>IFERROR(HLOOKUP(D89,xHesaplama!$AH$302:$BZ$322,21,0),"")</f>
        <v/>
      </c>
    </row>
    <row r="90" spans="4:28" ht="26.25">
      <c r="D90" s="53" t="s">
        <v>472</v>
      </c>
      <c r="E90" s="3" t="str">
        <f>'x Malzemeler ve Özellikleri'!S82</f>
        <v>MT</v>
      </c>
      <c r="F90" t="s">
        <v>72</v>
      </c>
      <c r="G90" s="9" t="str">
        <f>VLOOKUP(D90,'x Malzemeler ve Özellikleri'!$O$2:$P$136,2,0)</f>
        <v>PDDK01</v>
      </c>
      <c r="H90" s="63">
        <f>VLOOKUP(D90,'x Malzemeler ve Özellikleri'!$O$2:$R$136,4,0)</f>
        <v>1.8665354330708666</v>
      </c>
      <c r="I90" s="4">
        <f>IFERROR(HLOOKUP(D90,xHesaplama!$AH$74:$BZ$75,2,0),"")</f>
        <v>4.62</v>
      </c>
      <c r="J90" s="4" t="str">
        <f>IFERROR(HLOOKUP(D90,xHesaplama!$AG$77:$BZ$79,3,0),"")</f>
        <v/>
      </c>
      <c r="K90" s="4" t="str">
        <f>IFERROR(HLOOKUP(D90,xHesaplama!$AG$81:$BZ$84,4,0),"")</f>
        <v/>
      </c>
      <c r="L90" s="4" t="str">
        <f>IFERROR(HLOOKUP(D90,xHesaplama!$AG$86:$BZ$90,5,0),"")</f>
        <v/>
      </c>
      <c r="M90" s="4" t="str">
        <f>IFERROR(HLOOKUP(D90,xHesaplama!$AG$92:$BZ$97,6,0),"")</f>
        <v/>
      </c>
      <c r="N90" s="4" t="str">
        <f>IFERROR(HLOOKUP(D90,xHesaplama!$AG$99:$BZ$105,7,0),"")</f>
        <v/>
      </c>
      <c r="O90" s="4" t="str">
        <f>IFERROR(HLOOKUP(D90,xHesaplama!$AG$107:$BZ$114,8,0),"")</f>
        <v/>
      </c>
      <c r="P90" s="4" t="str">
        <f>IFERROR(HLOOKUP(D90,xHesaplama!$AG$116:$BZ$124,9,0),"")</f>
        <v/>
      </c>
      <c r="Q90" s="4" t="str">
        <f>IFERROR(HLOOKUP(D90,xHesaplama!$AG$126:$BZ$135,10,0),"")</f>
        <v/>
      </c>
      <c r="R90" s="4" t="str">
        <f>IFERROR(HLOOKUP(D90,xHesaplama!$AG$137:$BZ$147,11,0),"")</f>
        <v/>
      </c>
      <c r="S90" s="4" t="str">
        <f>IFERROR(HLOOKUP(D90,xHesaplama!$AH$149:$BZ$160,12,0),"")</f>
        <v/>
      </c>
      <c r="T90" s="4" t="str">
        <f>IFERROR(HLOOKUP(D90,xHesaplama!$AH$162:$BZ$174,13,0),"")</f>
        <v/>
      </c>
      <c r="U90" s="4" t="str">
        <f>IFERROR(HLOOKUP(D90,xHesaplama!$AH$176:$BZ$189,14,0),"")</f>
        <v/>
      </c>
      <c r="V90" s="4" t="str">
        <f>IFERROR(HLOOKUP(D90,xHesaplama!$AH$191:$BZ$205,15,0),"")</f>
        <v/>
      </c>
      <c r="W90" s="4" t="str">
        <f>IFERROR(HLOOKUP(D90,xHesaplama!$AH$207:$BZ$222,16,0),"")</f>
        <v/>
      </c>
      <c r="X90" s="4" t="str">
        <f>IFERROR(HLOOKUP(D90,xHesaplama!$AH$224:$BZ$240,17,0),"")</f>
        <v/>
      </c>
      <c r="Y90" s="4" t="str">
        <f>IFERROR(HLOOKUP(D90,xHesaplama!$AH$242:$BZ$259,18,0),"")</f>
        <v/>
      </c>
      <c r="Z90" s="4" t="str">
        <f>IFERROR(HLOOKUP(D90,xHesaplama!$AH$261:$BZ$279,19,0),"")</f>
        <v/>
      </c>
      <c r="AA90" s="4" t="str">
        <f>IFERROR(HLOOKUP(D90,xHesaplama!$AH$281:$BZ$300,20,0),"")</f>
        <v/>
      </c>
      <c r="AB90" s="4" t="str">
        <f>IFERROR(HLOOKUP(D90,xHesaplama!$AH$302:$BZ$322,21,0),"")</f>
        <v/>
      </c>
    </row>
    <row r="91" spans="4:28" ht="26.25">
      <c r="D91" s="53" t="s">
        <v>473</v>
      </c>
      <c r="E91" s="3" t="str">
        <f>'x Malzemeler ve Özellikleri'!S83</f>
        <v>MT</v>
      </c>
      <c r="F91" t="s">
        <v>95</v>
      </c>
      <c r="G91" s="9" t="str">
        <f>VLOOKUP(D91,'x Malzemeler ve Özellikleri'!$O$2:$P$136,2,0)</f>
        <v>PDDK02</v>
      </c>
      <c r="H91" s="63">
        <f>VLOOKUP(D91,'x Malzemeler ve Özellikleri'!$O$2:$R$136,4,0)</f>
        <v>0.37330708661417333</v>
      </c>
      <c r="I91" s="4">
        <f>IFERROR(HLOOKUP(D91,xHesaplama!$AH$74:$BZ$75,2,0),"")</f>
        <v>4.6139999999999999</v>
      </c>
      <c r="J91" s="4" t="str">
        <f>IFERROR(HLOOKUP(D91,xHesaplama!$AG$77:$BZ$79,3,0),"")</f>
        <v/>
      </c>
      <c r="K91" s="4" t="str">
        <f>IFERROR(HLOOKUP(D91,xHesaplama!$AG$81:$BZ$84,4,0),"")</f>
        <v/>
      </c>
      <c r="L91" s="4" t="str">
        <f>IFERROR(HLOOKUP(D91,xHesaplama!$AG$86:$BZ$90,5,0),"")</f>
        <v/>
      </c>
      <c r="M91" s="4" t="str">
        <f>IFERROR(HLOOKUP(D91,xHesaplama!$AG$92:$BZ$97,6,0),"")</f>
        <v/>
      </c>
      <c r="N91" s="4" t="str">
        <f>IFERROR(HLOOKUP(D91,xHesaplama!$AG$99:$BZ$105,7,0),"")</f>
        <v/>
      </c>
      <c r="O91" s="4" t="str">
        <f>IFERROR(HLOOKUP(D91,xHesaplama!$AG$107:$BZ$114,8,0),"")</f>
        <v/>
      </c>
      <c r="P91" s="4" t="str">
        <f>IFERROR(HLOOKUP(D91,xHesaplama!$AG$116:$BZ$124,9,0),"")</f>
        <v/>
      </c>
      <c r="Q91" s="4" t="str">
        <f>IFERROR(HLOOKUP(D91,xHesaplama!$AG$126:$BZ$135,10,0),"")</f>
        <v/>
      </c>
      <c r="R91" s="4" t="str">
        <f>IFERROR(HLOOKUP(D91,xHesaplama!$AG$137:$BZ$147,11,0),"")</f>
        <v/>
      </c>
      <c r="S91" s="4" t="str">
        <f>IFERROR(HLOOKUP(D91,xHesaplama!$AH$149:$BZ$160,12,0),"")</f>
        <v/>
      </c>
      <c r="T91" s="4" t="str">
        <f>IFERROR(HLOOKUP(D91,xHesaplama!$AH$162:$BZ$174,13,0),"")</f>
        <v/>
      </c>
      <c r="U91" s="4" t="str">
        <f>IFERROR(HLOOKUP(D91,xHesaplama!$AH$176:$BZ$189,14,0),"")</f>
        <v/>
      </c>
      <c r="V91" s="4" t="str">
        <f>IFERROR(HLOOKUP(D91,xHesaplama!$AH$191:$BZ$205,15,0),"")</f>
        <v/>
      </c>
      <c r="W91" s="4" t="str">
        <f>IFERROR(HLOOKUP(D91,xHesaplama!$AH$207:$BZ$222,16,0),"")</f>
        <v/>
      </c>
      <c r="X91" s="4" t="str">
        <f>IFERROR(HLOOKUP(D91,xHesaplama!$AH$224:$BZ$240,17,0),"")</f>
        <v/>
      </c>
      <c r="Y91" s="4" t="str">
        <f>IFERROR(HLOOKUP(D91,xHesaplama!$AH$242:$BZ$259,18,0),"")</f>
        <v/>
      </c>
      <c r="Z91" s="4" t="str">
        <f>IFERROR(HLOOKUP(D91,xHesaplama!$AH$261:$BZ$279,19,0),"")</f>
        <v/>
      </c>
      <c r="AA91" s="4" t="str">
        <f>IFERROR(HLOOKUP(D91,xHesaplama!$AH$281:$BZ$300,20,0),"")</f>
        <v/>
      </c>
      <c r="AB91" s="4" t="str">
        <f>IFERROR(HLOOKUP(D91,xHesaplama!$AH$302:$BZ$322,21,0),"")</f>
        <v/>
      </c>
    </row>
    <row r="92" spans="4:28" ht="26.25">
      <c r="D92" s="9" t="s">
        <v>474</v>
      </c>
      <c r="E92" s="3" t="str">
        <f>'x Malzemeler ve Özellikleri'!S84</f>
        <v>ADET</v>
      </c>
      <c r="F92" t="s">
        <v>74</v>
      </c>
      <c r="G92" s="9" t="str">
        <f>VLOOKUP(D92,'x Malzemeler ve Özellikleri'!$O$2:$P$136,2,0)</f>
        <v>BP.417</v>
      </c>
      <c r="H92" s="63">
        <f>VLOOKUP(D92,'x Malzemeler ve Özellikleri'!$O$2:$R$136,4,0)</f>
        <v>0.08</v>
      </c>
      <c r="I92" s="4">
        <f>IFERROR(HLOOKUP(D92,xHesaplama!$AH$74:$BZ$75,2,0),"")</f>
        <v>2</v>
      </c>
      <c r="J92" s="4" t="str">
        <f>IFERROR(HLOOKUP(D92,xHesaplama!$AG$77:$BZ$79,3,0),"")</f>
        <v/>
      </c>
      <c r="K92" s="4" t="str">
        <f>IFERROR(HLOOKUP(D92,xHesaplama!$AG$81:$BZ$84,4,0),"")</f>
        <v/>
      </c>
      <c r="L92" s="4" t="str">
        <f>IFERROR(HLOOKUP(D92,xHesaplama!$AG$86:$BZ$90,5,0),"")</f>
        <v/>
      </c>
      <c r="M92" s="4" t="str">
        <f>IFERROR(HLOOKUP(D92,xHesaplama!$AG$92:$BZ$97,6,0),"")</f>
        <v/>
      </c>
      <c r="N92" s="4" t="str">
        <f>IFERROR(HLOOKUP(D92,xHesaplama!$AG$99:$BZ$105,7,0),"")</f>
        <v/>
      </c>
      <c r="O92" s="4" t="str">
        <f>IFERROR(HLOOKUP(D92,xHesaplama!$AG$107:$BZ$114,8,0),"")</f>
        <v/>
      </c>
      <c r="P92" s="4" t="str">
        <f>IFERROR(HLOOKUP(D92,xHesaplama!$AG$116:$BZ$124,9,0),"")</f>
        <v/>
      </c>
      <c r="Q92" s="4" t="str">
        <f>IFERROR(HLOOKUP(D92,xHesaplama!$AG$126:$BZ$135,10,0),"")</f>
        <v/>
      </c>
      <c r="R92" s="4" t="str">
        <f>IFERROR(HLOOKUP(D92,xHesaplama!$AG$137:$BZ$147,11,0),"")</f>
        <v/>
      </c>
      <c r="S92" s="4" t="str">
        <f>IFERROR(HLOOKUP(D92,xHesaplama!$AH$149:$BZ$160,12,0),"")</f>
        <v/>
      </c>
      <c r="T92" s="4" t="str">
        <f>IFERROR(HLOOKUP(D92,xHesaplama!$AH$162:$BZ$174,13,0),"")</f>
        <v/>
      </c>
      <c r="U92" s="4" t="str">
        <f>IFERROR(HLOOKUP(D92,xHesaplama!$AH$176:$BZ$189,14,0),"")</f>
        <v/>
      </c>
      <c r="V92" s="4" t="str">
        <f>IFERROR(HLOOKUP(D92,xHesaplama!$AH$191:$BZ$205,15,0),"")</f>
        <v/>
      </c>
      <c r="W92" s="4" t="str">
        <f>IFERROR(HLOOKUP(D92,xHesaplama!$AH$207:$BZ$222,16,0),"")</f>
        <v/>
      </c>
      <c r="X92" s="4" t="str">
        <f>IFERROR(HLOOKUP(D92,xHesaplama!$AH$224:$BZ$240,17,0),"")</f>
        <v/>
      </c>
      <c r="Y92" s="4" t="str">
        <f>IFERROR(HLOOKUP(D92,xHesaplama!$AH$242:$BZ$259,18,0),"")</f>
        <v/>
      </c>
      <c r="Z92" s="4" t="str">
        <f>IFERROR(HLOOKUP(D92,xHesaplama!$AH$261:$BZ$279,19,0),"")</f>
        <v/>
      </c>
      <c r="AA92" s="4" t="str">
        <f>IFERROR(HLOOKUP(D92,xHesaplama!$AH$281:$BZ$300,20,0),"")</f>
        <v/>
      </c>
      <c r="AB92" s="4" t="str">
        <f>IFERROR(HLOOKUP(D92,xHesaplama!$AH$302:$BZ$322,21,0),"")</f>
        <v/>
      </c>
    </row>
    <row r="93" spans="4:28" ht="26.25">
      <c r="D93" s="9" t="s">
        <v>475</v>
      </c>
      <c r="E93" s="3" t="str">
        <f>'x Malzemeler ve Özellikleri'!S85</f>
        <v>ADET</v>
      </c>
      <c r="F93" t="s">
        <v>76</v>
      </c>
      <c r="G93" s="9" t="str">
        <f>VLOOKUP(D93,'x Malzemeler ve Özellikleri'!$O$2:$P$136,2,0)</f>
        <v>BP.423</v>
      </c>
      <c r="H93" s="63">
        <f>VLOOKUP(D93,'x Malzemeler ve Özellikleri'!$O$2:$R$136,4,0)</f>
        <v>0</v>
      </c>
      <c r="I93" s="4">
        <f>IFERROR(HLOOKUP(D93,xHesaplama!$AH$74:$BZ$75,2,0),"")</f>
        <v>2</v>
      </c>
      <c r="J93" s="4" t="str">
        <f>IFERROR(HLOOKUP(D93,xHesaplama!$AG$77:$BZ$79,3,0),"")</f>
        <v/>
      </c>
      <c r="K93" s="4" t="str">
        <f>IFERROR(HLOOKUP(D93,xHesaplama!$AG$81:$BZ$84,4,0),"")</f>
        <v/>
      </c>
      <c r="L93" s="4" t="str">
        <f>IFERROR(HLOOKUP(D93,xHesaplama!$AG$86:$BZ$90,5,0),"")</f>
        <v/>
      </c>
      <c r="M93" s="4" t="str">
        <f>IFERROR(HLOOKUP(D93,xHesaplama!$AG$92:$BZ$97,6,0),"")</f>
        <v/>
      </c>
      <c r="N93" s="4" t="str">
        <f>IFERROR(HLOOKUP(D93,xHesaplama!$AG$99:$BZ$105,7,0),"")</f>
        <v/>
      </c>
      <c r="O93" s="4" t="str">
        <f>IFERROR(HLOOKUP(D93,xHesaplama!$AG$107:$BZ$114,8,0),"")</f>
        <v/>
      </c>
      <c r="P93" s="4" t="str">
        <f>IFERROR(HLOOKUP(D93,xHesaplama!$AG$116:$BZ$124,9,0),"")</f>
        <v/>
      </c>
      <c r="Q93" s="4" t="str">
        <f>IFERROR(HLOOKUP(D93,xHesaplama!$AG$126:$BZ$135,10,0),"")</f>
        <v/>
      </c>
      <c r="R93" s="4" t="str">
        <f>IFERROR(HLOOKUP(D93,xHesaplama!$AG$137:$BZ$147,11,0),"")</f>
        <v/>
      </c>
      <c r="S93" s="4" t="str">
        <f>IFERROR(HLOOKUP(D93,xHesaplama!$AH$149:$BZ$160,12,0),"")</f>
        <v/>
      </c>
      <c r="T93" s="4" t="str">
        <f>IFERROR(HLOOKUP(D93,xHesaplama!$AH$162:$BZ$174,13,0),"")</f>
        <v/>
      </c>
      <c r="U93" s="4" t="str">
        <f>IFERROR(HLOOKUP(D93,xHesaplama!$AH$176:$BZ$189,14,0),"")</f>
        <v/>
      </c>
      <c r="V93" s="4" t="str">
        <f>IFERROR(HLOOKUP(D93,xHesaplama!$AH$191:$BZ$205,15,0),"")</f>
        <v/>
      </c>
      <c r="W93" s="4" t="str">
        <f>IFERROR(HLOOKUP(D93,xHesaplama!$AH$207:$BZ$222,16,0),"")</f>
        <v/>
      </c>
      <c r="X93" s="4" t="str">
        <f>IFERROR(HLOOKUP(D93,xHesaplama!$AH$224:$BZ$240,17,0),"")</f>
        <v/>
      </c>
      <c r="Y93" s="4" t="str">
        <f>IFERROR(HLOOKUP(D93,xHesaplama!$AH$242:$BZ$259,18,0),"")</f>
        <v/>
      </c>
      <c r="Z93" s="4" t="str">
        <f>IFERROR(HLOOKUP(D93,xHesaplama!$AH$261:$BZ$279,19,0),"")</f>
        <v/>
      </c>
      <c r="AA93" s="4" t="str">
        <f>IFERROR(HLOOKUP(D93,xHesaplama!$AH$281:$BZ$300,20,0),"")</f>
        <v/>
      </c>
      <c r="AB93" s="4" t="str">
        <f>IFERROR(HLOOKUP(D93,xHesaplama!$AH$302:$BZ$322,21,0),"")</f>
        <v/>
      </c>
    </row>
    <row r="94" spans="4:28" ht="26.25">
      <c r="D94" s="61" t="s">
        <v>714</v>
      </c>
      <c r="E94" s="3" t="str">
        <f>'x Malzemeler ve Özellikleri'!S87</f>
        <v>MT</v>
      </c>
      <c r="F94" t="s">
        <v>54</v>
      </c>
      <c r="G94" s="9" t="str">
        <f>VLOOKUP(D94,'x Malzemeler ve Özellikleri'!$O$2:$P$136,2,0)</f>
        <v>PDKP01</v>
      </c>
      <c r="H94" s="63">
        <f>VLOOKUP(D94,'x Malzemeler ve Özellikleri'!$O$2:$R$136,4,0)</f>
        <v>4.8529921259842528</v>
      </c>
      <c r="I94" s="4" t="str">
        <f>IFERROR(HLOOKUP(D94,xHesaplama!$AH$74:$BZ$75,2,0),"")</f>
        <v/>
      </c>
      <c r="J94" s="4" t="str">
        <f>IFERROR(HLOOKUP(D94,xHesaplama!$AG$77:$BZ$79,3,0),"")</f>
        <v/>
      </c>
      <c r="K94" s="4" t="str">
        <f>IFERROR(HLOOKUP(D94,xHesaplama!$AG$81:$BZ$84,4,0),"")</f>
        <v/>
      </c>
      <c r="L94" s="4" t="str">
        <f>IFERROR(HLOOKUP(D94,xHesaplama!$AG$86:$BZ$90,5,0),"")</f>
        <v/>
      </c>
      <c r="M94" s="4" t="str">
        <f>IFERROR(HLOOKUP(D94,xHesaplama!$AG$92:$BZ$97,6,0),"")</f>
        <v/>
      </c>
      <c r="N94" s="4" t="str">
        <f>IFERROR(HLOOKUP(D94,xHesaplama!$AG$99:$BZ$105,7,0),"")</f>
        <v/>
      </c>
      <c r="O94" s="4" t="str">
        <f>IFERROR(HLOOKUP(D94,xHesaplama!$AG$107:$BZ$114,8,0),"")</f>
        <v/>
      </c>
      <c r="P94" s="4" t="str">
        <f>IFERROR(HLOOKUP(D94,xHesaplama!$AG$116:$BZ$124,9,0),"")</f>
        <v/>
      </c>
      <c r="Q94" s="4" t="str">
        <f>IFERROR(HLOOKUP(D94,xHesaplama!$AG$126:$BZ$135,10,0),"")</f>
        <v/>
      </c>
      <c r="R94" s="4" t="str">
        <f>IFERROR(HLOOKUP(D94,xHesaplama!$AG$137:$BZ$147,11,0),"")</f>
        <v/>
      </c>
      <c r="S94" s="4" t="str">
        <f>IFERROR(HLOOKUP(D94,xHesaplama!$AH$149:$BZ$160,12,0),"")</f>
        <v/>
      </c>
      <c r="T94" s="4" t="str">
        <f>IFERROR(HLOOKUP(D94,xHesaplama!$AH$162:$BZ$174,13,0),"")</f>
        <v/>
      </c>
      <c r="U94" s="4" t="str">
        <f>IFERROR(HLOOKUP(D94,xHesaplama!$AH$176:$BZ$189,14,0),"")</f>
        <v/>
      </c>
      <c r="V94" s="4" t="str">
        <f>IFERROR(HLOOKUP(D94,xHesaplama!$AH$191:$BZ$205,15,0),"")</f>
        <v/>
      </c>
      <c r="W94" s="4" t="str">
        <f>IFERROR(HLOOKUP(D94,xHesaplama!$AH$207:$BZ$222,16,0),"")</f>
        <v/>
      </c>
      <c r="X94" s="4" t="str">
        <f>IFERROR(HLOOKUP(D94,xHesaplama!$AH$224:$BZ$240,17,0),"")</f>
        <v/>
      </c>
      <c r="Y94" s="4" t="str">
        <f>IFERROR(HLOOKUP(D94,xHesaplama!$AH$242:$BZ$259,18,0),"")</f>
        <v/>
      </c>
      <c r="Z94" s="4" t="str">
        <f>IFERROR(HLOOKUP(D94,xHesaplama!$AH$261:$BZ$279,19,0),"")</f>
        <v/>
      </c>
      <c r="AA94" s="4" t="str">
        <f>IFERROR(HLOOKUP(D94,xHesaplama!$AH$281:$BZ$300,20,0),"")</f>
        <v/>
      </c>
      <c r="AB94" s="4" t="str">
        <f>IFERROR(HLOOKUP(D94,xHesaplama!$AH$302:$BZ$322,21,0),"")</f>
        <v/>
      </c>
    </row>
    <row r="95" spans="4:28" ht="26.25">
      <c r="D95" s="61" t="s">
        <v>715</v>
      </c>
      <c r="E95" s="3" t="str">
        <f>'x Malzemeler ve Özellikleri'!S88</f>
        <v>MT</v>
      </c>
      <c r="F95" t="s">
        <v>79</v>
      </c>
      <c r="G95" s="9" t="str">
        <f>VLOOKUP(D95,'x Malzemeler ve Özellikleri'!$O$2:$P$136,2,0)</f>
        <v>PDKP01D</v>
      </c>
      <c r="H95" s="63">
        <f>VLOOKUP(D95,'x Malzemeler ve Özellikleri'!$O$2:$R$136,4,0)</f>
        <v>3.8077322834645679</v>
      </c>
      <c r="I95" s="4" t="str">
        <f>IFERROR(HLOOKUP(D95,xHesaplama!$AH$74:$BZ$75,2,0),"")</f>
        <v/>
      </c>
      <c r="J95" s="4" t="str">
        <f>IFERROR(HLOOKUP(D95,xHesaplama!$AG$77:$BZ$79,3,0),"")</f>
        <v/>
      </c>
      <c r="K95" s="4" t="str">
        <f>IFERROR(HLOOKUP(D95,xHesaplama!$AG$81:$BZ$84,4,0),"")</f>
        <v/>
      </c>
      <c r="L95" s="4" t="str">
        <f>IFERROR(HLOOKUP(D95,xHesaplama!$AG$86:$BZ$90,5,0),"")</f>
        <v/>
      </c>
      <c r="M95" s="4" t="str">
        <f>IFERROR(HLOOKUP(D95,xHesaplama!$AG$92:$BZ$97,6,0),"")</f>
        <v/>
      </c>
      <c r="N95" s="4" t="str">
        <f>IFERROR(HLOOKUP(D95,xHesaplama!$AG$99:$BZ$105,7,0),"")</f>
        <v/>
      </c>
      <c r="O95" s="4" t="str">
        <f>IFERROR(HLOOKUP(D95,xHesaplama!$AG$107:$BZ$114,8,0),"")</f>
        <v/>
      </c>
      <c r="P95" s="4" t="str">
        <f>IFERROR(HLOOKUP(D95,xHesaplama!$AG$116:$BZ$124,9,0),"")</f>
        <v/>
      </c>
      <c r="Q95" s="4" t="str">
        <f>IFERROR(HLOOKUP(D95,xHesaplama!$AG$126:$BZ$135,10,0),"")</f>
        <v/>
      </c>
      <c r="R95" s="4" t="str">
        <f>IFERROR(HLOOKUP(D95,xHesaplama!$AG$137:$BZ$147,11,0),"")</f>
        <v/>
      </c>
      <c r="S95" s="4" t="str">
        <f>IFERROR(HLOOKUP(D95,xHesaplama!$AH$149:$BZ$160,12,0),"")</f>
        <v/>
      </c>
      <c r="T95" s="4" t="str">
        <f>IFERROR(HLOOKUP(D95,xHesaplama!$AH$162:$BZ$174,13,0),"")</f>
        <v/>
      </c>
      <c r="U95" s="4" t="str">
        <f>IFERROR(HLOOKUP(D95,xHesaplama!$AH$176:$BZ$189,14,0),"")</f>
        <v/>
      </c>
      <c r="V95" s="4" t="str">
        <f>IFERROR(HLOOKUP(D95,xHesaplama!$AH$191:$BZ$205,15,0),"")</f>
        <v/>
      </c>
      <c r="W95" s="4" t="str">
        <f>IFERROR(HLOOKUP(D95,xHesaplama!$AH$207:$BZ$222,16,0),"")</f>
        <v/>
      </c>
      <c r="X95" s="4" t="str">
        <f>IFERROR(HLOOKUP(D95,xHesaplama!$AH$224:$BZ$240,17,0),"")</f>
        <v/>
      </c>
      <c r="Y95" s="4" t="str">
        <f>IFERROR(HLOOKUP(D95,xHesaplama!$AH$242:$BZ$259,18,0),"")</f>
        <v/>
      </c>
      <c r="Z95" s="4" t="str">
        <f>IFERROR(HLOOKUP(D95,xHesaplama!$AH$261:$BZ$279,19,0),"")</f>
        <v/>
      </c>
      <c r="AA95" s="4" t="str">
        <f>IFERROR(HLOOKUP(D95,xHesaplama!$AH$281:$BZ$300,20,0),"")</f>
        <v/>
      </c>
      <c r="AB95" s="4" t="str">
        <f>IFERROR(HLOOKUP(D95,xHesaplama!$AH$302:$BZ$322,21,0),"")</f>
        <v/>
      </c>
    </row>
    <row r="96" spans="4:28" ht="78.75">
      <c r="D96" s="61" t="s">
        <v>716</v>
      </c>
      <c r="E96" s="3" t="str">
        <f>'x Malzemeler ve Özellikleri'!S89</f>
        <v>MT</v>
      </c>
      <c r="F96" t="s">
        <v>80</v>
      </c>
      <c r="G96" s="9" t="str">
        <f>VLOOKUP(D96,'x Malzemeler ve Özellikleri'!$O$2:$P$136,2,0)</f>
        <v>KASA ALIN PROFİLİ - sharp</v>
      </c>
      <c r="H96" s="63">
        <f>VLOOKUP(D96,'x Malzemeler ve Özellikleri'!$O$2:$R$136,4,0)</f>
        <v>3.8077322834645679</v>
      </c>
      <c r="I96" s="4" t="str">
        <f>IFERROR(HLOOKUP(D96,xHesaplama!$AH$74:$BZ$75,2,0),"")</f>
        <v/>
      </c>
      <c r="J96" s="4" t="str">
        <f>IFERROR(HLOOKUP(D96,xHesaplama!$AG$77:$BZ$79,3,0),"")</f>
        <v/>
      </c>
      <c r="K96" s="4" t="str">
        <f>IFERROR(HLOOKUP(D96,xHesaplama!$AG$81:$BZ$84,4,0),"")</f>
        <v/>
      </c>
      <c r="L96" s="4" t="str">
        <f>IFERROR(HLOOKUP(D96,xHesaplama!$AG$86:$BZ$90,5,0),"")</f>
        <v/>
      </c>
      <c r="M96" s="4" t="str">
        <f>IFERROR(HLOOKUP(D96,xHesaplama!$AG$92:$BZ$97,6,0),"")</f>
        <v/>
      </c>
      <c r="N96" s="4" t="str">
        <f>IFERROR(HLOOKUP(D96,xHesaplama!$AG$99:$BZ$105,7,0),"")</f>
        <v/>
      </c>
      <c r="O96" s="4" t="str">
        <f>IFERROR(HLOOKUP(D96,xHesaplama!$AG$107:$BZ$114,8,0),"")</f>
        <v/>
      </c>
      <c r="P96" s="4" t="str">
        <f>IFERROR(HLOOKUP(D96,xHesaplama!$AG$116:$BZ$124,9,0),"")</f>
        <v/>
      </c>
      <c r="Q96" s="4" t="str">
        <f>IFERROR(HLOOKUP(D96,xHesaplama!$AG$126:$BZ$135,10,0),"")</f>
        <v/>
      </c>
      <c r="R96" s="4" t="str">
        <f>IFERROR(HLOOKUP(D96,xHesaplama!$AG$137:$BZ$147,11,0),"")</f>
        <v/>
      </c>
      <c r="S96" s="4" t="str">
        <f>IFERROR(HLOOKUP(D96,xHesaplama!$AH$149:$BZ$160,12,0),"")</f>
        <v/>
      </c>
      <c r="T96" s="4" t="str">
        <f>IFERROR(HLOOKUP(D96,xHesaplama!$AH$162:$BZ$174,13,0),"")</f>
        <v/>
      </c>
      <c r="U96" s="4" t="str">
        <f>IFERROR(HLOOKUP(D96,xHesaplama!$AH$176:$BZ$189,14,0),"")</f>
        <v/>
      </c>
      <c r="V96" s="4" t="str">
        <f>IFERROR(HLOOKUP(D96,xHesaplama!$AH$191:$BZ$205,15,0),"")</f>
        <v/>
      </c>
      <c r="W96" s="4" t="str">
        <f>IFERROR(HLOOKUP(D96,xHesaplama!$AH$207:$BZ$222,16,0),"")</f>
        <v/>
      </c>
      <c r="X96" s="4" t="str">
        <f>IFERROR(HLOOKUP(D96,xHesaplama!$AH$224:$BZ$240,17,0),"")</f>
        <v/>
      </c>
      <c r="Y96" s="4" t="str">
        <f>IFERROR(HLOOKUP(D96,xHesaplama!$AH$242:$BZ$259,18,0),"")</f>
        <v/>
      </c>
      <c r="Z96" s="4" t="str">
        <f>IFERROR(HLOOKUP(D96,xHesaplama!$AH$261:$BZ$279,19,0),"")</f>
        <v/>
      </c>
      <c r="AA96" s="4" t="str">
        <f>IFERROR(HLOOKUP(D96,xHesaplama!$AH$281:$BZ$300,20,0),"")</f>
        <v/>
      </c>
      <c r="AB96" s="4" t="str">
        <f>IFERROR(HLOOKUP(D96,xHesaplama!$AH$302:$BZ$322,21,0),"")</f>
        <v/>
      </c>
    </row>
    <row r="97" spans="4:28" ht="78.75">
      <c r="D97" s="61" t="s">
        <v>717</v>
      </c>
      <c r="E97" s="3" t="str">
        <f>'x Malzemeler ve Özellikleri'!S90</f>
        <v>MT</v>
      </c>
      <c r="F97" t="s">
        <v>81</v>
      </c>
      <c r="G97" s="9" t="str">
        <f>VLOOKUP(D97,'x Malzemeler ve Özellikleri'!$O$2:$P$136,2,0)</f>
        <v>KASA ALIN PROFİLİ - soft</v>
      </c>
      <c r="H97" s="63">
        <f>VLOOKUP(D97,'x Malzemeler ve Özellikleri'!$O$2:$R$136,4,0)</f>
        <v>3.8077322834645679</v>
      </c>
      <c r="I97" s="4" t="str">
        <f>IFERROR(HLOOKUP(D97,xHesaplama!$AH$74:$BZ$75,2,0),"")</f>
        <v/>
      </c>
      <c r="J97" s="4" t="str">
        <f>IFERROR(HLOOKUP(D97,xHesaplama!$AG$77:$BZ$79,3,0),"")</f>
        <v/>
      </c>
      <c r="K97" s="4" t="str">
        <f>IFERROR(HLOOKUP(D97,xHesaplama!$AG$81:$BZ$84,4,0),"")</f>
        <v/>
      </c>
      <c r="L97" s="4" t="str">
        <f>IFERROR(HLOOKUP(D97,xHesaplama!$AG$86:$BZ$90,5,0),"")</f>
        <v/>
      </c>
      <c r="M97" s="4" t="str">
        <f>IFERROR(HLOOKUP(D97,xHesaplama!$AG$92:$BZ$97,6,0),"")</f>
        <v/>
      </c>
      <c r="N97" s="4" t="str">
        <f>IFERROR(HLOOKUP(D97,xHesaplama!$AG$99:$BZ$105,7,0),"")</f>
        <v/>
      </c>
      <c r="O97" s="4" t="str">
        <f>IFERROR(HLOOKUP(D97,xHesaplama!$AG$107:$BZ$114,8,0),"")</f>
        <v/>
      </c>
      <c r="P97" s="4" t="str">
        <f>IFERROR(HLOOKUP(D97,xHesaplama!$AG$116:$BZ$124,9,0),"")</f>
        <v/>
      </c>
      <c r="Q97" s="4" t="str">
        <f>IFERROR(HLOOKUP(D97,xHesaplama!$AG$126:$BZ$135,10,0),"")</f>
        <v/>
      </c>
      <c r="R97" s="4" t="str">
        <f>IFERROR(HLOOKUP(D97,xHesaplama!$AG$137:$BZ$147,11,0),"")</f>
        <v/>
      </c>
      <c r="S97" s="4" t="str">
        <f>IFERROR(HLOOKUP(D97,xHesaplama!$AH$149:$BZ$160,12,0),"")</f>
        <v/>
      </c>
      <c r="T97" s="4" t="str">
        <f>IFERROR(HLOOKUP(D97,xHesaplama!$AH$162:$BZ$174,13,0),"")</f>
        <v/>
      </c>
      <c r="U97" s="4" t="str">
        <f>IFERROR(HLOOKUP(D97,xHesaplama!$AH$176:$BZ$189,14,0),"")</f>
        <v/>
      </c>
      <c r="V97" s="4" t="str">
        <f>IFERROR(HLOOKUP(D97,xHesaplama!$AH$191:$BZ$205,15,0),"")</f>
        <v/>
      </c>
      <c r="W97" s="4" t="str">
        <f>IFERROR(HLOOKUP(D97,xHesaplama!$AH$207:$BZ$222,16,0),"")</f>
        <v/>
      </c>
      <c r="X97" s="4" t="str">
        <f>IFERROR(HLOOKUP(D97,xHesaplama!$AH$224:$BZ$240,17,0),"")</f>
        <v/>
      </c>
      <c r="Y97" s="4" t="str">
        <f>IFERROR(HLOOKUP(D97,xHesaplama!$AH$242:$BZ$259,18,0),"")</f>
        <v/>
      </c>
      <c r="Z97" s="4" t="str">
        <f>IFERROR(HLOOKUP(D97,xHesaplama!$AH$261:$BZ$279,19,0),"")</f>
        <v/>
      </c>
      <c r="AA97" s="4" t="str">
        <f>IFERROR(HLOOKUP(D97,xHesaplama!$AH$281:$BZ$300,20,0),"")</f>
        <v/>
      </c>
      <c r="AB97" s="4" t="str">
        <f>IFERROR(HLOOKUP(D97,xHesaplama!$AH$302:$BZ$322,21,0),"")</f>
        <v/>
      </c>
    </row>
    <row r="98" spans="4:28" ht="26.25">
      <c r="D98" s="61" t="s">
        <v>768</v>
      </c>
      <c r="E98" s="3" t="str">
        <f>'x Malzemeler ve Özellikleri'!S91</f>
        <v>ADET</v>
      </c>
      <c r="F98" t="s">
        <v>41</v>
      </c>
      <c r="G98" s="9" t="str">
        <f>VLOOKUP(D98,'x Malzemeler ve Özellikleri'!$O$2:$P$136,2,0)</f>
        <v>PVC YAY</v>
      </c>
      <c r="H98" s="63">
        <f>VLOOKUP(D98,'x Malzemeler ve Özellikleri'!$O$2:$R$136,4,0)</f>
        <v>0.2</v>
      </c>
      <c r="I98" s="4" t="str">
        <f>IFERROR(HLOOKUP(D98,xHesaplama!$AH$74:$BZ$75,2,0),"")</f>
        <v/>
      </c>
      <c r="J98" s="4" t="str">
        <f>IFERROR(HLOOKUP(D98,xHesaplama!$AG$77:$BZ$79,3,0),"")</f>
        <v/>
      </c>
      <c r="K98" s="4" t="str">
        <f>IFERROR(HLOOKUP(D98,xHesaplama!$AG$81:$BZ$84,4,0),"")</f>
        <v/>
      </c>
      <c r="L98" s="4" t="str">
        <f>IFERROR(HLOOKUP(D98,xHesaplama!$AG$86:$BZ$90,5,0),"")</f>
        <v/>
      </c>
      <c r="M98" s="4" t="str">
        <f>IFERROR(HLOOKUP(D98,xHesaplama!$AG$92:$BZ$97,6,0),"")</f>
        <v/>
      </c>
      <c r="N98" s="4" t="str">
        <f>IFERROR(HLOOKUP(D98,xHesaplama!$AG$99:$BZ$105,7,0),"")</f>
        <v/>
      </c>
      <c r="O98" s="4" t="str">
        <f>IFERROR(HLOOKUP(D98,xHesaplama!$AG$107:$BZ$114,8,0),"")</f>
        <v/>
      </c>
      <c r="P98" s="4" t="str">
        <f>IFERROR(HLOOKUP(D98,xHesaplama!$AG$116:$BZ$124,9,0),"")</f>
        <v/>
      </c>
      <c r="Q98" s="4" t="str">
        <f>IFERROR(HLOOKUP(D98,xHesaplama!$AG$126:$BZ$135,10,0),"")</f>
        <v/>
      </c>
      <c r="R98" s="4" t="str">
        <f>IFERROR(HLOOKUP(D98,xHesaplama!$AG$137:$BZ$147,11,0),"")</f>
        <v/>
      </c>
      <c r="S98" s="4" t="str">
        <f>IFERROR(HLOOKUP(D98,xHesaplama!$AH$149:$BZ$160,12,0),"")</f>
        <v/>
      </c>
      <c r="T98" s="4" t="str">
        <f>IFERROR(HLOOKUP(D98,xHesaplama!$AH$162:$BZ$174,13,0),"")</f>
        <v/>
      </c>
      <c r="U98" s="4" t="str">
        <f>IFERROR(HLOOKUP(D98,xHesaplama!$AH$176:$BZ$189,14,0),"")</f>
        <v/>
      </c>
      <c r="V98" s="4" t="str">
        <f>IFERROR(HLOOKUP(D98,xHesaplama!$AH$191:$BZ$205,15,0),"")</f>
        <v/>
      </c>
      <c r="W98" s="4" t="str">
        <f>IFERROR(HLOOKUP(D98,xHesaplama!$AH$207:$BZ$222,16,0),"")</f>
        <v/>
      </c>
      <c r="X98" s="4" t="str">
        <f>IFERROR(HLOOKUP(D98,xHesaplama!$AH$224:$BZ$240,17,0),"")</f>
        <v/>
      </c>
      <c r="Y98" s="4" t="str">
        <f>IFERROR(HLOOKUP(D98,xHesaplama!$AH$242:$BZ$259,18,0),"")</f>
        <v/>
      </c>
      <c r="Z98" s="4" t="str">
        <f>IFERROR(HLOOKUP(D98,xHesaplama!$AH$261:$BZ$279,19,0),"")</f>
        <v/>
      </c>
      <c r="AA98" s="4" t="str">
        <f>IFERROR(HLOOKUP(D98,xHesaplama!$AH$281:$BZ$300,20,0),"")</f>
        <v/>
      </c>
      <c r="AB98" s="4" t="str">
        <f>IFERROR(HLOOKUP(D98,xHesaplama!$AH$302:$BZ$322,21,0),"")</f>
        <v/>
      </c>
    </row>
    <row r="99" spans="4:28" ht="26.25">
      <c r="D99" s="61" t="s">
        <v>769</v>
      </c>
      <c r="E99" s="3" t="str">
        <f>'x Malzemeler ve Özellikleri'!S92</f>
        <v>MT</v>
      </c>
      <c r="F99" t="s">
        <v>3</v>
      </c>
      <c r="G99" s="9" t="str">
        <f>VLOOKUP(D99,'x Malzemeler ve Özellikleri'!$O$2:$P$136,2,0)</f>
        <v>78BOR</v>
      </c>
      <c r="H99" s="63">
        <f>VLOOKUP(D99,'x Malzemeler ve Özellikleri'!$O$2:$R$136,4,0)</f>
        <v>2.4604330708661419</v>
      </c>
      <c r="I99" s="4" t="str">
        <f>IFERROR(HLOOKUP(D99,xHesaplama!$AH$74:$BZ$75,2,0),"")</f>
        <v/>
      </c>
      <c r="J99" s="4" t="str">
        <f>IFERROR(HLOOKUP(D99,xHesaplama!$AG$77:$BZ$79,3,0),"")</f>
        <v/>
      </c>
      <c r="K99" s="4" t="str">
        <f>IFERROR(HLOOKUP(D99,xHesaplama!$AG$81:$BZ$84,4,0),"")</f>
        <v/>
      </c>
      <c r="L99" s="4" t="str">
        <f>IFERROR(HLOOKUP(D99,xHesaplama!$AG$86:$BZ$90,5,0),"")</f>
        <v/>
      </c>
      <c r="M99" s="4" t="str">
        <f>IFERROR(HLOOKUP(D99,xHesaplama!$AG$92:$BZ$97,6,0),"")</f>
        <v/>
      </c>
      <c r="N99" s="4" t="str">
        <f>IFERROR(HLOOKUP(D99,xHesaplama!$AG$99:$BZ$105,7,0),"")</f>
        <v/>
      </c>
      <c r="O99" s="4" t="str">
        <f>IFERROR(HLOOKUP(D99,xHesaplama!$AG$107:$BZ$114,8,0),"")</f>
        <v/>
      </c>
      <c r="P99" s="4" t="str">
        <f>IFERROR(HLOOKUP(D99,xHesaplama!$AG$116:$BZ$124,9,0),"")</f>
        <v/>
      </c>
      <c r="Q99" s="4" t="str">
        <f>IFERROR(HLOOKUP(D99,xHesaplama!$AG$126:$BZ$135,10,0),"")</f>
        <v/>
      </c>
      <c r="R99" s="4" t="str">
        <f>IFERROR(HLOOKUP(D99,xHesaplama!$AG$137:$BZ$147,11,0),"")</f>
        <v/>
      </c>
      <c r="S99" s="4" t="str">
        <f>IFERROR(HLOOKUP(D99,xHesaplama!$AH$149:$BZ$160,12,0),"")</f>
        <v/>
      </c>
      <c r="T99" s="4" t="str">
        <f>IFERROR(HLOOKUP(D99,xHesaplama!$AH$162:$BZ$174,13,0),"")</f>
        <v/>
      </c>
      <c r="U99" s="4" t="str">
        <f>IFERROR(HLOOKUP(D99,xHesaplama!$AH$176:$BZ$189,14,0),"")</f>
        <v/>
      </c>
      <c r="V99" s="4" t="str">
        <f>IFERROR(HLOOKUP(D99,xHesaplama!$AH$191:$BZ$205,15,0),"")</f>
        <v/>
      </c>
      <c r="W99" s="4" t="str">
        <f>IFERROR(HLOOKUP(D99,xHesaplama!$AH$207:$BZ$222,16,0),"")</f>
        <v/>
      </c>
      <c r="X99" s="4" t="str">
        <f>IFERROR(HLOOKUP(D99,xHesaplama!$AH$224:$BZ$240,17,0),"")</f>
        <v/>
      </c>
      <c r="Y99" s="4" t="str">
        <f>IFERROR(HLOOKUP(D99,xHesaplama!$AH$242:$BZ$259,18,0),"")</f>
        <v/>
      </c>
      <c r="Z99" s="4" t="str">
        <f>IFERROR(HLOOKUP(D99,xHesaplama!$AH$261:$BZ$279,19,0),"")</f>
        <v/>
      </c>
      <c r="AA99" s="4" t="str">
        <f>IFERROR(HLOOKUP(D99,xHesaplama!$AH$281:$BZ$300,20,0),"")</f>
        <v/>
      </c>
      <c r="AB99" s="4" t="str">
        <f>IFERROR(HLOOKUP(D99,xHesaplama!$AH$302:$BZ$322,21,0),"")</f>
        <v/>
      </c>
    </row>
    <row r="100" spans="4:28" ht="26.25">
      <c r="D100" s="61" t="s">
        <v>770</v>
      </c>
      <c r="E100" s="3" t="str">
        <f>'x Malzemeler ve Özellikleri'!S93</f>
        <v>MT</v>
      </c>
      <c r="F100" t="s">
        <v>9</v>
      </c>
      <c r="G100" s="9" t="str">
        <f>VLOOKUP(D100,'x Malzemeler ve Özellikleri'!$O$2:$P$136,2,0)</f>
        <v>FERMUAR</v>
      </c>
      <c r="H100" s="63">
        <f>VLOOKUP(D100,'x Malzemeler ve Özellikleri'!$O$2:$R$136,4,0)</f>
        <v>2</v>
      </c>
      <c r="I100" s="4" t="str">
        <f>IFERROR(HLOOKUP(D100,xHesaplama!$AH$74:$BZ$75,2,0),"")</f>
        <v/>
      </c>
      <c r="J100" s="4" t="str">
        <f>IFERROR(HLOOKUP(D100,xHesaplama!$AG$77:$BZ$79,3,0),"")</f>
        <v/>
      </c>
      <c r="K100" s="4" t="str">
        <f>IFERROR(HLOOKUP(D100,xHesaplama!$AG$81:$BZ$84,4,0),"")</f>
        <v/>
      </c>
      <c r="L100" s="4" t="str">
        <f>IFERROR(HLOOKUP(D100,xHesaplama!$AG$86:$BZ$90,5,0),"")</f>
        <v/>
      </c>
      <c r="M100" s="4" t="str">
        <f>IFERROR(HLOOKUP(D100,xHesaplama!$AG$92:$BZ$97,6,0),"")</f>
        <v/>
      </c>
      <c r="N100" s="4" t="str">
        <f>IFERROR(HLOOKUP(D100,xHesaplama!$AG$99:$BZ$105,7,0),"")</f>
        <v/>
      </c>
      <c r="O100" s="4" t="str">
        <f>IFERROR(HLOOKUP(D100,xHesaplama!$AG$107:$BZ$114,8,0),"")</f>
        <v/>
      </c>
      <c r="P100" s="4" t="str">
        <f>IFERROR(HLOOKUP(D100,xHesaplama!$AG$116:$BZ$124,9,0),"")</f>
        <v/>
      </c>
      <c r="Q100" s="4" t="str">
        <f>IFERROR(HLOOKUP(D100,xHesaplama!$AG$126:$BZ$135,10,0),"")</f>
        <v/>
      </c>
      <c r="R100" s="4" t="str">
        <f>IFERROR(HLOOKUP(D100,xHesaplama!$AG$137:$BZ$147,11,0),"")</f>
        <v/>
      </c>
      <c r="S100" s="4" t="str">
        <f>IFERROR(HLOOKUP(D100,xHesaplama!$AH$149:$BZ$160,12,0),"")</f>
        <v/>
      </c>
      <c r="T100" s="4" t="str">
        <f>IFERROR(HLOOKUP(D100,xHesaplama!$AH$162:$BZ$174,13,0),"")</f>
        <v/>
      </c>
      <c r="U100" s="4" t="str">
        <f>IFERROR(HLOOKUP(D100,xHesaplama!$AH$176:$BZ$189,14,0),"")</f>
        <v/>
      </c>
      <c r="V100" s="4" t="str">
        <f>IFERROR(HLOOKUP(D100,xHesaplama!$AH$191:$BZ$205,15,0),"")</f>
        <v/>
      </c>
      <c r="W100" s="4" t="str">
        <f>IFERROR(HLOOKUP(D100,xHesaplama!$AH$207:$BZ$222,16,0),"")</f>
        <v/>
      </c>
      <c r="X100" s="4" t="str">
        <f>IFERROR(HLOOKUP(D100,xHesaplama!$AH$224:$BZ$240,17,0),"")</f>
        <v/>
      </c>
      <c r="Y100" s="4" t="str">
        <f>IFERROR(HLOOKUP(D100,xHesaplama!$AH$242:$BZ$259,18,0),"")</f>
        <v/>
      </c>
      <c r="Z100" s="4" t="str">
        <f>IFERROR(HLOOKUP(D100,xHesaplama!$AH$261:$BZ$279,19,0),"")</f>
        <v/>
      </c>
      <c r="AA100" s="4" t="str">
        <f>IFERROR(HLOOKUP(D100,xHesaplama!$AH$281:$BZ$300,20,0),"")</f>
        <v/>
      </c>
      <c r="AB100" s="4" t="str">
        <f>IFERROR(HLOOKUP(D100,xHesaplama!$AH$302:$BZ$322,21,0),"")</f>
        <v/>
      </c>
    </row>
    <row r="101" spans="4:28" ht="26.25">
      <c r="D101" s="61" t="s">
        <v>771</v>
      </c>
      <c r="E101" s="3" t="str">
        <f>'x Malzemeler ve Özellikleri'!S94</f>
        <v>MT</v>
      </c>
      <c r="F101" t="s">
        <v>982</v>
      </c>
      <c r="G101" s="9" t="str">
        <f>VLOOKUP(D101,'x Malzemeler ve Özellikleri'!$O$2:$P$136,2,0)</f>
        <v>BP.422</v>
      </c>
      <c r="H101" s="63">
        <f>VLOOKUP(D101,'x Malzemeler ve Özellikleri'!$O$2:$R$136,4,0)</f>
        <v>0.75</v>
      </c>
      <c r="I101" s="4" t="str">
        <f>IFERROR(HLOOKUP(D101,xHesaplama!$AH$74:$BZ$75,2,0),"")</f>
        <v/>
      </c>
      <c r="J101" s="4" t="str">
        <f>IFERROR(HLOOKUP(D101,xHesaplama!$AG$77:$BZ$79,3,0),"")</f>
        <v/>
      </c>
      <c r="K101" s="4" t="str">
        <f>IFERROR(HLOOKUP(D101,xHesaplama!$AG$81:$BZ$84,4,0),"")</f>
        <v/>
      </c>
      <c r="L101" s="4" t="str">
        <f>IFERROR(HLOOKUP(D101,xHesaplama!$AG$86:$BZ$90,5,0),"")</f>
        <v/>
      </c>
      <c r="M101" s="4" t="str">
        <f>IFERROR(HLOOKUP(D101,xHesaplama!$AG$92:$BZ$97,6,0),"")</f>
        <v/>
      </c>
      <c r="N101" s="4" t="str">
        <f>IFERROR(HLOOKUP(D101,xHesaplama!$AG$99:$BZ$105,7,0),"")</f>
        <v/>
      </c>
      <c r="O101" s="4" t="str">
        <f>IFERROR(HLOOKUP(D101,xHesaplama!$AG$107:$BZ$114,8,0),"")</f>
        <v/>
      </c>
      <c r="P101" s="4" t="str">
        <f>IFERROR(HLOOKUP(D101,xHesaplama!$AG$116:$BZ$124,9,0),"")</f>
        <v/>
      </c>
      <c r="Q101" s="4" t="str">
        <f>IFERROR(HLOOKUP(D101,xHesaplama!$AG$126:$BZ$135,10,0),"")</f>
        <v/>
      </c>
      <c r="R101" s="4" t="str">
        <f>IFERROR(HLOOKUP(D101,xHesaplama!$AG$137:$BZ$147,11,0),"")</f>
        <v/>
      </c>
      <c r="S101" s="4" t="str">
        <f>IFERROR(HLOOKUP(D101,xHesaplama!$AH$149:$BZ$160,12,0),"")</f>
        <v/>
      </c>
      <c r="T101" s="4" t="str">
        <f>IFERROR(HLOOKUP(D101,xHesaplama!$AH$162:$BZ$174,13,0),"")</f>
        <v/>
      </c>
      <c r="U101" s="4" t="str">
        <f>IFERROR(HLOOKUP(D101,xHesaplama!$AH$176:$BZ$189,14,0),"")</f>
        <v/>
      </c>
      <c r="V101" s="4" t="str">
        <f>IFERROR(HLOOKUP(D101,xHesaplama!$AH$191:$BZ$205,15,0),"")</f>
        <v/>
      </c>
      <c r="W101" s="4" t="str">
        <f>IFERROR(HLOOKUP(D101,xHesaplama!$AH$207:$BZ$222,16,0),"")</f>
        <v/>
      </c>
      <c r="X101" s="4" t="str">
        <f>IFERROR(HLOOKUP(D101,xHesaplama!$AH$224:$BZ$240,17,0),"")</f>
        <v/>
      </c>
      <c r="Y101" s="4" t="str">
        <f>IFERROR(HLOOKUP(D101,xHesaplama!$AH$242:$BZ$259,18,0),"")</f>
        <v/>
      </c>
      <c r="Z101" s="4" t="str">
        <f>IFERROR(HLOOKUP(D101,xHesaplama!$AH$261:$BZ$279,19,0),"")</f>
        <v/>
      </c>
      <c r="AA101" s="4" t="str">
        <f>IFERROR(HLOOKUP(D101,xHesaplama!$AH$281:$BZ$300,20,0),"")</f>
        <v/>
      </c>
      <c r="AB101" s="4" t="str">
        <f>IFERROR(HLOOKUP(D101,xHesaplama!$AH$302:$BZ$322,21,0),"")</f>
        <v/>
      </c>
    </row>
    <row r="102" spans="4:28" ht="26.25">
      <c r="D102" s="61" t="s">
        <v>772</v>
      </c>
      <c r="E102" s="3" t="str">
        <f>'x Malzemeler ve Özellikleri'!S95</f>
        <v>TAKIM</v>
      </c>
      <c r="F102" t="s">
        <v>11</v>
      </c>
      <c r="G102" s="9" t="str">
        <f>VLOOKUP(D102,'x Malzemeler ve Özellikleri'!$O$2:$P$136,2,0)</f>
        <v>VİDA4</v>
      </c>
      <c r="H102" s="63">
        <f>VLOOKUP(D102,'x Malzemeler ve Özellikleri'!$O$2:$R$136,4,0)</f>
        <v>1</v>
      </c>
      <c r="I102" s="4" t="str">
        <f>IFERROR(HLOOKUP(D102,xHesaplama!$AH$74:$BZ$75,2,0),"")</f>
        <v/>
      </c>
      <c r="J102" s="4" t="str">
        <f>IFERROR(HLOOKUP(D102,xHesaplama!$AG$77:$BZ$79,3,0),"")</f>
        <v/>
      </c>
      <c r="K102" s="4" t="str">
        <f>IFERROR(HLOOKUP(D102,xHesaplama!$AG$81:$BZ$84,4,0),"")</f>
        <v/>
      </c>
      <c r="L102" s="4" t="str">
        <f>IFERROR(HLOOKUP(D102,xHesaplama!$AG$86:$BZ$90,5,0),"")</f>
        <v/>
      </c>
      <c r="M102" s="4" t="str">
        <f>IFERROR(HLOOKUP(D102,xHesaplama!$AG$92:$BZ$97,6,0),"")</f>
        <v/>
      </c>
      <c r="N102" s="4" t="str">
        <f>IFERROR(HLOOKUP(D102,xHesaplama!$AG$99:$BZ$105,7,0),"")</f>
        <v/>
      </c>
      <c r="O102" s="4" t="str">
        <f>IFERROR(HLOOKUP(D102,xHesaplama!$AG$107:$BZ$114,8,0),"")</f>
        <v/>
      </c>
      <c r="P102" s="4" t="str">
        <f>IFERROR(HLOOKUP(D102,xHesaplama!$AG$116:$BZ$124,9,0),"")</f>
        <v/>
      </c>
      <c r="Q102" s="4" t="str">
        <f>IFERROR(HLOOKUP(D102,xHesaplama!$AG$126:$BZ$135,10,0),"")</f>
        <v/>
      </c>
      <c r="R102" s="4" t="str">
        <f>IFERROR(HLOOKUP(D102,xHesaplama!$AG$137:$BZ$147,11,0),"")</f>
        <v/>
      </c>
      <c r="S102" s="4" t="str">
        <f>IFERROR(HLOOKUP(D102,xHesaplama!$AH$149:$BZ$160,12,0),"")</f>
        <v/>
      </c>
      <c r="T102" s="4" t="str">
        <f>IFERROR(HLOOKUP(D102,xHesaplama!$AH$162:$BZ$174,13,0),"")</f>
        <v/>
      </c>
      <c r="U102" s="4" t="str">
        <f>IFERROR(HLOOKUP(D102,xHesaplama!$AH$176:$BZ$189,14,0),"")</f>
        <v/>
      </c>
      <c r="V102" s="4" t="str">
        <f>IFERROR(HLOOKUP(D102,xHesaplama!$AH$191:$BZ$205,15,0),"")</f>
        <v/>
      </c>
      <c r="W102" s="4" t="str">
        <f>IFERROR(HLOOKUP(D102,xHesaplama!$AH$207:$BZ$222,16,0),"")</f>
        <v/>
      </c>
      <c r="X102" s="4" t="str">
        <f>IFERROR(HLOOKUP(D102,xHesaplama!$AH$224:$BZ$240,17,0),"")</f>
        <v/>
      </c>
      <c r="Y102" s="4" t="str">
        <f>IFERROR(HLOOKUP(D102,xHesaplama!$AH$242:$BZ$259,18,0),"")</f>
        <v/>
      </c>
      <c r="Z102" s="4" t="str">
        <f>IFERROR(HLOOKUP(D102,xHesaplama!$AH$261:$BZ$279,19,0),"")</f>
        <v/>
      </c>
      <c r="AA102" s="4" t="str">
        <f>IFERROR(HLOOKUP(D102,xHesaplama!$AH$281:$BZ$300,20,0),"")</f>
        <v/>
      </c>
      <c r="AB102" s="4" t="str">
        <f>IFERROR(HLOOKUP(D102,xHesaplama!$AH$302:$BZ$322,21,0),"")</f>
        <v/>
      </c>
    </row>
    <row r="103" spans="4:28" ht="78.75">
      <c r="D103" s="61" t="s">
        <v>773</v>
      </c>
      <c r="E103" s="3" t="str">
        <f>'x Malzemeler ve Özellikleri'!S96</f>
        <v>MT</v>
      </c>
      <c r="F103" t="s">
        <v>66</v>
      </c>
      <c r="G103" s="9" t="str">
        <f>VLOOKUP(D103,'x Malzemeler ve Özellikleri'!$O$2:$P$136,2,0)</f>
        <v>ALT PARÇA KIL FİTİL 48*10</v>
      </c>
      <c r="H103" s="63">
        <f>VLOOKUP(D103,'x Malzemeler ve Özellikleri'!$O$2:$R$136,4,0)</f>
        <v>5.0905511811023624E-2</v>
      </c>
      <c r="I103" s="4" t="str">
        <f>IFERROR(HLOOKUP(D103,xHesaplama!$AH$74:$BZ$75,2,0),"")</f>
        <v/>
      </c>
      <c r="J103" s="4" t="str">
        <f>IFERROR(HLOOKUP(D103,xHesaplama!$AG$77:$BZ$79,3,0),"")</f>
        <v/>
      </c>
      <c r="K103" s="4" t="str">
        <f>IFERROR(HLOOKUP(D103,xHesaplama!$AG$81:$BZ$84,4,0),"")</f>
        <v/>
      </c>
      <c r="L103" s="4" t="str">
        <f>IFERROR(HLOOKUP(D103,xHesaplama!$AG$86:$BZ$90,5,0),"")</f>
        <v/>
      </c>
      <c r="M103" s="4" t="str">
        <f>IFERROR(HLOOKUP(D103,xHesaplama!$AG$92:$BZ$97,6,0),"")</f>
        <v/>
      </c>
      <c r="N103" s="4" t="str">
        <f>IFERROR(HLOOKUP(D103,xHesaplama!$AG$99:$BZ$105,7,0),"")</f>
        <v/>
      </c>
      <c r="O103" s="4" t="str">
        <f>IFERROR(HLOOKUP(D103,xHesaplama!$AG$107:$BZ$114,8,0),"")</f>
        <v/>
      </c>
      <c r="P103" s="4" t="str">
        <f>IFERROR(HLOOKUP(D103,xHesaplama!$AG$116:$BZ$124,9,0),"")</f>
        <v/>
      </c>
      <c r="Q103" s="4" t="str">
        <f>IFERROR(HLOOKUP(D103,xHesaplama!$AG$126:$BZ$135,10,0),"")</f>
        <v/>
      </c>
      <c r="R103" s="4" t="str">
        <f>IFERROR(HLOOKUP(D103,xHesaplama!$AG$137:$BZ$147,11,0),"")</f>
        <v/>
      </c>
      <c r="S103" s="4" t="str">
        <f>IFERROR(HLOOKUP(D103,xHesaplama!$AH$149:$BZ$160,12,0),"")</f>
        <v/>
      </c>
      <c r="T103" s="4" t="str">
        <f>IFERROR(HLOOKUP(D103,xHesaplama!$AH$162:$BZ$174,13,0),"")</f>
        <v/>
      </c>
      <c r="U103" s="4" t="str">
        <f>IFERROR(HLOOKUP(D103,xHesaplama!$AH$176:$BZ$189,14,0),"")</f>
        <v/>
      </c>
      <c r="V103" s="4" t="str">
        <f>IFERROR(HLOOKUP(D103,xHesaplama!$AH$191:$BZ$205,15,0),"")</f>
        <v/>
      </c>
      <c r="W103" s="4" t="str">
        <f>IFERROR(HLOOKUP(D103,xHesaplama!$AH$207:$BZ$222,16,0),"")</f>
        <v/>
      </c>
      <c r="X103" s="4" t="str">
        <f>IFERROR(HLOOKUP(D103,xHesaplama!$AH$224:$BZ$240,17,0),"")</f>
        <v/>
      </c>
      <c r="Y103" s="4" t="str">
        <f>IFERROR(HLOOKUP(D103,xHesaplama!$AH$242:$BZ$259,18,0),"")</f>
        <v/>
      </c>
      <c r="Z103" s="4" t="str">
        <f>IFERROR(HLOOKUP(D103,xHesaplama!$AH$261:$BZ$279,19,0),"")</f>
        <v/>
      </c>
      <c r="AA103" s="4" t="str">
        <f>IFERROR(HLOOKUP(D103,xHesaplama!$AH$281:$BZ$300,20,0),"")</f>
        <v/>
      </c>
      <c r="AB103" s="4" t="str">
        <f>IFERROR(HLOOKUP(D103,xHesaplama!$AH$302:$BZ$322,21,0),"")</f>
        <v/>
      </c>
    </row>
    <row r="104" spans="4:28" ht="26.25">
      <c r="D104" s="61" t="s">
        <v>774</v>
      </c>
      <c r="E104" s="3" t="str">
        <f>'x Malzemeler ve Özellikleri'!S97</f>
        <v>MT</v>
      </c>
      <c r="F104" t="s">
        <v>42</v>
      </c>
      <c r="G104" s="9" t="str">
        <f>VLOOKUP(D104,'x Malzemeler ve Özellikleri'!$O$2:$P$136,2,0)</f>
        <v>PVC FİTİL</v>
      </c>
      <c r="H104" s="63">
        <f>VLOOKUP(D104,'x Malzemeler ve Özellikleri'!$O$2:$R$136,4,0)</f>
        <v>7.874015748031496E-2</v>
      </c>
      <c r="I104" s="4" t="str">
        <f>IFERROR(HLOOKUP(D104,xHesaplama!$AH$74:$BZ$75,2,0),"")</f>
        <v/>
      </c>
      <c r="J104" s="4" t="str">
        <f>IFERROR(HLOOKUP(D104,xHesaplama!$AG$77:$BZ$79,3,0),"")</f>
        <v/>
      </c>
      <c r="K104" s="4" t="str">
        <f>IFERROR(HLOOKUP(D104,xHesaplama!$AG$81:$BZ$84,4,0),"")</f>
        <v/>
      </c>
      <c r="L104" s="4" t="str">
        <f>IFERROR(HLOOKUP(D104,xHesaplama!$AG$86:$BZ$90,5,0),"")</f>
        <v/>
      </c>
      <c r="M104" s="4" t="str">
        <f>IFERROR(HLOOKUP(D104,xHesaplama!$AG$92:$BZ$97,6,0),"")</f>
        <v/>
      </c>
      <c r="N104" s="4" t="str">
        <f>IFERROR(HLOOKUP(D104,xHesaplama!$AG$99:$BZ$105,7,0),"")</f>
        <v/>
      </c>
      <c r="O104" s="4" t="str">
        <f>IFERROR(HLOOKUP(D104,xHesaplama!$AG$107:$BZ$114,8,0),"")</f>
        <v/>
      </c>
      <c r="P104" s="4" t="str">
        <f>IFERROR(HLOOKUP(D104,xHesaplama!$AG$116:$BZ$124,9,0),"")</f>
        <v/>
      </c>
      <c r="Q104" s="4" t="str">
        <f>IFERROR(HLOOKUP(D104,xHesaplama!$AG$126:$BZ$135,10,0),"")</f>
        <v/>
      </c>
      <c r="R104" s="4" t="str">
        <f>IFERROR(HLOOKUP(D104,xHesaplama!$AG$137:$BZ$147,11,0),"")</f>
        <v/>
      </c>
      <c r="S104" s="4" t="str">
        <f>IFERROR(HLOOKUP(D104,xHesaplama!$AH$149:$BZ$160,12,0),"")</f>
        <v/>
      </c>
      <c r="T104" s="4" t="str">
        <f>IFERROR(HLOOKUP(D104,xHesaplama!$AH$162:$BZ$174,13,0),"")</f>
        <v/>
      </c>
      <c r="U104" s="4" t="str">
        <f>IFERROR(HLOOKUP(D104,xHesaplama!$AH$176:$BZ$189,14,0),"")</f>
        <v/>
      </c>
      <c r="V104" s="4" t="str">
        <f>IFERROR(HLOOKUP(D104,xHesaplama!$AH$191:$BZ$205,15,0),"")</f>
        <v/>
      </c>
      <c r="W104" s="4" t="str">
        <f>IFERROR(HLOOKUP(D104,xHesaplama!$AH$207:$BZ$222,16,0),"")</f>
        <v/>
      </c>
      <c r="X104" s="4" t="str">
        <f>IFERROR(HLOOKUP(D104,xHesaplama!$AH$224:$BZ$240,17,0),"")</f>
        <v/>
      </c>
      <c r="Y104" s="4" t="str">
        <f>IFERROR(HLOOKUP(D104,xHesaplama!$AH$242:$BZ$259,18,0),"")</f>
        <v/>
      </c>
      <c r="Z104" s="4" t="str">
        <f>IFERROR(HLOOKUP(D104,xHesaplama!$AH$261:$BZ$279,19,0),"")</f>
        <v/>
      </c>
      <c r="AA104" s="4" t="str">
        <f>IFERROR(HLOOKUP(D104,xHesaplama!$AH$281:$BZ$300,20,0),"")</f>
        <v/>
      </c>
      <c r="AB104" s="4" t="str">
        <f>IFERROR(HLOOKUP(D104,xHesaplama!$AH$302:$BZ$322,21,0),"")</f>
        <v/>
      </c>
    </row>
    <row r="105" spans="4:28" ht="26.25">
      <c r="D105" s="61" t="s">
        <v>718</v>
      </c>
      <c r="E105" s="3" t="str">
        <f>'x Malzemeler ve Özellikleri'!S98</f>
        <v>TAKIM</v>
      </c>
      <c r="F105" t="s">
        <v>30</v>
      </c>
      <c r="G105" s="9" t="str">
        <f>VLOOKUP(D105,'x Malzemeler ve Özellikleri'!$O$2:$P$136,2,0)</f>
        <v>9108-P110</v>
      </c>
      <c r="H105" s="63">
        <f>VLOOKUP(D105,'x Malzemeler ve Özellikleri'!$O$2:$R$136,4,0)</f>
        <v>5.2</v>
      </c>
      <c r="I105" s="4" t="str">
        <f>IFERROR(HLOOKUP(D105,xHesaplama!$AH$74:$BZ$75,2,0),"")</f>
        <v/>
      </c>
      <c r="J105" s="4" t="str">
        <f>IFERROR(HLOOKUP(D105,xHesaplama!$AG$77:$BZ$79,3,0),"")</f>
        <v/>
      </c>
      <c r="K105" s="4" t="str">
        <f>IFERROR(HLOOKUP(D105,xHesaplama!$AG$81:$BZ$84,4,0),"")</f>
        <v/>
      </c>
      <c r="L105" s="4" t="str">
        <f>IFERROR(HLOOKUP(D105,xHesaplama!$AG$86:$BZ$90,5,0),"")</f>
        <v/>
      </c>
      <c r="M105" s="4" t="str">
        <f>IFERROR(HLOOKUP(D105,xHesaplama!$AG$92:$BZ$97,6,0),"")</f>
        <v/>
      </c>
      <c r="N105" s="4" t="str">
        <f>IFERROR(HLOOKUP(D105,xHesaplama!$AG$99:$BZ$105,7,0),"")</f>
        <v/>
      </c>
      <c r="O105" s="4" t="str">
        <f>IFERROR(HLOOKUP(D105,xHesaplama!$AG$107:$BZ$114,8,0),"")</f>
        <v/>
      </c>
      <c r="P105" s="4" t="str">
        <f>IFERROR(HLOOKUP(D105,xHesaplama!$AG$116:$BZ$124,9,0),"")</f>
        <v/>
      </c>
      <c r="Q105" s="4" t="str">
        <f>IFERROR(HLOOKUP(D105,xHesaplama!$AG$126:$BZ$135,10,0),"")</f>
        <v/>
      </c>
      <c r="R105" s="4" t="str">
        <f>IFERROR(HLOOKUP(D105,xHesaplama!$AG$137:$BZ$147,11,0),"")</f>
        <v/>
      </c>
      <c r="S105" s="4" t="str">
        <f>IFERROR(HLOOKUP(D105,xHesaplama!$AH$149:$BZ$160,12,0),"")</f>
        <v/>
      </c>
      <c r="T105" s="4" t="str">
        <f>IFERROR(HLOOKUP(D105,xHesaplama!$AH$162:$BZ$174,13,0),"")</f>
        <v/>
      </c>
      <c r="U105" s="4" t="str">
        <f>IFERROR(HLOOKUP(D105,xHesaplama!$AH$176:$BZ$189,14,0),"")</f>
        <v/>
      </c>
      <c r="V105" s="4" t="str">
        <f>IFERROR(HLOOKUP(D105,xHesaplama!$AH$191:$BZ$205,15,0),"")</f>
        <v/>
      </c>
      <c r="W105" s="4" t="str">
        <f>IFERROR(HLOOKUP(D105,xHesaplama!$AH$207:$BZ$222,16,0),"")</f>
        <v/>
      </c>
      <c r="X105" s="4" t="str">
        <f>IFERROR(HLOOKUP(D105,xHesaplama!$AH$224:$BZ$240,17,0),"")</f>
        <v/>
      </c>
      <c r="Y105" s="4" t="str">
        <f>IFERROR(HLOOKUP(D105,xHesaplama!$AH$242:$BZ$259,18,0),"")</f>
        <v/>
      </c>
      <c r="Z105" s="4" t="str">
        <f>IFERROR(HLOOKUP(D105,xHesaplama!$AH$261:$BZ$279,19,0),"")</f>
        <v/>
      </c>
      <c r="AA105" s="4" t="str">
        <f>IFERROR(HLOOKUP(D105,xHesaplama!$AH$281:$BZ$300,20,0),"")</f>
        <v/>
      </c>
      <c r="AB105" s="4" t="str">
        <f>IFERROR(HLOOKUP(D105,xHesaplama!$AH$302:$BZ$322,21,0),"")</f>
        <v/>
      </c>
    </row>
    <row r="106" spans="4:28" ht="52.5">
      <c r="D106" s="61" t="s">
        <v>719</v>
      </c>
      <c r="E106" s="3" t="str">
        <f>'x Malzemeler ve Özellikleri'!S99</f>
        <v>ADET</v>
      </c>
      <c r="F106" t="s">
        <v>35</v>
      </c>
      <c r="G106" s="9" t="str">
        <f>VLOOKUP(D106,'x Malzemeler ve Özellikleri'!$O$2:$P$136,2,0)</f>
        <v>MNS.P1.028</v>
      </c>
      <c r="H106" s="63">
        <f>VLOOKUP(D106,'x Malzemeler ve Özellikleri'!$O$2:$R$136,4,0)</f>
        <v>1.43</v>
      </c>
      <c r="I106" s="4" t="str">
        <f>IFERROR(HLOOKUP(D106,xHesaplama!$AH$74:$BZ$75,2,0),"")</f>
        <v/>
      </c>
      <c r="J106" s="4" t="str">
        <f>IFERROR(HLOOKUP(D106,xHesaplama!$AG$77:$BZ$79,3,0),"")</f>
        <v/>
      </c>
      <c r="K106" s="4" t="str">
        <f>IFERROR(HLOOKUP(D106,xHesaplama!$AG$81:$BZ$84,4,0),"")</f>
        <v/>
      </c>
      <c r="L106" s="4" t="str">
        <f>IFERROR(HLOOKUP(D106,xHesaplama!$AG$86:$BZ$90,5,0),"")</f>
        <v/>
      </c>
      <c r="M106" s="4" t="str">
        <f>IFERROR(HLOOKUP(D106,xHesaplama!$AG$92:$BZ$97,6,0),"")</f>
        <v/>
      </c>
      <c r="N106" s="4" t="str">
        <f>IFERROR(HLOOKUP(D106,xHesaplama!$AG$99:$BZ$105,7,0),"")</f>
        <v/>
      </c>
      <c r="O106" s="4" t="str">
        <f>IFERROR(HLOOKUP(D106,xHesaplama!$AG$107:$BZ$114,8,0),"")</f>
        <v/>
      </c>
      <c r="P106" s="4" t="str">
        <f>IFERROR(HLOOKUP(D106,xHesaplama!$AG$116:$BZ$124,9,0),"")</f>
        <v/>
      </c>
      <c r="Q106" s="4" t="str">
        <f>IFERROR(HLOOKUP(D106,xHesaplama!$AG$126:$BZ$135,10,0),"")</f>
        <v/>
      </c>
      <c r="R106" s="4" t="str">
        <f>IFERROR(HLOOKUP(D106,xHesaplama!$AG$137:$BZ$147,11,0),"")</f>
        <v/>
      </c>
      <c r="S106" s="4" t="str">
        <f>IFERROR(HLOOKUP(D106,xHesaplama!$AH$149:$BZ$160,12,0),"")</f>
        <v/>
      </c>
      <c r="T106" s="4" t="str">
        <f>IFERROR(HLOOKUP(D106,xHesaplama!$AH$162:$BZ$174,13,0),"")</f>
        <v/>
      </c>
      <c r="U106" s="4" t="str">
        <f>IFERROR(HLOOKUP(D106,xHesaplama!$AH$176:$BZ$189,14,0),"")</f>
        <v/>
      </c>
      <c r="V106" s="4" t="str">
        <f>IFERROR(HLOOKUP(D106,xHesaplama!$AH$191:$BZ$205,15,0),"")</f>
        <v/>
      </c>
      <c r="W106" s="4" t="str">
        <f>IFERROR(HLOOKUP(D106,xHesaplama!$AH$207:$BZ$222,16,0),"")</f>
        <v/>
      </c>
      <c r="X106" s="4" t="str">
        <f>IFERROR(HLOOKUP(D106,xHesaplama!$AH$224:$BZ$240,17,0),"")</f>
        <v/>
      </c>
      <c r="Y106" s="4" t="str">
        <f>IFERROR(HLOOKUP(D106,xHesaplama!$AH$242:$BZ$259,18,0),"")</f>
        <v/>
      </c>
      <c r="Z106" s="4" t="str">
        <f>IFERROR(HLOOKUP(D106,xHesaplama!$AH$261:$BZ$279,19,0),"")</f>
        <v/>
      </c>
      <c r="AA106" s="4" t="str">
        <f>IFERROR(HLOOKUP(D106,xHesaplama!$AH$281:$BZ$300,20,0),"")</f>
        <v/>
      </c>
      <c r="AB106" s="4" t="str">
        <f>IFERROR(HLOOKUP(D106,xHesaplama!$AH$302:$BZ$322,21,0),"")</f>
        <v/>
      </c>
    </row>
    <row r="107" spans="4:28" ht="26.25">
      <c r="D107" s="61" t="s">
        <v>720</v>
      </c>
      <c r="E107" s="3" t="str">
        <f>'x Malzemeler ve Özellikleri'!S100</f>
        <v>ADET</v>
      </c>
      <c r="F107" t="s">
        <v>7</v>
      </c>
      <c r="G107" s="9" t="str">
        <f>VLOOKUP(D107,'x Malzemeler ve Özellikleri'!$O$2:$P$136,2,0)</f>
        <v>KFL 001</v>
      </c>
      <c r="H107" s="63">
        <f>VLOOKUP(D107,'x Malzemeler ve Özellikleri'!$O$2:$R$136,4,0)</f>
        <v>1.0181102362204726</v>
      </c>
      <c r="I107" s="4" t="str">
        <f>IFERROR(HLOOKUP(D107,xHesaplama!$AH$74:$BZ$75,2,0),"")</f>
        <v/>
      </c>
      <c r="J107" s="4" t="str">
        <f>IFERROR(HLOOKUP(D107,xHesaplama!$AG$77:$BZ$79,3,0),"")</f>
        <v/>
      </c>
      <c r="K107" s="4" t="str">
        <f>IFERROR(HLOOKUP(D107,xHesaplama!$AG$81:$BZ$84,4,0),"")</f>
        <v/>
      </c>
      <c r="L107" s="4" t="str">
        <f>IFERROR(HLOOKUP(D107,xHesaplama!$AG$86:$BZ$90,5,0),"")</f>
        <v/>
      </c>
      <c r="M107" s="4" t="str">
        <f>IFERROR(HLOOKUP(D107,xHesaplama!$AG$92:$BZ$97,6,0),"")</f>
        <v/>
      </c>
      <c r="N107" s="4" t="str">
        <f>IFERROR(HLOOKUP(D107,xHesaplama!$AG$99:$BZ$105,7,0),"")</f>
        <v/>
      </c>
      <c r="O107" s="4" t="str">
        <f>IFERROR(HLOOKUP(D107,xHesaplama!$AG$107:$BZ$114,8,0),"")</f>
        <v/>
      </c>
      <c r="P107" s="4" t="str">
        <f>IFERROR(HLOOKUP(D107,xHesaplama!$AG$116:$BZ$124,9,0),"")</f>
        <v/>
      </c>
      <c r="Q107" s="4" t="str">
        <f>IFERROR(HLOOKUP(D107,xHesaplama!$AG$126:$BZ$135,10,0),"")</f>
        <v/>
      </c>
      <c r="R107" s="4" t="str">
        <f>IFERROR(HLOOKUP(D107,xHesaplama!$AG$137:$BZ$147,11,0),"")</f>
        <v/>
      </c>
      <c r="S107" s="4" t="str">
        <f>IFERROR(HLOOKUP(D107,xHesaplama!$AH$149:$BZ$160,12,0),"")</f>
        <v/>
      </c>
      <c r="T107" s="4" t="str">
        <f>IFERROR(HLOOKUP(D107,xHesaplama!$AH$162:$BZ$174,13,0),"")</f>
        <v/>
      </c>
      <c r="U107" s="4" t="str">
        <f>IFERROR(HLOOKUP(D107,xHesaplama!$AH$176:$BZ$189,14,0),"")</f>
        <v/>
      </c>
      <c r="V107" s="4" t="str">
        <f>IFERROR(HLOOKUP(D107,xHesaplama!$AH$191:$BZ$205,15,0),"")</f>
        <v/>
      </c>
      <c r="W107" s="4" t="str">
        <f>IFERROR(HLOOKUP(D107,xHesaplama!$AH$207:$BZ$222,16,0),"")</f>
        <v/>
      </c>
      <c r="X107" s="4" t="str">
        <f>IFERROR(HLOOKUP(D107,xHesaplama!$AH$224:$BZ$240,17,0),"")</f>
        <v/>
      </c>
      <c r="Y107" s="4" t="str">
        <f>IFERROR(HLOOKUP(D107,xHesaplama!$AH$242:$BZ$259,18,0),"")</f>
        <v/>
      </c>
      <c r="Z107" s="4" t="str">
        <f>IFERROR(HLOOKUP(D107,xHesaplama!$AH$261:$BZ$279,19,0),"")</f>
        <v/>
      </c>
      <c r="AA107" s="4" t="str">
        <f>IFERROR(HLOOKUP(D107,xHesaplama!$AH$281:$BZ$300,20,0),"")</f>
        <v/>
      </c>
      <c r="AB107" s="4" t="str">
        <f>IFERROR(HLOOKUP(D107,xHesaplama!$AH$302:$BZ$322,21,0),"")</f>
        <v/>
      </c>
    </row>
    <row r="108" spans="4:28" ht="52.5">
      <c r="D108" s="61" t="s">
        <v>721</v>
      </c>
      <c r="E108" s="3" t="str">
        <f>'x Malzemeler ve Özellikleri'!S101</f>
        <v>ADET</v>
      </c>
      <c r="F108" t="s">
        <v>89</v>
      </c>
      <c r="G108" s="9" t="str">
        <f>VLOOKUP(D108,'x Malzemeler ve Özellikleri'!$O$2:$P$136,2,0)</f>
        <v>MNS.P1.009</v>
      </c>
      <c r="H108" s="63">
        <f>VLOOKUP(D108,'x Malzemeler ve Özellikleri'!$O$2:$R$136,4,0)</f>
        <v>1.35</v>
      </c>
      <c r="I108" s="4" t="str">
        <f>IFERROR(HLOOKUP(D108,xHesaplama!$AH$74:$BZ$75,2,0),"")</f>
        <v/>
      </c>
      <c r="J108" s="4" t="str">
        <f>IFERROR(HLOOKUP(D108,xHesaplama!$AG$77:$BZ$79,3,0),"")</f>
        <v/>
      </c>
      <c r="K108" s="4" t="str">
        <f>IFERROR(HLOOKUP(D108,xHesaplama!$AG$81:$BZ$84,4,0),"")</f>
        <v/>
      </c>
      <c r="L108" s="4" t="str">
        <f>IFERROR(HLOOKUP(D108,xHesaplama!$AG$86:$BZ$90,5,0),"")</f>
        <v/>
      </c>
      <c r="M108" s="4" t="str">
        <f>IFERROR(HLOOKUP(D108,xHesaplama!$AG$92:$BZ$97,6,0),"")</f>
        <v/>
      </c>
      <c r="N108" s="4" t="str">
        <f>IFERROR(HLOOKUP(D108,xHesaplama!$AG$99:$BZ$105,7,0),"")</f>
        <v/>
      </c>
      <c r="O108" s="4" t="str">
        <f>IFERROR(HLOOKUP(D108,xHesaplama!$AG$107:$BZ$114,8,0),"")</f>
        <v/>
      </c>
      <c r="P108" s="4" t="str">
        <f>IFERROR(HLOOKUP(D108,xHesaplama!$AG$116:$BZ$124,9,0),"")</f>
        <v/>
      </c>
      <c r="Q108" s="4" t="str">
        <f>IFERROR(HLOOKUP(D108,xHesaplama!$AG$126:$BZ$135,10,0),"")</f>
        <v/>
      </c>
      <c r="R108" s="4" t="str">
        <f>IFERROR(HLOOKUP(D108,xHesaplama!$AG$137:$BZ$147,11,0),"")</f>
        <v/>
      </c>
      <c r="S108" s="4" t="str">
        <f>IFERROR(HLOOKUP(D108,xHesaplama!$AH$149:$BZ$160,12,0),"")</f>
        <v/>
      </c>
      <c r="T108" s="4" t="str">
        <f>IFERROR(HLOOKUP(D108,xHesaplama!$AH$162:$BZ$174,13,0),"")</f>
        <v/>
      </c>
      <c r="U108" s="4" t="str">
        <f>IFERROR(HLOOKUP(D108,xHesaplama!$AH$176:$BZ$189,14,0),"")</f>
        <v/>
      </c>
      <c r="V108" s="4" t="str">
        <f>IFERROR(HLOOKUP(D108,xHesaplama!$AH$191:$BZ$205,15,0),"")</f>
        <v/>
      </c>
      <c r="W108" s="4" t="str">
        <f>IFERROR(HLOOKUP(D108,xHesaplama!$AH$207:$BZ$222,16,0),"")</f>
        <v/>
      </c>
      <c r="X108" s="4" t="str">
        <f>IFERROR(HLOOKUP(D108,xHesaplama!$AH$224:$BZ$240,17,0),"")</f>
        <v/>
      </c>
      <c r="Y108" s="4" t="str">
        <f>IFERROR(HLOOKUP(D108,xHesaplama!$AH$242:$BZ$259,18,0),"")</f>
        <v/>
      </c>
      <c r="Z108" s="4" t="str">
        <f>IFERROR(HLOOKUP(D108,xHesaplama!$AH$261:$BZ$279,19,0),"")</f>
        <v/>
      </c>
      <c r="AA108" s="4" t="str">
        <f>IFERROR(HLOOKUP(D108,xHesaplama!$AH$281:$BZ$300,20,0),"")</f>
        <v/>
      </c>
      <c r="AB108" s="4" t="str">
        <f>IFERROR(HLOOKUP(D108,xHesaplama!$AH$302:$BZ$322,21,0),"")</f>
        <v/>
      </c>
    </row>
    <row r="109" spans="4:28" ht="26.25">
      <c r="D109" s="61" t="s">
        <v>722</v>
      </c>
      <c r="E109" s="3" t="str">
        <f>'x Malzemeler ve Özellikleri'!S102</f>
        <v>MT</v>
      </c>
      <c r="F109" t="s">
        <v>64</v>
      </c>
      <c r="G109" s="9" t="str">
        <f>VLOOKUP(D109,'x Malzemeler ve Özellikleri'!$O$2:$P$136,2,0)</f>
        <v>PDALT01</v>
      </c>
      <c r="H109" s="63">
        <f>VLOOKUP(D109,'x Malzemeler ve Özellikleri'!$O$2:$R$136,4,0)</f>
        <v>3.7330708661417331</v>
      </c>
      <c r="I109" s="4" t="str">
        <f>IFERROR(HLOOKUP(D109,xHesaplama!$AH$74:$BZ$75,2,0),"")</f>
        <v/>
      </c>
      <c r="J109" s="4" t="str">
        <f>IFERROR(HLOOKUP(D109,xHesaplama!$AG$77:$BZ$79,3,0),"")</f>
        <v/>
      </c>
      <c r="K109" s="4" t="str">
        <f>IFERROR(HLOOKUP(D109,xHesaplama!$AG$81:$BZ$84,4,0),"")</f>
        <v/>
      </c>
      <c r="L109" s="4" t="str">
        <f>IFERROR(HLOOKUP(D109,xHesaplama!$AG$86:$BZ$90,5,0),"")</f>
        <v/>
      </c>
      <c r="M109" s="4" t="str">
        <f>IFERROR(HLOOKUP(D109,xHesaplama!$AG$92:$BZ$97,6,0),"")</f>
        <v/>
      </c>
      <c r="N109" s="4" t="str">
        <f>IFERROR(HLOOKUP(D109,xHesaplama!$AG$99:$BZ$105,7,0),"")</f>
        <v/>
      </c>
      <c r="O109" s="4" t="str">
        <f>IFERROR(HLOOKUP(D109,xHesaplama!$AG$107:$BZ$114,8,0),"")</f>
        <v/>
      </c>
      <c r="P109" s="4" t="str">
        <f>IFERROR(HLOOKUP(D109,xHesaplama!$AG$116:$BZ$124,9,0),"")</f>
        <v/>
      </c>
      <c r="Q109" s="4" t="str">
        <f>IFERROR(HLOOKUP(D109,xHesaplama!$AG$126:$BZ$135,10,0),"")</f>
        <v/>
      </c>
      <c r="R109" s="4" t="str">
        <f>IFERROR(HLOOKUP(D109,xHesaplama!$AG$137:$BZ$147,11,0),"")</f>
        <v/>
      </c>
      <c r="S109" s="4" t="str">
        <f>IFERROR(HLOOKUP(D109,xHesaplama!$AH$149:$BZ$160,12,0),"")</f>
        <v/>
      </c>
      <c r="T109" s="4" t="str">
        <f>IFERROR(HLOOKUP(D109,xHesaplama!$AH$162:$BZ$174,13,0),"")</f>
        <v/>
      </c>
      <c r="U109" s="4" t="str">
        <f>IFERROR(HLOOKUP(D109,xHesaplama!$AH$176:$BZ$189,14,0),"")</f>
        <v/>
      </c>
      <c r="V109" s="4" t="str">
        <f>IFERROR(HLOOKUP(D109,xHesaplama!$AH$191:$BZ$205,15,0),"")</f>
        <v/>
      </c>
      <c r="W109" s="4" t="str">
        <f>IFERROR(HLOOKUP(D109,xHesaplama!$AH$207:$BZ$222,16,0),"")</f>
        <v/>
      </c>
      <c r="X109" s="4" t="str">
        <f>IFERROR(HLOOKUP(D109,xHesaplama!$AH$224:$BZ$240,17,0),"")</f>
        <v/>
      </c>
      <c r="Y109" s="4" t="str">
        <f>IFERROR(HLOOKUP(D109,xHesaplama!$AH$242:$BZ$259,18,0),"")</f>
        <v/>
      </c>
      <c r="Z109" s="4" t="str">
        <f>IFERROR(HLOOKUP(D109,xHesaplama!$AH$261:$BZ$279,19,0),"")</f>
        <v/>
      </c>
      <c r="AA109" s="4" t="str">
        <f>IFERROR(HLOOKUP(D109,xHesaplama!$AH$281:$BZ$300,20,0),"")</f>
        <v/>
      </c>
      <c r="AB109" s="4" t="str">
        <f>IFERROR(HLOOKUP(D109,xHesaplama!$AH$302:$BZ$322,21,0),"")</f>
        <v/>
      </c>
    </row>
    <row r="110" spans="4:28" ht="26.25">
      <c r="D110" s="61" t="s">
        <v>723</v>
      </c>
      <c r="E110" s="3" t="str">
        <f>'x Malzemeler ve Özellikleri'!S103</f>
        <v>MT</v>
      </c>
      <c r="F110" t="s">
        <v>82</v>
      </c>
      <c r="G110" s="9" t="str">
        <f>VLOOKUP(D110,'x Malzemeler ve Özellikleri'!$O$2:$P$136,2,0)</f>
        <v>BP.431</v>
      </c>
      <c r="H110" s="63">
        <f>VLOOKUP(D110,'x Malzemeler ve Özellikleri'!$O$2:$R$136,4,0)</f>
        <v>3.8179133858267722</v>
      </c>
      <c r="I110" s="4" t="str">
        <f>IFERROR(HLOOKUP(D110,xHesaplama!$AH$74:$BZ$75,2,0),"")</f>
        <v/>
      </c>
      <c r="J110" s="4" t="str">
        <f>IFERROR(HLOOKUP(D110,xHesaplama!$AG$77:$BZ$79,3,0),"")</f>
        <v/>
      </c>
      <c r="K110" s="4" t="str">
        <f>IFERROR(HLOOKUP(D110,xHesaplama!$AG$81:$BZ$84,4,0),"")</f>
        <v/>
      </c>
      <c r="L110" s="4" t="str">
        <f>IFERROR(HLOOKUP(D110,xHesaplama!$AG$86:$BZ$90,5,0),"")</f>
        <v/>
      </c>
      <c r="M110" s="4" t="str">
        <f>IFERROR(HLOOKUP(D110,xHesaplama!$AG$92:$BZ$97,6,0),"")</f>
        <v/>
      </c>
      <c r="N110" s="4" t="str">
        <f>IFERROR(HLOOKUP(D110,xHesaplama!$AG$99:$BZ$105,7,0),"")</f>
        <v/>
      </c>
      <c r="O110" s="4" t="str">
        <f>IFERROR(HLOOKUP(D110,xHesaplama!$AG$107:$BZ$114,8,0),"")</f>
        <v/>
      </c>
      <c r="P110" s="4" t="str">
        <f>IFERROR(HLOOKUP(D110,xHesaplama!$AG$116:$BZ$124,9,0),"")</f>
        <v/>
      </c>
      <c r="Q110" s="4" t="str">
        <f>IFERROR(HLOOKUP(D110,xHesaplama!$AG$126:$BZ$135,10,0),"")</f>
        <v/>
      </c>
      <c r="R110" s="4" t="str">
        <f>IFERROR(HLOOKUP(D110,xHesaplama!$AG$137:$BZ$147,11,0),"")</f>
        <v/>
      </c>
      <c r="S110" s="4" t="str">
        <f>IFERROR(HLOOKUP(D110,xHesaplama!$AH$149:$BZ$160,12,0),"")</f>
        <v/>
      </c>
      <c r="T110" s="4" t="str">
        <f>IFERROR(HLOOKUP(D110,xHesaplama!$AH$162:$BZ$174,13,0),"")</f>
        <v/>
      </c>
      <c r="U110" s="4" t="str">
        <f>IFERROR(HLOOKUP(D110,xHesaplama!$AH$176:$BZ$189,14,0),"")</f>
        <v/>
      </c>
      <c r="V110" s="4" t="str">
        <f>IFERROR(HLOOKUP(D110,xHesaplama!$AH$191:$BZ$205,15,0),"")</f>
        <v/>
      </c>
      <c r="W110" s="4" t="str">
        <f>IFERROR(HLOOKUP(D110,xHesaplama!$AH$207:$BZ$222,16,0),"")</f>
        <v/>
      </c>
      <c r="X110" s="4" t="str">
        <f>IFERROR(HLOOKUP(D110,xHesaplama!$AH$224:$BZ$240,17,0),"")</f>
        <v/>
      </c>
      <c r="Y110" s="4" t="str">
        <f>IFERROR(HLOOKUP(D110,xHesaplama!$AH$242:$BZ$259,18,0),"")</f>
        <v/>
      </c>
      <c r="Z110" s="4" t="str">
        <f>IFERROR(HLOOKUP(D110,xHesaplama!$AH$261:$BZ$279,19,0),"")</f>
        <v/>
      </c>
      <c r="AA110" s="4" t="str">
        <f>IFERROR(HLOOKUP(D110,xHesaplama!$AH$281:$BZ$300,20,0),"")</f>
        <v/>
      </c>
      <c r="AB110" s="4" t="str">
        <f>IFERROR(HLOOKUP(D110,xHesaplama!$AH$302:$BZ$322,21,0),"")</f>
        <v/>
      </c>
    </row>
    <row r="111" spans="4:28" ht="52.5">
      <c r="D111" s="61" t="s">
        <v>724</v>
      </c>
      <c r="E111" s="3" t="str">
        <f>'x Malzemeler ve Özellikleri'!S104</f>
        <v>ADET</v>
      </c>
      <c r="F111" t="s">
        <v>68</v>
      </c>
      <c r="G111" s="9" t="str">
        <f>VLOOKUP(D111,'x Malzemeler ve Özellikleri'!$O$2:$P$136,2,0)</f>
        <v>MNS.P1.008-019</v>
      </c>
      <c r="H111" s="63">
        <f>VLOOKUP(D111,'x Malzemeler ve Özellikleri'!$O$2:$R$136,4,0)</f>
        <v>0.09</v>
      </c>
      <c r="I111" s="4" t="str">
        <f>IFERROR(HLOOKUP(D111,xHesaplama!$AH$74:$BZ$75,2,0),"")</f>
        <v/>
      </c>
      <c r="J111" s="4" t="str">
        <f>IFERROR(HLOOKUP(D111,xHesaplama!$AG$77:$BZ$79,3,0),"")</f>
        <v/>
      </c>
      <c r="K111" s="4" t="str">
        <f>IFERROR(HLOOKUP(D111,xHesaplama!$AG$81:$BZ$84,4,0),"")</f>
        <v/>
      </c>
      <c r="L111" s="4" t="str">
        <f>IFERROR(HLOOKUP(D111,xHesaplama!$AG$86:$BZ$90,5,0),"")</f>
        <v/>
      </c>
      <c r="M111" s="4" t="str">
        <f>IFERROR(HLOOKUP(D111,xHesaplama!$AG$92:$BZ$97,6,0),"")</f>
        <v/>
      </c>
      <c r="N111" s="4" t="str">
        <f>IFERROR(HLOOKUP(D111,xHesaplama!$AG$99:$BZ$105,7,0),"")</f>
        <v/>
      </c>
      <c r="O111" s="4" t="str">
        <f>IFERROR(HLOOKUP(D111,xHesaplama!$AG$107:$BZ$114,8,0),"")</f>
        <v/>
      </c>
      <c r="P111" s="4" t="str">
        <f>IFERROR(HLOOKUP(D111,xHesaplama!$AG$116:$BZ$124,9,0),"")</f>
        <v/>
      </c>
      <c r="Q111" s="4" t="str">
        <f>IFERROR(HLOOKUP(D111,xHesaplama!$AG$126:$BZ$135,10,0),"")</f>
        <v/>
      </c>
      <c r="R111" s="4" t="str">
        <f>IFERROR(HLOOKUP(D111,xHesaplama!$AG$137:$BZ$147,11,0),"")</f>
        <v/>
      </c>
      <c r="S111" s="4" t="str">
        <f>IFERROR(HLOOKUP(D111,xHesaplama!$AH$149:$BZ$160,12,0),"")</f>
        <v/>
      </c>
      <c r="T111" s="4" t="str">
        <f>IFERROR(HLOOKUP(D111,xHesaplama!$AH$162:$BZ$174,13,0),"")</f>
        <v/>
      </c>
      <c r="U111" s="4" t="str">
        <f>IFERROR(HLOOKUP(D111,xHesaplama!$AH$176:$BZ$189,14,0),"")</f>
        <v/>
      </c>
      <c r="V111" s="4" t="str">
        <f>IFERROR(HLOOKUP(D111,xHesaplama!$AH$191:$BZ$205,15,0),"")</f>
        <v/>
      </c>
      <c r="W111" s="4" t="str">
        <f>IFERROR(HLOOKUP(D111,xHesaplama!$AH$207:$BZ$222,16,0),"")</f>
        <v/>
      </c>
      <c r="X111" s="4" t="str">
        <f>IFERROR(HLOOKUP(D111,xHesaplama!$AH$224:$BZ$240,17,0),"")</f>
        <v/>
      </c>
      <c r="Y111" s="4" t="str">
        <f>IFERROR(HLOOKUP(D111,xHesaplama!$AH$242:$BZ$259,18,0),"")</f>
        <v/>
      </c>
      <c r="Z111" s="4" t="str">
        <f>IFERROR(HLOOKUP(D111,xHesaplama!$AH$261:$BZ$279,19,0),"")</f>
        <v/>
      </c>
      <c r="AA111" s="4" t="str">
        <f>IFERROR(HLOOKUP(D111,xHesaplama!$AH$281:$BZ$300,20,0),"")</f>
        <v/>
      </c>
      <c r="AB111" s="4" t="str">
        <f>IFERROR(HLOOKUP(D111,xHesaplama!$AH$302:$BZ$322,21,0),"")</f>
        <v/>
      </c>
    </row>
    <row r="112" spans="4:28" ht="26.25">
      <c r="D112" s="61" t="s">
        <v>725</v>
      </c>
      <c r="E112" s="3" t="str">
        <f>'x Malzemeler ve Özellikleri'!S105</f>
        <v>MT</v>
      </c>
      <c r="F112" t="s">
        <v>70</v>
      </c>
      <c r="G112" s="9" t="str">
        <f>VLOOKUP(D112,'x Malzemeler ve Özellikleri'!$O$2:$P$136,2,0)</f>
        <v>PDDK03</v>
      </c>
      <c r="H112" s="63">
        <f>VLOOKUP(D112,'x Malzemeler ve Özellikleri'!$O$2:$R$136,4,0)</f>
        <v>2.9864566929133867</v>
      </c>
      <c r="I112" s="4" t="str">
        <f>IFERROR(HLOOKUP(D112,xHesaplama!$AH$74:$BZ$75,2,0),"")</f>
        <v/>
      </c>
      <c r="J112" s="4" t="str">
        <f>IFERROR(HLOOKUP(D112,xHesaplama!$AG$77:$BZ$79,3,0),"")</f>
        <v/>
      </c>
      <c r="K112" s="4" t="str">
        <f>IFERROR(HLOOKUP(D112,xHesaplama!$AG$81:$BZ$84,4,0),"")</f>
        <v/>
      </c>
      <c r="L112" s="4" t="str">
        <f>IFERROR(HLOOKUP(D112,xHesaplama!$AG$86:$BZ$90,5,0),"")</f>
        <v/>
      </c>
      <c r="M112" s="4" t="str">
        <f>IFERROR(HLOOKUP(D112,xHesaplama!$AG$92:$BZ$97,6,0),"")</f>
        <v/>
      </c>
      <c r="N112" s="4" t="str">
        <f>IFERROR(HLOOKUP(D112,xHesaplama!$AG$99:$BZ$105,7,0),"")</f>
        <v/>
      </c>
      <c r="O112" s="4" t="str">
        <f>IFERROR(HLOOKUP(D112,xHesaplama!$AG$107:$BZ$114,8,0),"")</f>
        <v/>
      </c>
      <c r="P112" s="4" t="str">
        <f>IFERROR(HLOOKUP(D112,xHesaplama!$AG$116:$BZ$124,9,0),"")</f>
        <v/>
      </c>
      <c r="Q112" s="4" t="str">
        <f>IFERROR(HLOOKUP(D112,xHesaplama!$AG$126:$BZ$135,10,0),"")</f>
        <v/>
      </c>
      <c r="R112" s="4" t="str">
        <f>IFERROR(HLOOKUP(D112,xHesaplama!$AG$137:$BZ$147,11,0),"")</f>
        <v/>
      </c>
      <c r="S112" s="4" t="str">
        <f>IFERROR(HLOOKUP(D112,xHesaplama!$AH$149:$BZ$160,12,0),"")</f>
        <v/>
      </c>
      <c r="T112" s="4" t="str">
        <f>IFERROR(HLOOKUP(D112,xHesaplama!$AH$162:$BZ$174,13,0),"")</f>
        <v/>
      </c>
      <c r="U112" s="4" t="str">
        <f>IFERROR(HLOOKUP(D112,xHesaplama!$AH$176:$BZ$189,14,0),"")</f>
        <v/>
      </c>
      <c r="V112" s="4" t="str">
        <f>IFERROR(HLOOKUP(D112,xHesaplama!$AH$191:$BZ$205,15,0),"")</f>
        <v/>
      </c>
      <c r="W112" s="4" t="str">
        <f>IFERROR(HLOOKUP(D112,xHesaplama!$AH$207:$BZ$222,16,0),"")</f>
        <v/>
      </c>
      <c r="X112" s="4" t="str">
        <f>IFERROR(HLOOKUP(D112,xHesaplama!$AH$224:$BZ$240,17,0),"")</f>
        <v/>
      </c>
      <c r="Y112" s="4" t="str">
        <f>IFERROR(HLOOKUP(D112,xHesaplama!$AH$242:$BZ$259,18,0),"")</f>
        <v/>
      </c>
      <c r="Z112" s="4" t="str">
        <f>IFERROR(HLOOKUP(D112,xHesaplama!$AH$261:$BZ$279,19,0),"")</f>
        <v/>
      </c>
      <c r="AA112" s="4" t="str">
        <f>IFERROR(HLOOKUP(D112,xHesaplama!$AH$281:$BZ$300,20,0),"")</f>
        <v/>
      </c>
      <c r="AB112" s="4" t="str">
        <f>IFERROR(HLOOKUP(D112,xHesaplama!$AH$302:$BZ$322,21,0),"")</f>
        <v/>
      </c>
    </row>
    <row r="113" spans="4:28" ht="26.25">
      <c r="D113" s="61" t="s">
        <v>726</v>
      </c>
      <c r="E113" s="3" t="str">
        <f>'x Malzemeler ve Özellikleri'!S106</f>
        <v>MT</v>
      </c>
      <c r="F113" t="s">
        <v>72</v>
      </c>
      <c r="G113" s="9" t="str">
        <f>VLOOKUP(D113,'x Malzemeler ve Özellikleri'!$O$2:$P$136,2,0)</f>
        <v>PDDK01</v>
      </c>
      <c r="H113" s="63">
        <f>VLOOKUP(D113,'x Malzemeler ve Özellikleri'!$O$2:$R$136,4,0)</f>
        <v>1.8665354330708666</v>
      </c>
      <c r="I113" s="4" t="str">
        <f>IFERROR(HLOOKUP(D113,xHesaplama!$AH$74:$BZ$75,2,0),"")</f>
        <v/>
      </c>
      <c r="J113" s="4" t="str">
        <f>IFERROR(HLOOKUP(D113,xHesaplama!$AG$77:$BZ$79,3,0),"")</f>
        <v/>
      </c>
      <c r="K113" s="4" t="str">
        <f>IFERROR(HLOOKUP(D113,xHesaplama!$AG$81:$BZ$84,4,0),"")</f>
        <v/>
      </c>
      <c r="L113" s="4" t="str">
        <f>IFERROR(HLOOKUP(D113,xHesaplama!$AG$86:$BZ$90,5,0),"")</f>
        <v/>
      </c>
      <c r="M113" s="4" t="str">
        <f>IFERROR(HLOOKUP(D113,xHesaplama!$AG$92:$BZ$97,6,0),"")</f>
        <v/>
      </c>
      <c r="N113" s="4" t="str">
        <f>IFERROR(HLOOKUP(D113,xHesaplama!$AG$99:$BZ$105,7,0),"")</f>
        <v/>
      </c>
      <c r="O113" s="4" t="str">
        <f>IFERROR(HLOOKUP(D113,xHesaplama!$AG$107:$BZ$114,8,0),"")</f>
        <v/>
      </c>
      <c r="P113" s="4" t="str">
        <f>IFERROR(HLOOKUP(D113,xHesaplama!$AG$116:$BZ$124,9,0),"")</f>
        <v/>
      </c>
      <c r="Q113" s="4" t="str">
        <f>IFERROR(HLOOKUP(D113,xHesaplama!$AG$126:$BZ$135,10,0),"")</f>
        <v/>
      </c>
      <c r="R113" s="4" t="str">
        <f>IFERROR(HLOOKUP(D113,xHesaplama!$AG$137:$BZ$147,11,0),"")</f>
        <v/>
      </c>
      <c r="S113" s="4" t="str">
        <f>IFERROR(HLOOKUP(D113,xHesaplama!$AH$149:$BZ$160,12,0),"")</f>
        <v/>
      </c>
      <c r="T113" s="4" t="str">
        <f>IFERROR(HLOOKUP(D113,xHesaplama!$AH$162:$BZ$174,13,0),"")</f>
        <v/>
      </c>
      <c r="U113" s="4" t="str">
        <f>IFERROR(HLOOKUP(D113,xHesaplama!$AH$176:$BZ$189,14,0),"")</f>
        <v/>
      </c>
      <c r="V113" s="4" t="str">
        <f>IFERROR(HLOOKUP(D113,xHesaplama!$AH$191:$BZ$205,15,0),"")</f>
        <v/>
      </c>
      <c r="W113" s="4" t="str">
        <f>IFERROR(HLOOKUP(D113,xHesaplama!$AH$207:$BZ$222,16,0),"")</f>
        <v/>
      </c>
      <c r="X113" s="4" t="str">
        <f>IFERROR(HLOOKUP(D113,xHesaplama!$AH$224:$BZ$240,17,0),"")</f>
        <v/>
      </c>
      <c r="Y113" s="4" t="str">
        <f>IFERROR(HLOOKUP(D113,xHesaplama!$AH$242:$BZ$259,18,0),"")</f>
        <v/>
      </c>
      <c r="Z113" s="4" t="str">
        <f>IFERROR(HLOOKUP(D113,xHesaplama!$AH$261:$BZ$279,19,0),"")</f>
        <v/>
      </c>
      <c r="AA113" s="4" t="str">
        <f>IFERROR(HLOOKUP(D113,xHesaplama!$AH$281:$BZ$300,20,0),"")</f>
        <v/>
      </c>
      <c r="AB113" s="4" t="str">
        <f>IFERROR(HLOOKUP(D113,xHesaplama!$AH$302:$BZ$322,21,0),"")</f>
        <v/>
      </c>
    </row>
    <row r="114" spans="4:28" ht="26.25">
      <c r="D114" s="61" t="s">
        <v>727</v>
      </c>
      <c r="E114" s="3" t="str">
        <f>'x Malzemeler ve Özellikleri'!S107</f>
        <v>MT</v>
      </c>
      <c r="F114" t="s">
        <v>95</v>
      </c>
      <c r="G114" s="9" t="str">
        <f>VLOOKUP(D114,'x Malzemeler ve Özellikleri'!$O$2:$P$136,2,0)</f>
        <v>PDDK02</v>
      </c>
      <c r="H114" s="63">
        <f>VLOOKUP(D114,'x Malzemeler ve Özellikleri'!$O$2:$R$136,4,0)</f>
        <v>0.37330708661417333</v>
      </c>
      <c r="I114" s="4" t="str">
        <f>IFERROR(HLOOKUP(D114,xHesaplama!$AH$74:$BZ$75,2,0),"")</f>
        <v/>
      </c>
      <c r="J114" s="4" t="str">
        <f>IFERROR(HLOOKUP(D114,xHesaplama!$AG$77:$BZ$79,3,0),"")</f>
        <v/>
      </c>
      <c r="K114" s="4" t="str">
        <f>IFERROR(HLOOKUP(D114,xHesaplama!$AG$81:$BZ$84,4,0),"")</f>
        <v/>
      </c>
      <c r="L114" s="4" t="str">
        <f>IFERROR(HLOOKUP(D114,xHesaplama!$AG$86:$BZ$90,5,0),"")</f>
        <v/>
      </c>
      <c r="M114" s="4" t="str">
        <f>IFERROR(HLOOKUP(D114,xHesaplama!$AG$92:$BZ$97,6,0),"")</f>
        <v/>
      </c>
      <c r="N114" s="4" t="str">
        <f>IFERROR(HLOOKUP(D114,xHesaplama!$AG$99:$BZ$105,7,0),"")</f>
        <v/>
      </c>
      <c r="O114" s="4" t="str">
        <f>IFERROR(HLOOKUP(D114,xHesaplama!$AG$107:$BZ$114,8,0),"")</f>
        <v/>
      </c>
      <c r="P114" s="4" t="str">
        <f>IFERROR(HLOOKUP(D114,xHesaplama!$AG$116:$BZ$124,9,0),"")</f>
        <v/>
      </c>
      <c r="Q114" s="4" t="str">
        <f>IFERROR(HLOOKUP(D114,xHesaplama!$AG$126:$BZ$135,10,0),"")</f>
        <v/>
      </c>
      <c r="R114" s="4" t="str">
        <f>IFERROR(HLOOKUP(D114,xHesaplama!$AG$137:$BZ$147,11,0),"")</f>
        <v/>
      </c>
      <c r="S114" s="4" t="str">
        <f>IFERROR(HLOOKUP(D114,xHesaplama!$AH$149:$BZ$160,12,0),"")</f>
        <v/>
      </c>
      <c r="T114" s="4" t="str">
        <f>IFERROR(HLOOKUP(D114,xHesaplama!$AH$162:$BZ$174,13,0),"")</f>
        <v/>
      </c>
      <c r="U114" s="4" t="str">
        <f>IFERROR(HLOOKUP(D114,xHesaplama!$AH$176:$BZ$189,14,0),"")</f>
        <v/>
      </c>
      <c r="V114" s="4" t="str">
        <f>IFERROR(HLOOKUP(D114,xHesaplama!$AH$191:$BZ$205,15,0),"")</f>
        <v/>
      </c>
      <c r="W114" s="4" t="str">
        <f>IFERROR(HLOOKUP(D114,xHesaplama!$AH$207:$BZ$222,16,0),"")</f>
        <v/>
      </c>
      <c r="X114" s="4" t="str">
        <f>IFERROR(HLOOKUP(D114,xHesaplama!$AH$224:$BZ$240,17,0),"")</f>
        <v/>
      </c>
      <c r="Y114" s="4" t="str">
        <f>IFERROR(HLOOKUP(D114,xHesaplama!$AH$242:$BZ$259,18,0),"")</f>
        <v/>
      </c>
      <c r="Z114" s="4" t="str">
        <f>IFERROR(HLOOKUP(D114,xHesaplama!$AH$261:$BZ$279,19,0),"")</f>
        <v/>
      </c>
      <c r="AA114" s="4" t="str">
        <f>IFERROR(HLOOKUP(D114,xHesaplama!$AH$281:$BZ$300,20,0),"")</f>
        <v/>
      </c>
      <c r="AB114" s="4" t="str">
        <f>IFERROR(HLOOKUP(D114,xHesaplama!$AH$302:$BZ$322,21,0),"")</f>
        <v/>
      </c>
    </row>
    <row r="115" spans="4:28" ht="26.25">
      <c r="D115" s="61" t="s">
        <v>728</v>
      </c>
      <c r="E115" s="3" t="str">
        <f>'x Malzemeler ve Özellikleri'!S108</f>
        <v>ADET</v>
      </c>
      <c r="F115" t="s">
        <v>74</v>
      </c>
      <c r="G115" s="9" t="str">
        <f>VLOOKUP(D115,'x Malzemeler ve Özellikleri'!$O$2:$P$136,2,0)</f>
        <v>BP.417</v>
      </c>
      <c r="H115" s="63">
        <f>VLOOKUP(D115,'x Malzemeler ve Özellikleri'!$O$2:$R$136,4,0)</f>
        <v>0.08</v>
      </c>
      <c r="I115" s="4" t="str">
        <f>IFERROR(HLOOKUP(D115,xHesaplama!$AH$74:$BZ$75,2,0),"")</f>
        <v/>
      </c>
      <c r="J115" s="4" t="str">
        <f>IFERROR(HLOOKUP(D115,xHesaplama!$AG$77:$BZ$79,3,0),"")</f>
        <v/>
      </c>
      <c r="K115" s="4" t="str">
        <f>IFERROR(HLOOKUP(D115,xHesaplama!$AG$81:$BZ$84,4,0),"")</f>
        <v/>
      </c>
      <c r="L115" s="4" t="str">
        <f>IFERROR(HLOOKUP(D115,xHesaplama!$AG$86:$BZ$90,5,0),"")</f>
        <v/>
      </c>
      <c r="M115" s="4" t="str">
        <f>IFERROR(HLOOKUP(D115,xHesaplama!$AG$92:$BZ$97,6,0),"")</f>
        <v/>
      </c>
      <c r="N115" s="4" t="str">
        <f>IFERROR(HLOOKUP(D115,xHesaplama!$AG$99:$BZ$105,7,0),"")</f>
        <v/>
      </c>
      <c r="O115" s="4" t="str">
        <f>IFERROR(HLOOKUP(D115,xHesaplama!$AG$107:$BZ$114,8,0),"")</f>
        <v/>
      </c>
      <c r="P115" s="4" t="str">
        <f>IFERROR(HLOOKUP(D115,xHesaplama!$AG$116:$BZ$124,9,0),"")</f>
        <v/>
      </c>
      <c r="Q115" s="4" t="str">
        <f>IFERROR(HLOOKUP(D115,xHesaplama!$AG$126:$BZ$135,10,0),"")</f>
        <v/>
      </c>
      <c r="R115" s="4" t="str">
        <f>IFERROR(HLOOKUP(D115,xHesaplama!$AG$137:$BZ$147,11,0),"")</f>
        <v/>
      </c>
      <c r="S115" s="4" t="str">
        <f>IFERROR(HLOOKUP(D115,xHesaplama!$AH$149:$BZ$160,12,0),"")</f>
        <v/>
      </c>
      <c r="T115" s="4" t="str">
        <f>IFERROR(HLOOKUP(D115,xHesaplama!$AH$162:$BZ$174,13,0),"")</f>
        <v/>
      </c>
      <c r="U115" s="4" t="str">
        <f>IFERROR(HLOOKUP(D115,xHesaplama!$AH$176:$BZ$189,14,0),"")</f>
        <v/>
      </c>
      <c r="V115" s="4" t="str">
        <f>IFERROR(HLOOKUP(D115,xHesaplama!$AH$191:$BZ$205,15,0),"")</f>
        <v/>
      </c>
      <c r="W115" s="4" t="str">
        <f>IFERROR(HLOOKUP(D115,xHesaplama!$AH$207:$BZ$222,16,0),"")</f>
        <v/>
      </c>
      <c r="X115" s="4" t="str">
        <f>IFERROR(HLOOKUP(D115,xHesaplama!$AH$224:$BZ$240,17,0),"")</f>
        <v/>
      </c>
      <c r="Y115" s="4" t="str">
        <f>IFERROR(HLOOKUP(D115,xHesaplama!$AH$242:$BZ$259,18,0),"")</f>
        <v/>
      </c>
      <c r="Z115" s="4" t="str">
        <f>IFERROR(HLOOKUP(D115,xHesaplama!$AH$261:$BZ$279,19,0),"")</f>
        <v/>
      </c>
      <c r="AA115" s="4" t="str">
        <f>IFERROR(HLOOKUP(D115,xHesaplama!$AH$281:$BZ$300,20,0),"")</f>
        <v/>
      </c>
      <c r="AB115" s="4" t="str">
        <f>IFERROR(HLOOKUP(D115,xHesaplama!$AH$302:$BZ$322,21,0),"")</f>
        <v/>
      </c>
    </row>
    <row r="116" spans="4:28" ht="26.25">
      <c r="D116" s="61" t="s">
        <v>729</v>
      </c>
      <c r="E116" s="3" t="str">
        <f>'x Malzemeler ve Özellikleri'!S109</f>
        <v>ADET</v>
      </c>
      <c r="F116" t="s">
        <v>76</v>
      </c>
      <c r="G116" s="9" t="str">
        <f>VLOOKUP(D116,'x Malzemeler ve Özellikleri'!$O$2:$P$136,2,0)</f>
        <v>BP.423</v>
      </c>
      <c r="H116" s="63">
        <f>VLOOKUP(D116,'x Malzemeler ve Özellikleri'!$O$2:$R$136,4,0)</f>
        <v>0</v>
      </c>
      <c r="I116" s="4" t="str">
        <f>IFERROR(HLOOKUP(D116,xHesaplama!$AH$74:$BZ$75,2,0),"")</f>
        <v/>
      </c>
      <c r="J116" s="4" t="str">
        <f>IFERROR(HLOOKUP(D116,xHesaplama!$AG$77:$BZ$79,3,0),"")</f>
        <v/>
      </c>
      <c r="K116" s="4" t="str">
        <f>IFERROR(HLOOKUP(D116,xHesaplama!$AG$81:$BZ$84,4,0),"")</f>
        <v/>
      </c>
      <c r="L116" s="4" t="str">
        <f>IFERROR(HLOOKUP(D116,xHesaplama!$AG$86:$BZ$90,5,0),"")</f>
        <v/>
      </c>
      <c r="M116" s="4" t="str">
        <f>IFERROR(HLOOKUP(D116,xHesaplama!$AG$92:$BZ$97,6,0),"")</f>
        <v/>
      </c>
      <c r="N116" s="4" t="str">
        <f>IFERROR(HLOOKUP(D116,xHesaplama!$AG$99:$BZ$105,7,0),"")</f>
        <v/>
      </c>
      <c r="O116" s="4" t="str">
        <f>IFERROR(HLOOKUP(D116,xHesaplama!$AG$107:$BZ$114,8,0),"")</f>
        <v/>
      </c>
      <c r="P116" s="4" t="str">
        <f>IFERROR(HLOOKUP(D116,xHesaplama!$AG$116:$BZ$124,9,0),"")</f>
        <v/>
      </c>
      <c r="Q116" s="4" t="str">
        <f>IFERROR(HLOOKUP(D116,xHesaplama!$AG$126:$BZ$135,10,0),"")</f>
        <v/>
      </c>
      <c r="R116" s="4" t="str">
        <f>IFERROR(HLOOKUP(D116,xHesaplama!$AG$137:$BZ$147,11,0),"")</f>
        <v/>
      </c>
      <c r="S116" s="4" t="str">
        <f>IFERROR(HLOOKUP(D116,xHesaplama!$AH$149:$BZ$160,12,0),"")</f>
        <v/>
      </c>
      <c r="T116" s="4" t="str">
        <f>IFERROR(HLOOKUP(D116,xHesaplama!$AH$162:$BZ$174,13,0),"")</f>
        <v/>
      </c>
      <c r="U116" s="4" t="str">
        <f>IFERROR(HLOOKUP(D116,xHesaplama!$AH$176:$BZ$189,14,0),"")</f>
        <v/>
      </c>
      <c r="V116" s="4" t="str">
        <f>IFERROR(HLOOKUP(D116,xHesaplama!$AH$191:$BZ$205,15,0),"")</f>
        <v/>
      </c>
      <c r="W116" s="4" t="str">
        <f>IFERROR(HLOOKUP(D116,xHesaplama!$AH$207:$BZ$222,16,0),"")</f>
        <v/>
      </c>
      <c r="X116" s="4" t="str">
        <f>IFERROR(HLOOKUP(D116,xHesaplama!$AH$224:$BZ$240,17,0),"")</f>
        <v/>
      </c>
      <c r="Y116" s="4" t="str">
        <f>IFERROR(HLOOKUP(D116,xHesaplama!$AH$242:$BZ$259,18,0),"")</f>
        <v/>
      </c>
      <c r="Z116" s="4" t="str">
        <f>IFERROR(HLOOKUP(D116,xHesaplama!$AH$261:$BZ$279,19,0),"")</f>
        <v/>
      </c>
      <c r="AA116" s="4" t="str">
        <f>IFERROR(HLOOKUP(D116,xHesaplama!$AH$281:$BZ$300,20,0),"")</f>
        <v/>
      </c>
      <c r="AB116" s="4" t="str">
        <f>IFERROR(HLOOKUP(D116,xHesaplama!$AH$302:$BZ$322,21,0),"")</f>
        <v/>
      </c>
    </row>
    <row r="117" spans="4:28" ht="26.25">
      <c r="D117" s="61" t="s">
        <v>734</v>
      </c>
      <c r="E117" s="3" t="str">
        <f>'x Malzemeler ve Özellikleri'!S110</f>
        <v>ADET</v>
      </c>
      <c r="F117" t="s">
        <v>730</v>
      </c>
      <c r="G117" s="9" t="str">
        <f>VLOOKUP(D117,'x Malzemeler ve Özellikleri'!$O$2:$P$136,2,0)</f>
        <v>XKZ1</v>
      </c>
      <c r="H117" s="63">
        <f>VLOOKUP(D117,'x Malzemeler ve Özellikleri'!$O$2:$R$136,4,0)</f>
        <v>8.6999999999999993</v>
      </c>
      <c r="I117" s="4" t="str">
        <f>IFERROR(HLOOKUP(D117,xHesaplama!$AH$74:$BZ$75,2,0),"")</f>
        <v/>
      </c>
      <c r="J117" s="4" t="str">
        <f>IFERROR(HLOOKUP(D117,xHesaplama!$AG$77:$BZ$79,3,0),"")</f>
        <v/>
      </c>
      <c r="K117" s="4" t="str">
        <f>IFERROR(HLOOKUP(D117,xHesaplama!$AG$81:$BZ$84,4,0),"")</f>
        <v/>
      </c>
      <c r="L117" s="4" t="str">
        <f>IFERROR(HLOOKUP(D117,xHesaplama!$AG$86:$BZ$90,5,0),"")</f>
        <v/>
      </c>
      <c r="M117" s="4" t="str">
        <f>IFERROR(HLOOKUP(D117,xHesaplama!$AG$92:$BZ$97,6,0),"")</f>
        <v/>
      </c>
      <c r="N117" s="4" t="str">
        <f>IFERROR(HLOOKUP(D117,xHesaplama!$AG$99:$BZ$105,7,0),"")</f>
        <v/>
      </c>
      <c r="O117" s="4" t="str">
        <f>IFERROR(HLOOKUP(D117,xHesaplama!$AG$107:$BZ$114,8,0),"")</f>
        <v/>
      </c>
      <c r="P117" s="4" t="str">
        <f>IFERROR(HLOOKUP(D117,xHesaplama!$AG$116:$BZ$124,9,0),"")</f>
        <v/>
      </c>
      <c r="Q117" s="4" t="str">
        <f>IFERROR(HLOOKUP(D117,xHesaplama!$AG$126:$BZ$135,10,0),"")</f>
        <v/>
      </c>
      <c r="R117" s="4" t="str">
        <f>IFERROR(HLOOKUP(D117,xHesaplama!$AG$137:$BZ$147,11,0),"")</f>
        <v/>
      </c>
      <c r="S117" s="4" t="str">
        <f>IFERROR(HLOOKUP(D117,xHesaplama!$AH$149:$BZ$160,12,0),"")</f>
        <v/>
      </c>
      <c r="T117" s="4" t="str">
        <f>IFERROR(HLOOKUP(D117,xHesaplama!$AH$162:$BZ$174,13,0),"")</f>
        <v/>
      </c>
      <c r="U117" s="4" t="str">
        <f>IFERROR(HLOOKUP(D117,xHesaplama!$AH$176:$BZ$189,14,0),"")</f>
        <v/>
      </c>
      <c r="V117" s="4" t="str">
        <f>IFERROR(HLOOKUP(D117,xHesaplama!$AH$191:$BZ$205,15,0),"")</f>
        <v/>
      </c>
      <c r="W117" s="4" t="str">
        <f>IFERROR(HLOOKUP(D117,xHesaplama!$AH$207:$BZ$222,16,0),"")</f>
        <v/>
      </c>
      <c r="X117" s="4" t="str">
        <f>IFERROR(HLOOKUP(D117,xHesaplama!$AH$224:$BZ$240,17,0),"")</f>
        <v/>
      </c>
      <c r="Y117" s="4" t="str">
        <f>IFERROR(HLOOKUP(D117,xHesaplama!$AH$242:$BZ$259,18,0),"")</f>
        <v/>
      </c>
      <c r="Z117" s="4" t="str">
        <f>IFERROR(HLOOKUP(D117,xHesaplama!$AH$261:$BZ$279,19,0),"")</f>
        <v/>
      </c>
      <c r="AA117" s="4" t="str">
        <f>IFERROR(HLOOKUP(D117,xHesaplama!$AH$281:$BZ$300,20,0),"")</f>
        <v/>
      </c>
      <c r="AB117" s="4" t="str">
        <f>IFERROR(HLOOKUP(D117,xHesaplama!$AH$302:$BZ$322,21,0),"")</f>
        <v/>
      </c>
    </row>
    <row r="118" spans="4:28" ht="26.25">
      <c r="D118" s="61" t="s">
        <v>735</v>
      </c>
      <c r="E118" s="3" t="str">
        <f>'x Malzemeler ve Özellikleri'!S111</f>
        <v>ADET</v>
      </c>
      <c r="F118" t="s">
        <v>731</v>
      </c>
      <c r="G118" s="9" t="str">
        <f>VLOOKUP(D118,'x Malzemeler ve Özellikleri'!$O$2:$P$136,2,0)</f>
        <v>XKZ2</v>
      </c>
      <c r="H118" s="63">
        <f>VLOOKUP(D118,'x Malzemeler ve Özellikleri'!$O$2:$R$136,4,0)</f>
        <v>11.811023622047244</v>
      </c>
      <c r="I118" s="4" t="str">
        <f>IFERROR(HLOOKUP(D118,xHesaplama!$AH$74:$BZ$75,2,0),"")</f>
        <v/>
      </c>
      <c r="J118" s="4" t="str">
        <f>IFERROR(HLOOKUP(D118,xHesaplama!$AG$77:$BZ$79,3,0),"")</f>
        <v/>
      </c>
      <c r="K118" s="4" t="str">
        <f>IFERROR(HLOOKUP(D118,xHesaplama!$AG$81:$BZ$84,4,0),"")</f>
        <v/>
      </c>
      <c r="L118" s="4" t="str">
        <f>IFERROR(HLOOKUP(D118,xHesaplama!$AG$86:$BZ$90,5,0),"")</f>
        <v/>
      </c>
      <c r="M118" s="4" t="str">
        <f>IFERROR(HLOOKUP(D118,xHesaplama!$AG$92:$BZ$97,6,0),"")</f>
        <v/>
      </c>
      <c r="N118" s="4" t="str">
        <f>IFERROR(HLOOKUP(D118,xHesaplama!$AG$99:$BZ$105,7,0),"")</f>
        <v/>
      </c>
      <c r="O118" s="4" t="str">
        <f>IFERROR(HLOOKUP(D118,xHesaplama!$AG$107:$BZ$114,8,0),"")</f>
        <v/>
      </c>
      <c r="P118" s="4" t="str">
        <f>IFERROR(HLOOKUP(D118,xHesaplama!$AG$116:$BZ$124,9,0),"")</f>
        <v/>
      </c>
      <c r="Q118" s="4" t="str">
        <f>IFERROR(HLOOKUP(D118,xHesaplama!$AG$126:$BZ$135,10,0),"")</f>
        <v/>
      </c>
      <c r="R118" s="4" t="str">
        <f>IFERROR(HLOOKUP(D118,xHesaplama!$AG$137:$BZ$147,11,0),"")</f>
        <v/>
      </c>
      <c r="S118" s="4" t="str">
        <f>IFERROR(HLOOKUP(D118,xHesaplama!$AH$149:$BZ$160,12,0),"")</f>
        <v/>
      </c>
      <c r="T118" s="4" t="str">
        <f>IFERROR(HLOOKUP(D118,xHesaplama!$AH$162:$BZ$174,13,0),"")</f>
        <v/>
      </c>
      <c r="U118" s="4" t="str">
        <f>IFERROR(HLOOKUP(D118,xHesaplama!$AH$176:$BZ$189,14,0),"")</f>
        <v/>
      </c>
      <c r="V118" s="4" t="str">
        <f>IFERROR(HLOOKUP(D118,xHesaplama!$AH$191:$BZ$205,15,0),"")</f>
        <v/>
      </c>
      <c r="W118" s="4" t="str">
        <f>IFERROR(HLOOKUP(D118,xHesaplama!$AH$207:$BZ$222,16,0),"")</f>
        <v/>
      </c>
      <c r="X118" s="4" t="str">
        <f>IFERROR(HLOOKUP(D118,xHesaplama!$AH$224:$BZ$240,17,0),"")</f>
        <v/>
      </c>
      <c r="Y118" s="4" t="str">
        <f>IFERROR(HLOOKUP(D118,xHesaplama!$AH$242:$BZ$259,18,0),"")</f>
        <v/>
      </c>
      <c r="Z118" s="4" t="str">
        <f>IFERROR(HLOOKUP(D118,xHesaplama!$AH$261:$BZ$279,19,0),"")</f>
        <v/>
      </c>
      <c r="AA118" s="4" t="str">
        <f>IFERROR(HLOOKUP(D118,xHesaplama!$AH$281:$BZ$300,20,0),"")</f>
        <v/>
      </c>
      <c r="AB118" s="4" t="str">
        <f>IFERROR(HLOOKUP(D118,xHesaplama!$AH$302:$BZ$322,21,0),"")</f>
        <v/>
      </c>
    </row>
    <row r="119" spans="4:28" ht="26.25">
      <c r="D119" s="61" t="s">
        <v>736</v>
      </c>
      <c r="E119" s="3" t="str">
        <f>'x Malzemeler ve Özellikleri'!S112</f>
        <v>ADET</v>
      </c>
      <c r="F119" t="s">
        <v>732</v>
      </c>
      <c r="G119" s="9" t="str">
        <f>VLOOKUP(D119,'x Malzemeler ve Özellikleri'!$O$2:$P$136,2,0)</f>
        <v>XKZ3</v>
      </c>
      <c r="H119" s="63">
        <f>VLOOKUP(D119,'x Malzemeler ve Özellikleri'!$O$2:$R$136,4,0)</f>
        <v>0.98425196850393704</v>
      </c>
      <c r="I119" s="4" t="str">
        <f>IFERROR(HLOOKUP(D119,xHesaplama!$AH$74:$BZ$75,2,0),"")</f>
        <v/>
      </c>
      <c r="J119" s="4" t="str">
        <f>IFERROR(HLOOKUP(D119,xHesaplama!$AG$77:$BZ$79,3,0),"")</f>
        <v/>
      </c>
      <c r="K119" s="4" t="str">
        <f>IFERROR(HLOOKUP(D119,xHesaplama!$AG$81:$BZ$84,4,0),"")</f>
        <v/>
      </c>
      <c r="L119" s="4" t="str">
        <f>IFERROR(HLOOKUP(D119,xHesaplama!$AG$86:$BZ$90,5,0),"")</f>
        <v/>
      </c>
      <c r="M119" s="4" t="str">
        <f>IFERROR(HLOOKUP(D119,xHesaplama!$AG$92:$BZ$97,6,0),"")</f>
        <v/>
      </c>
      <c r="N119" s="4" t="str">
        <f>IFERROR(HLOOKUP(D119,xHesaplama!$AG$99:$BZ$105,7,0),"")</f>
        <v/>
      </c>
      <c r="O119" s="4" t="str">
        <f>IFERROR(HLOOKUP(D119,xHesaplama!$AG$107:$BZ$114,8,0),"")</f>
        <v/>
      </c>
      <c r="P119" s="4" t="str">
        <f>IFERROR(HLOOKUP(D119,xHesaplama!$AG$116:$BZ$124,9,0),"")</f>
        <v/>
      </c>
      <c r="Q119" s="4" t="str">
        <f>IFERROR(HLOOKUP(D119,xHesaplama!$AG$126:$BZ$135,10,0),"")</f>
        <v/>
      </c>
      <c r="R119" s="4" t="str">
        <f>IFERROR(HLOOKUP(D119,xHesaplama!$AG$137:$BZ$147,11,0),"")</f>
        <v/>
      </c>
      <c r="S119" s="4" t="str">
        <f>IFERROR(HLOOKUP(D119,xHesaplama!$AH$149:$BZ$160,12,0),"")</f>
        <v/>
      </c>
      <c r="T119" s="4" t="str">
        <f>IFERROR(HLOOKUP(D119,xHesaplama!$AH$162:$BZ$174,13,0),"")</f>
        <v/>
      </c>
      <c r="U119" s="4" t="str">
        <f>IFERROR(HLOOKUP(D119,xHesaplama!$AH$176:$BZ$189,14,0),"")</f>
        <v/>
      </c>
      <c r="V119" s="4" t="str">
        <f>IFERROR(HLOOKUP(D119,xHesaplama!$AH$191:$BZ$205,15,0),"")</f>
        <v/>
      </c>
      <c r="W119" s="4" t="str">
        <f>IFERROR(HLOOKUP(D119,xHesaplama!$AH$207:$BZ$222,16,0),"")</f>
        <v/>
      </c>
      <c r="X119" s="4" t="str">
        <f>IFERROR(HLOOKUP(D119,xHesaplama!$AH$224:$BZ$240,17,0),"")</f>
        <v/>
      </c>
      <c r="Y119" s="4" t="str">
        <f>IFERROR(HLOOKUP(D119,xHesaplama!$AH$242:$BZ$259,18,0),"")</f>
        <v/>
      </c>
      <c r="Z119" s="4" t="str">
        <f>IFERROR(HLOOKUP(D119,xHesaplama!$AH$261:$BZ$279,19,0),"")</f>
        <v/>
      </c>
      <c r="AA119" s="4" t="str">
        <f>IFERROR(HLOOKUP(D119,xHesaplama!$AH$281:$BZ$300,20,0),"")</f>
        <v/>
      </c>
      <c r="AB119" s="4" t="str">
        <f>IFERROR(HLOOKUP(D119,xHesaplama!$AH$302:$BZ$322,21,0),"")</f>
        <v/>
      </c>
    </row>
    <row r="120" spans="4:28" ht="26.25">
      <c r="D120" s="61" t="s">
        <v>737</v>
      </c>
      <c r="E120" s="3" t="str">
        <f>'x Malzemeler ve Özellikleri'!S113</f>
        <v>ADET</v>
      </c>
      <c r="F120" t="s">
        <v>733</v>
      </c>
      <c r="G120" s="9" t="str">
        <f>VLOOKUP(D120,'x Malzemeler ve Özellikleri'!$O$2:$P$136,2,0)</f>
        <v>XKZ4</v>
      </c>
      <c r="H120" s="63">
        <f>VLOOKUP(D120,'x Malzemeler ve Özellikleri'!$O$2:$R$136,4,0)</f>
        <v>15.86</v>
      </c>
      <c r="I120" s="4" t="str">
        <f>IFERROR(HLOOKUP(D120,xHesaplama!$AH$74:$BZ$75,2,0),"")</f>
        <v/>
      </c>
      <c r="J120" s="4" t="str">
        <f>IFERROR(HLOOKUP(D120,xHesaplama!$AG$77:$BZ$79,3,0),"")</f>
        <v/>
      </c>
      <c r="K120" s="4" t="str">
        <f>IFERROR(HLOOKUP(D120,xHesaplama!$AG$81:$BZ$84,4,0),"")</f>
        <v/>
      </c>
      <c r="L120" s="4" t="str">
        <f>IFERROR(HLOOKUP(D120,xHesaplama!$AG$86:$BZ$90,5,0),"")</f>
        <v/>
      </c>
      <c r="M120" s="4" t="str">
        <f>IFERROR(HLOOKUP(D120,xHesaplama!$AG$92:$BZ$97,6,0),"")</f>
        <v/>
      </c>
      <c r="N120" s="4" t="str">
        <f>IFERROR(HLOOKUP(D120,xHesaplama!$AG$99:$BZ$105,7,0),"")</f>
        <v/>
      </c>
      <c r="O120" s="4" t="str">
        <f>IFERROR(HLOOKUP(D120,xHesaplama!$AG$107:$BZ$114,8,0),"")</f>
        <v/>
      </c>
      <c r="P120" s="4" t="str">
        <f>IFERROR(HLOOKUP(D120,xHesaplama!$AG$116:$BZ$124,9,0),"")</f>
        <v/>
      </c>
      <c r="Q120" s="4" t="str">
        <f>IFERROR(HLOOKUP(D120,xHesaplama!$AG$126:$BZ$135,10,0),"")</f>
        <v/>
      </c>
      <c r="R120" s="4" t="str">
        <f>IFERROR(HLOOKUP(D120,xHesaplama!$AG$137:$BZ$147,11,0),"")</f>
        <v/>
      </c>
      <c r="S120" s="4" t="str">
        <f>IFERROR(HLOOKUP(D120,xHesaplama!$AH$149:$BZ$160,12,0),"")</f>
        <v/>
      </c>
      <c r="T120" s="4" t="str">
        <f>IFERROR(HLOOKUP(D120,xHesaplama!$AH$162:$BZ$174,13,0),"")</f>
        <v/>
      </c>
      <c r="U120" s="4" t="str">
        <f>IFERROR(HLOOKUP(D120,xHesaplama!$AH$176:$BZ$189,14,0),"")</f>
        <v/>
      </c>
      <c r="V120" s="4" t="str">
        <f>IFERROR(HLOOKUP(D120,xHesaplama!$AH$191:$BZ$205,15,0),"")</f>
        <v/>
      </c>
      <c r="W120" s="4" t="str">
        <f>IFERROR(HLOOKUP(D120,xHesaplama!$AH$207:$BZ$222,16,0),"")</f>
        <v/>
      </c>
      <c r="X120" s="4" t="str">
        <f>IFERROR(HLOOKUP(D120,xHesaplama!$AH$224:$BZ$240,17,0),"")</f>
        <v/>
      </c>
      <c r="Y120" s="4" t="str">
        <f>IFERROR(HLOOKUP(D120,xHesaplama!$AH$242:$BZ$259,18,0),"")</f>
        <v/>
      </c>
      <c r="Z120" s="4" t="str">
        <f>IFERROR(HLOOKUP(D120,xHesaplama!$AH$261:$BZ$279,19,0),"")</f>
        <v/>
      </c>
      <c r="AA120" s="4" t="str">
        <f>IFERROR(HLOOKUP(D120,xHesaplama!$AH$281:$BZ$300,20,0),"")</f>
        <v/>
      </c>
      <c r="AB120" s="4" t="str">
        <f>IFERROR(HLOOKUP(D120,xHesaplama!$AH$302:$BZ$322,21,0),"")</f>
        <v/>
      </c>
    </row>
    <row r="121" spans="4:28" ht="26.25">
      <c r="D121" s="61" t="s">
        <v>743</v>
      </c>
      <c r="E121" s="3" t="str">
        <f>'x Malzemeler ve Özellikleri'!S115</f>
        <v>MT</v>
      </c>
      <c r="F121" t="s">
        <v>54</v>
      </c>
      <c r="G121" s="9" t="str">
        <f>VLOOKUP(D121,'x Malzemeler ve Özellikleri'!$O$2:$P$136,2,0)</f>
        <v>PDKP01</v>
      </c>
      <c r="H121" s="63">
        <f>VLOOKUP(D121,'x Malzemeler ve Özellikleri'!$O$2:$R$136,4,0)</f>
        <v>4.8529921259842528</v>
      </c>
      <c r="I121" s="4" t="str">
        <f>IFERROR(HLOOKUP(D121,xHesaplama!$AH$74:$BZ$75,2,0),"")</f>
        <v/>
      </c>
      <c r="J121" s="4" t="str">
        <f>IFERROR(HLOOKUP(D121,xHesaplama!$AG$77:$BZ$79,3,0),"")</f>
        <v/>
      </c>
      <c r="K121" s="4" t="str">
        <f>IFERROR(HLOOKUP(D121,xHesaplama!$AG$81:$BZ$84,4,0),"")</f>
        <v/>
      </c>
      <c r="L121" s="4" t="str">
        <f>IFERROR(HLOOKUP(D121,xHesaplama!$AG$86:$BZ$90,5,0),"")</f>
        <v/>
      </c>
      <c r="M121" s="4" t="str">
        <f>IFERROR(HLOOKUP(D121,xHesaplama!$AG$92:$BZ$97,6,0),"")</f>
        <v/>
      </c>
      <c r="N121" s="4" t="str">
        <f>IFERROR(HLOOKUP(D121,xHesaplama!$AG$99:$BZ$105,7,0),"")</f>
        <v/>
      </c>
      <c r="O121" s="4" t="str">
        <f>IFERROR(HLOOKUP(D121,xHesaplama!$AG$107:$BZ$114,8,0),"")</f>
        <v/>
      </c>
      <c r="P121" s="4" t="str">
        <f>IFERROR(HLOOKUP(D121,xHesaplama!$AG$116:$BZ$124,9,0),"")</f>
        <v/>
      </c>
      <c r="Q121" s="4" t="str">
        <f>IFERROR(HLOOKUP(D121,xHesaplama!$AG$126:$BZ$135,10,0),"")</f>
        <v/>
      </c>
      <c r="R121" s="4" t="str">
        <f>IFERROR(HLOOKUP(D121,xHesaplama!$AG$137:$BZ$147,11,0),"")</f>
        <v/>
      </c>
      <c r="S121" s="4" t="str">
        <f>IFERROR(HLOOKUP(D121,xHesaplama!$AH$149:$BZ$160,12,0),"")</f>
        <v/>
      </c>
      <c r="T121" s="4" t="str">
        <f>IFERROR(HLOOKUP(D121,xHesaplama!$AH$162:$BZ$174,13,0),"")</f>
        <v/>
      </c>
      <c r="U121" s="4" t="str">
        <f>IFERROR(HLOOKUP(D121,xHesaplama!$AH$176:$BZ$189,14,0),"")</f>
        <v/>
      </c>
      <c r="V121" s="4" t="str">
        <f>IFERROR(HLOOKUP(D121,xHesaplama!$AH$191:$BZ$205,15,0),"")</f>
        <v/>
      </c>
      <c r="W121" s="4" t="str">
        <f>IFERROR(HLOOKUP(D121,xHesaplama!$AH$207:$BZ$222,16,0),"")</f>
        <v/>
      </c>
      <c r="X121" s="4" t="str">
        <f>IFERROR(HLOOKUP(D121,xHesaplama!$AH$224:$BZ$240,17,0),"")</f>
        <v/>
      </c>
      <c r="Y121" s="4" t="str">
        <f>IFERROR(HLOOKUP(D121,xHesaplama!$AH$242:$BZ$259,18,0),"")</f>
        <v/>
      </c>
      <c r="Z121" s="4" t="str">
        <f>IFERROR(HLOOKUP(D121,xHesaplama!$AH$261:$BZ$279,19,0),"")</f>
        <v/>
      </c>
      <c r="AA121" s="4" t="str">
        <f>IFERROR(HLOOKUP(D121,xHesaplama!$AH$281:$BZ$300,20,0),"")</f>
        <v/>
      </c>
      <c r="AB121" s="4" t="str">
        <f>IFERROR(HLOOKUP(D121,xHesaplama!$AH$302:$BZ$322,21,0),"")</f>
        <v/>
      </c>
    </row>
    <row r="122" spans="4:28" ht="26.25">
      <c r="D122" s="61" t="s">
        <v>744</v>
      </c>
      <c r="E122" s="3" t="str">
        <f>'x Malzemeler ve Özellikleri'!S116</f>
        <v>MT</v>
      </c>
      <c r="F122" t="s">
        <v>79</v>
      </c>
      <c r="G122" s="9" t="str">
        <f>VLOOKUP(D122,'x Malzemeler ve Özellikleri'!$O$2:$P$136,2,0)</f>
        <v>PDKP01D</v>
      </c>
      <c r="H122" s="63">
        <f>VLOOKUP(D122,'x Malzemeler ve Özellikleri'!$O$2:$R$136,4,0)</f>
        <v>3.8077322834645679</v>
      </c>
      <c r="I122" s="4" t="str">
        <f>IFERROR(HLOOKUP(D122,xHesaplama!$AH$74:$BZ$75,2,0),"")</f>
        <v/>
      </c>
      <c r="J122" s="4" t="str">
        <f>IFERROR(HLOOKUP(D122,xHesaplama!$AG$77:$BZ$79,3,0),"")</f>
        <v/>
      </c>
      <c r="K122" s="4" t="str">
        <f>IFERROR(HLOOKUP(D122,xHesaplama!$AG$81:$BZ$84,4,0),"")</f>
        <v/>
      </c>
      <c r="L122" s="4" t="str">
        <f>IFERROR(HLOOKUP(D122,xHesaplama!$AG$86:$BZ$90,5,0),"")</f>
        <v/>
      </c>
      <c r="M122" s="4" t="str">
        <f>IFERROR(HLOOKUP(D122,xHesaplama!$AG$92:$BZ$97,6,0),"")</f>
        <v/>
      </c>
      <c r="N122" s="4" t="str">
        <f>IFERROR(HLOOKUP(D122,xHesaplama!$AG$99:$BZ$105,7,0),"")</f>
        <v/>
      </c>
      <c r="O122" s="4" t="str">
        <f>IFERROR(HLOOKUP(D122,xHesaplama!$AG$107:$BZ$114,8,0),"")</f>
        <v/>
      </c>
      <c r="P122" s="4" t="str">
        <f>IFERROR(HLOOKUP(D122,xHesaplama!$AG$116:$BZ$124,9,0),"")</f>
        <v/>
      </c>
      <c r="Q122" s="4" t="str">
        <f>IFERROR(HLOOKUP(D122,xHesaplama!$AG$126:$BZ$135,10,0),"")</f>
        <v/>
      </c>
      <c r="R122" s="4" t="str">
        <f>IFERROR(HLOOKUP(D122,xHesaplama!$AG$137:$BZ$147,11,0),"")</f>
        <v/>
      </c>
      <c r="S122" s="4" t="str">
        <f>IFERROR(HLOOKUP(D122,xHesaplama!$AH$149:$BZ$160,12,0),"")</f>
        <v/>
      </c>
      <c r="T122" s="4" t="str">
        <f>IFERROR(HLOOKUP(D122,xHesaplama!$AH$162:$BZ$174,13,0),"")</f>
        <v/>
      </c>
      <c r="U122" s="4" t="str">
        <f>IFERROR(HLOOKUP(D122,xHesaplama!$AH$176:$BZ$189,14,0),"")</f>
        <v/>
      </c>
      <c r="V122" s="4" t="str">
        <f>IFERROR(HLOOKUP(D122,xHesaplama!$AH$191:$BZ$205,15,0),"")</f>
        <v/>
      </c>
      <c r="W122" s="4" t="str">
        <f>IFERROR(HLOOKUP(D122,xHesaplama!$AH$207:$BZ$222,16,0),"")</f>
        <v/>
      </c>
      <c r="X122" s="4" t="str">
        <f>IFERROR(HLOOKUP(D122,xHesaplama!$AH$224:$BZ$240,17,0),"")</f>
        <v/>
      </c>
      <c r="Y122" s="4" t="str">
        <f>IFERROR(HLOOKUP(D122,xHesaplama!$AH$242:$BZ$259,18,0),"")</f>
        <v/>
      </c>
      <c r="Z122" s="4" t="str">
        <f>IFERROR(HLOOKUP(D122,xHesaplama!$AH$261:$BZ$279,19,0),"")</f>
        <v/>
      </c>
      <c r="AA122" s="4" t="str">
        <f>IFERROR(HLOOKUP(D122,xHesaplama!$AH$281:$BZ$300,20,0),"")</f>
        <v/>
      </c>
      <c r="AB122" s="4" t="str">
        <f>IFERROR(HLOOKUP(D122,xHesaplama!$AH$302:$BZ$322,21,0),"")</f>
        <v/>
      </c>
    </row>
    <row r="123" spans="4:28" ht="78.75">
      <c r="D123" s="61" t="s">
        <v>745</v>
      </c>
      <c r="E123" s="3" t="str">
        <f>'x Malzemeler ve Özellikleri'!S117</f>
        <v>MT</v>
      </c>
      <c r="F123" t="s">
        <v>80</v>
      </c>
      <c r="G123" s="9" t="str">
        <f>VLOOKUP(D123,'x Malzemeler ve Özellikleri'!$O$2:$P$136,2,0)</f>
        <v>KASA ALIN PROFİLİ - sharp</v>
      </c>
      <c r="H123" s="63">
        <f>VLOOKUP(D123,'x Malzemeler ve Özellikleri'!$O$2:$R$136,4,0)</f>
        <v>3.8077322834645679</v>
      </c>
      <c r="I123" s="4" t="str">
        <f>IFERROR(HLOOKUP(D123,xHesaplama!$AH$74:$BZ$75,2,0),"")</f>
        <v/>
      </c>
      <c r="J123" s="4" t="str">
        <f>IFERROR(HLOOKUP(D123,xHesaplama!$AG$77:$BZ$79,3,0),"")</f>
        <v/>
      </c>
      <c r="K123" s="4" t="str">
        <f>IFERROR(HLOOKUP(D123,xHesaplama!$AG$81:$BZ$84,4,0),"")</f>
        <v/>
      </c>
      <c r="L123" s="4" t="str">
        <f>IFERROR(HLOOKUP(D123,xHesaplama!$AG$86:$BZ$90,5,0),"")</f>
        <v/>
      </c>
      <c r="M123" s="4" t="str">
        <f>IFERROR(HLOOKUP(D123,xHesaplama!$AG$92:$BZ$97,6,0),"")</f>
        <v/>
      </c>
      <c r="N123" s="4" t="str">
        <f>IFERROR(HLOOKUP(D123,xHesaplama!$AG$99:$BZ$105,7,0),"")</f>
        <v/>
      </c>
      <c r="O123" s="4" t="str">
        <f>IFERROR(HLOOKUP(D123,xHesaplama!$AG$107:$BZ$114,8,0),"")</f>
        <v/>
      </c>
      <c r="P123" s="4" t="str">
        <f>IFERROR(HLOOKUP(D123,xHesaplama!$AG$116:$BZ$124,9,0),"")</f>
        <v/>
      </c>
      <c r="Q123" s="4" t="str">
        <f>IFERROR(HLOOKUP(D123,xHesaplama!$AG$126:$BZ$135,10,0),"")</f>
        <v/>
      </c>
      <c r="R123" s="4" t="str">
        <f>IFERROR(HLOOKUP(D123,xHesaplama!$AG$137:$BZ$147,11,0),"")</f>
        <v/>
      </c>
      <c r="S123" s="4" t="str">
        <f>IFERROR(HLOOKUP(D123,xHesaplama!$AH$149:$BZ$160,12,0),"")</f>
        <v/>
      </c>
      <c r="T123" s="4" t="str">
        <f>IFERROR(HLOOKUP(D123,xHesaplama!$AH$162:$BZ$174,13,0),"")</f>
        <v/>
      </c>
      <c r="U123" s="4" t="str">
        <f>IFERROR(HLOOKUP(D123,xHesaplama!$AH$176:$BZ$189,14,0),"")</f>
        <v/>
      </c>
      <c r="V123" s="4" t="str">
        <f>IFERROR(HLOOKUP(D123,xHesaplama!$AH$191:$BZ$205,15,0),"")</f>
        <v/>
      </c>
      <c r="W123" s="4" t="str">
        <f>IFERROR(HLOOKUP(D123,xHesaplama!$AH$207:$BZ$222,16,0),"")</f>
        <v/>
      </c>
      <c r="X123" s="4" t="str">
        <f>IFERROR(HLOOKUP(D123,xHesaplama!$AH$224:$BZ$240,17,0),"")</f>
        <v/>
      </c>
      <c r="Y123" s="4" t="str">
        <f>IFERROR(HLOOKUP(D123,xHesaplama!$AH$242:$BZ$259,18,0),"")</f>
        <v/>
      </c>
      <c r="Z123" s="4" t="str">
        <f>IFERROR(HLOOKUP(D123,xHesaplama!$AH$261:$BZ$279,19,0),"")</f>
        <v/>
      </c>
      <c r="AA123" s="4" t="str">
        <f>IFERROR(HLOOKUP(D123,xHesaplama!$AH$281:$BZ$300,20,0),"")</f>
        <v/>
      </c>
      <c r="AB123" s="4" t="str">
        <f>IFERROR(HLOOKUP(D123,xHesaplama!$AH$302:$BZ$322,21,0),"")</f>
        <v/>
      </c>
    </row>
    <row r="124" spans="4:28" ht="78.75">
      <c r="D124" s="61" t="s">
        <v>746</v>
      </c>
      <c r="E124" s="3" t="str">
        <f>'x Malzemeler ve Özellikleri'!S118</f>
        <v>MT</v>
      </c>
      <c r="F124" t="s">
        <v>81</v>
      </c>
      <c r="G124" s="9" t="str">
        <f>VLOOKUP(D124,'x Malzemeler ve Özellikleri'!$O$2:$P$136,2,0)</f>
        <v>KASA ALIN PROFİLİ - soft</v>
      </c>
      <c r="H124" s="63">
        <f>VLOOKUP(D124,'x Malzemeler ve Özellikleri'!$O$2:$R$136,4,0)</f>
        <v>3.8077322834645679</v>
      </c>
      <c r="I124" s="4" t="str">
        <f>IFERROR(HLOOKUP(D124,xHesaplama!$AH$74:$BZ$75,2,0),"")</f>
        <v/>
      </c>
      <c r="J124" s="4" t="str">
        <f>IFERROR(HLOOKUP(D124,xHesaplama!$AG$77:$BZ$79,3,0),"")</f>
        <v/>
      </c>
      <c r="K124" s="4" t="str">
        <f>IFERROR(HLOOKUP(D124,xHesaplama!$AG$81:$BZ$84,4,0),"")</f>
        <v/>
      </c>
      <c r="L124" s="4" t="str">
        <f>IFERROR(HLOOKUP(D124,xHesaplama!$AG$86:$BZ$90,5,0),"")</f>
        <v/>
      </c>
      <c r="M124" s="4" t="str">
        <f>IFERROR(HLOOKUP(D124,xHesaplama!$AG$92:$BZ$97,6,0),"")</f>
        <v/>
      </c>
      <c r="N124" s="4" t="str">
        <f>IFERROR(HLOOKUP(D124,xHesaplama!$AG$99:$BZ$105,7,0),"")</f>
        <v/>
      </c>
      <c r="O124" s="4" t="str">
        <f>IFERROR(HLOOKUP(D124,xHesaplama!$AG$107:$BZ$114,8,0),"")</f>
        <v/>
      </c>
      <c r="P124" s="4" t="str">
        <f>IFERROR(HLOOKUP(D124,xHesaplama!$AG$116:$BZ$124,9,0),"")</f>
        <v/>
      </c>
      <c r="Q124" s="4" t="str">
        <f>IFERROR(HLOOKUP(D124,xHesaplama!$AG$126:$BZ$135,10,0),"")</f>
        <v/>
      </c>
      <c r="R124" s="4" t="str">
        <f>IFERROR(HLOOKUP(D124,xHesaplama!$AG$137:$BZ$147,11,0),"")</f>
        <v/>
      </c>
      <c r="S124" s="4" t="str">
        <f>IFERROR(HLOOKUP(D124,xHesaplama!$AH$149:$BZ$160,12,0),"")</f>
        <v/>
      </c>
      <c r="T124" s="4" t="str">
        <f>IFERROR(HLOOKUP(D124,xHesaplama!$AH$162:$BZ$174,13,0),"")</f>
        <v/>
      </c>
      <c r="U124" s="4" t="str">
        <f>IFERROR(HLOOKUP(D124,xHesaplama!$AH$176:$BZ$189,14,0),"")</f>
        <v/>
      </c>
      <c r="V124" s="4" t="str">
        <f>IFERROR(HLOOKUP(D124,xHesaplama!$AH$191:$BZ$205,15,0),"")</f>
        <v/>
      </c>
      <c r="W124" s="4" t="str">
        <f>IFERROR(HLOOKUP(D124,xHesaplama!$AH$207:$BZ$222,16,0),"")</f>
        <v/>
      </c>
      <c r="X124" s="4" t="str">
        <f>IFERROR(HLOOKUP(D124,xHesaplama!$AH$224:$BZ$240,17,0),"")</f>
        <v/>
      </c>
      <c r="Y124" s="4" t="str">
        <f>IFERROR(HLOOKUP(D124,xHesaplama!$AH$242:$BZ$259,18,0),"")</f>
        <v/>
      </c>
      <c r="Z124" s="4" t="str">
        <f>IFERROR(HLOOKUP(D124,xHesaplama!$AH$261:$BZ$279,19,0),"")</f>
        <v/>
      </c>
      <c r="AA124" s="4" t="str">
        <f>IFERROR(HLOOKUP(D124,xHesaplama!$AH$281:$BZ$300,20,0),"")</f>
        <v/>
      </c>
      <c r="AB124" s="4" t="str">
        <f>IFERROR(HLOOKUP(D124,xHesaplama!$AH$302:$BZ$322,21,0),"")</f>
        <v/>
      </c>
    </row>
    <row r="125" spans="4:28" ht="26.25">
      <c r="D125" s="61" t="s">
        <v>775</v>
      </c>
      <c r="E125" s="3" t="str">
        <f>'x Malzemeler ve Özellikleri'!S119</f>
        <v>MT</v>
      </c>
      <c r="F125" t="s">
        <v>3</v>
      </c>
      <c r="G125" s="9" t="str">
        <f>VLOOKUP(D125,'x Malzemeler ve Özellikleri'!$O$2:$P$136,2,0)</f>
        <v>78BOR</v>
      </c>
      <c r="H125" s="63">
        <f>VLOOKUP(D125,'x Malzemeler ve Özellikleri'!$O$2:$R$136,4,0)</f>
        <v>2.4604330708661419</v>
      </c>
      <c r="I125" s="4" t="str">
        <f>IFERROR(HLOOKUP(D125,xHesaplama!$AH$74:$BZ$75,2,0),"")</f>
        <v/>
      </c>
      <c r="J125" s="4" t="str">
        <f>IFERROR(HLOOKUP(D125,xHesaplama!$AG$77:$BZ$79,3,0),"")</f>
        <v/>
      </c>
      <c r="K125" s="4" t="str">
        <f>IFERROR(HLOOKUP(D125,xHesaplama!$AG$81:$BZ$84,4,0),"")</f>
        <v/>
      </c>
      <c r="L125" s="4" t="str">
        <f>IFERROR(HLOOKUP(D125,xHesaplama!$AG$86:$BZ$90,5,0),"")</f>
        <v/>
      </c>
      <c r="M125" s="4" t="str">
        <f>IFERROR(HLOOKUP(D125,xHesaplama!$AG$92:$BZ$97,6,0),"")</f>
        <v/>
      </c>
      <c r="N125" s="4" t="str">
        <f>IFERROR(HLOOKUP(D125,xHesaplama!$AG$99:$BZ$105,7,0),"")</f>
        <v/>
      </c>
      <c r="O125" s="4" t="str">
        <f>IFERROR(HLOOKUP(D125,xHesaplama!$AG$107:$BZ$114,8,0),"")</f>
        <v/>
      </c>
      <c r="P125" s="4" t="str">
        <f>IFERROR(HLOOKUP(D125,xHesaplama!$AG$116:$BZ$124,9,0),"")</f>
        <v/>
      </c>
      <c r="Q125" s="4" t="str">
        <f>IFERROR(HLOOKUP(D125,xHesaplama!$AG$126:$BZ$135,10,0),"")</f>
        <v/>
      </c>
      <c r="R125" s="4" t="str">
        <f>IFERROR(HLOOKUP(D125,xHesaplama!$AG$137:$BZ$147,11,0),"")</f>
        <v/>
      </c>
      <c r="S125" s="4" t="str">
        <f>IFERROR(HLOOKUP(D125,xHesaplama!$AH$149:$BZ$160,12,0),"")</f>
        <v/>
      </c>
      <c r="T125" s="4" t="str">
        <f>IFERROR(HLOOKUP(D125,xHesaplama!$AH$162:$BZ$174,13,0),"")</f>
        <v/>
      </c>
      <c r="U125" s="4" t="str">
        <f>IFERROR(HLOOKUP(D125,xHesaplama!$AH$176:$BZ$189,14,0),"")</f>
        <v/>
      </c>
      <c r="V125" s="4" t="str">
        <f>IFERROR(HLOOKUP(D125,xHesaplama!$AH$191:$BZ$205,15,0),"")</f>
        <v/>
      </c>
      <c r="W125" s="4" t="str">
        <f>IFERROR(HLOOKUP(D125,xHesaplama!$AH$207:$BZ$222,16,0),"")</f>
        <v/>
      </c>
      <c r="X125" s="4" t="str">
        <f>IFERROR(HLOOKUP(D125,xHesaplama!$AH$224:$BZ$240,17,0),"")</f>
        <v/>
      </c>
      <c r="Y125" s="4" t="str">
        <f>IFERROR(HLOOKUP(D125,xHesaplama!$AH$242:$BZ$259,18,0),"")</f>
        <v/>
      </c>
      <c r="Z125" s="4" t="str">
        <f>IFERROR(HLOOKUP(D125,xHesaplama!$AH$261:$BZ$279,19,0),"")</f>
        <v/>
      </c>
      <c r="AA125" s="4" t="str">
        <f>IFERROR(HLOOKUP(D125,xHesaplama!$AH$281:$BZ$300,20,0),"")</f>
        <v/>
      </c>
      <c r="AB125" s="4" t="str">
        <f>IFERROR(HLOOKUP(D125,xHesaplama!$AH$302:$BZ$322,21,0),"")</f>
        <v/>
      </c>
    </row>
    <row r="126" spans="4:28" ht="26.25">
      <c r="D126" s="61" t="s">
        <v>776</v>
      </c>
      <c r="E126" s="3" t="str">
        <f>'x Malzemeler ve Özellikleri'!S120</f>
        <v>TAKIM</v>
      </c>
      <c r="F126" t="s">
        <v>11</v>
      </c>
      <c r="G126" s="9" t="str">
        <f>VLOOKUP(D126,'x Malzemeler ve Özellikleri'!$O$2:$P$136,2,0)</f>
        <v>VİDA5</v>
      </c>
      <c r="H126" s="63">
        <f>VLOOKUP(D126,'x Malzemeler ve Özellikleri'!$O$2:$R$136,4,0)</f>
        <v>1</v>
      </c>
      <c r="I126" s="4" t="str">
        <f>IFERROR(HLOOKUP(D126,xHesaplama!$AH$74:$BZ$75,2,0),"")</f>
        <v/>
      </c>
      <c r="J126" s="4" t="str">
        <f>IFERROR(HLOOKUP(D126,xHesaplama!$AG$77:$BZ$79,3,0),"")</f>
        <v/>
      </c>
      <c r="K126" s="4" t="str">
        <f>IFERROR(HLOOKUP(D126,xHesaplama!$AG$81:$BZ$84,4,0),"")</f>
        <v/>
      </c>
      <c r="L126" s="4" t="str">
        <f>IFERROR(HLOOKUP(D126,xHesaplama!$AG$86:$BZ$90,5,0),"")</f>
        <v/>
      </c>
      <c r="M126" s="4" t="str">
        <f>IFERROR(HLOOKUP(D126,xHesaplama!$AG$92:$BZ$97,6,0),"")</f>
        <v/>
      </c>
      <c r="N126" s="4" t="str">
        <f>IFERROR(HLOOKUP(D126,xHesaplama!$AG$99:$BZ$105,7,0),"")</f>
        <v/>
      </c>
      <c r="O126" s="4" t="str">
        <f>IFERROR(HLOOKUP(D126,xHesaplama!$AG$107:$BZ$114,8,0),"")</f>
        <v/>
      </c>
      <c r="P126" s="4" t="str">
        <f>IFERROR(HLOOKUP(D126,xHesaplama!$AG$116:$BZ$124,9,0),"")</f>
        <v/>
      </c>
      <c r="Q126" s="4" t="str">
        <f>IFERROR(HLOOKUP(D126,xHesaplama!$AG$126:$BZ$135,10,0),"")</f>
        <v/>
      </c>
      <c r="R126" s="4" t="str">
        <f>IFERROR(HLOOKUP(D126,xHesaplama!$AG$137:$BZ$147,11,0),"")</f>
        <v/>
      </c>
      <c r="S126" s="4" t="str">
        <f>IFERROR(HLOOKUP(D126,xHesaplama!$AH$149:$BZ$160,12,0),"")</f>
        <v/>
      </c>
      <c r="T126" s="4" t="str">
        <f>IFERROR(HLOOKUP(D126,xHesaplama!$AH$162:$BZ$174,13,0),"")</f>
        <v/>
      </c>
      <c r="U126" s="4" t="str">
        <f>IFERROR(HLOOKUP(D126,xHesaplama!$AH$176:$BZ$189,14,0),"")</f>
        <v/>
      </c>
      <c r="V126" s="4" t="str">
        <f>IFERROR(HLOOKUP(D126,xHesaplama!$AH$191:$BZ$205,15,0),"")</f>
        <v/>
      </c>
      <c r="W126" s="4" t="str">
        <f>IFERROR(HLOOKUP(D126,xHesaplama!$AH$207:$BZ$222,16,0),"")</f>
        <v/>
      </c>
      <c r="X126" s="4" t="str">
        <f>IFERROR(HLOOKUP(D126,xHesaplama!$AH$224:$BZ$240,17,0),"")</f>
        <v/>
      </c>
      <c r="Y126" s="4" t="str">
        <f>IFERROR(HLOOKUP(D126,xHesaplama!$AH$242:$BZ$259,18,0),"")</f>
        <v/>
      </c>
      <c r="Z126" s="4" t="str">
        <f>IFERROR(HLOOKUP(D126,xHesaplama!$AH$261:$BZ$279,19,0),"")</f>
        <v/>
      </c>
      <c r="AA126" s="4" t="str">
        <f>IFERROR(HLOOKUP(D126,xHesaplama!$AH$281:$BZ$300,20,0),"")</f>
        <v/>
      </c>
      <c r="AB126" s="4" t="str">
        <f>IFERROR(HLOOKUP(D126,xHesaplama!$AH$302:$BZ$322,21,0),"")</f>
        <v/>
      </c>
    </row>
    <row r="127" spans="4:28" ht="78.75">
      <c r="D127" s="61" t="s">
        <v>777</v>
      </c>
      <c r="E127" s="3" t="str">
        <f>'x Malzemeler ve Özellikleri'!S121</f>
        <v>MT</v>
      </c>
      <c r="F127" t="s">
        <v>66</v>
      </c>
      <c r="G127" s="9" t="str">
        <f>VLOOKUP(D127,'x Malzemeler ve Özellikleri'!$O$2:$P$136,2,0)</f>
        <v>ALT PARÇA KIL FİTİL 48*10</v>
      </c>
      <c r="H127" s="63">
        <f>VLOOKUP(D127,'x Malzemeler ve Özellikleri'!$O$2:$R$136,4,0)</f>
        <v>5.0905511811023624E-2</v>
      </c>
      <c r="I127" s="4" t="str">
        <f>IFERROR(HLOOKUP(D127,xHesaplama!$AH$74:$BZ$75,2,0),"")</f>
        <v/>
      </c>
      <c r="J127" s="4" t="str">
        <f>IFERROR(HLOOKUP(D127,xHesaplama!$AG$77:$BZ$79,3,0),"")</f>
        <v/>
      </c>
      <c r="K127" s="4" t="str">
        <f>IFERROR(HLOOKUP(D127,xHesaplama!$AG$81:$BZ$84,4,0),"")</f>
        <v/>
      </c>
      <c r="L127" s="4" t="str">
        <f>IFERROR(HLOOKUP(D127,xHesaplama!$AG$86:$BZ$90,5,0),"")</f>
        <v/>
      </c>
      <c r="M127" s="4" t="str">
        <f>IFERROR(HLOOKUP(D127,xHesaplama!$AG$92:$BZ$97,6,0),"")</f>
        <v/>
      </c>
      <c r="N127" s="4" t="str">
        <f>IFERROR(HLOOKUP(D127,xHesaplama!$AG$99:$BZ$105,7,0),"")</f>
        <v/>
      </c>
      <c r="O127" s="4" t="str">
        <f>IFERROR(HLOOKUP(D127,xHesaplama!$AG$107:$BZ$114,8,0),"")</f>
        <v/>
      </c>
      <c r="P127" s="4" t="str">
        <f>IFERROR(HLOOKUP(D127,xHesaplama!$AG$116:$BZ$124,9,0),"")</f>
        <v/>
      </c>
      <c r="Q127" s="4" t="str">
        <f>IFERROR(HLOOKUP(D127,xHesaplama!$AG$126:$BZ$135,10,0),"")</f>
        <v/>
      </c>
      <c r="R127" s="4" t="str">
        <f>IFERROR(HLOOKUP(D127,xHesaplama!$AG$137:$BZ$147,11,0),"")</f>
        <v/>
      </c>
      <c r="S127" s="4" t="str">
        <f>IFERROR(HLOOKUP(D127,xHesaplama!$AH$149:$BZ$160,12,0),"")</f>
        <v/>
      </c>
      <c r="T127" s="4" t="str">
        <f>IFERROR(HLOOKUP(D127,xHesaplama!$AH$162:$BZ$174,13,0),"")</f>
        <v/>
      </c>
      <c r="U127" s="4" t="str">
        <f>IFERROR(HLOOKUP(D127,xHesaplama!$AH$176:$BZ$189,14,0),"")</f>
        <v/>
      </c>
      <c r="V127" s="4" t="str">
        <f>IFERROR(HLOOKUP(D127,xHesaplama!$AH$191:$BZ$205,15,0),"")</f>
        <v/>
      </c>
      <c r="W127" s="4" t="str">
        <f>IFERROR(HLOOKUP(D127,xHesaplama!$AH$207:$BZ$222,16,0),"")</f>
        <v/>
      </c>
      <c r="X127" s="4" t="str">
        <f>IFERROR(HLOOKUP(D127,xHesaplama!$AH$224:$BZ$240,17,0),"")</f>
        <v/>
      </c>
      <c r="Y127" s="4" t="str">
        <f>IFERROR(HLOOKUP(D127,xHesaplama!$AH$242:$BZ$259,18,0),"")</f>
        <v/>
      </c>
      <c r="Z127" s="4" t="str">
        <f>IFERROR(HLOOKUP(D127,xHesaplama!$AH$261:$BZ$279,19,0),"")</f>
        <v/>
      </c>
      <c r="AA127" s="4" t="str">
        <f>IFERROR(HLOOKUP(D127,xHesaplama!$AH$281:$BZ$300,20,0),"")</f>
        <v/>
      </c>
      <c r="AB127" s="4" t="str">
        <f>IFERROR(HLOOKUP(D127,xHesaplama!$AH$302:$BZ$322,21,0),"")</f>
        <v/>
      </c>
    </row>
    <row r="128" spans="4:28" ht="26.25">
      <c r="D128" s="61" t="s">
        <v>778</v>
      </c>
      <c r="E128" s="3" t="str">
        <f>'x Malzemeler ve Özellikleri'!S122</f>
        <v>MT</v>
      </c>
      <c r="F128" t="s">
        <v>42</v>
      </c>
      <c r="G128" s="9" t="str">
        <f>VLOOKUP(D128,'x Malzemeler ve Özellikleri'!$O$2:$P$136,2,0)</f>
        <v>PVC FİTİL</v>
      </c>
      <c r="H128" s="63">
        <f>VLOOKUP(D128,'x Malzemeler ve Özellikleri'!$O$2:$R$136,4,0)</f>
        <v>7.874015748031496E-2</v>
      </c>
      <c r="I128" s="4" t="str">
        <f>IFERROR(HLOOKUP(D128,xHesaplama!$AH$74:$BZ$75,2,0),"")</f>
        <v/>
      </c>
      <c r="J128" s="4" t="str">
        <f>IFERROR(HLOOKUP(D128,xHesaplama!$AG$77:$BZ$79,3,0),"")</f>
        <v/>
      </c>
      <c r="K128" s="4" t="str">
        <f>IFERROR(HLOOKUP(D128,xHesaplama!$AG$81:$BZ$84,4,0),"")</f>
        <v/>
      </c>
      <c r="L128" s="4" t="str">
        <f>IFERROR(HLOOKUP(D128,xHesaplama!$AG$86:$BZ$90,5,0),"")</f>
        <v/>
      </c>
      <c r="M128" s="4" t="str">
        <f>IFERROR(HLOOKUP(D128,xHesaplama!$AG$92:$BZ$97,6,0),"")</f>
        <v/>
      </c>
      <c r="N128" s="4" t="str">
        <f>IFERROR(HLOOKUP(D128,xHesaplama!$AG$99:$BZ$105,7,0),"")</f>
        <v/>
      </c>
      <c r="O128" s="4" t="str">
        <f>IFERROR(HLOOKUP(D128,xHesaplama!$AG$107:$BZ$114,8,0),"")</f>
        <v/>
      </c>
      <c r="P128" s="4" t="str">
        <f>IFERROR(HLOOKUP(D128,xHesaplama!$AG$116:$BZ$124,9,0),"")</f>
        <v/>
      </c>
      <c r="Q128" s="4" t="str">
        <f>IFERROR(HLOOKUP(D128,xHesaplama!$AG$126:$BZ$135,10,0),"")</f>
        <v/>
      </c>
      <c r="R128" s="4" t="str">
        <f>IFERROR(HLOOKUP(D128,xHesaplama!$AG$137:$BZ$147,11,0),"")</f>
        <v/>
      </c>
      <c r="S128" s="4" t="str">
        <f>IFERROR(HLOOKUP(D128,xHesaplama!$AH$149:$BZ$160,12,0),"")</f>
        <v/>
      </c>
      <c r="T128" s="4" t="str">
        <f>IFERROR(HLOOKUP(D128,xHesaplama!$AH$162:$BZ$174,13,0),"")</f>
        <v/>
      </c>
      <c r="U128" s="4" t="str">
        <f>IFERROR(HLOOKUP(D128,xHesaplama!$AH$176:$BZ$189,14,0),"")</f>
        <v/>
      </c>
      <c r="V128" s="4" t="str">
        <f>IFERROR(HLOOKUP(D128,xHesaplama!$AH$191:$BZ$205,15,0),"")</f>
        <v/>
      </c>
      <c r="W128" s="4" t="str">
        <f>IFERROR(HLOOKUP(D128,xHesaplama!$AH$207:$BZ$222,16,0),"")</f>
        <v/>
      </c>
      <c r="X128" s="4" t="str">
        <f>IFERROR(HLOOKUP(D128,xHesaplama!$AH$224:$BZ$240,17,0),"")</f>
        <v/>
      </c>
      <c r="Y128" s="4" t="str">
        <f>IFERROR(HLOOKUP(D128,xHesaplama!$AH$242:$BZ$259,18,0),"")</f>
        <v/>
      </c>
      <c r="Z128" s="4" t="str">
        <f>IFERROR(HLOOKUP(D128,xHesaplama!$AH$261:$BZ$279,19,0),"")</f>
        <v/>
      </c>
      <c r="AA128" s="4" t="str">
        <f>IFERROR(HLOOKUP(D128,xHesaplama!$AH$281:$BZ$300,20,0),"")</f>
        <v/>
      </c>
      <c r="AB128" s="4" t="str">
        <f>IFERROR(HLOOKUP(D128,xHesaplama!$AH$302:$BZ$322,21,0),"")</f>
        <v/>
      </c>
    </row>
    <row r="129" spans="4:28" ht="26.25">
      <c r="D129" s="61" t="s">
        <v>747</v>
      </c>
      <c r="E129" s="3" t="str">
        <f>'x Malzemeler ve Özellikleri'!S123</f>
        <v>TAKIM</v>
      </c>
      <c r="F129" t="s">
        <v>30</v>
      </c>
      <c r="G129" s="9" t="str">
        <f>VLOOKUP(D129,'x Malzemeler ve Özellikleri'!$O$2:$P$136,2,0)</f>
        <v>9108-P110</v>
      </c>
      <c r="H129" s="63">
        <f>VLOOKUP(D129,'x Malzemeler ve Özellikleri'!$O$2:$R$136,4,0)</f>
        <v>5.2</v>
      </c>
      <c r="I129" s="4" t="str">
        <f>IFERROR(HLOOKUP(D129,xHesaplama!$AH$74:$BZ$75,2,0),"")</f>
        <v/>
      </c>
      <c r="J129" s="4" t="str">
        <f>IFERROR(HLOOKUP(D129,xHesaplama!$AG$77:$BZ$79,3,0),"")</f>
        <v/>
      </c>
      <c r="K129" s="4" t="str">
        <f>IFERROR(HLOOKUP(D129,xHesaplama!$AG$81:$BZ$84,4,0),"")</f>
        <v/>
      </c>
      <c r="L129" s="4" t="str">
        <f>IFERROR(HLOOKUP(D129,xHesaplama!$AG$86:$BZ$90,5,0),"")</f>
        <v/>
      </c>
      <c r="M129" s="4" t="str">
        <f>IFERROR(HLOOKUP(D129,xHesaplama!$AG$92:$BZ$97,6,0),"")</f>
        <v/>
      </c>
      <c r="N129" s="4" t="str">
        <f>IFERROR(HLOOKUP(D129,xHesaplama!$AG$99:$BZ$105,7,0),"")</f>
        <v/>
      </c>
      <c r="O129" s="4" t="str">
        <f>IFERROR(HLOOKUP(D129,xHesaplama!$AG$107:$BZ$114,8,0),"")</f>
        <v/>
      </c>
      <c r="P129" s="4" t="str">
        <f>IFERROR(HLOOKUP(D129,xHesaplama!$AG$116:$BZ$124,9,0),"")</f>
        <v/>
      </c>
      <c r="Q129" s="4" t="str">
        <f>IFERROR(HLOOKUP(D129,xHesaplama!$AG$126:$BZ$135,10,0),"")</f>
        <v/>
      </c>
      <c r="R129" s="4" t="str">
        <f>IFERROR(HLOOKUP(D129,xHesaplama!$AG$137:$BZ$147,11,0),"")</f>
        <v/>
      </c>
      <c r="S129" s="4" t="str">
        <f>IFERROR(HLOOKUP(D129,xHesaplama!$AH$149:$BZ$160,12,0),"")</f>
        <v/>
      </c>
      <c r="T129" s="4" t="str">
        <f>IFERROR(HLOOKUP(D129,xHesaplama!$AH$162:$BZ$174,13,0),"")</f>
        <v/>
      </c>
      <c r="U129" s="4" t="str">
        <f>IFERROR(HLOOKUP(D129,xHesaplama!$AH$176:$BZ$189,14,0),"")</f>
        <v/>
      </c>
      <c r="V129" s="4" t="str">
        <f>IFERROR(HLOOKUP(D129,xHesaplama!$AH$191:$BZ$205,15,0),"")</f>
        <v/>
      </c>
      <c r="W129" s="4" t="str">
        <f>IFERROR(HLOOKUP(D129,xHesaplama!$AH$207:$BZ$222,16,0),"")</f>
        <v/>
      </c>
      <c r="X129" s="4" t="str">
        <f>IFERROR(HLOOKUP(D129,xHesaplama!$AH$224:$BZ$240,17,0),"")</f>
        <v/>
      </c>
      <c r="Y129" s="4" t="str">
        <f>IFERROR(HLOOKUP(D129,xHesaplama!$AH$242:$BZ$259,18,0),"")</f>
        <v/>
      </c>
      <c r="Z129" s="4" t="str">
        <f>IFERROR(HLOOKUP(D129,xHesaplama!$AH$261:$BZ$279,19,0),"")</f>
        <v/>
      </c>
      <c r="AA129" s="4" t="str">
        <f>IFERROR(HLOOKUP(D129,xHesaplama!$AH$281:$BZ$300,20,0),"")</f>
        <v/>
      </c>
      <c r="AB129" s="4" t="str">
        <f>IFERROR(HLOOKUP(D129,xHesaplama!$AH$302:$BZ$322,21,0),"")</f>
        <v/>
      </c>
    </row>
    <row r="130" spans="4:28" ht="52.5">
      <c r="D130" s="61" t="s">
        <v>748</v>
      </c>
      <c r="E130" s="3" t="str">
        <f>'x Malzemeler ve Özellikleri'!S124</f>
        <v>ADET</v>
      </c>
      <c r="F130" t="s">
        <v>35</v>
      </c>
      <c r="G130" s="9" t="str">
        <f>VLOOKUP(D130,'x Malzemeler ve Özellikleri'!$O$2:$P$136,2,0)</f>
        <v>MNS.P1.028</v>
      </c>
      <c r="H130" s="63">
        <f>VLOOKUP(D130,'x Malzemeler ve Özellikleri'!$O$2:$R$136,4,0)</f>
        <v>1.43</v>
      </c>
      <c r="I130" s="4" t="str">
        <f>IFERROR(HLOOKUP(D130,xHesaplama!$AH$74:$BZ$75,2,0),"")</f>
        <v/>
      </c>
      <c r="J130" s="4" t="str">
        <f>IFERROR(HLOOKUP(D130,xHesaplama!$AG$77:$BZ$79,3,0),"")</f>
        <v/>
      </c>
      <c r="K130" s="4" t="str">
        <f>IFERROR(HLOOKUP(D130,xHesaplama!$AG$81:$BZ$84,4,0),"")</f>
        <v/>
      </c>
      <c r="L130" s="4" t="str">
        <f>IFERROR(HLOOKUP(D130,xHesaplama!$AG$86:$BZ$90,5,0),"")</f>
        <v/>
      </c>
      <c r="M130" s="4" t="str">
        <f>IFERROR(HLOOKUP(D130,xHesaplama!$AG$92:$BZ$97,6,0),"")</f>
        <v/>
      </c>
      <c r="N130" s="4" t="str">
        <f>IFERROR(HLOOKUP(D130,xHesaplama!$AG$99:$BZ$105,7,0),"")</f>
        <v/>
      </c>
      <c r="O130" s="4" t="str">
        <f>IFERROR(HLOOKUP(D130,xHesaplama!$AG$107:$BZ$114,8,0),"")</f>
        <v/>
      </c>
      <c r="P130" s="4" t="str">
        <f>IFERROR(HLOOKUP(D130,xHesaplama!$AG$116:$BZ$124,9,0),"")</f>
        <v/>
      </c>
      <c r="Q130" s="4" t="str">
        <f>IFERROR(HLOOKUP(D130,xHesaplama!$AG$126:$BZ$135,10,0),"")</f>
        <v/>
      </c>
      <c r="R130" s="4" t="str">
        <f>IFERROR(HLOOKUP(D130,xHesaplama!$AG$137:$BZ$147,11,0),"")</f>
        <v/>
      </c>
      <c r="S130" s="4" t="str">
        <f>IFERROR(HLOOKUP(D130,xHesaplama!$AH$149:$BZ$160,12,0),"")</f>
        <v/>
      </c>
      <c r="T130" s="4" t="str">
        <f>IFERROR(HLOOKUP(D130,xHesaplama!$AH$162:$BZ$174,13,0),"")</f>
        <v/>
      </c>
      <c r="U130" s="4" t="str">
        <f>IFERROR(HLOOKUP(D130,xHesaplama!$AH$176:$BZ$189,14,0),"")</f>
        <v/>
      </c>
      <c r="V130" s="4" t="str">
        <f>IFERROR(HLOOKUP(D130,xHesaplama!$AH$191:$BZ$205,15,0),"")</f>
        <v/>
      </c>
      <c r="W130" s="4" t="str">
        <f>IFERROR(HLOOKUP(D130,xHesaplama!$AH$207:$BZ$222,16,0),"")</f>
        <v/>
      </c>
      <c r="X130" s="4" t="str">
        <f>IFERROR(HLOOKUP(D130,xHesaplama!$AH$224:$BZ$240,17,0),"")</f>
        <v/>
      </c>
      <c r="Y130" s="4" t="str">
        <f>IFERROR(HLOOKUP(D130,xHesaplama!$AH$242:$BZ$259,18,0),"")</f>
        <v/>
      </c>
      <c r="Z130" s="4" t="str">
        <f>IFERROR(HLOOKUP(D130,xHesaplama!$AH$261:$BZ$279,19,0),"")</f>
        <v/>
      </c>
      <c r="AA130" s="4" t="str">
        <f>IFERROR(HLOOKUP(D130,xHesaplama!$AH$281:$BZ$300,20,0),"")</f>
        <v/>
      </c>
      <c r="AB130" s="4" t="str">
        <f>IFERROR(HLOOKUP(D130,xHesaplama!$AH$302:$BZ$322,21,0),"")</f>
        <v/>
      </c>
    </row>
    <row r="131" spans="4:28" ht="26.25">
      <c r="D131" s="61" t="s">
        <v>749</v>
      </c>
      <c r="E131" s="3" t="str">
        <f>'x Malzemeler ve Özellikleri'!S125</f>
        <v>ADET</v>
      </c>
      <c r="F131" t="s">
        <v>7</v>
      </c>
      <c r="G131" s="9" t="str">
        <f>VLOOKUP(D131,'x Malzemeler ve Özellikleri'!$O$2:$P$136,2,0)</f>
        <v>KFL 001</v>
      </c>
      <c r="H131" s="63">
        <f>VLOOKUP(D131,'x Malzemeler ve Özellikleri'!$O$2:$R$136,4,0)</f>
        <v>1.0181102362204726</v>
      </c>
      <c r="I131" s="4" t="str">
        <f>IFERROR(HLOOKUP(D131,xHesaplama!$AH$74:$BZ$75,2,0),"")</f>
        <v/>
      </c>
      <c r="J131" s="4" t="str">
        <f>IFERROR(HLOOKUP(D131,xHesaplama!$AG$77:$BZ$79,3,0),"")</f>
        <v/>
      </c>
      <c r="K131" s="4" t="str">
        <f>IFERROR(HLOOKUP(D131,xHesaplama!$AG$81:$BZ$84,4,0),"")</f>
        <v/>
      </c>
      <c r="L131" s="4" t="str">
        <f>IFERROR(HLOOKUP(D131,xHesaplama!$AG$86:$BZ$90,5,0),"")</f>
        <v/>
      </c>
      <c r="M131" s="4" t="str">
        <f>IFERROR(HLOOKUP(D131,xHesaplama!$AG$92:$BZ$97,6,0),"")</f>
        <v/>
      </c>
      <c r="N131" s="4" t="str">
        <f>IFERROR(HLOOKUP(D131,xHesaplama!$AG$99:$BZ$105,7,0),"")</f>
        <v/>
      </c>
      <c r="O131" s="4" t="str">
        <f>IFERROR(HLOOKUP(D131,xHesaplama!$AG$107:$BZ$114,8,0),"")</f>
        <v/>
      </c>
      <c r="P131" s="4" t="str">
        <f>IFERROR(HLOOKUP(D131,xHesaplama!$AG$116:$BZ$124,9,0),"")</f>
        <v/>
      </c>
      <c r="Q131" s="4" t="str">
        <f>IFERROR(HLOOKUP(D131,xHesaplama!$AG$126:$BZ$135,10,0),"")</f>
        <v/>
      </c>
      <c r="R131" s="4" t="str">
        <f>IFERROR(HLOOKUP(D131,xHesaplama!$AG$137:$BZ$147,11,0),"")</f>
        <v/>
      </c>
      <c r="S131" s="4" t="str">
        <f>IFERROR(HLOOKUP(D131,xHesaplama!$AH$149:$BZ$160,12,0),"")</f>
        <v/>
      </c>
      <c r="T131" s="4" t="str">
        <f>IFERROR(HLOOKUP(D131,xHesaplama!$AH$162:$BZ$174,13,0),"")</f>
        <v/>
      </c>
      <c r="U131" s="4" t="str">
        <f>IFERROR(HLOOKUP(D131,xHesaplama!$AH$176:$BZ$189,14,0),"")</f>
        <v/>
      </c>
      <c r="V131" s="4" t="str">
        <f>IFERROR(HLOOKUP(D131,xHesaplama!$AH$191:$BZ$205,15,0),"")</f>
        <v/>
      </c>
      <c r="W131" s="4" t="str">
        <f>IFERROR(HLOOKUP(D131,xHesaplama!$AH$207:$BZ$222,16,0),"")</f>
        <v/>
      </c>
      <c r="X131" s="4" t="str">
        <f>IFERROR(HLOOKUP(D131,xHesaplama!$AH$224:$BZ$240,17,0),"")</f>
        <v/>
      </c>
      <c r="Y131" s="4" t="str">
        <f>IFERROR(HLOOKUP(D131,xHesaplama!$AH$242:$BZ$259,18,0),"")</f>
        <v/>
      </c>
      <c r="Z131" s="4" t="str">
        <f>IFERROR(HLOOKUP(D131,xHesaplama!$AH$261:$BZ$279,19,0),"")</f>
        <v/>
      </c>
      <c r="AA131" s="4" t="str">
        <f>IFERROR(HLOOKUP(D131,xHesaplama!$AH$281:$BZ$300,20,0),"")</f>
        <v/>
      </c>
      <c r="AB131" s="4" t="str">
        <f>IFERROR(HLOOKUP(D131,xHesaplama!$AH$302:$BZ$322,21,0),"")</f>
        <v/>
      </c>
    </row>
    <row r="132" spans="4:28" ht="52.5">
      <c r="D132" s="61" t="s">
        <v>750</v>
      </c>
      <c r="E132" s="3" t="str">
        <f>'x Malzemeler ve Özellikleri'!S126</f>
        <v>ADET</v>
      </c>
      <c r="F132" t="s">
        <v>89</v>
      </c>
      <c r="G132" s="9" t="str">
        <f>VLOOKUP(D132,'x Malzemeler ve Özellikleri'!$O$2:$P$136,2,0)</f>
        <v>MNS.P1.009</v>
      </c>
      <c r="H132" s="63">
        <f>VLOOKUP(D132,'x Malzemeler ve Özellikleri'!$O$2:$R$136,4,0)</f>
        <v>1.35</v>
      </c>
      <c r="I132" s="4" t="str">
        <f>IFERROR(HLOOKUP(D132,xHesaplama!$AH$74:$BZ$75,2,0),"")</f>
        <v/>
      </c>
      <c r="J132" s="4" t="str">
        <f>IFERROR(HLOOKUP(D132,xHesaplama!$AG$77:$BZ$79,3,0),"")</f>
        <v/>
      </c>
      <c r="K132" s="4" t="str">
        <f>IFERROR(HLOOKUP(D132,xHesaplama!$AG$81:$BZ$84,4,0),"")</f>
        <v/>
      </c>
      <c r="L132" s="4" t="str">
        <f>IFERROR(HLOOKUP(D132,xHesaplama!$AG$86:$BZ$90,5,0),"")</f>
        <v/>
      </c>
      <c r="M132" s="4" t="str">
        <f>IFERROR(HLOOKUP(D132,xHesaplama!$AG$92:$BZ$97,6,0),"")</f>
        <v/>
      </c>
      <c r="N132" s="4" t="str">
        <f>IFERROR(HLOOKUP(D132,xHesaplama!$AG$99:$BZ$105,7,0),"")</f>
        <v/>
      </c>
      <c r="O132" s="4" t="str">
        <f>IFERROR(HLOOKUP(D132,xHesaplama!$AG$107:$BZ$114,8,0),"")</f>
        <v/>
      </c>
      <c r="P132" s="4" t="str">
        <f>IFERROR(HLOOKUP(D132,xHesaplama!$AG$116:$BZ$124,9,0),"")</f>
        <v/>
      </c>
      <c r="Q132" s="4" t="str">
        <f>IFERROR(HLOOKUP(D132,xHesaplama!$AG$126:$BZ$135,10,0),"")</f>
        <v/>
      </c>
      <c r="R132" s="4" t="str">
        <f>IFERROR(HLOOKUP(D132,xHesaplama!$AG$137:$BZ$147,11,0),"")</f>
        <v/>
      </c>
      <c r="S132" s="4" t="str">
        <f>IFERROR(HLOOKUP(D132,xHesaplama!$AH$149:$BZ$160,12,0),"")</f>
        <v/>
      </c>
      <c r="T132" s="4" t="str">
        <f>IFERROR(HLOOKUP(D132,xHesaplama!$AH$162:$BZ$174,13,0),"")</f>
        <v/>
      </c>
      <c r="U132" s="4" t="str">
        <f>IFERROR(HLOOKUP(D132,xHesaplama!$AH$176:$BZ$189,14,0),"")</f>
        <v/>
      </c>
      <c r="V132" s="4" t="str">
        <f>IFERROR(HLOOKUP(D132,xHesaplama!$AH$191:$BZ$205,15,0),"")</f>
        <v/>
      </c>
      <c r="W132" s="4" t="str">
        <f>IFERROR(HLOOKUP(D132,xHesaplama!$AH$207:$BZ$222,16,0),"")</f>
        <v/>
      </c>
      <c r="X132" s="4" t="str">
        <f>IFERROR(HLOOKUP(D132,xHesaplama!$AH$224:$BZ$240,17,0),"")</f>
        <v/>
      </c>
      <c r="Y132" s="4" t="str">
        <f>IFERROR(HLOOKUP(D132,xHesaplama!$AH$242:$BZ$259,18,0),"")</f>
        <v/>
      </c>
      <c r="Z132" s="4" t="str">
        <f>IFERROR(HLOOKUP(D132,xHesaplama!$AH$261:$BZ$279,19,0),"")</f>
        <v/>
      </c>
      <c r="AA132" s="4" t="str">
        <f>IFERROR(HLOOKUP(D132,xHesaplama!$AH$281:$BZ$300,20,0),"")</f>
        <v/>
      </c>
      <c r="AB132" s="4" t="str">
        <f>IFERROR(HLOOKUP(D132,xHesaplama!$AH$302:$BZ$322,21,0),"")</f>
        <v/>
      </c>
    </row>
    <row r="133" spans="4:28" ht="26.25">
      <c r="D133" s="61" t="s">
        <v>751</v>
      </c>
      <c r="E133" s="3" t="str">
        <f>'x Malzemeler ve Özellikleri'!S127</f>
        <v>MT</v>
      </c>
      <c r="F133" t="s">
        <v>64</v>
      </c>
      <c r="G133" s="9" t="str">
        <f>VLOOKUP(D133,'x Malzemeler ve Özellikleri'!$O$2:$P$136,2,0)</f>
        <v>PDALT01</v>
      </c>
      <c r="H133" s="63">
        <f>VLOOKUP(D133,'x Malzemeler ve Özellikleri'!$O$2:$R$136,4,0)</f>
        <v>3.7330708661417331</v>
      </c>
      <c r="I133" s="4" t="str">
        <f>IFERROR(HLOOKUP(D133,xHesaplama!$AH$74:$BZ$75,2,0),"")</f>
        <v/>
      </c>
      <c r="J133" s="4" t="str">
        <f>IFERROR(HLOOKUP(D133,xHesaplama!$AG$77:$BZ$79,3,0),"")</f>
        <v/>
      </c>
      <c r="K133" s="4" t="str">
        <f>IFERROR(HLOOKUP(D133,xHesaplama!$AG$81:$BZ$84,4,0),"")</f>
        <v/>
      </c>
      <c r="L133" s="4" t="str">
        <f>IFERROR(HLOOKUP(D133,xHesaplama!$AG$86:$BZ$90,5,0),"")</f>
        <v/>
      </c>
      <c r="M133" s="4" t="str">
        <f>IFERROR(HLOOKUP(D133,xHesaplama!$AG$92:$BZ$97,6,0),"")</f>
        <v/>
      </c>
      <c r="N133" s="4" t="str">
        <f>IFERROR(HLOOKUP(D133,xHesaplama!$AG$99:$BZ$105,7,0),"")</f>
        <v/>
      </c>
      <c r="O133" s="4" t="str">
        <f>IFERROR(HLOOKUP(D133,xHesaplama!$AG$107:$BZ$114,8,0),"")</f>
        <v/>
      </c>
      <c r="P133" s="4" t="str">
        <f>IFERROR(HLOOKUP(D133,xHesaplama!$AG$116:$BZ$124,9,0),"")</f>
        <v/>
      </c>
      <c r="Q133" s="4" t="str">
        <f>IFERROR(HLOOKUP(D133,xHesaplama!$AG$126:$BZ$135,10,0),"")</f>
        <v/>
      </c>
      <c r="R133" s="4" t="str">
        <f>IFERROR(HLOOKUP(D133,xHesaplama!$AG$137:$BZ$147,11,0),"")</f>
        <v/>
      </c>
      <c r="S133" s="4" t="str">
        <f>IFERROR(HLOOKUP(D133,xHesaplama!$AH$149:$BZ$160,12,0),"")</f>
        <v/>
      </c>
      <c r="T133" s="4" t="str">
        <f>IFERROR(HLOOKUP(D133,xHesaplama!$AH$162:$BZ$174,13,0),"")</f>
        <v/>
      </c>
      <c r="U133" s="4" t="str">
        <f>IFERROR(HLOOKUP(D133,xHesaplama!$AH$176:$BZ$189,14,0),"")</f>
        <v/>
      </c>
      <c r="V133" s="4" t="str">
        <f>IFERROR(HLOOKUP(D133,xHesaplama!$AH$191:$BZ$205,15,0),"")</f>
        <v/>
      </c>
      <c r="W133" s="4" t="str">
        <f>IFERROR(HLOOKUP(D133,xHesaplama!$AH$207:$BZ$222,16,0),"")</f>
        <v/>
      </c>
      <c r="X133" s="4" t="str">
        <f>IFERROR(HLOOKUP(D133,xHesaplama!$AH$224:$BZ$240,17,0),"")</f>
        <v/>
      </c>
      <c r="Y133" s="4" t="str">
        <f>IFERROR(HLOOKUP(D133,xHesaplama!$AH$242:$BZ$259,18,0),"")</f>
        <v/>
      </c>
      <c r="Z133" s="4" t="str">
        <f>IFERROR(HLOOKUP(D133,xHesaplama!$AH$261:$BZ$279,19,0),"")</f>
        <v/>
      </c>
      <c r="AA133" s="4" t="str">
        <f>IFERROR(HLOOKUP(D133,xHesaplama!$AH$281:$BZ$300,20,0),"")</f>
        <v/>
      </c>
      <c r="AB133" s="4" t="str">
        <f>IFERROR(HLOOKUP(D133,xHesaplama!$AH$302:$BZ$322,21,0),"")</f>
        <v/>
      </c>
    </row>
    <row r="134" spans="4:28" ht="26.25">
      <c r="D134" s="61" t="s">
        <v>752</v>
      </c>
      <c r="E134" s="3" t="str">
        <f>'x Malzemeler ve Özellikleri'!S128</f>
        <v>MT</v>
      </c>
      <c r="F134" t="s">
        <v>82</v>
      </c>
      <c r="G134" s="9" t="str">
        <f>VLOOKUP(D134,'x Malzemeler ve Özellikleri'!$O$2:$P$136,2,0)</f>
        <v>BP.431</v>
      </c>
      <c r="H134" s="63">
        <f>VLOOKUP(D134,'x Malzemeler ve Özellikleri'!$O$2:$R$136,4,0)</f>
        <v>3.8179133858267722</v>
      </c>
      <c r="I134" s="4" t="str">
        <f>IFERROR(HLOOKUP(D134,xHesaplama!$AH$74:$BZ$75,2,0),"")</f>
        <v/>
      </c>
      <c r="J134" s="4" t="str">
        <f>IFERROR(HLOOKUP(D134,xHesaplama!$AG$77:$BZ$79,3,0),"")</f>
        <v/>
      </c>
      <c r="K134" s="4" t="str">
        <f>IFERROR(HLOOKUP(D134,xHesaplama!$AG$81:$BZ$84,4,0),"")</f>
        <v/>
      </c>
      <c r="L134" s="4" t="str">
        <f>IFERROR(HLOOKUP(D134,xHesaplama!$AG$86:$BZ$90,5,0),"")</f>
        <v/>
      </c>
      <c r="M134" s="4" t="str">
        <f>IFERROR(HLOOKUP(D134,xHesaplama!$AG$92:$BZ$97,6,0),"")</f>
        <v/>
      </c>
      <c r="N134" s="4" t="str">
        <f>IFERROR(HLOOKUP(D134,xHesaplama!$AG$99:$BZ$105,7,0),"")</f>
        <v/>
      </c>
      <c r="O134" s="4" t="str">
        <f>IFERROR(HLOOKUP(D134,xHesaplama!$AG$107:$BZ$114,8,0),"")</f>
        <v/>
      </c>
      <c r="P134" s="4" t="str">
        <f>IFERROR(HLOOKUP(D134,xHesaplama!$AG$116:$BZ$124,9,0),"")</f>
        <v/>
      </c>
      <c r="Q134" s="4" t="str">
        <f>IFERROR(HLOOKUP(D134,xHesaplama!$AG$126:$BZ$135,10,0),"")</f>
        <v/>
      </c>
      <c r="R134" s="4" t="str">
        <f>IFERROR(HLOOKUP(D134,xHesaplama!$AG$137:$BZ$147,11,0),"")</f>
        <v/>
      </c>
      <c r="S134" s="4" t="str">
        <f>IFERROR(HLOOKUP(D134,xHesaplama!$AH$149:$BZ$160,12,0),"")</f>
        <v/>
      </c>
      <c r="T134" s="4" t="str">
        <f>IFERROR(HLOOKUP(D134,xHesaplama!$AH$162:$BZ$174,13,0),"")</f>
        <v/>
      </c>
      <c r="U134" s="4" t="str">
        <f>IFERROR(HLOOKUP(D134,xHesaplama!$AH$176:$BZ$189,14,0),"")</f>
        <v/>
      </c>
      <c r="V134" s="4" t="str">
        <f>IFERROR(HLOOKUP(D134,xHesaplama!$AH$191:$BZ$205,15,0),"")</f>
        <v/>
      </c>
      <c r="W134" s="4" t="str">
        <f>IFERROR(HLOOKUP(D134,xHesaplama!$AH$207:$BZ$222,16,0),"")</f>
        <v/>
      </c>
      <c r="X134" s="4" t="str">
        <f>IFERROR(HLOOKUP(D134,xHesaplama!$AH$224:$BZ$240,17,0),"")</f>
        <v/>
      </c>
      <c r="Y134" s="4" t="str">
        <f>IFERROR(HLOOKUP(D134,xHesaplama!$AH$242:$BZ$259,18,0),"")</f>
        <v/>
      </c>
      <c r="Z134" s="4" t="str">
        <f>IFERROR(HLOOKUP(D134,xHesaplama!$AH$261:$BZ$279,19,0),"")</f>
        <v/>
      </c>
      <c r="AA134" s="4" t="str">
        <f>IFERROR(HLOOKUP(D134,xHesaplama!$AH$281:$BZ$300,20,0),"")</f>
        <v/>
      </c>
      <c r="AB134" s="4" t="str">
        <f>IFERROR(HLOOKUP(D134,xHesaplama!$AH$302:$BZ$322,21,0),"")</f>
        <v/>
      </c>
    </row>
    <row r="135" spans="4:28" ht="52.5">
      <c r="D135" s="61" t="s">
        <v>753</v>
      </c>
      <c r="E135" s="3" t="str">
        <f>'x Malzemeler ve Özellikleri'!S129</f>
        <v>ADET</v>
      </c>
      <c r="F135" t="s">
        <v>68</v>
      </c>
      <c r="G135" s="9" t="str">
        <f>VLOOKUP(D135,'x Malzemeler ve Özellikleri'!$O$2:$P$136,2,0)</f>
        <v>MNS.P1.008-019</v>
      </c>
      <c r="H135" s="63">
        <f>VLOOKUP(D135,'x Malzemeler ve Özellikleri'!$O$2:$R$136,4,0)</f>
        <v>0.09</v>
      </c>
      <c r="I135" s="4" t="str">
        <f>IFERROR(HLOOKUP(D135,xHesaplama!$AH$74:$BZ$75,2,0),"")</f>
        <v/>
      </c>
      <c r="J135" s="4" t="str">
        <f>IFERROR(HLOOKUP(D135,xHesaplama!$AG$77:$BZ$79,3,0),"")</f>
        <v/>
      </c>
      <c r="K135" s="4" t="str">
        <f>IFERROR(HLOOKUP(D135,xHesaplama!$AG$81:$BZ$84,4,0),"")</f>
        <v/>
      </c>
      <c r="L135" s="4" t="str">
        <f>IFERROR(HLOOKUP(D135,xHesaplama!$AG$86:$BZ$90,5,0),"")</f>
        <v/>
      </c>
      <c r="M135" s="4" t="str">
        <f>IFERROR(HLOOKUP(D135,xHesaplama!$AG$92:$BZ$97,6,0),"")</f>
        <v/>
      </c>
      <c r="N135" s="4" t="str">
        <f>IFERROR(HLOOKUP(D135,xHesaplama!$AG$99:$BZ$105,7,0),"")</f>
        <v/>
      </c>
      <c r="O135" s="4" t="str">
        <f>IFERROR(HLOOKUP(D135,xHesaplama!$AG$107:$BZ$114,8,0),"")</f>
        <v/>
      </c>
      <c r="P135" s="4" t="str">
        <f>IFERROR(HLOOKUP(D135,xHesaplama!$AG$116:$BZ$124,9,0),"")</f>
        <v/>
      </c>
      <c r="Q135" s="4" t="str">
        <f>IFERROR(HLOOKUP(D135,xHesaplama!$AG$126:$BZ$135,10,0),"")</f>
        <v/>
      </c>
      <c r="R135" s="4" t="str">
        <f>IFERROR(HLOOKUP(D135,xHesaplama!$AG$137:$BZ$147,11,0),"")</f>
        <v/>
      </c>
      <c r="S135" s="4" t="str">
        <f>IFERROR(HLOOKUP(D135,xHesaplama!$AH$149:$BZ$160,12,0),"")</f>
        <v/>
      </c>
      <c r="T135" s="4" t="str">
        <f>IFERROR(HLOOKUP(D135,xHesaplama!$AH$162:$BZ$174,13,0),"")</f>
        <v/>
      </c>
      <c r="U135" s="4" t="str">
        <f>IFERROR(HLOOKUP(D135,xHesaplama!$AH$176:$BZ$189,14,0),"")</f>
        <v/>
      </c>
      <c r="V135" s="4" t="str">
        <f>IFERROR(HLOOKUP(D135,xHesaplama!$AH$191:$BZ$205,15,0),"")</f>
        <v/>
      </c>
      <c r="W135" s="4" t="str">
        <f>IFERROR(HLOOKUP(D135,xHesaplama!$AH$207:$BZ$222,16,0),"")</f>
        <v/>
      </c>
      <c r="X135" s="4" t="str">
        <f>IFERROR(HLOOKUP(D135,xHesaplama!$AH$224:$BZ$240,17,0),"")</f>
        <v/>
      </c>
      <c r="Y135" s="4" t="str">
        <f>IFERROR(HLOOKUP(D135,xHesaplama!$AH$242:$BZ$259,18,0),"")</f>
        <v/>
      </c>
      <c r="Z135" s="4" t="str">
        <f>IFERROR(HLOOKUP(D135,xHesaplama!$AH$261:$BZ$279,19,0),"")</f>
        <v/>
      </c>
      <c r="AA135" s="4" t="str">
        <f>IFERROR(HLOOKUP(D135,xHesaplama!$AH$281:$BZ$300,20,0),"")</f>
        <v/>
      </c>
      <c r="AB135" s="4" t="str">
        <f>IFERROR(HLOOKUP(D135,xHesaplama!$AH$302:$BZ$322,21,0),"")</f>
        <v/>
      </c>
    </row>
    <row r="136" spans="4:28" ht="26.25">
      <c r="D136" s="61" t="s">
        <v>779</v>
      </c>
      <c r="E136" s="3" t="str">
        <f>'x Malzemeler ve Özellikleri'!S130</f>
        <v>ADET</v>
      </c>
      <c r="F136" t="s">
        <v>40</v>
      </c>
      <c r="G136" s="9">
        <f>VLOOKUP(D136,'x Malzemeler ve Özellikleri'!$O$2:$P$136,2,0)</f>
        <v>9761001</v>
      </c>
      <c r="H136" s="63">
        <f>VLOOKUP(D136,'x Malzemeler ve Özellikleri'!$O$2:$R$136,4,0)</f>
        <v>1.45</v>
      </c>
      <c r="I136" s="4" t="str">
        <f>IFERROR(HLOOKUP(D136,xHesaplama!$AH$74:$BZ$75,2,0),"")</f>
        <v/>
      </c>
      <c r="J136" s="4" t="str">
        <f>IFERROR(HLOOKUP(D136,xHesaplama!$AG$77:$BZ$79,3,0),"")</f>
        <v/>
      </c>
      <c r="K136" s="4" t="str">
        <f>IFERROR(HLOOKUP(D136,xHesaplama!$AG$81:$BZ$84,4,0),"")</f>
        <v/>
      </c>
      <c r="L136" s="4" t="str">
        <f>IFERROR(HLOOKUP(D136,xHesaplama!$AG$86:$BZ$90,5,0),"")</f>
        <v/>
      </c>
      <c r="M136" s="4" t="str">
        <f>IFERROR(HLOOKUP(D136,xHesaplama!$AG$92:$BZ$97,6,0),"")</f>
        <v/>
      </c>
      <c r="N136" s="4" t="str">
        <f>IFERROR(HLOOKUP(D136,xHesaplama!$AG$99:$BZ$105,7,0),"")</f>
        <v/>
      </c>
      <c r="O136" s="4" t="str">
        <f>IFERROR(HLOOKUP(D136,xHesaplama!$AG$107:$BZ$114,8,0),"")</f>
        <v/>
      </c>
      <c r="P136" s="4" t="str">
        <f>IFERROR(HLOOKUP(D136,xHesaplama!$AG$116:$BZ$124,9,0),"")</f>
        <v/>
      </c>
      <c r="Q136" s="4" t="str">
        <f>IFERROR(HLOOKUP(D136,xHesaplama!$AG$126:$BZ$135,10,0),"")</f>
        <v/>
      </c>
      <c r="R136" s="4" t="str">
        <f>IFERROR(HLOOKUP(D136,xHesaplama!$AG$137:$BZ$147,11,0),"")</f>
        <v/>
      </c>
      <c r="S136" s="4" t="str">
        <f>IFERROR(HLOOKUP(D136,xHesaplama!$AH$149:$BZ$160,12,0),"")</f>
        <v/>
      </c>
      <c r="T136" s="4" t="str">
        <f>IFERROR(HLOOKUP(D136,xHesaplama!$AH$162:$BZ$174,13,0),"")</f>
        <v/>
      </c>
      <c r="U136" s="4" t="str">
        <f>IFERROR(HLOOKUP(D136,xHesaplama!$AH$176:$BZ$189,14,0),"")</f>
        <v/>
      </c>
      <c r="V136" s="4" t="str">
        <f>IFERROR(HLOOKUP(D136,xHesaplama!$AH$191:$BZ$205,15,0),"")</f>
        <v/>
      </c>
      <c r="W136" s="4" t="str">
        <f>IFERROR(HLOOKUP(D136,xHesaplama!$AH$207:$BZ$222,16,0),"")</f>
        <v/>
      </c>
      <c r="X136" s="4" t="str">
        <f>IFERROR(HLOOKUP(D136,xHesaplama!$AH$224:$BZ$240,17,0),"")</f>
        <v/>
      </c>
      <c r="Y136" s="4" t="str">
        <f>IFERROR(HLOOKUP(D136,xHesaplama!$AH$242:$BZ$259,18,0),"")</f>
        <v/>
      </c>
      <c r="Z136" s="4" t="str">
        <f>IFERROR(HLOOKUP(D136,xHesaplama!$AH$261:$BZ$279,19,0),"")</f>
        <v/>
      </c>
      <c r="AA136" s="4" t="str">
        <f>IFERROR(HLOOKUP(D136,xHesaplama!$AH$281:$BZ$300,20,0),"")</f>
        <v/>
      </c>
      <c r="AB136" s="4" t="str">
        <f>IFERROR(HLOOKUP(D136,xHesaplama!$AH$302:$BZ$322,21,0),"")</f>
        <v/>
      </c>
    </row>
    <row r="137" spans="4:28" ht="52.5">
      <c r="D137" s="61" t="s">
        <v>780</v>
      </c>
      <c r="E137" s="3" t="str">
        <f>'x Malzemeler ve Özellikleri'!S131</f>
        <v>ADET</v>
      </c>
      <c r="F137" t="s">
        <v>644</v>
      </c>
      <c r="G137" s="9" t="str">
        <f>VLOOKUP(D137,'x Malzemeler ve Özellikleri'!$O$2:$P$136,2,0)</f>
        <v>MNS.P1.014</v>
      </c>
      <c r="H137" s="63">
        <f>VLOOKUP(D137,'x Malzemeler ve Özellikleri'!$O$2:$R$136,4,0)</f>
        <v>0.86</v>
      </c>
      <c r="I137" s="4" t="str">
        <f>IFERROR(HLOOKUP(D137,xHesaplama!$AH$74:$BZ$75,2,0),"")</f>
        <v/>
      </c>
      <c r="J137" s="4" t="str">
        <f>IFERROR(HLOOKUP(D137,xHesaplama!$AG$77:$BZ$79,3,0),"")</f>
        <v/>
      </c>
      <c r="K137" s="4" t="str">
        <f>IFERROR(HLOOKUP(D137,xHesaplama!$AG$81:$BZ$84,4,0),"")</f>
        <v/>
      </c>
      <c r="L137" s="4" t="str">
        <f>IFERROR(HLOOKUP(D137,xHesaplama!$AG$86:$BZ$90,5,0),"")</f>
        <v/>
      </c>
      <c r="M137" s="4" t="str">
        <f>IFERROR(HLOOKUP(D137,xHesaplama!$AG$92:$BZ$97,6,0),"")</f>
        <v/>
      </c>
      <c r="N137" s="4" t="str">
        <f>IFERROR(HLOOKUP(D137,xHesaplama!$AG$99:$BZ$105,7,0),"")</f>
        <v/>
      </c>
      <c r="O137" s="4" t="str">
        <f>IFERROR(HLOOKUP(D137,xHesaplama!$AG$107:$BZ$114,8,0),"")</f>
        <v/>
      </c>
      <c r="P137" s="4" t="str">
        <f>IFERROR(HLOOKUP(D137,xHesaplama!$AG$116:$BZ$124,9,0),"")</f>
        <v/>
      </c>
      <c r="Q137" s="4" t="str">
        <f>IFERROR(HLOOKUP(D137,xHesaplama!$AG$126:$BZ$135,10,0),"")</f>
        <v/>
      </c>
      <c r="R137" s="4" t="str">
        <f>IFERROR(HLOOKUP(D137,xHesaplama!$AG$137:$BZ$147,11,0),"")</f>
        <v/>
      </c>
      <c r="S137" s="4" t="str">
        <f>IFERROR(HLOOKUP(D137,xHesaplama!$AH$149:$BZ$160,12,0),"")</f>
        <v/>
      </c>
      <c r="T137" s="4" t="str">
        <f>IFERROR(HLOOKUP(D137,xHesaplama!$AH$162:$BZ$174,13,0),"")</f>
        <v/>
      </c>
      <c r="U137" s="4" t="str">
        <f>IFERROR(HLOOKUP(D137,xHesaplama!$AH$176:$BZ$189,14,0),"")</f>
        <v/>
      </c>
      <c r="V137" s="4" t="str">
        <f>IFERROR(HLOOKUP(D137,xHesaplama!$AH$191:$BZ$205,15,0),"")</f>
        <v/>
      </c>
      <c r="W137" s="4" t="str">
        <f>IFERROR(HLOOKUP(D137,xHesaplama!$AH$207:$BZ$222,16,0),"")</f>
        <v/>
      </c>
      <c r="X137" s="4" t="str">
        <f>IFERROR(HLOOKUP(D137,xHesaplama!$AH$224:$BZ$240,17,0),"")</f>
        <v/>
      </c>
      <c r="Y137" s="4" t="str">
        <f>IFERROR(HLOOKUP(D137,xHesaplama!$AH$242:$BZ$259,18,0),"")</f>
        <v/>
      </c>
      <c r="Z137" s="4" t="str">
        <f>IFERROR(HLOOKUP(D137,xHesaplama!$AH$261:$BZ$279,19,0),"")</f>
        <v/>
      </c>
      <c r="AA137" s="4" t="str">
        <f>IFERROR(HLOOKUP(D137,xHesaplama!$AH$281:$BZ$300,20,0),"")</f>
        <v/>
      </c>
      <c r="AB137" s="4" t="str">
        <f>IFERROR(HLOOKUP(D137,xHesaplama!$AH$302:$BZ$322,21,0),"")</f>
        <v/>
      </c>
    </row>
    <row r="138" spans="4:28" ht="26.25">
      <c r="D138" s="61" t="s">
        <v>754</v>
      </c>
      <c r="E138" s="3" t="str">
        <f>'x Malzemeler ve Özellikleri'!S132</f>
        <v>ADET</v>
      </c>
      <c r="F138" t="s">
        <v>738</v>
      </c>
      <c r="G138" s="9" t="str">
        <f>VLOOKUP(D138,'x Malzemeler ve Özellikleri'!$O$2:$P$136,2,0)</f>
        <v>XKZ5</v>
      </c>
      <c r="H138" s="63">
        <f>VLOOKUP(D138,'x Malzemeler ve Özellikleri'!$O$2:$R$136,4,0)</f>
        <v>6.1023622047244102</v>
      </c>
      <c r="I138" s="4" t="str">
        <f>IFERROR(HLOOKUP(D138,xHesaplama!$AH$74:$BZ$75,2,0),"")</f>
        <v/>
      </c>
      <c r="J138" s="4" t="str">
        <f>IFERROR(HLOOKUP(D138,xHesaplama!$AG$77:$BZ$79,3,0),"")</f>
        <v/>
      </c>
      <c r="K138" s="4" t="str">
        <f>IFERROR(HLOOKUP(D138,xHesaplama!$AG$81:$BZ$84,4,0),"")</f>
        <v/>
      </c>
      <c r="L138" s="4" t="str">
        <f>IFERROR(HLOOKUP(D138,xHesaplama!$AG$86:$BZ$90,5,0),"")</f>
        <v/>
      </c>
      <c r="M138" s="4" t="str">
        <f>IFERROR(HLOOKUP(D138,xHesaplama!$AG$92:$BZ$97,6,0),"")</f>
        <v/>
      </c>
      <c r="N138" s="4" t="str">
        <f>IFERROR(HLOOKUP(D138,xHesaplama!$AG$99:$BZ$105,7,0),"")</f>
        <v/>
      </c>
      <c r="O138" s="4" t="str">
        <f>IFERROR(HLOOKUP(D138,xHesaplama!$AG$107:$BZ$114,8,0),"")</f>
        <v/>
      </c>
      <c r="P138" s="4" t="str">
        <f>IFERROR(HLOOKUP(D138,xHesaplama!$AG$116:$BZ$124,9,0),"")</f>
        <v/>
      </c>
      <c r="Q138" s="4" t="str">
        <f>IFERROR(HLOOKUP(D138,xHesaplama!$AG$126:$BZ$135,10,0),"")</f>
        <v/>
      </c>
      <c r="R138" s="4" t="str">
        <f>IFERROR(HLOOKUP(D138,xHesaplama!$AG$137:$BZ$147,11,0),"")</f>
        <v/>
      </c>
      <c r="S138" s="4" t="str">
        <f>IFERROR(HLOOKUP(D138,xHesaplama!$AH$149:$BZ$160,12,0),"")</f>
        <v/>
      </c>
      <c r="T138" s="4" t="str">
        <f>IFERROR(HLOOKUP(D138,xHesaplama!$AH$162:$BZ$174,13,0),"")</f>
        <v/>
      </c>
      <c r="U138" s="4" t="str">
        <f>IFERROR(HLOOKUP(D138,xHesaplama!$AH$176:$BZ$189,14,0),"")</f>
        <v/>
      </c>
      <c r="V138" s="4" t="str">
        <f>IFERROR(HLOOKUP(D138,xHesaplama!$AH$191:$BZ$205,15,0),"")</f>
        <v/>
      </c>
      <c r="W138" s="4" t="str">
        <f>IFERROR(HLOOKUP(D138,xHesaplama!$AH$207:$BZ$222,16,0),"")</f>
        <v/>
      </c>
      <c r="X138" s="4" t="str">
        <f>IFERROR(HLOOKUP(D138,xHesaplama!$AH$224:$BZ$240,17,0),"")</f>
        <v/>
      </c>
      <c r="Y138" s="4" t="str">
        <f>IFERROR(HLOOKUP(D138,xHesaplama!$AH$242:$BZ$259,18,0),"")</f>
        <v/>
      </c>
      <c r="Z138" s="4" t="str">
        <f>IFERROR(HLOOKUP(D138,xHesaplama!$AH$261:$BZ$279,19,0),"")</f>
        <v/>
      </c>
      <c r="AA138" s="4" t="str">
        <f>IFERROR(HLOOKUP(D138,xHesaplama!$AH$281:$BZ$300,20,0),"")</f>
        <v/>
      </c>
      <c r="AB138" s="4" t="str">
        <f>IFERROR(HLOOKUP(D138,xHesaplama!$AH$302:$BZ$322,21,0),"")</f>
        <v/>
      </c>
    </row>
    <row r="139" spans="4:28" ht="26.25">
      <c r="D139" s="61" t="s">
        <v>755</v>
      </c>
      <c r="E139" s="3" t="str">
        <f>'x Malzemeler ve Özellikleri'!S133</f>
        <v>ADET</v>
      </c>
      <c r="F139" t="s">
        <v>739</v>
      </c>
      <c r="G139" s="9" t="str">
        <f>VLOOKUP(D139,'x Malzemeler ve Özellikleri'!$O$2:$P$136,2,0)</f>
        <v>XKZ6</v>
      </c>
      <c r="H139" s="63">
        <f>VLOOKUP(D139,'x Malzemeler ve Özellikleri'!$O$2:$R$136,4,0)</f>
        <v>5.3149606299212602</v>
      </c>
      <c r="I139" s="4" t="str">
        <f>IFERROR(HLOOKUP(D139,xHesaplama!$AH$74:$BZ$75,2,0),"")</f>
        <v/>
      </c>
      <c r="J139" s="4" t="str">
        <f>IFERROR(HLOOKUP(D139,xHesaplama!$AG$77:$BZ$79,3,0),"")</f>
        <v/>
      </c>
      <c r="K139" s="4" t="str">
        <f>IFERROR(HLOOKUP(D139,xHesaplama!$AG$81:$BZ$84,4,0),"")</f>
        <v/>
      </c>
      <c r="L139" s="4" t="str">
        <f>IFERROR(HLOOKUP(D139,xHesaplama!$AG$86:$BZ$90,5,0),"")</f>
        <v/>
      </c>
      <c r="M139" s="4" t="str">
        <f>IFERROR(HLOOKUP(D139,xHesaplama!$AG$92:$BZ$97,6,0),"")</f>
        <v/>
      </c>
      <c r="N139" s="4" t="str">
        <f>IFERROR(HLOOKUP(D139,xHesaplama!$AG$99:$BZ$105,7,0),"")</f>
        <v/>
      </c>
      <c r="O139" s="4" t="str">
        <f>IFERROR(HLOOKUP(D139,xHesaplama!$AG$107:$BZ$114,8,0),"")</f>
        <v/>
      </c>
      <c r="P139" s="4" t="str">
        <f>IFERROR(HLOOKUP(D139,xHesaplama!$AG$116:$BZ$124,9,0),"")</f>
        <v/>
      </c>
      <c r="Q139" s="4" t="str">
        <f>IFERROR(HLOOKUP(D139,xHesaplama!$AG$126:$BZ$135,10,0),"")</f>
        <v/>
      </c>
      <c r="R139" s="4" t="str">
        <f>IFERROR(HLOOKUP(D139,xHesaplama!$AG$137:$BZ$147,11,0),"")</f>
        <v/>
      </c>
      <c r="S139" s="4" t="str">
        <f>IFERROR(HLOOKUP(D139,xHesaplama!$AH$149:$BZ$160,12,0),"")</f>
        <v/>
      </c>
      <c r="T139" s="4" t="str">
        <f>IFERROR(HLOOKUP(D139,xHesaplama!$AH$162:$BZ$174,13,0),"")</f>
        <v/>
      </c>
      <c r="U139" s="4" t="str">
        <f>IFERROR(HLOOKUP(D139,xHesaplama!$AH$176:$BZ$189,14,0),"")</f>
        <v/>
      </c>
      <c r="V139" s="4" t="str">
        <f>IFERROR(HLOOKUP(D139,xHesaplama!$AH$191:$BZ$205,15,0),"")</f>
        <v/>
      </c>
      <c r="W139" s="4" t="str">
        <f>IFERROR(HLOOKUP(D139,xHesaplama!$AH$207:$BZ$222,16,0),"")</f>
        <v/>
      </c>
      <c r="X139" s="4" t="str">
        <f>IFERROR(HLOOKUP(D139,xHesaplama!$AH$224:$BZ$240,17,0),"")</f>
        <v/>
      </c>
      <c r="Y139" s="4" t="str">
        <f>IFERROR(HLOOKUP(D139,xHesaplama!$AH$242:$BZ$259,18,0),"")</f>
        <v/>
      </c>
      <c r="Z139" s="4" t="str">
        <f>IFERROR(HLOOKUP(D139,xHesaplama!$AH$261:$BZ$279,19,0),"")</f>
        <v/>
      </c>
      <c r="AA139" s="4" t="str">
        <f>IFERROR(HLOOKUP(D139,xHesaplama!$AH$281:$BZ$300,20,0),"")</f>
        <v/>
      </c>
      <c r="AB139" s="4" t="str">
        <f>IFERROR(HLOOKUP(D139,xHesaplama!$AH$302:$BZ$322,21,0),"")</f>
        <v/>
      </c>
    </row>
    <row r="140" spans="4:28" ht="26.25">
      <c r="D140" s="61" t="s">
        <v>756</v>
      </c>
      <c r="E140" s="3" t="str">
        <f>'x Malzemeler ve Özellikleri'!S134</f>
        <v>ADET</v>
      </c>
      <c r="F140" t="s">
        <v>740</v>
      </c>
      <c r="G140" s="9" t="str">
        <f>VLOOKUP(D140,'x Malzemeler ve Özellikleri'!$O$2:$P$136,2,0)</f>
        <v>XKZ7</v>
      </c>
      <c r="H140" s="63">
        <f>VLOOKUP(D140,'x Malzemeler ve Özellikleri'!$O$2:$R$136,4,0)</f>
        <v>1.0826771653543308</v>
      </c>
      <c r="I140" s="4" t="str">
        <f>IFERROR(HLOOKUP(D140,xHesaplama!$AH$74:$BZ$75,2,0),"")</f>
        <v/>
      </c>
      <c r="J140" s="4" t="str">
        <f>IFERROR(HLOOKUP(D140,xHesaplama!$AG$77:$BZ$79,3,0),"")</f>
        <v/>
      </c>
      <c r="K140" s="4" t="str">
        <f>IFERROR(HLOOKUP(D140,xHesaplama!$AG$81:$BZ$84,4,0),"")</f>
        <v/>
      </c>
      <c r="L140" s="4" t="str">
        <f>IFERROR(HLOOKUP(D140,xHesaplama!$AG$86:$BZ$90,5,0),"")</f>
        <v/>
      </c>
      <c r="M140" s="4" t="str">
        <f>IFERROR(HLOOKUP(D140,xHesaplama!$AG$92:$BZ$97,6,0),"")</f>
        <v/>
      </c>
      <c r="N140" s="4" t="str">
        <f>IFERROR(HLOOKUP(D140,xHesaplama!$AG$99:$BZ$105,7,0),"")</f>
        <v/>
      </c>
      <c r="O140" s="4" t="str">
        <f>IFERROR(HLOOKUP(D140,xHesaplama!$AG$107:$BZ$114,8,0),"")</f>
        <v/>
      </c>
      <c r="P140" s="4" t="str">
        <f>IFERROR(HLOOKUP(D140,xHesaplama!$AG$116:$BZ$124,9,0),"")</f>
        <v/>
      </c>
      <c r="Q140" s="4" t="str">
        <f>IFERROR(HLOOKUP(D140,xHesaplama!$AG$126:$BZ$135,10,0),"")</f>
        <v/>
      </c>
      <c r="R140" s="4" t="str">
        <f>IFERROR(HLOOKUP(D140,xHesaplama!$AG$137:$BZ$147,11,0),"")</f>
        <v/>
      </c>
      <c r="S140" s="4" t="str">
        <f>IFERROR(HLOOKUP(D140,xHesaplama!$AH$149:$BZ$160,12,0),"")</f>
        <v/>
      </c>
      <c r="T140" s="4" t="str">
        <f>IFERROR(HLOOKUP(D140,xHesaplama!$AH$162:$BZ$174,13,0),"")</f>
        <v/>
      </c>
      <c r="U140" s="4" t="str">
        <f>IFERROR(HLOOKUP(D140,xHesaplama!$AH$176:$BZ$189,14,0),"")</f>
        <v/>
      </c>
      <c r="V140" s="4" t="str">
        <f>IFERROR(HLOOKUP(D140,xHesaplama!$AH$191:$BZ$205,15,0),"")</f>
        <v/>
      </c>
      <c r="W140" s="4" t="str">
        <f>IFERROR(HLOOKUP(D140,xHesaplama!$AH$207:$BZ$222,16,0),"")</f>
        <v/>
      </c>
      <c r="X140" s="4" t="str">
        <f>IFERROR(HLOOKUP(D140,xHesaplama!$AH$224:$BZ$240,17,0),"")</f>
        <v/>
      </c>
      <c r="Y140" s="4" t="str">
        <f>IFERROR(HLOOKUP(D140,xHesaplama!$AH$242:$BZ$259,18,0),"")</f>
        <v/>
      </c>
      <c r="Z140" s="4" t="str">
        <f>IFERROR(HLOOKUP(D140,xHesaplama!$AH$261:$BZ$279,19,0),"")</f>
        <v/>
      </c>
      <c r="AA140" s="4" t="str">
        <f>IFERROR(HLOOKUP(D140,xHesaplama!$AH$281:$BZ$300,20,0),"")</f>
        <v/>
      </c>
      <c r="AB140" s="4" t="str">
        <f>IFERROR(HLOOKUP(D140,xHesaplama!$AH$302:$BZ$322,21,0),"")</f>
        <v/>
      </c>
    </row>
    <row r="141" spans="4:28" ht="26.25">
      <c r="D141" s="61" t="s">
        <v>757</v>
      </c>
      <c r="E141" s="3" t="str">
        <f>'x Malzemeler ve Özellikleri'!S135</f>
        <v>ADET</v>
      </c>
      <c r="F141" t="s">
        <v>741</v>
      </c>
      <c r="G141" s="9" t="str">
        <f>VLOOKUP(D141,'x Malzemeler ve Özellikleri'!$O$2:$P$136,2,0)</f>
        <v>XKZ8</v>
      </c>
      <c r="H141" s="63">
        <f>VLOOKUP(D141,'x Malzemeler ve Özellikleri'!$O$2:$R$136,4,0)</f>
        <v>0.6889763779527559</v>
      </c>
      <c r="I141" s="4" t="str">
        <f>IFERROR(HLOOKUP(D141,xHesaplama!$AH$74:$BZ$75,2,0),"")</f>
        <v/>
      </c>
      <c r="J141" s="4" t="str">
        <f>IFERROR(HLOOKUP(D141,xHesaplama!$AG$77:$BZ$79,3,0),"")</f>
        <v/>
      </c>
      <c r="K141" s="4" t="str">
        <f>IFERROR(HLOOKUP(D141,xHesaplama!$AG$81:$BZ$84,4,0),"")</f>
        <v/>
      </c>
      <c r="L141" s="4" t="str">
        <f>IFERROR(HLOOKUP(D141,xHesaplama!$AG$86:$BZ$90,5,0),"")</f>
        <v/>
      </c>
      <c r="M141" s="4" t="str">
        <f>IFERROR(HLOOKUP(D141,xHesaplama!$AG$92:$BZ$97,6,0),"")</f>
        <v/>
      </c>
      <c r="N141" s="4" t="str">
        <f>IFERROR(HLOOKUP(D141,xHesaplama!$AG$99:$BZ$105,7,0),"")</f>
        <v/>
      </c>
      <c r="O141" s="4" t="str">
        <f>IFERROR(HLOOKUP(D141,xHesaplama!$AG$107:$BZ$114,8,0),"")</f>
        <v/>
      </c>
      <c r="P141" s="4" t="str">
        <f>IFERROR(HLOOKUP(D141,xHesaplama!$AG$116:$BZ$124,9,0),"")</f>
        <v/>
      </c>
      <c r="Q141" s="4" t="str">
        <f>IFERROR(HLOOKUP(D141,xHesaplama!$AG$126:$BZ$135,10,0),"")</f>
        <v/>
      </c>
      <c r="R141" s="4" t="str">
        <f>IFERROR(HLOOKUP(D141,xHesaplama!$AG$137:$BZ$147,11,0),"")</f>
        <v/>
      </c>
      <c r="S141" s="4" t="str">
        <f>IFERROR(HLOOKUP(D141,xHesaplama!$AH$149:$BZ$160,12,0),"")</f>
        <v/>
      </c>
      <c r="T141" s="4" t="str">
        <f>IFERROR(HLOOKUP(D141,xHesaplama!$AH$162:$BZ$174,13,0),"")</f>
        <v/>
      </c>
      <c r="U141" s="4" t="str">
        <f>IFERROR(HLOOKUP(D141,xHesaplama!$AH$176:$BZ$189,14,0),"")</f>
        <v/>
      </c>
      <c r="V141" s="4" t="str">
        <f>IFERROR(HLOOKUP(D141,xHesaplama!$AH$191:$BZ$205,15,0),"")</f>
        <v/>
      </c>
      <c r="W141" s="4" t="str">
        <f>IFERROR(HLOOKUP(D141,xHesaplama!$AH$207:$BZ$222,16,0),"")</f>
        <v/>
      </c>
      <c r="X141" s="4" t="str">
        <f>IFERROR(HLOOKUP(D141,xHesaplama!$AH$224:$BZ$240,17,0),"")</f>
        <v/>
      </c>
      <c r="Y141" s="4" t="str">
        <f>IFERROR(HLOOKUP(D141,xHesaplama!$AH$242:$BZ$259,18,0),"")</f>
        <v/>
      </c>
      <c r="Z141" s="4" t="str">
        <f>IFERROR(HLOOKUP(D141,xHesaplama!$AH$261:$BZ$279,19,0),"")</f>
        <v/>
      </c>
      <c r="AA141" s="4" t="str">
        <f>IFERROR(HLOOKUP(D141,xHesaplama!$AH$281:$BZ$300,20,0),"")</f>
        <v/>
      </c>
      <c r="AB141" s="4" t="str">
        <f>IFERROR(HLOOKUP(D141,xHesaplama!$AH$302:$BZ$322,21,0),"")</f>
        <v/>
      </c>
    </row>
    <row r="142" spans="4:28" ht="26.25">
      <c r="D142" s="61" t="s">
        <v>758</v>
      </c>
      <c r="E142" s="3" t="str">
        <f>'x Malzemeler ve Özellikleri'!S136</f>
        <v>MT</v>
      </c>
      <c r="F142" t="s">
        <v>742</v>
      </c>
      <c r="G142" s="9" t="str">
        <f>VLOOKUP(D142,'x Malzemeler ve Özellikleri'!$O$2:$P$136,2,0)</f>
        <v>XKZ9</v>
      </c>
      <c r="H142" s="63">
        <f>VLOOKUP(D142,'x Malzemeler ve Özellikleri'!$O$2:$R$136,4,0)</f>
        <v>0.18665354330708664</v>
      </c>
      <c r="I142" s="4" t="str">
        <f>IFERROR(HLOOKUP(D142,xHesaplama!$AH$74:$BZ$75,2,0),"")</f>
        <v/>
      </c>
      <c r="J142" s="4" t="str">
        <f>IFERROR(HLOOKUP(D142,xHesaplama!$AG$77:$BZ$79,3,0),"")</f>
        <v/>
      </c>
      <c r="K142" s="4" t="str">
        <f>IFERROR(HLOOKUP(D142,xHesaplama!$AG$81:$BZ$84,4,0),"")</f>
        <v/>
      </c>
      <c r="L142" s="4" t="str">
        <f>IFERROR(HLOOKUP(D142,xHesaplama!$AG$86:$BZ$90,5,0),"")</f>
        <v/>
      </c>
      <c r="M142" s="4" t="str">
        <f>IFERROR(HLOOKUP(D142,xHesaplama!$AG$92:$BZ$97,6,0),"")</f>
        <v/>
      </c>
      <c r="N142" s="4" t="str">
        <f>IFERROR(HLOOKUP(D142,xHesaplama!$AG$99:$BZ$105,7,0),"")</f>
        <v/>
      </c>
      <c r="O142" s="4" t="str">
        <f>IFERROR(HLOOKUP(D142,xHesaplama!$AG$107:$BZ$114,8,0),"")</f>
        <v/>
      </c>
      <c r="P142" s="4" t="str">
        <f>IFERROR(HLOOKUP(D142,xHesaplama!$AG$116:$BZ$124,9,0),"")</f>
        <v/>
      </c>
      <c r="Q142" s="4" t="str">
        <f>IFERROR(HLOOKUP(D142,xHesaplama!$AG$126:$BZ$135,10,0),"")</f>
        <v/>
      </c>
      <c r="R142" s="4" t="str">
        <f>IFERROR(HLOOKUP(D142,xHesaplama!$AG$137:$BZ$147,11,0),"")</f>
        <v/>
      </c>
      <c r="S142" s="4" t="str">
        <f>IFERROR(HLOOKUP(D142,xHesaplama!$AH$149:$BZ$160,12,0),"")</f>
        <v/>
      </c>
      <c r="T142" s="4" t="str">
        <f>IFERROR(HLOOKUP(D142,xHesaplama!$AH$162:$BZ$174,13,0),"")</f>
        <v/>
      </c>
      <c r="U142" s="4" t="str">
        <f>IFERROR(HLOOKUP(D142,xHesaplama!$AH$176:$BZ$189,14,0),"")</f>
        <v/>
      </c>
      <c r="V142" s="4" t="str">
        <f>IFERROR(HLOOKUP(D142,xHesaplama!$AH$191:$BZ$205,15,0),"")</f>
        <v/>
      </c>
      <c r="W142" s="4" t="str">
        <f>IFERROR(HLOOKUP(D142,xHesaplama!$AH$207:$BZ$222,16,0),"")</f>
        <v/>
      </c>
      <c r="X142" s="4" t="str">
        <f>IFERROR(HLOOKUP(D142,xHesaplama!$AH$224:$BZ$240,17,0),"")</f>
        <v/>
      </c>
      <c r="Y142" s="4" t="str">
        <f>IFERROR(HLOOKUP(D142,xHesaplama!$AH$242:$BZ$259,18,0),"")</f>
        <v/>
      </c>
      <c r="Z142" s="4" t="str">
        <f>IFERROR(HLOOKUP(D142,xHesaplama!$AH$261:$BZ$279,19,0),"")</f>
        <v/>
      </c>
      <c r="AA142" s="4" t="str">
        <f>IFERROR(HLOOKUP(D142,xHesaplama!$AH$281:$BZ$300,20,0),"")</f>
        <v/>
      </c>
      <c r="AB142" s="4" t="str">
        <f>IFERROR(HLOOKUP(D142,xHesaplama!$AH$302:$BZ$322,21,0),"")</f>
        <v/>
      </c>
    </row>
  </sheetData>
  <phoneticPr fontId="8" type="noConversion"/>
  <conditionalFormatting sqref="D17:D19">
    <cfRule type="cellIs" dxfId="49" priority="6" operator="equal">
      <formula>1</formula>
    </cfRule>
  </conditionalFormatting>
  <conditionalFormatting sqref="D52">
    <cfRule type="cellIs" dxfId="48" priority="5" operator="equal">
      <formula>1</formula>
    </cfRule>
  </conditionalFormatting>
  <conditionalFormatting sqref="D74">
    <cfRule type="cellIs" dxfId="47" priority="4" operator="equal">
      <formula>1</formula>
    </cfRule>
  </conditionalFormatting>
  <conditionalFormatting sqref="D78">
    <cfRule type="cellIs" dxfId="46" priority="3" operator="equal">
      <formula>1</formula>
    </cfRule>
  </conditionalFormatting>
  <conditionalFormatting sqref="D99 D101">
    <cfRule type="cellIs" dxfId="45" priority="2" operator="equal">
      <formula>1</formula>
    </cfRule>
  </conditionalFormatting>
  <conditionalFormatting sqref="D125">
    <cfRule type="cellIs" dxfId="44" priority="1" operator="equal">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F174F-C8B0-4C98-99D8-91115D245A11}">
  <sheetPr codeName="Sayfa6">
    <tabColor theme="7" tint="0.39997558519241921"/>
  </sheetPr>
  <dimension ref="A1:F130"/>
  <sheetViews>
    <sheetView view="pageBreakPreview" zoomScale="115" zoomScaleNormal="100" zoomScaleSheetLayoutView="115" workbookViewId="0">
      <selection activeCell="G8" sqref="G8"/>
    </sheetView>
  </sheetViews>
  <sheetFormatPr defaultRowHeight="14.25"/>
  <cols>
    <col min="1" max="1" width="24.75" style="79" bestFit="1" customWidth="1"/>
    <col min="2" max="2" width="48" bestFit="1" customWidth="1"/>
    <col min="3" max="3" width="5.25" bestFit="1" customWidth="1"/>
    <col min="4" max="4" width="16.75" style="57" bestFit="1" customWidth="1"/>
    <col min="5" max="5" width="13" style="334" bestFit="1" customWidth="1"/>
    <col min="6" max="6" width="19.625" style="335" bestFit="1" customWidth="1"/>
  </cols>
  <sheetData>
    <row r="1" spans="1:6">
      <c r="A1" s="78" t="s">
        <v>503</v>
      </c>
      <c r="B1" s="26" t="s">
        <v>782</v>
      </c>
      <c r="C1" s="26" t="s">
        <v>650</v>
      </c>
      <c r="D1" s="26" t="s">
        <v>230</v>
      </c>
      <c r="E1" s="333" t="s">
        <v>790</v>
      </c>
      <c r="F1" s="335" t="s">
        <v>789</v>
      </c>
    </row>
    <row r="2" spans="1:6">
      <c r="A2" s="306">
        <v>0</v>
      </c>
      <c r="B2" s="306" t="s">
        <v>105</v>
      </c>
      <c r="C2" s="306" t="s">
        <v>357</v>
      </c>
      <c r="D2" s="306" t="s">
        <v>895</v>
      </c>
      <c r="E2" s="333">
        <v>0</v>
      </c>
      <c r="F2" s="335">
        <v>0</v>
      </c>
    </row>
    <row r="3" spans="1:6">
      <c r="A3" s="306">
        <v>0</v>
      </c>
      <c r="B3" s="306" t="s">
        <v>129</v>
      </c>
      <c r="C3" s="306" t="s">
        <v>608</v>
      </c>
      <c r="D3" s="306"/>
      <c r="E3" s="333">
        <v>4.3170000000000002</v>
      </c>
      <c r="F3" s="335">
        <v>64.754999999999995</v>
      </c>
    </row>
    <row r="4" spans="1:6">
      <c r="A4" s="306" t="s">
        <v>257</v>
      </c>
      <c r="B4" s="306" t="s">
        <v>319</v>
      </c>
      <c r="C4" s="306" t="s">
        <v>817</v>
      </c>
      <c r="D4" s="306" t="s">
        <v>257</v>
      </c>
      <c r="E4" s="333">
        <v>6.1944480000000004</v>
      </c>
      <c r="F4" s="335">
        <v>103.94283744000002</v>
      </c>
    </row>
    <row r="5" spans="1:6">
      <c r="A5" s="306" t="s">
        <v>710</v>
      </c>
      <c r="B5" s="306" t="s">
        <v>7</v>
      </c>
      <c r="C5" s="306" t="s">
        <v>357</v>
      </c>
      <c r="D5" s="306"/>
      <c r="E5" s="333">
        <v>1</v>
      </c>
      <c r="F5" s="335">
        <v>0.83</v>
      </c>
    </row>
    <row r="6" spans="1:6">
      <c r="A6" s="306" t="s">
        <v>701</v>
      </c>
      <c r="B6" s="306" t="s">
        <v>12</v>
      </c>
      <c r="C6" s="306" t="s">
        <v>357</v>
      </c>
      <c r="D6" s="306"/>
      <c r="E6" s="333">
        <v>2</v>
      </c>
      <c r="F6" s="335">
        <v>19</v>
      </c>
    </row>
    <row r="7" spans="1:6">
      <c r="A7" s="306" t="s">
        <v>712</v>
      </c>
      <c r="B7" s="306" t="s">
        <v>38</v>
      </c>
      <c r="C7" s="306" t="s">
        <v>357</v>
      </c>
      <c r="D7" s="306"/>
      <c r="E7" s="333">
        <v>4</v>
      </c>
      <c r="F7" s="335">
        <v>7.84</v>
      </c>
    </row>
    <row r="8" spans="1:6">
      <c r="A8" s="306" t="s">
        <v>707</v>
      </c>
      <c r="B8" s="306" t="s">
        <v>9</v>
      </c>
      <c r="C8" s="306" t="s">
        <v>608</v>
      </c>
      <c r="D8" s="306"/>
      <c r="E8" s="333">
        <v>2.2999999999999998</v>
      </c>
      <c r="F8" s="335">
        <v>2.2999999999999998</v>
      </c>
    </row>
    <row r="9" spans="1:6">
      <c r="A9" s="306" t="s">
        <v>787</v>
      </c>
      <c r="B9" s="306" t="s">
        <v>49</v>
      </c>
      <c r="C9" s="306" t="s">
        <v>357</v>
      </c>
      <c r="D9" s="306"/>
      <c r="E9" s="333">
        <v>1</v>
      </c>
      <c r="F9" s="335">
        <v>16.350000000000001</v>
      </c>
    </row>
    <row r="10" spans="1:6">
      <c r="A10" s="306" t="s">
        <v>703</v>
      </c>
      <c r="B10" s="306" t="s">
        <v>48</v>
      </c>
      <c r="C10" s="306" t="s">
        <v>357</v>
      </c>
      <c r="D10" s="306"/>
      <c r="E10" s="333">
        <v>2</v>
      </c>
      <c r="F10" s="335">
        <v>16.190000000000001</v>
      </c>
    </row>
    <row r="11" spans="1:6">
      <c r="A11" s="306" t="s">
        <v>709</v>
      </c>
      <c r="B11" s="306" t="s">
        <v>708</v>
      </c>
      <c r="C11" s="306" t="s">
        <v>608</v>
      </c>
      <c r="D11" s="306"/>
      <c r="E11" s="333">
        <v>22</v>
      </c>
      <c r="F11" s="335">
        <v>6.6</v>
      </c>
    </row>
    <row r="12" spans="1:6">
      <c r="A12" s="306" t="s">
        <v>691</v>
      </c>
      <c r="B12" s="306" t="s">
        <v>130</v>
      </c>
      <c r="C12" s="306" t="s">
        <v>608</v>
      </c>
      <c r="D12" s="306"/>
      <c r="E12" s="333">
        <v>1.59</v>
      </c>
      <c r="F12" s="335">
        <v>3.8764200000000004</v>
      </c>
    </row>
    <row r="13" spans="1:6">
      <c r="A13" s="306" t="s">
        <v>692</v>
      </c>
      <c r="B13" s="306" t="s">
        <v>694</v>
      </c>
      <c r="C13" s="306" t="s">
        <v>480</v>
      </c>
      <c r="D13" s="306" t="s">
        <v>133</v>
      </c>
      <c r="E13" s="333">
        <v>1</v>
      </c>
      <c r="F13" s="335">
        <v>29.876936842105266</v>
      </c>
    </row>
    <row r="14" spans="1:6">
      <c r="A14" s="306" t="s">
        <v>693</v>
      </c>
      <c r="B14" s="306" t="s">
        <v>695</v>
      </c>
      <c r="C14" s="306" t="s">
        <v>480</v>
      </c>
      <c r="D14" s="306" t="s">
        <v>133</v>
      </c>
      <c r="E14" s="333">
        <v>1</v>
      </c>
      <c r="F14" s="335">
        <v>29.847926315789476</v>
      </c>
    </row>
    <row r="15" spans="1:6">
      <c r="A15" s="306" t="s">
        <v>711</v>
      </c>
      <c r="B15" s="306" t="s">
        <v>37</v>
      </c>
      <c r="C15" s="306" t="s">
        <v>480</v>
      </c>
      <c r="D15" s="306" t="s">
        <v>133</v>
      </c>
      <c r="E15" s="333">
        <v>1</v>
      </c>
      <c r="F15" s="335">
        <v>19.804147368421056</v>
      </c>
    </row>
    <row r="16" spans="1:6">
      <c r="A16" s="306" t="s">
        <v>706</v>
      </c>
      <c r="B16" s="306" t="s">
        <v>52</v>
      </c>
      <c r="C16" s="306" t="s">
        <v>480</v>
      </c>
      <c r="D16" s="306"/>
      <c r="E16" s="333">
        <v>2</v>
      </c>
      <c r="F16" s="335">
        <v>23.56</v>
      </c>
    </row>
    <row r="17" spans="1:6">
      <c r="A17" s="306" t="s">
        <v>702</v>
      </c>
      <c r="B17" s="306" t="s">
        <v>46</v>
      </c>
      <c r="C17" s="306" t="s">
        <v>357</v>
      </c>
      <c r="D17" s="306" t="s">
        <v>133</v>
      </c>
      <c r="E17" s="333">
        <v>4</v>
      </c>
      <c r="F17" s="335">
        <v>21.834000000000003</v>
      </c>
    </row>
    <row r="18" spans="1:6">
      <c r="A18" s="306" t="s">
        <v>704</v>
      </c>
      <c r="B18" s="306" t="s">
        <v>50</v>
      </c>
      <c r="C18" s="306" t="s">
        <v>357</v>
      </c>
      <c r="D18" s="306"/>
      <c r="E18" s="333">
        <v>1</v>
      </c>
      <c r="F18" s="335">
        <v>1.1299999999999999</v>
      </c>
    </row>
    <row r="19" spans="1:6">
      <c r="A19" s="306" t="s">
        <v>713</v>
      </c>
      <c r="B19" s="306" t="s">
        <v>39</v>
      </c>
      <c r="C19" s="306" t="s">
        <v>357</v>
      </c>
      <c r="D19" s="306"/>
      <c r="E19" s="333">
        <v>1</v>
      </c>
      <c r="F19" s="335">
        <v>0.57999999999999996</v>
      </c>
    </row>
    <row r="20" spans="1:6">
      <c r="A20" s="306" t="s">
        <v>699</v>
      </c>
      <c r="B20" s="306" t="s">
        <v>41</v>
      </c>
      <c r="C20" s="306" t="s">
        <v>357</v>
      </c>
      <c r="D20" s="306"/>
      <c r="E20" s="333">
        <v>16</v>
      </c>
      <c r="F20" s="335">
        <v>3.2</v>
      </c>
    </row>
    <row r="21" spans="1:6">
      <c r="A21" s="306" t="s">
        <v>705</v>
      </c>
      <c r="B21" s="306" t="s">
        <v>51</v>
      </c>
      <c r="C21" s="306" t="s">
        <v>480</v>
      </c>
      <c r="D21" s="306"/>
      <c r="E21" s="333">
        <v>2</v>
      </c>
      <c r="F21" s="335">
        <v>1.62</v>
      </c>
    </row>
    <row r="22" spans="1:6">
      <c r="A22" s="306" t="s">
        <v>698</v>
      </c>
      <c r="B22" s="306" t="s">
        <v>40</v>
      </c>
      <c r="C22" s="306" t="s">
        <v>357</v>
      </c>
      <c r="D22" s="306"/>
      <c r="E22" s="333">
        <v>1</v>
      </c>
      <c r="F22" s="335">
        <v>1.61</v>
      </c>
    </row>
    <row r="23" spans="1:6">
      <c r="A23" s="306" t="s">
        <v>697</v>
      </c>
      <c r="B23" s="306" t="s">
        <v>36</v>
      </c>
      <c r="C23" s="306" t="s">
        <v>357</v>
      </c>
      <c r="D23" s="306"/>
      <c r="E23" s="333">
        <v>1</v>
      </c>
      <c r="F23" s="335">
        <v>3.65</v>
      </c>
    </row>
    <row r="24" spans="1:6">
      <c r="A24" s="306" t="s">
        <v>696</v>
      </c>
      <c r="B24" s="306" t="s">
        <v>35</v>
      </c>
      <c r="C24" s="306" t="s">
        <v>357</v>
      </c>
      <c r="D24" s="306"/>
      <c r="E24" s="333">
        <v>1</v>
      </c>
      <c r="F24" s="335">
        <v>5.34</v>
      </c>
    </row>
    <row r="25" spans="1:6">
      <c r="A25" s="306" t="s">
        <v>900</v>
      </c>
      <c r="B25" s="306" t="s">
        <v>899</v>
      </c>
      <c r="C25" s="306" t="s">
        <v>357</v>
      </c>
      <c r="D25" s="306"/>
      <c r="E25" s="333">
        <v>2</v>
      </c>
      <c r="F25" s="335">
        <v>4.0999999999999996</v>
      </c>
    </row>
    <row r="26" spans="1:6">
      <c r="A26" s="79" t="s">
        <v>15</v>
      </c>
      <c r="B26" s="306" t="s">
        <v>782</v>
      </c>
      <c r="C26" s="306" t="s">
        <v>650</v>
      </c>
      <c r="D26" s="306" t="s">
        <v>895</v>
      </c>
      <c r="E26" s="333">
        <v>0</v>
      </c>
      <c r="F26" s="335">
        <v>0</v>
      </c>
    </row>
    <row r="27" spans="1:6">
      <c r="A27" s="306" t="s">
        <v>686</v>
      </c>
      <c r="B27" s="306" t="s">
        <v>18</v>
      </c>
      <c r="C27" s="306" t="s">
        <v>608</v>
      </c>
      <c r="D27" s="306" t="s">
        <v>133</v>
      </c>
      <c r="E27" s="333">
        <v>4.4850000000000003</v>
      </c>
      <c r="F27" s="335">
        <v>96.679177427368444</v>
      </c>
    </row>
    <row r="28" spans="1:6">
      <c r="A28" s="306" t="s">
        <v>687</v>
      </c>
      <c r="B28" s="306" t="s">
        <v>19</v>
      </c>
      <c r="C28" s="306" t="s">
        <v>608</v>
      </c>
      <c r="D28" s="306" t="s">
        <v>133</v>
      </c>
      <c r="E28" s="333">
        <v>4.4850000000000003</v>
      </c>
      <c r="F28" s="335">
        <v>51.165125494736849</v>
      </c>
    </row>
    <row r="29" spans="1:6">
      <c r="A29" s="306" t="s">
        <v>688</v>
      </c>
      <c r="B29" s="306" t="s">
        <v>0</v>
      </c>
      <c r="C29" s="306" t="s">
        <v>608</v>
      </c>
      <c r="D29" s="306" t="s">
        <v>133</v>
      </c>
      <c r="E29" s="333">
        <v>4.3449999999999998</v>
      </c>
      <c r="F29" s="335">
        <v>108.3837564526316</v>
      </c>
    </row>
    <row r="30" spans="1:6">
      <c r="A30" s="306" t="s">
        <v>689</v>
      </c>
      <c r="B30" s="306" t="s">
        <v>1</v>
      </c>
      <c r="C30" s="306" t="s">
        <v>608</v>
      </c>
      <c r="D30" s="306" t="s">
        <v>133</v>
      </c>
      <c r="E30" s="333">
        <v>4.3449999999999998</v>
      </c>
      <c r="F30" s="335">
        <v>19.531270787368424</v>
      </c>
    </row>
    <row r="31" spans="1:6">
      <c r="A31" s="306" t="s">
        <v>690</v>
      </c>
      <c r="B31" s="306" t="s">
        <v>2</v>
      </c>
      <c r="C31" s="306" t="s">
        <v>608</v>
      </c>
      <c r="D31" s="306" t="s">
        <v>133</v>
      </c>
      <c r="E31" s="333">
        <v>1.58</v>
      </c>
      <c r="F31" s="335">
        <v>33.628221052631581</v>
      </c>
    </row>
    <row r="32" spans="1:6">
      <c r="A32" s="306" t="s">
        <v>700</v>
      </c>
      <c r="B32" s="306" t="s">
        <v>42</v>
      </c>
      <c r="C32" s="306" t="s">
        <v>608</v>
      </c>
      <c r="D32" s="306"/>
      <c r="E32" s="333">
        <v>8.6620000000000008</v>
      </c>
      <c r="F32" s="335">
        <v>0.95282000000000011</v>
      </c>
    </row>
    <row r="33" spans="1:6">
      <c r="A33" s="306" t="s">
        <v>198</v>
      </c>
      <c r="B33" s="306" t="s">
        <v>105</v>
      </c>
      <c r="C33" s="306" t="s">
        <v>357</v>
      </c>
      <c r="D33" s="306" t="s">
        <v>895</v>
      </c>
      <c r="E33" s="333">
        <v>1</v>
      </c>
      <c r="F33" s="335">
        <v>104</v>
      </c>
    </row>
    <row r="34" spans="1:6">
      <c r="A34" s="306" t="s">
        <v>791</v>
      </c>
      <c r="B34" s="306" t="s">
        <v>11</v>
      </c>
      <c r="C34" s="306" t="s">
        <v>480</v>
      </c>
      <c r="D34" s="306"/>
      <c r="E34" s="333">
        <v>1</v>
      </c>
      <c r="F34" s="335">
        <v>1</v>
      </c>
    </row>
    <row r="35" spans="1:6">
      <c r="A35" s="79" t="s">
        <v>348</v>
      </c>
      <c r="B35" s="79"/>
      <c r="C35" s="79"/>
      <c r="D35" s="79"/>
      <c r="E35" s="333">
        <v>110.303448</v>
      </c>
      <c r="F35" s="335">
        <v>803.17763918105254</v>
      </c>
    </row>
    <row r="36" spans="1:6">
      <c r="A36"/>
      <c r="D36"/>
      <c r="E36" s="3"/>
    </row>
    <row r="37" spans="1:6">
      <c r="A37"/>
      <c r="D37"/>
      <c r="E37" s="3"/>
    </row>
    <row r="38" spans="1:6">
      <c r="A38"/>
      <c r="D38"/>
      <c r="E38" s="3"/>
    </row>
    <row r="39" spans="1:6">
      <c r="A39"/>
      <c r="D39"/>
      <c r="E39" s="3"/>
    </row>
    <row r="40" spans="1:6">
      <c r="A40"/>
      <c r="D40"/>
      <c r="E40" s="3"/>
    </row>
    <row r="41" spans="1:6">
      <c r="A41"/>
      <c r="D41"/>
      <c r="E41" s="3"/>
    </row>
    <row r="42" spans="1:6">
      <c r="A42"/>
      <c r="D42"/>
      <c r="E42" s="3"/>
    </row>
    <row r="43" spans="1:6">
      <c r="A43"/>
      <c r="D43"/>
      <c r="E43" s="3"/>
    </row>
    <row r="44" spans="1:6">
      <c r="A44"/>
      <c r="D44"/>
      <c r="E44" s="3"/>
    </row>
    <row r="45" spans="1:6">
      <c r="A45"/>
      <c r="D45"/>
      <c r="E45" s="3"/>
    </row>
    <row r="46" spans="1:6">
      <c r="A46"/>
      <c r="D46"/>
      <c r="E46" s="3"/>
    </row>
    <row r="47" spans="1:6">
      <c r="A47"/>
      <c r="D47"/>
      <c r="E47" s="3"/>
    </row>
    <row r="48" spans="1:6">
      <c r="A48"/>
      <c r="D48"/>
      <c r="E48" s="3"/>
    </row>
    <row r="49" spans="5:6" customFormat="1">
      <c r="E49" s="3"/>
      <c r="F49" s="335"/>
    </row>
    <row r="50" spans="5:6" customFormat="1">
      <c r="E50" s="3"/>
      <c r="F50" s="335"/>
    </row>
    <row r="51" spans="5:6" customFormat="1">
      <c r="E51" s="3"/>
      <c r="F51" s="335"/>
    </row>
    <row r="52" spans="5:6" customFormat="1">
      <c r="E52" s="3"/>
      <c r="F52" s="335"/>
    </row>
    <row r="53" spans="5:6" customFormat="1">
      <c r="E53" s="3"/>
      <c r="F53" s="335"/>
    </row>
    <row r="54" spans="5:6" customFormat="1">
      <c r="E54" s="3"/>
      <c r="F54" s="335"/>
    </row>
    <row r="55" spans="5:6" customFormat="1">
      <c r="E55" s="3"/>
      <c r="F55" s="335"/>
    </row>
    <row r="56" spans="5:6" customFormat="1">
      <c r="E56" s="3"/>
      <c r="F56" s="335"/>
    </row>
    <row r="57" spans="5:6" customFormat="1">
      <c r="E57" s="3"/>
      <c r="F57" s="335"/>
    </row>
    <row r="58" spans="5:6" customFormat="1">
      <c r="E58" s="3"/>
      <c r="F58" s="335"/>
    </row>
    <row r="59" spans="5:6" customFormat="1">
      <c r="E59" s="3"/>
      <c r="F59" s="335"/>
    </row>
    <row r="60" spans="5:6" customFormat="1">
      <c r="E60" s="3"/>
      <c r="F60" s="335"/>
    </row>
    <row r="61" spans="5:6" customFormat="1">
      <c r="E61" s="3"/>
      <c r="F61" s="335"/>
    </row>
    <row r="62" spans="5:6" customFormat="1">
      <c r="E62" s="3"/>
      <c r="F62" s="335"/>
    </row>
    <row r="63" spans="5:6" customFormat="1">
      <c r="E63" s="3"/>
      <c r="F63" s="335"/>
    </row>
    <row r="64" spans="5:6" customFormat="1">
      <c r="E64" s="3"/>
      <c r="F64" s="335"/>
    </row>
    <row r="65" spans="5:6" customFormat="1">
      <c r="E65" s="3"/>
      <c r="F65" s="335"/>
    </row>
    <row r="66" spans="5:6" customFormat="1">
      <c r="E66" s="3"/>
      <c r="F66" s="335"/>
    </row>
    <row r="67" spans="5:6" customFormat="1">
      <c r="E67" s="3"/>
      <c r="F67" s="335"/>
    </row>
    <row r="68" spans="5:6" customFormat="1">
      <c r="E68" s="3"/>
      <c r="F68" s="335"/>
    </row>
    <row r="69" spans="5:6" customFormat="1">
      <c r="E69" s="3"/>
      <c r="F69" s="335"/>
    </row>
    <row r="70" spans="5:6" customFormat="1">
      <c r="E70" s="3"/>
      <c r="F70" s="335"/>
    </row>
    <row r="71" spans="5:6" customFormat="1">
      <c r="E71" s="3"/>
      <c r="F71" s="335"/>
    </row>
    <row r="72" spans="5:6" customFormat="1">
      <c r="E72" s="3"/>
      <c r="F72" s="335"/>
    </row>
    <row r="73" spans="5:6" customFormat="1">
      <c r="E73" s="3"/>
      <c r="F73" s="335"/>
    </row>
    <row r="74" spans="5:6" customFormat="1">
      <c r="E74" s="3"/>
      <c r="F74" s="335"/>
    </row>
    <row r="75" spans="5:6" customFormat="1">
      <c r="E75" s="3"/>
      <c r="F75" s="335"/>
    </row>
    <row r="76" spans="5:6" customFormat="1">
      <c r="E76" s="3"/>
      <c r="F76" s="335"/>
    </row>
    <row r="77" spans="5:6" customFormat="1">
      <c r="E77" s="3"/>
      <c r="F77" s="335"/>
    </row>
    <row r="78" spans="5:6" customFormat="1">
      <c r="E78" s="3"/>
      <c r="F78" s="335"/>
    </row>
    <row r="79" spans="5:6" customFormat="1">
      <c r="E79" s="3"/>
      <c r="F79" s="335"/>
    </row>
    <row r="80" spans="5:6" customFormat="1">
      <c r="E80" s="3"/>
      <c r="F80" s="335"/>
    </row>
    <row r="81" spans="5:6" customFormat="1">
      <c r="E81" s="3"/>
      <c r="F81" s="335"/>
    </row>
    <row r="82" spans="5:6" customFormat="1">
      <c r="E82" s="3"/>
      <c r="F82" s="335"/>
    </row>
    <row r="83" spans="5:6" customFormat="1">
      <c r="E83" s="3"/>
      <c r="F83" s="335"/>
    </row>
    <row r="84" spans="5:6" customFormat="1">
      <c r="E84" s="3"/>
      <c r="F84" s="335"/>
    </row>
    <row r="85" spans="5:6" customFormat="1">
      <c r="E85" s="3"/>
      <c r="F85" s="335"/>
    </row>
    <row r="86" spans="5:6" customFormat="1">
      <c r="E86" s="3"/>
      <c r="F86" s="335"/>
    </row>
    <row r="87" spans="5:6" customFormat="1">
      <c r="E87" s="3"/>
      <c r="F87" s="335"/>
    </row>
    <row r="88" spans="5:6" customFormat="1">
      <c r="E88" s="3"/>
      <c r="F88" s="335"/>
    </row>
    <row r="89" spans="5:6" customFormat="1">
      <c r="E89" s="3"/>
      <c r="F89" s="335"/>
    </row>
    <row r="90" spans="5:6" customFormat="1">
      <c r="E90" s="3"/>
      <c r="F90" s="335"/>
    </row>
    <row r="91" spans="5:6" customFormat="1">
      <c r="E91" s="3"/>
      <c r="F91" s="335"/>
    </row>
    <row r="92" spans="5:6" customFormat="1">
      <c r="E92" s="3"/>
      <c r="F92" s="335"/>
    </row>
    <row r="93" spans="5:6" customFormat="1">
      <c r="E93" s="3"/>
      <c r="F93" s="335"/>
    </row>
    <row r="94" spans="5:6" customFormat="1">
      <c r="E94" s="3"/>
      <c r="F94" s="335"/>
    </row>
    <row r="95" spans="5:6" customFormat="1">
      <c r="E95" s="3"/>
      <c r="F95" s="335"/>
    </row>
    <row r="96" spans="5:6" customFormat="1">
      <c r="E96" s="3"/>
      <c r="F96" s="335"/>
    </row>
    <row r="97" spans="5:6" customFormat="1">
      <c r="E97" s="3"/>
      <c r="F97" s="335"/>
    </row>
    <row r="98" spans="5:6" customFormat="1">
      <c r="E98" s="3"/>
      <c r="F98" s="335"/>
    </row>
    <row r="99" spans="5:6" customFormat="1">
      <c r="E99" s="3"/>
      <c r="F99" s="335"/>
    </row>
    <row r="100" spans="5:6" customFormat="1">
      <c r="E100" s="3"/>
      <c r="F100" s="335"/>
    </row>
    <row r="101" spans="5:6" customFormat="1">
      <c r="E101" s="3"/>
      <c r="F101" s="335"/>
    </row>
    <row r="102" spans="5:6" customFormat="1">
      <c r="E102" s="3"/>
      <c r="F102" s="335"/>
    </row>
    <row r="103" spans="5:6" customFormat="1">
      <c r="E103" s="3"/>
      <c r="F103" s="335"/>
    </row>
    <row r="104" spans="5:6" customFormat="1">
      <c r="E104" s="3"/>
      <c r="F104" s="335"/>
    </row>
    <row r="105" spans="5:6" customFormat="1">
      <c r="E105" s="3"/>
      <c r="F105" s="335"/>
    </row>
    <row r="106" spans="5:6" customFormat="1">
      <c r="E106" s="3"/>
      <c r="F106" s="335"/>
    </row>
    <row r="107" spans="5:6" customFormat="1">
      <c r="E107" s="3"/>
      <c r="F107" s="335"/>
    </row>
    <row r="108" spans="5:6" customFormat="1">
      <c r="E108" s="3"/>
      <c r="F108" s="335"/>
    </row>
    <row r="109" spans="5:6" customFormat="1">
      <c r="E109" s="3"/>
      <c r="F109" s="335"/>
    </row>
    <row r="110" spans="5:6" customFormat="1">
      <c r="E110" s="3"/>
      <c r="F110" s="335"/>
    </row>
    <row r="111" spans="5:6" customFormat="1">
      <c r="E111" s="3"/>
      <c r="F111" s="335"/>
    </row>
    <row r="112" spans="5:6" customFormat="1">
      <c r="E112" s="3"/>
      <c r="F112" s="335"/>
    </row>
    <row r="113" spans="5:6" customFormat="1">
      <c r="E113" s="3"/>
      <c r="F113" s="335"/>
    </row>
    <row r="114" spans="5:6" customFormat="1">
      <c r="E114" s="3"/>
      <c r="F114" s="335"/>
    </row>
    <row r="115" spans="5:6" customFormat="1">
      <c r="E115" s="3"/>
      <c r="F115" s="335"/>
    </row>
    <row r="116" spans="5:6" customFormat="1">
      <c r="E116" s="3"/>
      <c r="F116" s="335"/>
    </row>
    <row r="117" spans="5:6" customFormat="1">
      <c r="E117" s="3"/>
      <c r="F117" s="335"/>
    </row>
    <row r="118" spans="5:6" customFormat="1">
      <c r="E118" s="3"/>
      <c r="F118" s="335"/>
    </row>
    <row r="119" spans="5:6" customFormat="1">
      <c r="E119" s="3"/>
      <c r="F119" s="335"/>
    </row>
    <row r="120" spans="5:6" customFormat="1">
      <c r="E120" s="3"/>
      <c r="F120" s="335"/>
    </row>
    <row r="121" spans="5:6" customFormat="1">
      <c r="E121" s="3"/>
      <c r="F121" s="335"/>
    </row>
    <row r="122" spans="5:6" customFormat="1">
      <c r="E122" s="3"/>
      <c r="F122" s="335"/>
    </row>
    <row r="123" spans="5:6" customFormat="1">
      <c r="E123" s="3"/>
      <c r="F123" s="335"/>
    </row>
    <row r="124" spans="5:6" customFormat="1">
      <c r="E124" s="3"/>
      <c r="F124" s="335"/>
    </row>
    <row r="125" spans="5:6" customFormat="1">
      <c r="E125" s="3"/>
      <c r="F125" s="335"/>
    </row>
    <row r="126" spans="5:6" customFormat="1">
      <c r="E126" s="3"/>
      <c r="F126" s="335"/>
    </row>
    <row r="127" spans="5:6" customFormat="1">
      <c r="E127" s="3"/>
      <c r="F127" s="335"/>
    </row>
    <row r="128" spans="5:6" customFormat="1">
      <c r="E128" s="3"/>
      <c r="F128" s="335"/>
    </row>
    <row r="129" spans="5:6" customFormat="1">
      <c r="E129" s="3"/>
      <c r="F129" s="335"/>
    </row>
    <row r="130" spans="5:6" customFormat="1">
      <c r="E130" s="3"/>
      <c r="F130" s="335"/>
    </row>
  </sheetData>
  <pageMargins left="0.7" right="0.7" top="0.75" bottom="0.75" header="0.3" footer="0.3"/>
  <pageSetup scale="54"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4761-DAC2-4881-B4BD-E3BA9BD86218}">
  <sheetPr codeName="Sayfa10">
    <tabColor theme="7" tint="0.39997558519241921"/>
    <pageSetUpPr fitToPage="1"/>
  </sheetPr>
  <dimension ref="A1:BE825"/>
  <sheetViews>
    <sheetView zoomScale="80" zoomScaleNormal="80" zoomScaleSheetLayoutView="85" workbookViewId="0">
      <pane xSplit="2" topLeftCell="C1" activePane="topRight" state="frozen"/>
      <selection pane="topRight" activeCell="F11" sqref="F11"/>
    </sheetView>
  </sheetViews>
  <sheetFormatPr defaultRowHeight="29.25"/>
  <cols>
    <col min="1" max="1" width="27.375" bestFit="1" customWidth="1"/>
    <col min="2" max="2" width="27.375" hidden="1" customWidth="1"/>
    <col min="3" max="3" width="27.375" style="3" customWidth="1"/>
    <col min="4" max="4" width="23.125" bestFit="1" customWidth="1"/>
    <col min="5" max="5" width="28.125" hidden="1" customWidth="1"/>
    <col min="6" max="6" width="9.125" style="77"/>
    <col min="7" max="7" width="10.375" bestFit="1" customWidth="1"/>
    <col min="8" max="8" width="15.625" bestFit="1" customWidth="1"/>
    <col min="9" max="9" width="16.625" customWidth="1"/>
    <col min="10" max="10" width="9.125" style="73" customWidth="1"/>
    <col min="11" max="11" width="10" style="73" customWidth="1"/>
    <col min="12" max="14" width="9.125" customWidth="1"/>
    <col min="15" max="15" width="12" customWidth="1"/>
    <col min="16" max="36" width="9.125" customWidth="1"/>
    <col min="39" max="39" width="9.125" style="84" customWidth="1"/>
    <col min="40" max="40" width="20.375" style="84" customWidth="1"/>
    <col min="41" max="48" width="13.125" style="84" customWidth="1"/>
    <col min="49" max="49" width="21.125" style="85" customWidth="1"/>
    <col min="50" max="50" width="16.625" style="85" customWidth="1"/>
    <col min="51" max="51" width="9.125" style="85" customWidth="1"/>
    <col min="52" max="52" width="14.125" style="85" customWidth="1"/>
    <col min="53" max="57" width="9.125" style="85" customWidth="1"/>
    <col min="58" max="58" width="9.125" customWidth="1"/>
  </cols>
  <sheetData>
    <row r="1" spans="1:51" ht="25.5" customHeight="1">
      <c r="A1" s="64" t="str">
        <f>"POZ"&amp;" "&amp;J2</f>
        <v>POZ 1</v>
      </c>
      <c r="C1" s="243">
        <f>xHesaplama!C27</f>
        <v>1</v>
      </c>
      <c r="D1" s="64" t="s">
        <v>357</v>
      </c>
      <c r="F1" s="74"/>
      <c r="G1" s="72" t="s">
        <v>786</v>
      </c>
      <c r="H1" s="65"/>
      <c r="I1" s="71">
        <f>SUM(H3:H41)</f>
        <v>141.24893818614174</v>
      </c>
      <c r="J1" s="82" t="s">
        <v>360</v>
      </c>
      <c r="K1" s="222" t="s">
        <v>807</v>
      </c>
      <c r="L1" t="str" cm="1">
        <f t="array" ref="L1:AJ24">_xlfn._xlws.FILTER(REÇETE!$D$11:$AB$142,REÇETE!$I$11:$I$142&lt;&gt;"","")</f>
        <v>EXCEL KODU</v>
      </c>
      <c r="M1" t="str">
        <v>PARÇA BİRİM</v>
      </c>
      <c r="N1" t="str">
        <v>PARÇA ADI</v>
      </c>
      <c r="O1" t="str">
        <v>MALZEME KODU</v>
      </c>
      <c r="P1" t="str">
        <v>BİRİM FİYAT</v>
      </c>
      <c r="Q1" t="str">
        <v>POZ 1</v>
      </c>
      <c r="R1" t="str">
        <v>POZ 2</v>
      </c>
      <c r="S1" t="str">
        <v>POZ 3</v>
      </c>
      <c r="T1" t="str">
        <v>POZ 4</v>
      </c>
      <c r="U1" t="str">
        <v>POZ 5</v>
      </c>
      <c r="V1" t="str">
        <v>POZ 6</v>
      </c>
      <c r="W1" t="str">
        <v>POZ 7</v>
      </c>
      <c r="X1" t="str">
        <v>POZ 8</v>
      </c>
      <c r="Y1" t="str">
        <v>POZ 9</v>
      </c>
      <c r="Z1" t="str">
        <v>POZ 10</v>
      </c>
      <c r="AA1" t="str">
        <v>POZ 11</v>
      </c>
      <c r="AB1" t="str">
        <v>POZ 12</v>
      </c>
      <c r="AC1" t="str">
        <v>POZ 13</v>
      </c>
      <c r="AD1" t="str">
        <v>POZ 14</v>
      </c>
      <c r="AE1" t="str">
        <v>POZ 15</v>
      </c>
      <c r="AF1" t="str">
        <v>POZ 16</v>
      </c>
      <c r="AG1" t="str">
        <v>POZ 17</v>
      </c>
      <c r="AH1" t="str">
        <v>POZ 18</v>
      </c>
      <c r="AI1" t="str">
        <v>POZ 19</v>
      </c>
      <c r="AJ1" t="str">
        <v>POZ 20</v>
      </c>
      <c r="AM1" s="616" t="s">
        <v>810</v>
      </c>
      <c r="AN1" s="616"/>
      <c r="AX1" s="617" t="s">
        <v>811</v>
      </c>
      <c r="AY1" s="617"/>
    </row>
    <row r="2" spans="1:51" ht="21" customHeight="1">
      <c r="A2" s="66" t="s">
        <v>782</v>
      </c>
      <c r="B2" s="66" t="s">
        <v>409</v>
      </c>
      <c r="C2" s="68" t="s">
        <v>230</v>
      </c>
      <c r="D2" s="66" t="s">
        <v>15</v>
      </c>
      <c r="E2" s="68" t="s">
        <v>808</v>
      </c>
      <c r="F2" s="75" t="s">
        <v>785</v>
      </c>
      <c r="G2" s="68" t="s">
        <v>650</v>
      </c>
      <c r="H2" s="68" t="s">
        <v>355</v>
      </c>
      <c r="I2" s="83" t="s">
        <v>809</v>
      </c>
      <c r="J2" s="619">
        <v>1</v>
      </c>
      <c r="K2" s="221">
        <f>SUM(K3:K41)</f>
        <v>22.288044240000001</v>
      </c>
      <c r="L2" t="str">
        <v>DKYB01</v>
      </c>
      <c r="M2" t="str">
        <v>MT</v>
      </c>
      <c r="N2" t="str">
        <v>KASA PROFİLİ</v>
      </c>
      <c r="O2" t="str">
        <v>PDKP01</v>
      </c>
      <c r="P2">
        <v>4.8529921259842528</v>
      </c>
      <c r="Q2">
        <v>1.1919999999999999</v>
      </c>
      <c r="R2" t="str">
        <v/>
      </c>
      <c r="S2" t="str">
        <v/>
      </c>
      <c r="T2" t="str">
        <v/>
      </c>
      <c r="U2" t="str">
        <v/>
      </c>
      <c r="V2" t="str">
        <v/>
      </c>
      <c r="W2" t="str">
        <v/>
      </c>
      <c r="X2" t="str">
        <v/>
      </c>
      <c r="Y2" t="str">
        <v/>
      </c>
      <c r="Z2" t="str">
        <v/>
      </c>
      <c r="AA2" t="str">
        <v/>
      </c>
      <c r="AB2" t="str">
        <v/>
      </c>
      <c r="AC2" t="str">
        <v/>
      </c>
      <c r="AD2" t="str">
        <v/>
      </c>
      <c r="AE2" t="str">
        <v/>
      </c>
      <c r="AF2" t="str">
        <v/>
      </c>
      <c r="AG2" t="str">
        <v/>
      </c>
      <c r="AH2" t="str">
        <v/>
      </c>
      <c r="AI2" t="str">
        <v/>
      </c>
      <c r="AJ2" t="str">
        <v/>
      </c>
    </row>
    <row r="3" spans="1:51" ht="16.5" customHeight="1">
      <c r="A3" s="67" t="str">
        <f>xHesaplama!H27</f>
        <v>COPACO</v>
      </c>
      <c r="B3" s="67"/>
      <c r="C3" s="70">
        <f>xHesaplama!I27</f>
        <v>0</v>
      </c>
      <c r="D3" s="67">
        <f>xHesaplama!I27</f>
        <v>0</v>
      </c>
      <c r="E3" s="69">
        <f>xHesaplama!AC27</f>
        <v>10</v>
      </c>
      <c r="F3" s="76">
        <f>xHesaplama!AD27*C1</f>
        <v>3.2726160000000006</v>
      </c>
      <c r="G3" s="70" t="s">
        <v>817</v>
      </c>
      <c r="H3" s="69">
        <f>IFERROR(E3*F3,0)</f>
        <v>32.726160000000007</v>
      </c>
      <c r="I3" s="145">
        <v>0</v>
      </c>
      <c r="J3" s="619"/>
      <c r="K3" s="223">
        <f>IFERROR(VLOOKUP(A3,'x Malzemeler ve Özellikleri'!$N$1:$Q$181,4,0)*F3,0)</f>
        <v>2.0944742400000003</v>
      </c>
      <c r="L3" t="str">
        <v>DKYB02</v>
      </c>
      <c r="M3" t="str">
        <v>MT</v>
      </c>
      <c r="N3" t="str">
        <v>KASA ALIN PROFİLİ - wave</v>
      </c>
      <c r="O3" t="str">
        <v>PDKP01D</v>
      </c>
      <c r="P3">
        <v>3.8077322834645679</v>
      </c>
      <c r="Q3">
        <v>1.1919999999999999</v>
      </c>
      <c r="R3" t="str">
        <v/>
      </c>
      <c r="S3" t="str">
        <v/>
      </c>
      <c r="T3" t="str">
        <v/>
      </c>
      <c r="U3" t="str">
        <v/>
      </c>
      <c r="V3" t="str">
        <v/>
      </c>
      <c r="W3" t="str">
        <v/>
      </c>
      <c r="X3" t="str">
        <v/>
      </c>
      <c r="Y3" t="str">
        <v/>
      </c>
      <c r="Z3" t="str">
        <v/>
      </c>
      <c r="AA3" t="str">
        <v/>
      </c>
      <c r="AB3" t="str">
        <v/>
      </c>
      <c r="AC3" t="str">
        <v/>
      </c>
      <c r="AD3" t="str">
        <v/>
      </c>
      <c r="AE3" t="str">
        <v/>
      </c>
      <c r="AF3" t="str">
        <v/>
      </c>
      <c r="AG3" t="str">
        <v/>
      </c>
      <c r="AH3" t="str">
        <v/>
      </c>
      <c r="AI3" t="str">
        <v/>
      </c>
      <c r="AJ3" t="str">
        <v/>
      </c>
      <c r="AN3" s="84" cm="1">
        <f t="array" ref="AN3">_xlfn._xlws.FILTER(A3:I41,I3:I41,0)</f>
        <v>0</v>
      </c>
      <c r="AW3" s="85">
        <f>VLOOKUP(AY3,'x Malzemeler ve Özellikleri'!B:C,2,0)</f>
        <v>0</v>
      </c>
      <c r="AX3" s="85" cm="1">
        <f t="array" ref="AX3">_xlfn._xlws.FILTER(AN3:AV820,AV3:AV820,0)</f>
        <v>0</v>
      </c>
    </row>
    <row r="4" spans="1:51" ht="16.5" customHeight="1">
      <c r="A4" s="67" t="s">
        <v>105</v>
      </c>
      <c r="B4" s="67"/>
      <c r="C4" s="70"/>
      <c r="D4" s="67" t="str">
        <f>xHesaplama!J27</f>
        <v>FERRINI ALICILI - 20NM</v>
      </c>
      <c r="E4" s="69">
        <f>xHesaplama!AB27</f>
        <v>25</v>
      </c>
      <c r="F4" s="76">
        <f>C1</f>
        <v>1</v>
      </c>
      <c r="G4" s="70" t="s">
        <v>357</v>
      </c>
      <c r="H4" s="69">
        <f>IFERROR(E4*F4,0)</f>
        <v>25</v>
      </c>
      <c r="I4" s="145">
        <v>0</v>
      </c>
      <c r="J4" s="619"/>
      <c r="K4" s="223">
        <f>IFERROR(VLOOKUP(D4,'x Malzemeler ve Özellikleri'!$N$1:$Q$181,4,0)*F4,0)</f>
        <v>2</v>
      </c>
      <c r="L4" t="str">
        <v>GNL06Y</v>
      </c>
      <c r="M4" t="str">
        <v>ADET</v>
      </c>
      <c r="N4" t="str">
        <v>PVC YAY</v>
      </c>
      <c r="O4" t="str">
        <v>PVC YAY</v>
      </c>
      <c r="P4">
        <v>7.0000000000000007E-2</v>
      </c>
      <c r="Q4">
        <v>36</v>
      </c>
      <c r="R4" t="str">
        <v/>
      </c>
      <c r="S4" t="str">
        <v/>
      </c>
      <c r="T4" t="str">
        <v/>
      </c>
      <c r="U4" t="str">
        <v/>
      </c>
      <c r="V4" t="str">
        <v/>
      </c>
      <c r="W4" t="str">
        <v/>
      </c>
      <c r="X4" t="str">
        <v/>
      </c>
      <c r="Y4" t="str">
        <v/>
      </c>
      <c r="Z4" t="str">
        <v/>
      </c>
      <c r="AA4" t="str">
        <v/>
      </c>
      <c r="AB4" t="str">
        <v/>
      </c>
      <c r="AC4" t="str">
        <v/>
      </c>
      <c r="AD4" t="str">
        <v/>
      </c>
      <c r="AE4" t="str">
        <v/>
      </c>
      <c r="AF4" t="str">
        <v/>
      </c>
      <c r="AG4" t="str">
        <v/>
      </c>
      <c r="AH4" t="str">
        <v/>
      </c>
      <c r="AI4" t="str">
        <v/>
      </c>
      <c r="AJ4" t="str">
        <v/>
      </c>
      <c r="AW4" s="85">
        <f>VLOOKUP(AY4,'x Malzemeler ve Özellikleri'!B:C,2,0)</f>
        <v>0</v>
      </c>
    </row>
    <row r="5" spans="1:51" ht="16.5" customHeight="1">
      <c r="A5" s="67" t="str">
        <f>N2</f>
        <v>KASA PROFİLİ</v>
      </c>
      <c r="B5" s="67" t="str">
        <f>L2</f>
        <v>DKYB01</v>
      </c>
      <c r="C5" s="70">
        <f>IF(VLOOKUP(B5,'x Malzemeler ve Özellikleri'!$B$2:$M$136,12,0)="ALÜMİNYUM",'1PROJE'!$H$7,"")</f>
        <v>7016</v>
      </c>
      <c r="D5" s="67" t="str">
        <f>O2</f>
        <v>PDKP01</v>
      </c>
      <c r="E5" s="69">
        <f>HLOOKUP(B5,xHesaplama!$AH$26:$FH$66,22,0)</f>
        <v>7.9102321385826775</v>
      </c>
      <c r="F5" s="76">
        <f t="shared" ref="F5:F41" si="0">Q2*$C$1</f>
        <v>1.1919999999999999</v>
      </c>
      <c r="G5" s="70" t="str">
        <f>M2</f>
        <v>MT</v>
      </c>
      <c r="H5" s="69">
        <f t="shared" ref="H5:H41" si="1">IFERROR(E5*$C$1,"")</f>
        <v>7.9102321385826775</v>
      </c>
      <c r="I5" s="145">
        <v>0</v>
      </c>
      <c r="J5" s="619"/>
      <c r="K5" s="223">
        <f>IFERROR(VLOOKUP(B5,'x Malzemeler ve Özellikleri'!$O$1:$Q$181,3,0)*F5,0)</f>
        <v>1.5496000000000001</v>
      </c>
      <c r="L5" t="str">
        <v>GNL01Y</v>
      </c>
      <c r="M5" t="str">
        <v>MT</v>
      </c>
      <c r="N5" t="str">
        <v>78 MM GALVANİZ ÇELİK BORU</v>
      </c>
      <c r="O5" t="str">
        <v>78BOR</v>
      </c>
      <c r="P5">
        <v>2.4604330708661419</v>
      </c>
      <c r="Q5">
        <v>1.0920000000000001</v>
      </c>
      <c r="R5" t="str">
        <v/>
      </c>
      <c r="S5" t="str">
        <v/>
      </c>
      <c r="T5" t="str">
        <v/>
      </c>
      <c r="U5" t="str">
        <v/>
      </c>
      <c r="V5" t="str">
        <v/>
      </c>
      <c r="W5" t="str">
        <v/>
      </c>
      <c r="X5" t="str">
        <v/>
      </c>
      <c r="Y5" t="str">
        <v/>
      </c>
      <c r="Z5" t="str">
        <v/>
      </c>
      <c r="AA5" t="str">
        <v/>
      </c>
      <c r="AB5" t="str">
        <v/>
      </c>
      <c r="AC5" t="str">
        <v/>
      </c>
      <c r="AD5" t="str">
        <v/>
      </c>
      <c r="AE5" t="str">
        <v/>
      </c>
      <c r="AF5" t="str">
        <v/>
      </c>
      <c r="AG5" t="str">
        <v/>
      </c>
      <c r="AH5" t="str">
        <v/>
      </c>
      <c r="AI5" t="str">
        <v/>
      </c>
      <c r="AJ5" t="str">
        <v/>
      </c>
      <c r="AW5" s="85">
        <f>VLOOKUP(AY5,'x Malzemeler ve Özellikleri'!B:C,2,0)</f>
        <v>0</v>
      </c>
    </row>
    <row r="6" spans="1:51" ht="16.5" customHeight="1">
      <c r="A6" s="67" t="str">
        <f t="shared" ref="A6:A41" si="2">N3</f>
        <v>KASA ALIN PROFİLİ - wave</v>
      </c>
      <c r="B6" s="67" t="str">
        <f t="shared" ref="B6:B41" si="3">L3</f>
        <v>DKYB02</v>
      </c>
      <c r="C6" s="70">
        <f>IF(VLOOKUP(B6,'x Malzemeler ve Özellikleri'!$B$2:$M$136,12,0)="ALÜMİNYUM",'1PROJE'!$H$7,"")</f>
        <v>7016</v>
      </c>
      <c r="D6" s="67" t="str">
        <f t="shared" ref="D6:D41" si="4">O3</f>
        <v>PDKP01D</v>
      </c>
      <c r="E6" s="69">
        <f>HLOOKUP(B6,xHesaplama!$AH$26:$FH$66,22,0)</f>
        <v>6.2064898318110249</v>
      </c>
      <c r="F6" s="76">
        <f t="shared" si="0"/>
        <v>1.1919999999999999</v>
      </c>
      <c r="G6" s="70" t="str">
        <f t="shared" ref="G6:G41" si="5">M3</f>
        <v>MT</v>
      </c>
      <c r="H6" s="69">
        <f t="shared" si="1"/>
        <v>6.2064898318110249</v>
      </c>
      <c r="I6" s="145">
        <v>0</v>
      </c>
      <c r="J6" s="619"/>
      <c r="K6" s="223">
        <f>IFERROR(VLOOKUP(B6,'x Malzemeler ve Özellikleri'!$O$1:$Q$181,3,0)*F6,0)</f>
        <v>1.21584</v>
      </c>
      <c r="L6" t="str">
        <v>GNL10Y</v>
      </c>
      <c r="M6" t="str">
        <v>ADET</v>
      </c>
      <c r="N6" t="str">
        <v>MOTOR BAŞI</v>
      </c>
      <c r="O6" t="str">
        <v>MNS.P1.014</v>
      </c>
      <c r="P6">
        <v>0.86</v>
      </c>
      <c r="Q6">
        <v>1</v>
      </c>
      <c r="R6" t="str">
        <v/>
      </c>
      <c r="S6" t="str">
        <v/>
      </c>
      <c r="T6" t="str">
        <v/>
      </c>
      <c r="U6" t="str">
        <v/>
      </c>
      <c r="V6" t="str">
        <v/>
      </c>
      <c r="W6" t="str">
        <v/>
      </c>
      <c r="X6" t="str">
        <v/>
      </c>
      <c r="Y6" t="str">
        <v/>
      </c>
      <c r="Z6" t="str">
        <v/>
      </c>
      <c r="AA6" t="str">
        <v/>
      </c>
      <c r="AB6" t="str">
        <v/>
      </c>
      <c r="AC6" t="str">
        <v/>
      </c>
      <c r="AD6" t="str">
        <v/>
      </c>
      <c r="AE6" t="str">
        <v/>
      </c>
      <c r="AF6" t="str">
        <v/>
      </c>
      <c r="AG6" t="str">
        <v/>
      </c>
      <c r="AH6" t="str">
        <v/>
      </c>
      <c r="AI6" t="str">
        <v/>
      </c>
      <c r="AJ6" t="str">
        <v/>
      </c>
      <c r="AW6" s="85">
        <f>VLOOKUP(AY6,'x Malzemeler ve Özellikleri'!B:C,2,0)</f>
        <v>0</v>
      </c>
    </row>
    <row r="7" spans="1:51" ht="16.5" customHeight="1">
      <c r="A7" s="67" t="str">
        <f t="shared" si="2"/>
        <v>PVC YAY</v>
      </c>
      <c r="B7" s="67" t="str">
        <f t="shared" si="3"/>
        <v>GNL06Y</v>
      </c>
      <c r="C7" s="70" t="str">
        <f>IF(VLOOKUP(B7,'x Malzemeler ve Özellikleri'!$B$2:$M$136,12,0)="ALÜMİNYUM",'1PROJE'!$H$7,"")</f>
        <v/>
      </c>
      <c r="D7" s="67" t="str">
        <f t="shared" si="4"/>
        <v>PVC YAY</v>
      </c>
      <c r="E7" s="69">
        <f>HLOOKUP(B7,xHesaplama!$AH$26:$FH$66,22,0)</f>
        <v>2.5200000000000005</v>
      </c>
      <c r="F7" s="76">
        <f t="shared" si="0"/>
        <v>36</v>
      </c>
      <c r="G7" s="70" t="str">
        <f t="shared" si="5"/>
        <v>ADET</v>
      </c>
      <c r="H7" s="69">
        <f t="shared" si="1"/>
        <v>2.5200000000000005</v>
      </c>
      <c r="I7" s="145">
        <v>0</v>
      </c>
      <c r="J7" s="619"/>
      <c r="K7" s="81">
        <f>IFERROR(VLOOKUP(B7,'x Malzemeler ve Özellikleri'!$O$1:$Q$181,3,0)*F7,0)</f>
        <v>7.2000000000000008E-2</v>
      </c>
      <c r="L7" t="str">
        <v>GNL11Y</v>
      </c>
      <c r="M7" t="str">
        <v>ADET</v>
      </c>
      <c r="N7" t="str">
        <v>MOTOR BRAKETİ</v>
      </c>
      <c r="O7">
        <v>9761001</v>
      </c>
      <c r="P7">
        <v>0.5</v>
      </c>
      <c r="Q7">
        <v>1</v>
      </c>
      <c r="R7" t="str">
        <v/>
      </c>
      <c r="S7" t="str">
        <v/>
      </c>
      <c r="T7" t="str">
        <v/>
      </c>
      <c r="U7" t="str">
        <v/>
      </c>
      <c r="V7" t="str">
        <v/>
      </c>
      <c r="W7" t="str">
        <v/>
      </c>
      <c r="X7" t="str">
        <v/>
      </c>
      <c r="Y7" t="str">
        <v/>
      </c>
      <c r="Z7" t="str">
        <v/>
      </c>
      <c r="AA7" t="str">
        <v/>
      </c>
      <c r="AB7" t="str">
        <v/>
      </c>
      <c r="AC7" t="str">
        <v/>
      </c>
      <c r="AD7" t="str">
        <v/>
      </c>
      <c r="AE7" t="str">
        <v/>
      </c>
      <c r="AF7" t="str">
        <v/>
      </c>
      <c r="AG7" t="str">
        <v/>
      </c>
      <c r="AH7" t="str">
        <v/>
      </c>
      <c r="AI7" t="str">
        <v/>
      </c>
      <c r="AJ7" t="str">
        <v/>
      </c>
      <c r="AW7" s="85">
        <f>VLOOKUP(AY7,'x Malzemeler ve Özellikleri'!B:C,2,0)</f>
        <v>0</v>
      </c>
    </row>
    <row r="8" spans="1:51" ht="16.5" customHeight="1">
      <c r="A8" s="67" t="str">
        <f t="shared" si="2"/>
        <v>78 MM GALVANİZ ÇELİK BORU</v>
      </c>
      <c r="B8" s="67" t="str">
        <f t="shared" si="3"/>
        <v>GNL01Y</v>
      </c>
      <c r="C8" s="70" t="str">
        <f>IF(VLOOKUP(B8,'x Malzemeler ve Özellikleri'!$B$2:$M$136,12,0)="ALÜMİNYUM",'1PROJE'!$H$7,"")</f>
        <v/>
      </c>
      <c r="D8" s="67" t="str">
        <f t="shared" si="4"/>
        <v>78BOR</v>
      </c>
      <c r="E8" s="69">
        <f>HLOOKUP(B8,xHesaplama!$AH$26:$FH$66,22,0)</f>
        <v>2.8480004881889767</v>
      </c>
      <c r="F8" s="76">
        <f t="shared" si="0"/>
        <v>1.0920000000000001</v>
      </c>
      <c r="G8" s="70" t="str">
        <f t="shared" si="5"/>
        <v>MT</v>
      </c>
      <c r="H8" s="69">
        <f t="shared" si="1"/>
        <v>2.8480004881889767</v>
      </c>
      <c r="I8" s="145">
        <v>0</v>
      </c>
      <c r="J8" s="619"/>
      <c r="K8" s="223">
        <f>IFERROR(VLOOKUP(B8,'x Malzemeler ve Özellikleri'!$O$1:$Q$181,3,0)*F8,0)</f>
        <v>2.7300000000000004</v>
      </c>
      <c r="L8" t="str">
        <v>GNL05Y</v>
      </c>
      <c r="M8" t="str">
        <v>MT</v>
      </c>
      <c r="N8" t="str">
        <v>FERMUAR</v>
      </c>
      <c r="O8" t="str">
        <v>FERMUAR</v>
      </c>
      <c r="P8">
        <v>1.1499999999999999</v>
      </c>
      <c r="Q8">
        <v>5.23</v>
      </c>
      <c r="R8" t="str">
        <v/>
      </c>
      <c r="S8" t="str">
        <v/>
      </c>
      <c r="T8" t="str">
        <v/>
      </c>
      <c r="U8" t="str">
        <v/>
      </c>
      <c r="V8" t="str">
        <v/>
      </c>
      <c r="W8" t="str">
        <v/>
      </c>
      <c r="X8" t="str">
        <v/>
      </c>
      <c r="Y8" t="str">
        <v/>
      </c>
      <c r="Z8" t="str">
        <v/>
      </c>
      <c r="AA8" t="str">
        <v/>
      </c>
      <c r="AB8" t="str">
        <v/>
      </c>
      <c r="AC8" t="str">
        <v/>
      </c>
      <c r="AD8" t="str">
        <v/>
      </c>
      <c r="AE8" t="str">
        <v/>
      </c>
      <c r="AF8" t="str">
        <v/>
      </c>
      <c r="AG8" t="str">
        <v/>
      </c>
      <c r="AH8" t="str">
        <v/>
      </c>
      <c r="AI8" t="str">
        <v/>
      </c>
      <c r="AJ8" t="str">
        <v/>
      </c>
      <c r="AW8" s="85">
        <f>VLOOKUP(AY8,'x Malzemeler ve Özellikleri'!B:C,2,0)</f>
        <v>0</v>
      </c>
    </row>
    <row r="9" spans="1:51" ht="16.5" customHeight="1">
      <c r="A9" s="67" t="str">
        <f t="shared" si="2"/>
        <v>MOTOR BAŞI</v>
      </c>
      <c r="B9" s="67" t="str">
        <f t="shared" si="3"/>
        <v>GNL10Y</v>
      </c>
      <c r="C9" s="70" t="str">
        <f>IF(VLOOKUP(B9,'x Malzemeler ve Özellikleri'!$B$2:$M$136,12,0)="ALÜMİNYUM",'1PROJE'!$H$7,"")</f>
        <v/>
      </c>
      <c r="D9" s="67" t="str">
        <f t="shared" si="4"/>
        <v>MNS.P1.014</v>
      </c>
      <c r="E9" s="69">
        <f>HLOOKUP(B9,xHesaplama!$AH$26:$FH$66,22,0)</f>
        <v>0.86</v>
      </c>
      <c r="F9" s="76">
        <f t="shared" si="0"/>
        <v>1</v>
      </c>
      <c r="G9" s="70" t="str">
        <f t="shared" si="5"/>
        <v>ADET</v>
      </c>
      <c r="H9" s="69">
        <f t="shared" si="1"/>
        <v>0.86</v>
      </c>
      <c r="I9" s="145">
        <v>0</v>
      </c>
      <c r="J9" s="619"/>
      <c r="K9" s="81">
        <f>IFERROR(VLOOKUP(B9,'x Malzemeler ve Özellikleri'!$O$1:$Q$181,3,0)*F9,0)</f>
        <v>7.0000000000000007E-2</v>
      </c>
      <c r="L9" t="str">
        <v>GNL03Y</v>
      </c>
      <c r="M9" t="str">
        <v>MT</v>
      </c>
      <c r="N9" t="str">
        <v>PVC PLASTİK RAY</v>
      </c>
      <c r="O9" t="str">
        <v>BP.422</v>
      </c>
      <c r="P9">
        <v>0.6</v>
      </c>
      <c r="Q9">
        <v>4.6100000000000003</v>
      </c>
      <c r="R9" t="str">
        <v/>
      </c>
      <c r="S9" t="str">
        <v/>
      </c>
      <c r="T9" t="str">
        <v/>
      </c>
      <c r="U9" t="str">
        <v/>
      </c>
      <c r="V9" t="str">
        <v/>
      </c>
      <c r="W9" t="str">
        <v/>
      </c>
      <c r="X9" t="str">
        <v/>
      </c>
      <c r="Y9" t="str">
        <v/>
      </c>
      <c r="Z9" t="str">
        <v/>
      </c>
      <c r="AA9" t="str">
        <v/>
      </c>
      <c r="AB9" t="str">
        <v/>
      </c>
      <c r="AC9" t="str">
        <v/>
      </c>
      <c r="AD9" t="str">
        <v/>
      </c>
      <c r="AE9" t="str">
        <v/>
      </c>
      <c r="AF9" t="str">
        <v/>
      </c>
      <c r="AG9" t="str">
        <v/>
      </c>
      <c r="AH9" t="str">
        <v/>
      </c>
      <c r="AI9" t="str">
        <v/>
      </c>
      <c r="AJ9" t="str">
        <v/>
      </c>
      <c r="AW9" s="85">
        <f>VLOOKUP(AY9,'x Malzemeler ve Özellikleri'!B:C,2,0)</f>
        <v>0</v>
      </c>
    </row>
    <row r="10" spans="1:51" ht="16.5" customHeight="1">
      <c r="A10" s="67" t="str">
        <f t="shared" si="2"/>
        <v>MOTOR BRAKETİ</v>
      </c>
      <c r="B10" s="67" t="str">
        <f t="shared" si="3"/>
        <v>GNL11Y</v>
      </c>
      <c r="C10" s="70" t="str">
        <f>IF(VLOOKUP(B10,'x Malzemeler ve Özellikleri'!$B$2:$M$136,12,0)="ALÜMİNYUM",'1PROJE'!$H$7,"")</f>
        <v/>
      </c>
      <c r="D10" s="67">
        <f t="shared" si="4"/>
        <v>9761001</v>
      </c>
      <c r="E10" s="69">
        <f>HLOOKUP(B10,xHesaplama!$AH$26:$FH$66,22,0)</f>
        <v>0.5</v>
      </c>
      <c r="F10" s="76">
        <f t="shared" si="0"/>
        <v>1</v>
      </c>
      <c r="G10" s="70" t="str">
        <f t="shared" si="5"/>
        <v>ADET</v>
      </c>
      <c r="H10" s="69">
        <f t="shared" si="1"/>
        <v>0.5</v>
      </c>
      <c r="I10" s="145">
        <v>0</v>
      </c>
      <c r="J10" s="619"/>
      <c r="K10" s="81">
        <f>IFERROR(VLOOKUP(B10,'x Malzemeler ve Özellikleri'!$O$1:$Q$181,3,0)*F10,0)</f>
        <v>7.6999999999999999E-2</v>
      </c>
      <c r="L10" t="str">
        <v>GNL08Y</v>
      </c>
      <c r="M10" t="str">
        <v>TAKIM</v>
      </c>
      <c r="N10" t="str">
        <v>VİDA SETİ</v>
      </c>
      <c r="O10" t="str">
        <v>VİDA3</v>
      </c>
      <c r="P10">
        <v>1</v>
      </c>
      <c r="Q10">
        <v>1</v>
      </c>
      <c r="R10" t="str">
        <v/>
      </c>
      <c r="S10" t="str">
        <v/>
      </c>
      <c r="T10" t="str">
        <v/>
      </c>
      <c r="U10" t="str">
        <v/>
      </c>
      <c r="V10" t="str">
        <v/>
      </c>
      <c r="W10" t="str">
        <v/>
      </c>
      <c r="X10" t="str">
        <v/>
      </c>
      <c r="Y10" t="str">
        <v/>
      </c>
      <c r="Z10" t="str">
        <v/>
      </c>
      <c r="AA10" t="str">
        <v/>
      </c>
      <c r="AB10" t="str">
        <v/>
      </c>
      <c r="AC10" t="str">
        <v/>
      </c>
      <c r="AD10" t="str">
        <v/>
      </c>
      <c r="AE10" t="str">
        <v/>
      </c>
      <c r="AF10" t="str">
        <v/>
      </c>
      <c r="AG10" t="str">
        <v/>
      </c>
      <c r="AH10" t="str">
        <v/>
      </c>
      <c r="AI10" t="str">
        <v/>
      </c>
      <c r="AJ10" t="str">
        <v/>
      </c>
      <c r="AW10" s="85">
        <f>VLOOKUP(AY10,'x Malzemeler ve Özellikleri'!B:C,2,0)</f>
        <v>0</v>
      </c>
    </row>
    <row r="11" spans="1:51" ht="16.5" customHeight="1">
      <c r="A11" s="67" t="str">
        <f t="shared" si="2"/>
        <v>FERMUAR</v>
      </c>
      <c r="B11" s="67" t="str">
        <f t="shared" si="3"/>
        <v>GNL05Y</v>
      </c>
      <c r="C11" s="70" t="str">
        <f>IF(VLOOKUP(B11,'x Malzemeler ve Özellikleri'!$B$2:$M$136,12,0)="ALÜMİNYUM",'1PROJE'!$H$7,"")</f>
        <v/>
      </c>
      <c r="D11" s="67" t="str">
        <f t="shared" si="4"/>
        <v>FERMUAR</v>
      </c>
      <c r="E11" s="69">
        <f>HLOOKUP(B11,xHesaplama!$AH$26:$FH$66,22,0)</f>
        <v>6.0145</v>
      </c>
      <c r="F11" s="76">
        <f t="shared" si="0"/>
        <v>5.23</v>
      </c>
      <c r="G11" s="70" t="str">
        <f t="shared" si="5"/>
        <v>MT</v>
      </c>
      <c r="H11" s="69">
        <f t="shared" si="1"/>
        <v>6.0145</v>
      </c>
      <c r="I11" s="145">
        <v>0</v>
      </c>
      <c r="J11" s="619"/>
      <c r="K11" s="81">
        <f>IFERROR(VLOOKUP(B11,'x Malzemeler ve Özellikleri'!$O$1:$Q$181,3,0)*F11,0)</f>
        <v>5.2300000000000006E-2</v>
      </c>
      <c r="L11" t="str">
        <v>GNL09Y</v>
      </c>
      <c r="M11" t="str">
        <v>MT</v>
      </c>
      <c r="N11" t="str">
        <v>ALT PARÇA KIL FİTİL 48*10</v>
      </c>
      <c r="O11" t="str">
        <v>ALT PARÇA KIL FİTİL 48*10</v>
      </c>
      <c r="P11">
        <v>0.08</v>
      </c>
      <c r="Q11">
        <v>1.0880000000000001</v>
      </c>
      <c r="R11" t="str">
        <v/>
      </c>
      <c r="S11" t="str">
        <v/>
      </c>
      <c r="T11" t="str">
        <v/>
      </c>
      <c r="U11" t="str">
        <v/>
      </c>
      <c r="V11" t="str">
        <v/>
      </c>
      <c r="W11" t="str">
        <v/>
      </c>
      <c r="X11" t="str">
        <v/>
      </c>
      <c r="Y11" t="str">
        <v/>
      </c>
      <c r="Z11" t="str">
        <v/>
      </c>
      <c r="AA11" t="str">
        <v/>
      </c>
      <c r="AB11" t="str">
        <v/>
      </c>
      <c r="AC11" t="str">
        <v/>
      </c>
      <c r="AD11" t="str">
        <v/>
      </c>
      <c r="AE11" t="str">
        <v/>
      </c>
      <c r="AF11" t="str">
        <v/>
      </c>
      <c r="AG11" t="str">
        <v/>
      </c>
      <c r="AH11" t="str">
        <v/>
      </c>
      <c r="AI11" t="str">
        <v/>
      </c>
      <c r="AJ11" t="str">
        <v/>
      </c>
      <c r="AW11" s="85">
        <f>VLOOKUP(AY11,'x Malzemeler ve Özellikleri'!B:C,2,0)</f>
        <v>0</v>
      </c>
    </row>
    <row r="12" spans="1:51" ht="16.5" customHeight="1">
      <c r="A12" s="67" t="str">
        <f t="shared" si="2"/>
        <v>PVC PLASTİK RAY</v>
      </c>
      <c r="B12" s="67" t="str">
        <f t="shared" si="3"/>
        <v>GNL03Y</v>
      </c>
      <c r="C12" s="70" t="str">
        <f>IF(VLOOKUP(B12,'x Malzemeler ve Özellikleri'!$B$2:$M$136,12,0)="ALÜMİNYUM",'1PROJE'!$H$7,"")</f>
        <v/>
      </c>
      <c r="D12" s="67" t="str">
        <f t="shared" si="4"/>
        <v>BP.422</v>
      </c>
      <c r="E12" s="69">
        <f>HLOOKUP(B12,xHesaplama!$AH$26:$FH$66,22,0)</f>
        <v>2.9319600000000001</v>
      </c>
      <c r="F12" s="76">
        <f t="shared" si="0"/>
        <v>4.6100000000000003</v>
      </c>
      <c r="G12" s="70" t="str">
        <f t="shared" si="5"/>
        <v>MT</v>
      </c>
      <c r="H12" s="69">
        <f t="shared" si="1"/>
        <v>2.9319600000000001</v>
      </c>
      <c r="I12" s="145">
        <v>0</v>
      </c>
      <c r="J12" s="619"/>
      <c r="K12" s="81">
        <f>IFERROR(VLOOKUP(B12,'x Malzemeler ve Özellikleri'!$O$1:$Q$181,3,0)*F12,0)</f>
        <v>0.55320000000000003</v>
      </c>
      <c r="L12" t="str">
        <v>GNL07Y</v>
      </c>
      <c r="M12" t="str">
        <v>MT</v>
      </c>
      <c r="N12" t="str">
        <v>PVC FİTİL</v>
      </c>
      <c r="O12" t="str">
        <v>PVC FİTİL</v>
      </c>
      <c r="P12">
        <v>7.874015748031496E-2</v>
      </c>
      <c r="Q12">
        <v>2.1800000000000002</v>
      </c>
      <c r="R12" t="str">
        <v/>
      </c>
      <c r="S12" t="str">
        <v/>
      </c>
      <c r="T12" t="str">
        <v/>
      </c>
      <c r="U12" t="str">
        <v/>
      </c>
      <c r="V12" t="str">
        <v/>
      </c>
      <c r="W12" t="str">
        <v/>
      </c>
      <c r="X12" t="str">
        <v/>
      </c>
      <c r="Y12" t="str">
        <v/>
      </c>
      <c r="Z12" t="str">
        <v/>
      </c>
      <c r="AA12" t="str">
        <v/>
      </c>
      <c r="AB12" t="str">
        <v/>
      </c>
      <c r="AC12" t="str">
        <v/>
      </c>
      <c r="AD12" t="str">
        <v/>
      </c>
      <c r="AE12" t="str">
        <v/>
      </c>
      <c r="AF12" t="str">
        <v/>
      </c>
      <c r="AG12" t="str">
        <v/>
      </c>
      <c r="AH12" t="str">
        <v/>
      </c>
      <c r="AI12" t="str">
        <v/>
      </c>
      <c r="AJ12" t="str">
        <v/>
      </c>
      <c r="AW12" s="85">
        <f>VLOOKUP(AY12,'x Malzemeler ve Özellikleri'!B:C,2,0)</f>
        <v>0</v>
      </c>
    </row>
    <row r="13" spans="1:51" ht="16.5" customHeight="1">
      <c r="A13" s="67" t="str">
        <f t="shared" si="2"/>
        <v>VİDA SETİ</v>
      </c>
      <c r="B13" s="67" t="str">
        <f t="shared" si="3"/>
        <v>GNL08Y</v>
      </c>
      <c r="C13" s="70" t="str">
        <f>IF(VLOOKUP(B13,'x Malzemeler ve Özellikleri'!$B$2:$M$136,12,0)="ALÜMİNYUM",'1PROJE'!$H$7,"")</f>
        <v/>
      </c>
      <c r="D13" s="67" t="str">
        <f t="shared" si="4"/>
        <v>VİDA3</v>
      </c>
      <c r="E13" s="69">
        <f>HLOOKUP(B13,xHesaplama!$AH$26:$FH$66,22,0)</f>
        <v>1</v>
      </c>
      <c r="F13" s="76">
        <f t="shared" si="0"/>
        <v>1</v>
      </c>
      <c r="G13" s="70" t="str">
        <f t="shared" si="5"/>
        <v>TAKIM</v>
      </c>
      <c r="H13" s="69">
        <f t="shared" si="1"/>
        <v>1</v>
      </c>
      <c r="I13" s="145">
        <v>0</v>
      </c>
      <c r="J13" s="619"/>
      <c r="K13" s="81">
        <f>IFERROR(VLOOKUP(B13,'x Malzemeler ve Özellikleri'!$O$1:$Q$181,3,0)*F13,0)</f>
        <v>0.02</v>
      </c>
      <c r="L13" t="str">
        <v>DKYB05</v>
      </c>
      <c r="M13" t="str">
        <v>TAKIM</v>
      </c>
      <c r="N13" t="str">
        <v>KUTU YAN KAPAK</v>
      </c>
      <c r="O13" t="str">
        <v>9108-P110</v>
      </c>
      <c r="P13">
        <v>4.5</v>
      </c>
      <c r="Q13">
        <v>1</v>
      </c>
      <c r="R13" t="str">
        <v/>
      </c>
      <c r="S13" t="str">
        <v/>
      </c>
      <c r="T13" t="str">
        <v/>
      </c>
      <c r="U13" t="str">
        <v/>
      </c>
      <c r="V13" t="str">
        <v/>
      </c>
      <c r="W13" t="str">
        <v/>
      </c>
      <c r="X13" t="str">
        <v/>
      </c>
      <c r="Y13" t="str">
        <v/>
      </c>
      <c r="Z13" t="str">
        <v/>
      </c>
      <c r="AA13" t="str">
        <v/>
      </c>
      <c r="AB13" t="str">
        <v/>
      </c>
      <c r="AC13" t="str">
        <v/>
      </c>
      <c r="AD13" t="str">
        <v/>
      </c>
      <c r="AE13" t="str">
        <v/>
      </c>
      <c r="AF13" t="str">
        <v/>
      </c>
      <c r="AG13" t="str">
        <v/>
      </c>
      <c r="AH13" t="str">
        <v/>
      </c>
      <c r="AI13" t="str">
        <v/>
      </c>
      <c r="AJ13" t="str">
        <v/>
      </c>
      <c r="AW13" s="85">
        <f>VLOOKUP(AY13,'x Malzemeler ve Özellikleri'!B:C,2,0)</f>
        <v>0</v>
      </c>
    </row>
    <row r="14" spans="1:51" ht="16.5" customHeight="1">
      <c r="A14" s="67" t="str">
        <f t="shared" si="2"/>
        <v>ALT PARÇA KIL FİTİL 48*10</v>
      </c>
      <c r="B14" s="67" t="str">
        <f t="shared" si="3"/>
        <v>GNL09Y</v>
      </c>
      <c r="C14" s="70" t="str">
        <f>IF(VLOOKUP(B14,'x Malzemeler ve Özellikleri'!$B$2:$M$136,12,0)="ALÜMİNYUM",'1PROJE'!$H$7,"")</f>
        <v/>
      </c>
      <c r="D14" s="67" t="str">
        <f t="shared" si="4"/>
        <v>ALT PARÇA KIL FİTİL 48*10</v>
      </c>
      <c r="E14" s="69">
        <f>HLOOKUP(B14,xHesaplama!$AH$26:$FH$66,22,0)</f>
        <v>8.7040000000000006E-2</v>
      </c>
      <c r="F14" s="76">
        <f t="shared" si="0"/>
        <v>1.0880000000000001</v>
      </c>
      <c r="G14" s="70" t="str">
        <f t="shared" si="5"/>
        <v>MT</v>
      </c>
      <c r="H14" s="69">
        <f t="shared" si="1"/>
        <v>8.7040000000000006E-2</v>
      </c>
      <c r="I14" s="145">
        <v>0</v>
      </c>
      <c r="J14" s="619"/>
      <c r="K14" s="81">
        <f>IFERROR(VLOOKUP(B14,'x Malzemeler ve Özellikleri'!$O$1:$Q$181,3,0)*F14,0)</f>
        <v>1.0880000000000001E-2</v>
      </c>
      <c r="L14" t="str">
        <v>DKYB06</v>
      </c>
      <c r="M14" t="str">
        <v>ADET</v>
      </c>
      <c r="N14" t="str">
        <v>PİMLİ BORU BAŞI</v>
      </c>
      <c r="O14" t="str">
        <v>MNS.P1.028</v>
      </c>
      <c r="P14">
        <v>1.43</v>
      </c>
      <c r="Q14">
        <v>1</v>
      </c>
      <c r="R14" t="str">
        <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W14" s="85">
        <f>VLOOKUP(AY14,'x Malzemeler ve Özellikleri'!B:C,2,0)</f>
        <v>0</v>
      </c>
    </row>
    <row r="15" spans="1:51" ht="16.5" customHeight="1">
      <c r="A15" s="67" t="str">
        <f t="shared" si="2"/>
        <v>PVC FİTİL</v>
      </c>
      <c r="B15" s="67" t="str">
        <f t="shared" si="3"/>
        <v>GNL07Y</v>
      </c>
      <c r="C15" s="70" t="str">
        <f>IF(VLOOKUP(B15,'x Malzemeler ve Özellikleri'!$B$2:$M$136,12,0)="ALÜMİNYUM",'1PROJE'!$H$7,"")</f>
        <v/>
      </c>
      <c r="D15" s="67" t="str">
        <f t="shared" si="4"/>
        <v>PVC FİTİL</v>
      </c>
      <c r="E15" s="69">
        <f>HLOOKUP(B15,xHesaplama!$AH$26:$FH$66,22,0)</f>
        <v>0.17165354330708663</v>
      </c>
      <c r="F15" s="76">
        <f t="shared" si="0"/>
        <v>2.1800000000000002</v>
      </c>
      <c r="G15" s="70" t="str">
        <f t="shared" si="5"/>
        <v>MT</v>
      </c>
      <c r="H15" s="69">
        <f t="shared" si="1"/>
        <v>0.17165354330708663</v>
      </c>
      <c r="I15" s="145">
        <v>0</v>
      </c>
      <c r="J15" s="619"/>
      <c r="K15" s="81">
        <f>IFERROR(VLOOKUP(B15,'x Malzemeler ve Özellikleri'!$O$1:$Q$181,3,0)*F15,0)</f>
        <v>4.3600000000000007E-2</v>
      </c>
      <c r="L15" t="str">
        <v>DKYB07</v>
      </c>
      <c r="M15" t="str">
        <v>ADET</v>
      </c>
      <c r="N15" t="str">
        <v>RULMAN</v>
      </c>
      <c r="O15" t="str">
        <v>KFL 001</v>
      </c>
      <c r="P15">
        <v>0.99265748031496071</v>
      </c>
      <c r="Q15">
        <v>1</v>
      </c>
      <c r="R15" t="str">
        <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W15" s="85">
        <f>VLOOKUP(AY15,'x Malzemeler ve Özellikleri'!B:C,2,0)</f>
        <v>0</v>
      </c>
    </row>
    <row r="16" spans="1:51" ht="16.5" customHeight="1">
      <c r="A16" s="67" t="str">
        <f t="shared" si="2"/>
        <v>KUTU YAN KAPAK</v>
      </c>
      <c r="B16" s="67" t="str">
        <f t="shared" si="3"/>
        <v>DKYB05</v>
      </c>
      <c r="C16" s="70">
        <f>IF(VLOOKUP(B16,'x Malzemeler ve Özellikleri'!$B$2:$M$136,12,0)="ALÜMİNYUM",'1PROJE'!$H$7,"")</f>
        <v>7016</v>
      </c>
      <c r="D16" s="67" t="str">
        <f t="shared" si="4"/>
        <v>9108-P110</v>
      </c>
      <c r="E16" s="69">
        <f>HLOOKUP(B16,xHesaplama!$AH$26:$FH$66,22,0)</f>
        <v>4.7078740157480317</v>
      </c>
      <c r="F16" s="76">
        <f t="shared" si="0"/>
        <v>1</v>
      </c>
      <c r="G16" s="70" t="str">
        <f t="shared" si="5"/>
        <v>TAKIM</v>
      </c>
      <c r="H16" s="69">
        <f t="shared" si="1"/>
        <v>4.7078740157480317</v>
      </c>
      <c r="I16" s="145">
        <v>0</v>
      </c>
      <c r="J16" s="619"/>
      <c r="K16" s="81">
        <f>IFERROR(VLOOKUP(B16,'x Malzemeler ve Özellikleri'!$O$1:$Q$181,3,0)*F16,0)</f>
        <v>0.192</v>
      </c>
      <c r="L16" t="str">
        <v>DKYB08</v>
      </c>
      <c r="M16" t="str">
        <v>ADET</v>
      </c>
      <c r="N16" t="str">
        <v>YAN KAPAK METAL GEÇME</v>
      </c>
      <c r="O16" t="str">
        <v>MNS.P1.009</v>
      </c>
      <c r="P16">
        <v>1</v>
      </c>
      <c r="Q16">
        <v>2</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W16" s="85">
        <f>VLOOKUP(AY16,'x Malzemeler ve Özellikleri'!B:C,2,0)</f>
        <v>0</v>
      </c>
    </row>
    <row r="17" spans="1:49" ht="16.5" customHeight="1">
      <c r="A17" s="67" t="str">
        <f t="shared" si="2"/>
        <v>PİMLİ BORU BAŞI</v>
      </c>
      <c r="B17" s="67" t="str">
        <f t="shared" si="3"/>
        <v>DKYB06</v>
      </c>
      <c r="C17" s="70" t="str">
        <f>IF(VLOOKUP(B17,'x Malzemeler ve Özellikleri'!$B$2:$M$136,12,0)="ALÜMİNYUM",'1PROJE'!$H$7,"")</f>
        <v/>
      </c>
      <c r="D17" s="67" t="str">
        <f t="shared" si="4"/>
        <v>MNS.P1.028</v>
      </c>
      <c r="E17" s="69">
        <f>HLOOKUP(B17,xHesaplama!$AH$26:$FH$66,22,0)</f>
        <v>1.43</v>
      </c>
      <c r="F17" s="76">
        <f t="shared" si="0"/>
        <v>1</v>
      </c>
      <c r="G17" s="70" t="str">
        <f t="shared" si="5"/>
        <v>ADET</v>
      </c>
      <c r="H17" s="69">
        <f t="shared" si="1"/>
        <v>1.43</v>
      </c>
      <c r="I17" s="145">
        <v>0</v>
      </c>
      <c r="J17" s="619"/>
      <c r="K17" s="81">
        <f>IFERROR(VLOOKUP(B17,'x Malzemeler ve Özellikleri'!$O$1:$Q$181,3,0)*F17,0)</f>
        <v>0.2</v>
      </c>
      <c r="L17" t="str">
        <v>DKYB09</v>
      </c>
      <c r="M17" t="str">
        <v>MT</v>
      </c>
      <c r="N17" t="str">
        <v>ALT PARÇA PROFİLİ</v>
      </c>
      <c r="O17" t="str">
        <v>PDALT01</v>
      </c>
      <c r="P17">
        <v>3.7330708661417331</v>
      </c>
      <c r="Q17">
        <v>1.0880000000000001</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W17" s="85">
        <f>VLOOKUP(AY17,'x Malzemeler ve Özellikleri'!B:C,2,0)</f>
        <v>0</v>
      </c>
    </row>
    <row r="18" spans="1:49" ht="16.5" customHeight="1">
      <c r="A18" s="67" t="str">
        <f t="shared" si="2"/>
        <v>RULMAN</v>
      </c>
      <c r="B18" s="67" t="str">
        <f t="shared" si="3"/>
        <v>DKYB07</v>
      </c>
      <c r="C18" s="70" t="str">
        <f>IF(VLOOKUP(B18,'x Malzemeler ve Özellikleri'!$B$2:$M$136,12,0)="ALÜMİNYUM",'1PROJE'!$H$7,"")</f>
        <v/>
      </c>
      <c r="D18" s="67" t="str">
        <f t="shared" si="4"/>
        <v>KFL 001</v>
      </c>
      <c r="E18" s="69">
        <f>HLOOKUP(B18,xHesaplama!$AH$26:$FH$66,22,0)</f>
        <v>0.99265748031496071</v>
      </c>
      <c r="F18" s="76">
        <f t="shared" si="0"/>
        <v>1</v>
      </c>
      <c r="G18" s="70" t="str">
        <f t="shared" si="5"/>
        <v>ADET</v>
      </c>
      <c r="H18" s="69">
        <f t="shared" si="1"/>
        <v>0.99265748031496071</v>
      </c>
      <c r="I18" s="145">
        <v>0</v>
      </c>
      <c r="J18" s="619"/>
      <c r="K18" s="81">
        <f>IFERROR(VLOOKUP(B18,'x Malzemeler ve Özellikleri'!$O$1:$Q$181,3,0)*F18,0)</f>
        <v>0.05</v>
      </c>
      <c r="L18" t="str">
        <v>DKYB10</v>
      </c>
      <c r="M18" t="str">
        <v>MT</v>
      </c>
      <c r="N18" t="str">
        <v>ALT PARÇA AĞIRLIK LAMASI Ø22</v>
      </c>
      <c r="O18" t="str">
        <v>BP.431</v>
      </c>
      <c r="P18">
        <v>3.6991338582677171</v>
      </c>
      <c r="Q18">
        <v>1.085</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W18" s="85">
        <f>VLOOKUP(AY18,'x Malzemeler ve Özellikleri'!B:C,2,0)</f>
        <v>0</v>
      </c>
    </row>
    <row r="19" spans="1:49" ht="16.5" customHeight="1">
      <c r="A19" s="67" t="str">
        <f t="shared" si="2"/>
        <v>YAN KAPAK METAL GEÇME</v>
      </c>
      <c r="B19" s="67" t="str">
        <f t="shared" si="3"/>
        <v>DKYB08</v>
      </c>
      <c r="C19" s="70" t="str">
        <f>IF(VLOOKUP(B19,'x Malzemeler ve Özellikleri'!$B$2:$M$136,12,0)="ALÜMİNYUM",'1PROJE'!$H$7,"")</f>
        <v/>
      </c>
      <c r="D19" s="67" t="str">
        <f t="shared" si="4"/>
        <v>MNS.P1.009</v>
      </c>
      <c r="E19" s="69">
        <f>HLOOKUP(B19,xHesaplama!$AH$26:$FH$66,22,0)</f>
        <v>2</v>
      </c>
      <c r="F19" s="76">
        <f t="shared" si="0"/>
        <v>2</v>
      </c>
      <c r="G19" s="70" t="str">
        <f t="shared" si="5"/>
        <v>ADET</v>
      </c>
      <c r="H19" s="69">
        <f t="shared" si="1"/>
        <v>2</v>
      </c>
      <c r="I19" s="145">
        <v>0</v>
      </c>
      <c r="J19" s="619"/>
      <c r="K19" s="81">
        <f>IFERROR(VLOOKUP(B19,'x Malzemeler ve Özellikleri'!$O$1:$Q$181,3,0)*F19,0)</f>
        <v>0.3</v>
      </c>
      <c r="L19" t="str">
        <v>DKYB11</v>
      </c>
      <c r="M19" t="str">
        <v>ADET</v>
      </c>
      <c r="N19" t="str">
        <v>ALT PARÇA TAPASI</v>
      </c>
      <c r="O19" t="str">
        <v>MNS.P1.008-019</v>
      </c>
      <c r="P19">
        <v>0.09</v>
      </c>
      <c r="Q19">
        <v>4</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W19" s="85">
        <f>VLOOKUP(AY19,'x Malzemeler ve Özellikleri'!B:C,2,0)</f>
        <v>0</v>
      </c>
    </row>
    <row r="20" spans="1:49" ht="16.5" customHeight="1">
      <c r="A20" s="67" t="str">
        <f t="shared" si="2"/>
        <v>ALT PARÇA PROFİLİ</v>
      </c>
      <c r="B20" s="67" t="str">
        <f t="shared" si="3"/>
        <v>DKYB09</v>
      </c>
      <c r="C20" s="70">
        <f>IF(VLOOKUP(B20,'x Malzemeler ve Özellikleri'!$B$2:$M$136,12,0)="ALÜMİNYUM",'1PROJE'!$H$7,"")</f>
        <v>7016</v>
      </c>
      <c r="D20" s="67" t="str">
        <f t="shared" si="4"/>
        <v>PDALT01</v>
      </c>
      <c r="E20" s="69">
        <f>HLOOKUP(B20,xHesaplama!$AH$26:$FH$66,22,0)</f>
        <v>5.5539058897637812</v>
      </c>
      <c r="F20" s="76">
        <f t="shared" si="0"/>
        <v>1.0880000000000001</v>
      </c>
      <c r="G20" s="70" t="str">
        <f t="shared" si="5"/>
        <v>MT</v>
      </c>
      <c r="H20" s="69">
        <f t="shared" si="1"/>
        <v>5.5539058897637812</v>
      </c>
      <c r="I20" s="145">
        <v>0</v>
      </c>
      <c r="J20" s="619"/>
      <c r="K20" s="81">
        <f>IFERROR(VLOOKUP(B20,'x Malzemeler ve Özellikleri'!$O$1:$Q$181,3,0)*F20,0)</f>
        <v>1.0880000000000001</v>
      </c>
      <c r="L20" t="str">
        <v>DKYB12</v>
      </c>
      <c r="M20" t="str">
        <v>MT</v>
      </c>
      <c r="N20" t="str">
        <v>YAN DİKME</v>
      </c>
      <c r="O20" t="str">
        <v>PDDK03</v>
      </c>
      <c r="P20">
        <v>2.9864566929133867</v>
      </c>
      <c r="Q20">
        <v>4.62</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W20" s="85">
        <f>VLOOKUP(AY20,'x Malzemeler ve Özellikleri'!B:C,2,0)</f>
        <v>0</v>
      </c>
    </row>
    <row r="21" spans="1:49" ht="16.5" customHeight="1">
      <c r="A21" s="67" t="str">
        <f t="shared" si="2"/>
        <v>ALT PARÇA AĞIRLIK LAMASI Ø22</v>
      </c>
      <c r="B21" s="67" t="str">
        <f t="shared" si="3"/>
        <v>DKYB10</v>
      </c>
      <c r="C21" s="70" t="str">
        <f>IF(VLOOKUP(B21,'x Malzemeler ve Özellikleri'!$B$2:$M$136,12,0)="ALÜMİNYUM",'1PROJE'!$H$7,"")</f>
        <v/>
      </c>
      <c r="D21" s="67" t="str">
        <f t="shared" si="4"/>
        <v>BP.431</v>
      </c>
      <c r="E21" s="69">
        <f>HLOOKUP(B21,xHesaplama!$AH$26:$FH$66,22,0)</f>
        <v>4.2543738503937014</v>
      </c>
      <c r="F21" s="76">
        <f t="shared" si="0"/>
        <v>1.085</v>
      </c>
      <c r="G21" s="70" t="str">
        <f t="shared" si="5"/>
        <v>MT</v>
      </c>
      <c r="H21" s="69">
        <f t="shared" si="1"/>
        <v>4.2543738503937014</v>
      </c>
      <c r="I21" s="145">
        <v>0</v>
      </c>
      <c r="J21" s="619"/>
      <c r="K21" s="81">
        <f>IFERROR(VLOOKUP(B21,'x Malzemeler ve Özellikleri'!$O$1:$Q$181,3,0)*F21,0)</f>
        <v>3.4177499999999998</v>
      </c>
      <c r="L21" t="str">
        <v>DKYB13</v>
      </c>
      <c r="M21" t="str">
        <v>MT</v>
      </c>
      <c r="N21" t="str">
        <v>YAN DİKME KAPAĞI</v>
      </c>
      <c r="O21" t="str">
        <v>PDDK01</v>
      </c>
      <c r="P21">
        <v>1.8665354330708666</v>
      </c>
      <c r="Q21">
        <v>4.62</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W21" s="85">
        <f>VLOOKUP(AY21,'x Malzemeler ve Özellikleri'!B:C,2,0)</f>
        <v>0</v>
      </c>
    </row>
    <row r="22" spans="1:49" ht="16.5" customHeight="1">
      <c r="A22" s="67" t="str">
        <f t="shared" si="2"/>
        <v>ALT PARÇA TAPASI</v>
      </c>
      <c r="B22" s="67" t="str">
        <f t="shared" si="3"/>
        <v>DKYB11</v>
      </c>
      <c r="C22" s="70" t="str">
        <f>IF(VLOOKUP(B22,'x Malzemeler ve Özellikleri'!$B$2:$M$136,12,0)="ALÜMİNYUM",'1PROJE'!$H$7,"")</f>
        <v/>
      </c>
      <c r="D22" s="67" t="str">
        <f t="shared" si="4"/>
        <v>MNS.P1.008-019</v>
      </c>
      <c r="E22" s="69">
        <f>HLOOKUP(B22,xHesaplama!$AH$26:$FH$66,22,0)</f>
        <v>0.36</v>
      </c>
      <c r="F22" s="76">
        <f t="shared" si="0"/>
        <v>4</v>
      </c>
      <c r="G22" s="70" t="str">
        <f t="shared" si="5"/>
        <v>ADET</v>
      </c>
      <c r="H22" s="69">
        <f t="shared" si="1"/>
        <v>0.36</v>
      </c>
      <c r="I22" s="145">
        <v>0</v>
      </c>
      <c r="J22" s="619"/>
      <c r="K22" s="81">
        <f>IFERROR(VLOOKUP(B22,'x Malzemeler ve Özellikleri'!$O$1:$Q$181,3,0)*F22,0)</f>
        <v>6.4000000000000001E-2</v>
      </c>
      <c r="L22" t="str">
        <v>DKYB14</v>
      </c>
      <c r="M22" t="str">
        <v>MT</v>
      </c>
      <c r="N22" t="str">
        <v>YAN DİKME KAPAK ÇITASI</v>
      </c>
      <c r="O22" t="str">
        <v>PDDK02</v>
      </c>
      <c r="P22">
        <v>0.37330708661417333</v>
      </c>
      <c r="Q22">
        <v>4.6139999999999999</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W22" s="85">
        <f>VLOOKUP(AY22,'x Malzemeler ve Özellikleri'!B:C,2,0)</f>
        <v>0</v>
      </c>
    </row>
    <row r="23" spans="1:49" ht="16.5" customHeight="1">
      <c r="A23" s="67" t="str">
        <f t="shared" si="2"/>
        <v>YAN DİKME</v>
      </c>
      <c r="B23" s="67" t="str">
        <f t="shared" si="3"/>
        <v>DKYB12</v>
      </c>
      <c r="C23" s="70">
        <f>IF(VLOOKUP(B23,'x Malzemeler ve Özellikleri'!$B$2:$M$136,12,0)="ALÜMİNYUM",'1PROJE'!$H$7,"")</f>
        <v>7016</v>
      </c>
      <c r="D23" s="67" t="str">
        <f t="shared" si="4"/>
        <v>PDDK03</v>
      </c>
      <c r="E23" s="69">
        <f>HLOOKUP(B23,xHesaplama!$AH$26:$FH$66,22,0)</f>
        <v>18.866945007874023</v>
      </c>
      <c r="F23" s="76">
        <f t="shared" si="0"/>
        <v>4.62</v>
      </c>
      <c r="G23" s="70" t="str">
        <f t="shared" si="5"/>
        <v>MT</v>
      </c>
      <c r="H23" s="69">
        <f t="shared" si="1"/>
        <v>18.866945007874023</v>
      </c>
      <c r="I23" s="145">
        <v>0</v>
      </c>
      <c r="J23" s="619"/>
      <c r="K23" s="81">
        <f>IFERROR(VLOOKUP(B23,'x Malzemeler ve Özellikleri'!$O$1:$Q$181,3,0)*F23,0)</f>
        <v>3.6960000000000002</v>
      </c>
      <c r="L23" t="str">
        <v>DKYB15</v>
      </c>
      <c r="M23" t="str">
        <v>ADET</v>
      </c>
      <c r="N23" t="str">
        <v>YAN DİKME TAPASI</v>
      </c>
      <c r="O23" t="str">
        <v>BP.417</v>
      </c>
      <c r="P23">
        <v>0.08</v>
      </c>
      <c r="Q23">
        <v>2</v>
      </c>
      <c r="R23" t="str">
        <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W23" s="85">
        <f>VLOOKUP(AY23,'x Malzemeler ve Özellikleri'!B:C,2,0)</f>
        <v>0</v>
      </c>
    </row>
    <row r="24" spans="1:49" ht="16.5" customHeight="1">
      <c r="A24" s="67" t="str">
        <f t="shared" si="2"/>
        <v>YAN DİKME KAPAĞI</v>
      </c>
      <c r="B24" s="67" t="str">
        <f t="shared" si="3"/>
        <v>DKYB13</v>
      </c>
      <c r="C24" s="70">
        <f>IF(VLOOKUP(B24,'x Malzemeler ve Özellikleri'!$B$2:$M$136,12,0)="ALÜMİNYUM",'1PROJE'!$H$7,"")</f>
        <v>7016</v>
      </c>
      <c r="D24" s="67" t="str">
        <f t="shared" si="4"/>
        <v>PDDK01</v>
      </c>
      <c r="E24" s="69">
        <f>HLOOKUP(B24,xHesaplama!$AH$26:$FH$66,22,0)</f>
        <v>11.791840629921262</v>
      </c>
      <c r="F24" s="76">
        <f t="shared" si="0"/>
        <v>4.62</v>
      </c>
      <c r="G24" s="70" t="str">
        <f t="shared" si="5"/>
        <v>MT</v>
      </c>
      <c r="H24" s="69">
        <f t="shared" si="1"/>
        <v>11.791840629921262</v>
      </c>
      <c r="I24" s="145">
        <v>0</v>
      </c>
      <c r="J24" s="619"/>
      <c r="K24" s="81">
        <f>IFERROR(VLOOKUP(B24,'x Malzemeler ve Özellikleri'!$O$1:$Q$181,3,0)*F24,0)</f>
        <v>2.31</v>
      </c>
      <c r="L24" t="str">
        <v>DKYB16</v>
      </c>
      <c r="M24" t="str">
        <v>ADET</v>
      </c>
      <c r="N24" t="str">
        <v>KLAVUZ TAPASI</v>
      </c>
      <c r="O24" t="str">
        <v>BP.423</v>
      </c>
      <c r="P24">
        <v>0</v>
      </c>
      <c r="Q24">
        <v>2</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W24" s="85">
        <f>VLOOKUP(AY24,'x Malzemeler ve Özellikleri'!B:C,2,0)</f>
        <v>0</v>
      </c>
    </row>
    <row r="25" spans="1:49" ht="16.5" customHeight="1">
      <c r="A25" s="67" t="str">
        <f t="shared" si="2"/>
        <v>YAN DİKME KAPAK ÇITASI</v>
      </c>
      <c r="B25" s="67" t="str">
        <f t="shared" si="3"/>
        <v>DKYB14</v>
      </c>
      <c r="C25" s="70">
        <f>IF(VLOOKUP(B25,'x Malzemeler ve Özellikleri'!$B$2:$M$136,12,0)="ALÜMİNYUM",'1PROJE'!$H$7,"")</f>
        <v>7016</v>
      </c>
      <c r="D25" s="67" t="str">
        <f t="shared" si="4"/>
        <v>PDDK02</v>
      </c>
      <c r="E25" s="69">
        <f>HLOOKUP(B25,xHesaplama!$AH$26:$FH$66,22,0)</f>
        <v>2.3553053102362211</v>
      </c>
      <c r="F25" s="76">
        <f t="shared" si="0"/>
        <v>4.6139999999999999</v>
      </c>
      <c r="G25" s="70" t="str">
        <f t="shared" si="5"/>
        <v>MT</v>
      </c>
      <c r="H25" s="69">
        <f t="shared" si="1"/>
        <v>2.3553053102362211</v>
      </c>
      <c r="I25" s="145">
        <v>0</v>
      </c>
      <c r="J25" s="619"/>
      <c r="K25" s="81">
        <f>IFERROR(VLOOKUP(B25,'x Malzemeler ve Özellikleri'!$O$1:$Q$181,3,0)*F25,0)</f>
        <v>0.46140000000000003</v>
      </c>
      <c r="AW25" s="85">
        <f>VLOOKUP(AY25,'x Malzemeler ve Özellikleri'!B:C,2,0)</f>
        <v>0</v>
      </c>
    </row>
    <row r="26" spans="1:49" ht="16.5" customHeight="1">
      <c r="A26" s="67" t="str">
        <f t="shared" si="2"/>
        <v>YAN DİKME TAPASI</v>
      </c>
      <c r="B26" s="67" t="str">
        <f t="shared" si="3"/>
        <v>DKYB15</v>
      </c>
      <c r="C26" s="70" t="str">
        <f>IF(VLOOKUP(B26,'x Malzemeler ve Özellikleri'!$B$2:$M$136,12,0)="ALÜMİNYUM",'1PROJE'!$H$7,"")</f>
        <v/>
      </c>
      <c r="D26" s="67" t="str">
        <f t="shared" si="4"/>
        <v>BP.417</v>
      </c>
      <c r="E26" s="69">
        <f>HLOOKUP(B26,xHesaplama!$AH$26:$FH$66,22,0)</f>
        <v>0.16</v>
      </c>
      <c r="F26" s="76">
        <f t="shared" si="0"/>
        <v>2</v>
      </c>
      <c r="G26" s="70" t="str">
        <f t="shared" si="5"/>
        <v>ADET</v>
      </c>
      <c r="H26" s="69">
        <f t="shared" si="1"/>
        <v>0.16</v>
      </c>
      <c r="I26" s="145">
        <v>0</v>
      </c>
      <c r="J26" s="619"/>
      <c r="K26" s="81">
        <f>IFERROR(VLOOKUP(B26,'x Malzemeler ve Özellikleri'!$O$1:$Q$181,3,0)*F26,0)</f>
        <v>1.6E-2</v>
      </c>
      <c r="AW26" s="85">
        <f>VLOOKUP(AY26,'x Malzemeler ve Özellikleri'!B:C,2,0)</f>
        <v>0</v>
      </c>
    </row>
    <row r="27" spans="1:49" ht="16.5" customHeight="1">
      <c r="A27" s="67" t="str">
        <f t="shared" si="2"/>
        <v>KLAVUZ TAPASI</v>
      </c>
      <c r="B27" s="67" t="str">
        <f t="shared" si="3"/>
        <v>DKYB16</v>
      </c>
      <c r="C27" s="70" t="str">
        <f>IF(VLOOKUP(B27,'x Malzemeler ve Özellikleri'!$B$2:$M$136,12,0)="ALÜMİNYUM",'1PROJE'!$H$7,"")</f>
        <v/>
      </c>
      <c r="D27" s="67" t="str">
        <f t="shared" si="4"/>
        <v>BP.423</v>
      </c>
      <c r="E27" s="69">
        <f>HLOOKUP(B27,xHesaplama!$AH$26:$FH$66,22,0)</f>
        <v>0</v>
      </c>
      <c r="F27" s="76">
        <f t="shared" si="0"/>
        <v>2</v>
      </c>
      <c r="G27" s="70" t="str">
        <f t="shared" si="5"/>
        <v>ADET</v>
      </c>
      <c r="H27" s="69">
        <f t="shared" si="1"/>
        <v>0</v>
      </c>
      <c r="I27" s="145">
        <v>0</v>
      </c>
      <c r="J27" s="619"/>
      <c r="K27" s="81">
        <f>IFERROR(VLOOKUP(B27,'x Malzemeler ve Özellikleri'!$O$1:$Q$181,3,0)*F27,0)</f>
        <v>4.0000000000000001E-3</v>
      </c>
      <c r="AW27" s="85">
        <f>VLOOKUP(AY27,'x Malzemeler ve Özellikleri'!B:C,2,0)</f>
        <v>0</v>
      </c>
    </row>
    <row r="28" spans="1:49" ht="16.5" customHeight="1">
      <c r="A28" s="67">
        <f t="shared" si="2"/>
        <v>0</v>
      </c>
      <c r="B28" s="67">
        <f t="shared" si="3"/>
        <v>0</v>
      </c>
      <c r="C28" s="70" t="str">
        <f>IF(VLOOKUP(B28,'x Malzemeler ve Özellikleri'!$B$2:$M$136,12,0)="ALÜMİNYUM",'1PROJE'!$H$7,"")</f>
        <v/>
      </c>
      <c r="D28" s="67">
        <f t="shared" si="4"/>
        <v>0</v>
      </c>
      <c r="E28" s="69" t="e">
        <f>HLOOKUP(B28,xHesaplama!$AH$26:$FH$66,22,0)</f>
        <v>#N/A</v>
      </c>
      <c r="F28" s="76">
        <f t="shared" si="0"/>
        <v>0</v>
      </c>
      <c r="G28" s="70">
        <f t="shared" si="5"/>
        <v>0</v>
      </c>
      <c r="H28" s="69" t="str">
        <f t="shared" si="1"/>
        <v/>
      </c>
      <c r="I28" s="145">
        <v>0</v>
      </c>
      <c r="J28" s="619"/>
      <c r="K28" s="81">
        <f>IFERROR(VLOOKUP(B28,'x Malzemeler ve Özellikleri'!$O$1:$Q$181,3,0)*F28,0)</f>
        <v>0</v>
      </c>
      <c r="AW28" s="85">
        <f>VLOOKUP(AY28,'x Malzemeler ve Özellikleri'!B:C,2,0)</f>
        <v>0</v>
      </c>
    </row>
    <row r="29" spans="1:49" ht="16.5" customHeight="1">
      <c r="A29" s="67">
        <f t="shared" si="2"/>
        <v>0</v>
      </c>
      <c r="B29" s="67">
        <f t="shared" si="3"/>
        <v>0</v>
      </c>
      <c r="C29" s="70" t="str">
        <f>IF(VLOOKUP(B29,'x Malzemeler ve Özellikleri'!$B$2:$M$136,12,0)="ALÜMİNYUM",'1PROJE'!$H$7,"")</f>
        <v/>
      </c>
      <c r="D29" s="67">
        <f t="shared" si="4"/>
        <v>0</v>
      </c>
      <c r="E29" s="69" t="e">
        <f>HLOOKUP(B29,xHesaplama!$AH$26:$FH$66,22,0)</f>
        <v>#N/A</v>
      </c>
      <c r="F29" s="76">
        <f t="shared" si="0"/>
        <v>0</v>
      </c>
      <c r="G29" s="70">
        <f t="shared" si="5"/>
        <v>0</v>
      </c>
      <c r="H29" s="69" t="str">
        <f t="shared" si="1"/>
        <v/>
      </c>
      <c r="I29" s="145">
        <v>0</v>
      </c>
      <c r="J29" s="619"/>
      <c r="K29" s="81">
        <f>IFERROR(VLOOKUP(B29,'x Malzemeler ve Özellikleri'!$O$1:$Q$181,3,0)*F29,0)</f>
        <v>0</v>
      </c>
      <c r="AW29" s="85">
        <f>VLOOKUP(AY29,'x Malzemeler ve Özellikleri'!B:C,2,0)</f>
        <v>0</v>
      </c>
    </row>
    <row r="30" spans="1:49" ht="16.5" customHeight="1">
      <c r="A30" s="67">
        <f t="shared" si="2"/>
        <v>0</v>
      </c>
      <c r="B30" s="67">
        <f t="shared" si="3"/>
        <v>0</v>
      </c>
      <c r="C30" s="70" t="str">
        <f>IF(VLOOKUP(B30,'x Malzemeler ve Özellikleri'!$B$2:$M$136,12,0)="ALÜMİNYUM",'1PROJE'!$H$7,"")</f>
        <v/>
      </c>
      <c r="D30" s="67">
        <f t="shared" si="4"/>
        <v>0</v>
      </c>
      <c r="E30" s="69" t="e">
        <f>HLOOKUP(B30,xHesaplama!$AH$26:$FH$66,22,0)</f>
        <v>#N/A</v>
      </c>
      <c r="F30" s="76">
        <f t="shared" si="0"/>
        <v>0</v>
      </c>
      <c r="G30" s="70">
        <f t="shared" si="5"/>
        <v>0</v>
      </c>
      <c r="H30" s="69" t="str">
        <f t="shared" si="1"/>
        <v/>
      </c>
      <c r="I30" s="145">
        <v>0</v>
      </c>
      <c r="J30" s="619"/>
      <c r="K30" s="81">
        <f>IFERROR(VLOOKUP(B30,'x Malzemeler ve Özellikleri'!$O$1:$Q$181,3,0)*F30,0)</f>
        <v>0</v>
      </c>
      <c r="AW30" s="85">
        <f>VLOOKUP(AY30,'x Malzemeler ve Özellikleri'!B:C,2,0)</f>
        <v>0</v>
      </c>
    </row>
    <row r="31" spans="1:49" ht="16.5" customHeight="1">
      <c r="A31" s="67">
        <f t="shared" si="2"/>
        <v>0</v>
      </c>
      <c r="B31" s="67">
        <f t="shared" si="3"/>
        <v>0</v>
      </c>
      <c r="C31" s="70" t="str">
        <f>IF(VLOOKUP(B31,'x Malzemeler ve Özellikleri'!$B$2:$M$136,12,0)="ALÜMİNYUM",'1PROJE'!$H$7,"")</f>
        <v/>
      </c>
      <c r="D31" s="67">
        <f t="shared" si="4"/>
        <v>0</v>
      </c>
      <c r="E31" s="69" t="e">
        <f>HLOOKUP(B31,xHesaplama!$AH$26:$FH$66,22,0)</f>
        <v>#N/A</v>
      </c>
      <c r="F31" s="76">
        <f t="shared" si="0"/>
        <v>0</v>
      </c>
      <c r="G31" s="70">
        <f t="shared" si="5"/>
        <v>0</v>
      </c>
      <c r="H31" s="69" t="str">
        <f t="shared" si="1"/>
        <v/>
      </c>
      <c r="I31" s="145">
        <v>0</v>
      </c>
      <c r="J31" s="619"/>
      <c r="K31" s="81">
        <f>IFERROR(VLOOKUP(B31,'x Malzemeler ve Özellikleri'!$O$1:$Q$181,3,0)*F31,0)</f>
        <v>0</v>
      </c>
      <c r="AW31" s="85">
        <f>VLOOKUP(AY31,'x Malzemeler ve Özellikleri'!B:C,2,0)</f>
        <v>0</v>
      </c>
    </row>
    <row r="32" spans="1:49" ht="16.5" customHeight="1">
      <c r="A32" s="67">
        <f t="shared" si="2"/>
        <v>0</v>
      </c>
      <c r="B32" s="67">
        <f t="shared" si="3"/>
        <v>0</v>
      </c>
      <c r="C32" s="70" t="str">
        <f>IF(VLOOKUP(B32,'x Malzemeler ve Özellikleri'!$B$2:$M$136,12,0)="ALÜMİNYUM",'1PROJE'!$H$7,"")</f>
        <v/>
      </c>
      <c r="D32" s="67">
        <f t="shared" si="4"/>
        <v>0</v>
      </c>
      <c r="E32" s="69" t="e">
        <f>HLOOKUP(B32,xHesaplama!$AH$26:$FH$66,22,0)</f>
        <v>#N/A</v>
      </c>
      <c r="F32" s="76">
        <f t="shared" si="0"/>
        <v>0</v>
      </c>
      <c r="G32" s="70">
        <f t="shared" si="5"/>
        <v>0</v>
      </c>
      <c r="H32" s="69" t="str">
        <f t="shared" si="1"/>
        <v/>
      </c>
      <c r="I32" s="145">
        <v>0</v>
      </c>
      <c r="J32" s="619"/>
      <c r="K32" s="81">
        <f>IFERROR(VLOOKUP(B32,'x Malzemeler ve Özellikleri'!$O$1:$Q$181,3,0)*F32,0)</f>
        <v>0</v>
      </c>
      <c r="AW32" s="85">
        <f>VLOOKUP(AY32,'x Malzemeler ve Özellikleri'!B:C,2,0)</f>
        <v>0</v>
      </c>
    </row>
    <row r="33" spans="1:49" ht="16.5" customHeight="1">
      <c r="A33" s="67">
        <f t="shared" si="2"/>
        <v>0</v>
      </c>
      <c r="B33" s="67">
        <f t="shared" si="3"/>
        <v>0</v>
      </c>
      <c r="C33" s="70" t="str">
        <f>IF(VLOOKUP(B33,'x Malzemeler ve Özellikleri'!$B$2:$M$136,12,0)="ALÜMİNYUM",'1PROJE'!$H$7,"")</f>
        <v/>
      </c>
      <c r="D33" s="67">
        <f t="shared" si="4"/>
        <v>0</v>
      </c>
      <c r="E33" s="69" t="e">
        <f>HLOOKUP(B33,xHesaplama!$AH$26:$FH$66,22,0)</f>
        <v>#N/A</v>
      </c>
      <c r="F33" s="76">
        <f t="shared" si="0"/>
        <v>0</v>
      </c>
      <c r="G33" s="70">
        <f t="shared" si="5"/>
        <v>0</v>
      </c>
      <c r="H33" s="69" t="str">
        <f t="shared" si="1"/>
        <v/>
      </c>
      <c r="I33" s="145">
        <v>0</v>
      </c>
      <c r="J33" s="619"/>
      <c r="K33" s="81">
        <f>IFERROR(VLOOKUP(B33,'x Malzemeler ve Özellikleri'!$O$1:$Q$181,3,0)*F33,0)</f>
        <v>0</v>
      </c>
      <c r="AW33" s="85">
        <f>VLOOKUP(AY33,'x Malzemeler ve Özellikleri'!B:C,2,0)</f>
        <v>0</v>
      </c>
    </row>
    <row r="34" spans="1:49" ht="16.5" customHeight="1">
      <c r="A34" s="67">
        <f t="shared" si="2"/>
        <v>0</v>
      </c>
      <c r="B34" s="67">
        <f t="shared" si="3"/>
        <v>0</v>
      </c>
      <c r="C34" s="70" t="str">
        <f>IF(VLOOKUP(B34,'x Malzemeler ve Özellikleri'!$B$2:$M$136,12,0)="ALÜMİNYUM",'1PROJE'!$H$7,"")</f>
        <v/>
      </c>
      <c r="D34" s="67">
        <f t="shared" si="4"/>
        <v>0</v>
      </c>
      <c r="E34" s="69" t="e">
        <f>HLOOKUP(B34,xHesaplama!$AH$26:$FH$66,22,0)</f>
        <v>#N/A</v>
      </c>
      <c r="F34" s="76">
        <f t="shared" si="0"/>
        <v>0</v>
      </c>
      <c r="G34" s="70">
        <f t="shared" si="5"/>
        <v>0</v>
      </c>
      <c r="H34" s="69" t="str">
        <f t="shared" si="1"/>
        <v/>
      </c>
      <c r="I34" s="145">
        <v>0</v>
      </c>
      <c r="J34" s="619"/>
      <c r="K34" s="81">
        <f>IFERROR(VLOOKUP(B34,'x Malzemeler ve Özellikleri'!$O$1:$Q$181,3,0)*F34,0)</f>
        <v>0</v>
      </c>
      <c r="AW34" s="85">
        <f>VLOOKUP(AY34,'x Malzemeler ve Özellikleri'!B:C,2,0)</f>
        <v>0</v>
      </c>
    </row>
    <row r="35" spans="1:49" ht="16.5" customHeight="1">
      <c r="A35" s="67">
        <f t="shared" si="2"/>
        <v>0</v>
      </c>
      <c r="B35" s="67">
        <f t="shared" si="3"/>
        <v>0</v>
      </c>
      <c r="C35" s="70" t="str">
        <f>IF(VLOOKUP(B35,'x Malzemeler ve Özellikleri'!$B$2:$M$136,12,0)="ALÜMİNYUM",'1PROJE'!$H$7,"")</f>
        <v/>
      </c>
      <c r="D35" s="67">
        <f t="shared" si="4"/>
        <v>0</v>
      </c>
      <c r="E35" s="69" t="e">
        <f>HLOOKUP(B35,xHesaplama!$AH$26:$FH$66,22,0)</f>
        <v>#N/A</v>
      </c>
      <c r="F35" s="76">
        <f t="shared" si="0"/>
        <v>0</v>
      </c>
      <c r="G35" s="70">
        <f t="shared" si="5"/>
        <v>0</v>
      </c>
      <c r="H35" s="69" t="str">
        <f t="shared" si="1"/>
        <v/>
      </c>
      <c r="I35" s="145">
        <v>0</v>
      </c>
      <c r="J35" s="619"/>
      <c r="K35" s="81">
        <f>IFERROR(VLOOKUP(B35,'x Malzemeler ve Özellikleri'!$O$1:$Q$181,3,0)*F35,0)</f>
        <v>0</v>
      </c>
      <c r="AW35" s="85">
        <f>VLOOKUP(AY35,'x Malzemeler ve Özellikleri'!B:C,2,0)</f>
        <v>0</v>
      </c>
    </row>
    <row r="36" spans="1:49" ht="16.5" customHeight="1">
      <c r="A36" s="67">
        <f t="shared" si="2"/>
        <v>0</v>
      </c>
      <c r="B36" s="67">
        <f t="shared" si="3"/>
        <v>0</v>
      </c>
      <c r="C36" s="70" t="str">
        <f>IF(VLOOKUP(B36,'x Malzemeler ve Özellikleri'!$B$2:$M$136,12,0)="ALÜMİNYUM",'1PROJE'!$H$7,"")</f>
        <v/>
      </c>
      <c r="D36" s="67">
        <f t="shared" si="4"/>
        <v>0</v>
      </c>
      <c r="E36" s="69" t="e">
        <f>HLOOKUP(B36,xHesaplama!$AH$26:$FH$66,22,0)</f>
        <v>#N/A</v>
      </c>
      <c r="F36" s="76">
        <f t="shared" si="0"/>
        <v>0</v>
      </c>
      <c r="G36" s="70">
        <f t="shared" si="5"/>
        <v>0</v>
      </c>
      <c r="H36" s="69" t="str">
        <f t="shared" si="1"/>
        <v/>
      </c>
      <c r="I36" s="145">
        <v>0</v>
      </c>
      <c r="J36" s="619"/>
      <c r="K36" s="81">
        <f>IFERROR(VLOOKUP(B36,'x Malzemeler ve Özellikleri'!$O$1:$Q$181,3,0)*F36,0)</f>
        <v>0</v>
      </c>
      <c r="AW36" s="85">
        <f>VLOOKUP(AY36,'x Malzemeler ve Özellikleri'!B:C,2,0)</f>
        <v>0</v>
      </c>
    </row>
    <row r="37" spans="1:49" ht="16.5" customHeight="1">
      <c r="A37" s="67">
        <f t="shared" si="2"/>
        <v>0</v>
      </c>
      <c r="B37" s="67">
        <f t="shared" si="3"/>
        <v>0</v>
      </c>
      <c r="C37" s="70" t="str">
        <f>IF(VLOOKUP(B37,'x Malzemeler ve Özellikleri'!$B$2:$M$136,12,0)="ALÜMİNYUM",'1PROJE'!$H$7,"")</f>
        <v/>
      </c>
      <c r="D37" s="67">
        <f t="shared" si="4"/>
        <v>0</v>
      </c>
      <c r="E37" s="69" t="e">
        <f>HLOOKUP(B37,xHesaplama!$AH$26:$FH$66,22,0)</f>
        <v>#N/A</v>
      </c>
      <c r="F37" s="76">
        <f t="shared" si="0"/>
        <v>0</v>
      </c>
      <c r="G37" s="70">
        <f t="shared" si="5"/>
        <v>0</v>
      </c>
      <c r="H37" s="69" t="str">
        <f t="shared" si="1"/>
        <v/>
      </c>
      <c r="I37" s="145">
        <v>0</v>
      </c>
      <c r="J37" s="619"/>
      <c r="K37" s="81">
        <f>IFERROR(VLOOKUP(B37,'x Malzemeler ve Özellikleri'!$O$1:$Q$181,3,0)*F37,0)</f>
        <v>0</v>
      </c>
      <c r="AW37" s="85">
        <f>VLOOKUP(AY37,'x Malzemeler ve Özellikleri'!B:C,2,0)</f>
        <v>0</v>
      </c>
    </row>
    <row r="38" spans="1:49" ht="16.5" customHeight="1">
      <c r="A38" s="67">
        <f t="shared" si="2"/>
        <v>0</v>
      </c>
      <c r="B38" s="67">
        <f t="shared" si="3"/>
        <v>0</v>
      </c>
      <c r="C38" s="70" t="str">
        <f>IF(VLOOKUP(B38,'x Malzemeler ve Özellikleri'!$B$2:$M$136,12,0)="ALÜMİNYUM",'1PROJE'!$H$7,"")</f>
        <v/>
      </c>
      <c r="D38" s="67">
        <f t="shared" si="4"/>
        <v>0</v>
      </c>
      <c r="E38" s="69" t="e">
        <f>HLOOKUP(B38,xHesaplama!$AH$26:$FH$66,22,0)</f>
        <v>#N/A</v>
      </c>
      <c r="F38" s="76">
        <f t="shared" si="0"/>
        <v>0</v>
      </c>
      <c r="G38" s="70">
        <f t="shared" si="5"/>
        <v>0</v>
      </c>
      <c r="H38" s="69" t="str">
        <f t="shared" si="1"/>
        <v/>
      </c>
      <c r="I38" s="145">
        <v>0</v>
      </c>
      <c r="J38" s="619"/>
      <c r="K38" s="81">
        <f>IFERROR(VLOOKUP(B38,'x Malzemeler ve Özellikleri'!$O$1:$Q$181,3,0)*F38,0)</f>
        <v>0</v>
      </c>
      <c r="AW38" s="85">
        <f>VLOOKUP(AY38,'x Malzemeler ve Özellikleri'!B:C,2,0)</f>
        <v>0</v>
      </c>
    </row>
    <row r="39" spans="1:49" ht="16.5" customHeight="1">
      <c r="A39" s="67">
        <f t="shared" si="2"/>
        <v>0</v>
      </c>
      <c r="B39" s="67">
        <f t="shared" si="3"/>
        <v>0</v>
      </c>
      <c r="C39" s="70" t="str">
        <f>IF(VLOOKUP(B39,'x Malzemeler ve Özellikleri'!$B$2:$M$136,12,0)="ALÜMİNYUM",'1PROJE'!$H$7,"")</f>
        <v/>
      </c>
      <c r="D39" s="67">
        <f t="shared" si="4"/>
        <v>0</v>
      </c>
      <c r="E39" s="69" t="e">
        <f>HLOOKUP(B39,xHesaplama!$AH$26:$FH$66,22,0)</f>
        <v>#N/A</v>
      </c>
      <c r="F39" s="76">
        <f t="shared" si="0"/>
        <v>0</v>
      </c>
      <c r="G39" s="70">
        <f t="shared" si="5"/>
        <v>0</v>
      </c>
      <c r="H39" s="69" t="str">
        <f t="shared" si="1"/>
        <v/>
      </c>
      <c r="I39" s="145">
        <v>0</v>
      </c>
      <c r="J39" s="619"/>
      <c r="K39" s="81">
        <f>IFERROR(VLOOKUP(B39,'x Malzemeler ve Özellikleri'!$O$1:$Q$181,3,0)*F39,0)</f>
        <v>0</v>
      </c>
      <c r="AW39" s="85">
        <f>VLOOKUP(AY39,'x Malzemeler ve Özellikleri'!B:C,2,0)</f>
        <v>0</v>
      </c>
    </row>
    <row r="40" spans="1:49" ht="16.5" customHeight="1">
      <c r="A40" s="67">
        <f t="shared" si="2"/>
        <v>0</v>
      </c>
      <c r="B40" s="67">
        <f t="shared" si="3"/>
        <v>0</v>
      </c>
      <c r="C40" s="70" t="str">
        <f>IF(VLOOKUP(B40,'x Malzemeler ve Özellikleri'!$B$2:$M$136,12,0)="ALÜMİNYUM",'1PROJE'!$H$7,"")</f>
        <v/>
      </c>
      <c r="D40" s="67">
        <f t="shared" si="4"/>
        <v>0</v>
      </c>
      <c r="E40" s="69" t="e">
        <f>HLOOKUP(B40,xHesaplama!$AH$26:$FH$66,22,0)</f>
        <v>#N/A</v>
      </c>
      <c r="F40" s="76">
        <f t="shared" si="0"/>
        <v>0</v>
      </c>
      <c r="G40" s="70">
        <f t="shared" si="5"/>
        <v>0</v>
      </c>
      <c r="H40" s="69" t="str">
        <f t="shared" si="1"/>
        <v/>
      </c>
      <c r="I40" s="145">
        <v>0</v>
      </c>
      <c r="J40" s="619"/>
      <c r="K40" s="81">
        <f>IFERROR(VLOOKUP(B40,'x Malzemeler ve Özellikleri'!$O$1:$Q$181,3,0)*F40,0)</f>
        <v>0</v>
      </c>
      <c r="AW40" s="85">
        <f>VLOOKUP(AY40,'x Malzemeler ve Özellikleri'!B:C,2,0)</f>
        <v>0</v>
      </c>
    </row>
    <row r="41" spans="1:49" ht="17.100000000000001" customHeight="1" thickBot="1">
      <c r="A41" s="67">
        <f t="shared" si="2"/>
        <v>0</v>
      </c>
      <c r="B41" s="67">
        <f t="shared" si="3"/>
        <v>0</v>
      </c>
      <c r="C41" s="70" t="str">
        <f>IF(VLOOKUP(B41,'x Malzemeler ve Özellikleri'!$B$2:$M$136,12,0)="ALÜMİNYUM",'1PROJE'!$H$7,"")</f>
        <v/>
      </c>
      <c r="D41" s="67">
        <f t="shared" si="4"/>
        <v>0</v>
      </c>
      <c r="E41" s="69" t="e">
        <f>HLOOKUP(B41,xHesaplama!$AH$26:$FH$66,22,0)</f>
        <v>#N/A</v>
      </c>
      <c r="F41" s="76">
        <f t="shared" si="0"/>
        <v>0</v>
      </c>
      <c r="G41" s="70">
        <f t="shared" si="5"/>
        <v>0</v>
      </c>
      <c r="H41" s="69" t="str">
        <f t="shared" si="1"/>
        <v/>
      </c>
      <c r="I41" s="145">
        <v>0</v>
      </c>
      <c r="J41" s="620"/>
      <c r="K41" s="81">
        <f>IFERROR(VLOOKUP(B41,'x Malzemeler ve Özellikleri'!$O$1:$Q$181,3,0)*F41,0)</f>
        <v>0</v>
      </c>
      <c r="AW41" s="85">
        <f>VLOOKUP(AY41,'x Malzemeler ve Özellikleri'!B:C,2,0)</f>
        <v>0</v>
      </c>
    </row>
    <row r="42" spans="1:49" ht="30" thickBot="1">
      <c r="A42" s="64" t="str">
        <f>"POZ"&amp;" "&amp;J43</f>
        <v>POZ 2</v>
      </c>
      <c r="C42" s="243">
        <f>xHesaplama!C28</f>
        <v>0</v>
      </c>
      <c r="D42" s="64" t="s">
        <v>357</v>
      </c>
      <c r="F42" s="74"/>
      <c r="G42" s="72" t="s">
        <v>786</v>
      </c>
      <c r="H42" s="65"/>
      <c r="I42" s="71">
        <f>SUM(H44:H82)</f>
        <v>0</v>
      </c>
      <c r="L42" t="str" cm="1">
        <f t="array" ref="L42:AJ42">_xlfn._xlws.FILTER(REÇETE!$D$11:$AB$142,REÇETE!$J$11:$J$142&lt;&gt;"","")</f>
        <v>EXCEL KODU</v>
      </c>
      <c r="M42" t="str">
        <v>PARÇA BİRİM</v>
      </c>
      <c r="N42" t="str">
        <v>PARÇA ADI</v>
      </c>
      <c r="O42" t="str">
        <v>MALZEME KODU</v>
      </c>
      <c r="P42" t="str">
        <v>BİRİM FİYAT</v>
      </c>
      <c r="Q42" t="str">
        <v>POZ 1</v>
      </c>
      <c r="R42" t="str">
        <v>POZ 2</v>
      </c>
      <c r="S42" t="str">
        <v>POZ 3</v>
      </c>
      <c r="T42" t="str">
        <v>POZ 4</v>
      </c>
      <c r="U42" t="str">
        <v>POZ 5</v>
      </c>
      <c r="V42" t="str">
        <v>POZ 6</v>
      </c>
      <c r="W42" t="str">
        <v>POZ 7</v>
      </c>
      <c r="X42" t="str">
        <v>POZ 8</v>
      </c>
      <c r="Y42" t="str">
        <v>POZ 9</v>
      </c>
      <c r="Z42" t="str">
        <v>POZ 10</v>
      </c>
      <c r="AA42" t="str">
        <v>POZ 11</v>
      </c>
      <c r="AB42" t="str">
        <v>POZ 12</v>
      </c>
      <c r="AC42" t="str">
        <v>POZ 13</v>
      </c>
      <c r="AD42" t="str">
        <v>POZ 14</v>
      </c>
      <c r="AE42" t="str">
        <v>POZ 15</v>
      </c>
      <c r="AF42" t="str">
        <v>POZ 16</v>
      </c>
      <c r="AG42" t="str">
        <v>POZ 17</v>
      </c>
      <c r="AH42" t="str">
        <v>POZ 18</v>
      </c>
      <c r="AI42" t="str">
        <v>POZ 19</v>
      </c>
      <c r="AJ42" t="str">
        <v>POZ 20</v>
      </c>
      <c r="AW42" s="85">
        <f>VLOOKUP(AY42,'x Malzemeler ve Özellikleri'!B:C,2,0)</f>
        <v>0</v>
      </c>
    </row>
    <row r="43" spans="1:49">
      <c r="A43" s="66" t="s">
        <v>782</v>
      </c>
      <c r="B43" s="66" t="s">
        <v>409</v>
      </c>
      <c r="C43" s="68"/>
      <c r="D43" s="66" t="s">
        <v>15</v>
      </c>
      <c r="E43" s="68" t="s">
        <v>808</v>
      </c>
      <c r="F43" s="75" t="s">
        <v>785</v>
      </c>
      <c r="G43" s="68" t="s">
        <v>650</v>
      </c>
      <c r="H43" s="68" t="s">
        <v>355</v>
      </c>
      <c r="J43" s="618">
        <v>2</v>
      </c>
      <c r="K43" s="221">
        <f>SUM(K44:K82)</f>
        <v>0</v>
      </c>
      <c r="AW43" s="85">
        <f>VLOOKUP(AY43,'x Malzemeler ve Özellikleri'!B:C,2,0)</f>
        <v>0</v>
      </c>
    </row>
    <row r="44" spans="1:49" ht="19.5">
      <c r="A44" s="67">
        <f>xHesaplama!H28</f>
        <v>0</v>
      </c>
      <c r="B44" s="67"/>
      <c r="C44" s="70">
        <f>xHesaplama!I28</f>
        <v>0</v>
      </c>
      <c r="D44" s="67">
        <f>xHesaplama!I28</f>
        <v>0</v>
      </c>
      <c r="E44" s="69" t="e">
        <f>xHesaplama!AC28</f>
        <v>#N/A</v>
      </c>
      <c r="F44" s="76">
        <f>xHesaplama!AD28*C42</f>
        <v>0</v>
      </c>
      <c r="G44" s="70" t="s">
        <v>817</v>
      </c>
      <c r="H44" s="69">
        <f t="shared" ref="H44:H45" si="6">IFERROR(E44*F44,0)</f>
        <v>0</v>
      </c>
      <c r="I44" s="145">
        <v>0</v>
      </c>
      <c r="J44" s="619"/>
      <c r="K44" s="81">
        <f>IFERROR(VLOOKUP(A44,'x Malzemeler ve Özellikleri'!$N$1:$Q$181,4,0)*F44,0)</f>
        <v>0</v>
      </c>
      <c r="AN44" s="84" cm="1">
        <f t="array" ref="AN44">_xlfn._xlws.FILTER(A44:I82,I44:I82,0)</f>
        <v>0</v>
      </c>
      <c r="AW44" s="85">
        <f>VLOOKUP(AY44,'x Malzemeler ve Özellikleri'!B:C,2,0)</f>
        <v>0</v>
      </c>
    </row>
    <row r="45" spans="1:49" ht="19.5">
      <c r="A45" s="67" t="s">
        <v>105</v>
      </c>
      <c r="B45" s="67"/>
      <c r="C45" s="70"/>
      <c r="D45" s="67">
        <f>xHesaplama!J28</f>
        <v>0</v>
      </c>
      <c r="E45" s="69" t="e">
        <f>xHesaplama!AB28</f>
        <v>#N/A</v>
      </c>
      <c r="F45" s="76">
        <f>C42</f>
        <v>0</v>
      </c>
      <c r="G45" s="70" t="s">
        <v>357</v>
      </c>
      <c r="H45" s="69">
        <f t="shared" si="6"/>
        <v>0</v>
      </c>
      <c r="I45" s="145">
        <v>0</v>
      </c>
      <c r="J45" s="619"/>
      <c r="K45" s="81">
        <f>IFERROR(VLOOKUP(D45,'x Malzemeler ve Özellikleri'!$N$1:$Q$181,4,0)*F45,0)</f>
        <v>0</v>
      </c>
      <c r="AW45" s="85">
        <f>VLOOKUP(AY45,'x Malzemeler ve Özellikleri'!B:C,2,0)</f>
        <v>0</v>
      </c>
    </row>
    <row r="46" spans="1:49" ht="19.5">
      <c r="A46" s="67">
        <f>N43</f>
        <v>0</v>
      </c>
      <c r="B46" s="67">
        <f>L43</f>
        <v>0</v>
      </c>
      <c r="C46" s="70" t="str">
        <f>IF(VLOOKUP(B46,'x Malzemeler ve Özellikleri'!$B$2:$M$136,12,0)="ALÜMİNYUM",'1PROJE'!$H$8,"")</f>
        <v/>
      </c>
      <c r="D46" s="67">
        <f>O43</f>
        <v>0</v>
      </c>
      <c r="E46" s="69" t="e">
        <f>HLOOKUP(B46,xHesaplama!$AH$26:$FH$66,23,0)</f>
        <v>#N/A</v>
      </c>
      <c r="F46" s="76">
        <f t="shared" ref="F46:F82" si="7">R43*$C$42</f>
        <v>0</v>
      </c>
      <c r="G46" s="70">
        <f>M43</f>
        <v>0</v>
      </c>
      <c r="H46" s="69" t="str">
        <f t="shared" ref="H46:H82" si="8">IFERROR(E46*$C$42,"")</f>
        <v/>
      </c>
      <c r="I46" s="145">
        <v>0</v>
      </c>
      <c r="J46" s="619"/>
      <c r="K46" s="81">
        <f>IFERROR(VLOOKUP(B46,'x Malzemeler ve Özellikleri'!$O$1:$Q$181,3,0)*F46,0)</f>
        <v>0</v>
      </c>
      <c r="AW46" s="85">
        <f>VLOOKUP(AY46,'x Malzemeler ve Özellikleri'!B:C,2,0)</f>
        <v>0</v>
      </c>
    </row>
    <row r="47" spans="1:49" ht="19.5">
      <c r="A47" s="67">
        <f t="shared" ref="A47:A82" si="9">N44</f>
        <v>0</v>
      </c>
      <c r="B47" s="67">
        <f t="shared" ref="B47:B82" si="10">L44</f>
        <v>0</v>
      </c>
      <c r="C47" s="70" t="str">
        <f>IF(VLOOKUP(B47,'x Malzemeler ve Özellikleri'!$B$2:$M$136,12,0)="ALÜMİNYUM",'1PROJE'!$H$8,"")</f>
        <v/>
      </c>
      <c r="D47" s="67">
        <f t="shared" ref="D47:D82" si="11">O44</f>
        <v>0</v>
      </c>
      <c r="E47" s="69" t="e">
        <f>HLOOKUP(B47,xHesaplama!$AH$26:$FH$66,23,0)</f>
        <v>#N/A</v>
      </c>
      <c r="F47" s="76">
        <f t="shared" si="7"/>
        <v>0</v>
      </c>
      <c r="G47" s="70">
        <f t="shared" ref="G47:G82" si="12">M44</f>
        <v>0</v>
      </c>
      <c r="H47" s="69" t="str">
        <f t="shared" si="8"/>
        <v/>
      </c>
      <c r="I47" s="145">
        <v>0</v>
      </c>
      <c r="J47" s="619"/>
      <c r="K47" s="81">
        <f>IFERROR(VLOOKUP(B47,'x Malzemeler ve Özellikleri'!$O$1:$Q$181,3,0)*F47,0)</f>
        <v>0</v>
      </c>
      <c r="AW47" s="85">
        <f>VLOOKUP(AY47,'x Malzemeler ve Özellikleri'!B:C,2,0)</f>
        <v>0</v>
      </c>
    </row>
    <row r="48" spans="1:49" ht="19.5">
      <c r="A48" s="67">
        <f t="shared" si="9"/>
        <v>0</v>
      </c>
      <c r="B48" s="67">
        <f t="shared" si="10"/>
        <v>0</v>
      </c>
      <c r="C48" s="70" t="str">
        <f>IF(VLOOKUP(B48,'x Malzemeler ve Özellikleri'!$B$2:$M$136,12,0)="ALÜMİNYUM",'1PROJE'!$H$8,"")</f>
        <v/>
      </c>
      <c r="D48" s="67">
        <f t="shared" si="11"/>
        <v>0</v>
      </c>
      <c r="E48" s="69" t="e">
        <f>HLOOKUP(B48,xHesaplama!$AH$26:$FH$66,23,0)</f>
        <v>#N/A</v>
      </c>
      <c r="F48" s="76">
        <f t="shared" si="7"/>
        <v>0</v>
      </c>
      <c r="G48" s="70">
        <f t="shared" si="12"/>
        <v>0</v>
      </c>
      <c r="H48" s="69" t="str">
        <f t="shared" si="8"/>
        <v/>
      </c>
      <c r="I48" s="145">
        <v>0</v>
      </c>
      <c r="J48" s="619"/>
      <c r="K48" s="81">
        <f>IFERROR(VLOOKUP(B48,'x Malzemeler ve Özellikleri'!$O$1:$Q$181,3,0)*F48,0)</f>
        <v>0</v>
      </c>
      <c r="AW48" s="85">
        <f>VLOOKUP(AY48,'x Malzemeler ve Özellikleri'!B:C,2,0)</f>
        <v>0</v>
      </c>
    </row>
    <row r="49" spans="1:49" ht="19.5">
      <c r="A49" s="67">
        <f t="shared" si="9"/>
        <v>0</v>
      </c>
      <c r="B49" s="67">
        <f t="shared" si="10"/>
        <v>0</v>
      </c>
      <c r="C49" s="70" t="str">
        <f>IF(VLOOKUP(B49,'x Malzemeler ve Özellikleri'!$B$2:$M$136,12,0)="ALÜMİNYUM",'1PROJE'!$H$8,"")</f>
        <v/>
      </c>
      <c r="D49" s="67">
        <f t="shared" si="11"/>
        <v>0</v>
      </c>
      <c r="E49" s="69" t="e">
        <f>HLOOKUP(B49,xHesaplama!$AH$26:$FH$66,23,0)</f>
        <v>#N/A</v>
      </c>
      <c r="F49" s="76">
        <f t="shared" si="7"/>
        <v>0</v>
      </c>
      <c r="G49" s="70">
        <f t="shared" si="12"/>
        <v>0</v>
      </c>
      <c r="H49" s="69" t="str">
        <f t="shared" si="8"/>
        <v/>
      </c>
      <c r="I49" s="145">
        <v>0</v>
      </c>
      <c r="J49" s="619"/>
      <c r="K49" s="81">
        <f>IFERROR(VLOOKUP(B49,'x Malzemeler ve Özellikleri'!$O$1:$Q$181,3,0)*F49,0)</f>
        <v>0</v>
      </c>
      <c r="AW49" s="85">
        <f>VLOOKUP(AY49,'x Malzemeler ve Özellikleri'!B:C,2,0)</f>
        <v>0</v>
      </c>
    </row>
    <row r="50" spans="1:49" ht="19.5">
      <c r="A50" s="67">
        <f t="shared" si="9"/>
        <v>0</v>
      </c>
      <c r="B50" s="67">
        <f t="shared" si="10"/>
        <v>0</v>
      </c>
      <c r="C50" s="70" t="str">
        <f>IF(VLOOKUP(B50,'x Malzemeler ve Özellikleri'!$B$2:$M$136,12,0)="ALÜMİNYUM",'1PROJE'!$H$8,"")</f>
        <v/>
      </c>
      <c r="D50" s="67">
        <f t="shared" si="11"/>
        <v>0</v>
      </c>
      <c r="E50" s="69" t="e">
        <f>HLOOKUP(B50,xHesaplama!$AH$26:$FH$66,23,0)</f>
        <v>#N/A</v>
      </c>
      <c r="F50" s="76">
        <f t="shared" si="7"/>
        <v>0</v>
      </c>
      <c r="G50" s="70">
        <f t="shared" si="12"/>
        <v>0</v>
      </c>
      <c r="H50" s="69" t="str">
        <f t="shared" si="8"/>
        <v/>
      </c>
      <c r="I50" s="145">
        <v>0</v>
      </c>
      <c r="J50" s="619"/>
      <c r="K50" s="81">
        <f>IFERROR(VLOOKUP(B50,'x Malzemeler ve Özellikleri'!$O$1:$Q$181,3,0)*F50,0)</f>
        <v>0</v>
      </c>
      <c r="AW50" s="85">
        <f>VLOOKUP(AY50,'x Malzemeler ve Özellikleri'!B:C,2,0)</f>
        <v>0</v>
      </c>
    </row>
    <row r="51" spans="1:49" ht="19.5">
      <c r="A51" s="67">
        <f t="shared" si="9"/>
        <v>0</v>
      </c>
      <c r="B51" s="67">
        <f t="shared" si="10"/>
        <v>0</v>
      </c>
      <c r="C51" s="70" t="str">
        <f>IF(VLOOKUP(B51,'x Malzemeler ve Özellikleri'!$B$2:$M$136,12,0)="ALÜMİNYUM",'1PROJE'!$H$8,"")</f>
        <v/>
      </c>
      <c r="D51" s="67">
        <f t="shared" si="11"/>
        <v>0</v>
      </c>
      <c r="E51" s="69" t="e">
        <f>HLOOKUP(B51,xHesaplama!$AH$26:$FH$66,23,0)</f>
        <v>#N/A</v>
      </c>
      <c r="F51" s="76">
        <f t="shared" si="7"/>
        <v>0</v>
      </c>
      <c r="G51" s="70">
        <f t="shared" si="12"/>
        <v>0</v>
      </c>
      <c r="H51" s="69" t="str">
        <f t="shared" si="8"/>
        <v/>
      </c>
      <c r="I51" s="145">
        <v>0</v>
      </c>
      <c r="J51" s="619"/>
      <c r="K51" s="81">
        <f>IFERROR(VLOOKUP(B51,'x Malzemeler ve Özellikleri'!$O$1:$Q$181,3,0)*F51,0)</f>
        <v>0</v>
      </c>
      <c r="AW51" s="85">
        <f>VLOOKUP(AY51,'x Malzemeler ve Özellikleri'!B:C,2,0)</f>
        <v>0</v>
      </c>
    </row>
    <row r="52" spans="1:49" ht="19.5">
      <c r="A52" s="67">
        <f t="shared" si="9"/>
        <v>0</v>
      </c>
      <c r="B52" s="67">
        <f t="shared" si="10"/>
        <v>0</v>
      </c>
      <c r="C52" s="70" t="str">
        <f>IF(VLOOKUP(B52,'x Malzemeler ve Özellikleri'!$B$2:$M$136,12,0)="ALÜMİNYUM",'1PROJE'!$H$8,"")</f>
        <v/>
      </c>
      <c r="D52" s="67">
        <f t="shared" si="11"/>
        <v>0</v>
      </c>
      <c r="E52" s="69" t="e">
        <f>HLOOKUP(B52,xHesaplama!$AH$26:$FH$66,23,0)</f>
        <v>#N/A</v>
      </c>
      <c r="F52" s="76">
        <f t="shared" si="7"/>
        <v>0</v>
      </c>
      <c r="G52" s="70">
        <f t="shared" si="12"/>
        <v>0</v>
      </c>
      <c r="H52" s="69" t="str">
        <f t="shared" si="8"/>
        <v/>
      </c>
      <c r="I52" s="145">
        <v>0</v>
      </c>
      <c r="J52" s="619"/>
      <c r="K52" s="81">
        <f>IFERROR(VLOOKUP(B52,'x Malzemeler ve Özellikleri'!$O$1:$Q$181,3,0)*F52,0)</f>
        <v>0</v>
      </c>
      <c r="AW52" s="85">
        <f>VLOOKUP(AY52,'x Malzemeler ve Özellikleri'!B:C,2,0)</f>
        <v>0</v>
      </c>
    </row>
    <row r="53" spans="1:49" ht="19.5">
      <c r="A53" s="67">
        <f t="shared" si="9"/>
        <v>0</v>
      </c>
      <c r="B53" s="67">
        <f t="shared" si="10"/>
        <v>0</v>
      </c>
      <c r="C53" s="70" t="str">
        <f>IF(VLOOKUP(B53,'x Malzemeler ve Özellikleri'!$B$2:$M$136,12,0)="ALÜMİNYUM",'1PROJE'!$H$8,"")</f>
        <v/>
      </c>
      <c r="D53" s="67">
        <f t="shared" si="11"/>
        <v>0</v>
      </c>
      <c r="E53" s="69" t="e">
        <f>HLOOKUP(B53,xHesaplama!$AH$26:$FH$66,23,0)</f>
        <v>#N/A</v>
      </c>
      <c r="F53" s="76">
        <f t="shared" si="7"/>
        <v>0</v>
      </c>
      <c r="G53" s="70">
        <f t="shared" si="12"/>
        <v>0</v>
      </c>
      <c r="H53" s="69" t="str">
        <f t="shared" si="8"/>
        <v/>
      </c>
      <c r="I53" s="145">
        <v>0</v>
      </c>
      <c r="J53" s="619"/>
      <c r="K53" s="81">
        <f>IFERROR(VLOOKUP(B53,'x Malzemeler ve Özellikleri'!$O$1:$Q$181,3,0)*F53,0)</f>
        <v>0</v>
      </c>
      <c r="AW53" s="85">
        <f>VLOOKUP(AY53,'x Malzemeler ve Özellikleri'!B:C,2,0)</f>
        <v>0</v>
      </c>
    </row>
    <row r="54" spans="1:49" ht="19.5">
      <c r="A54" s="67">
        <f t="shared" si="9"/>
        <v>0</v>
      </c>
      <c r="B54" s="67">
        <f t="shared" si="10"/>
        <v>0</v>
      </c>
      <c r="C54" s="70" t="str">
        <f>IF(VLOOKUP(B54,'x Malzemeler ve Özellikleri'!$B$2:$M$136,12,0)="ALÜMİNYUM",'1PROJE'!$H$8,"")</f>
        <v/>
      </c>
      <c r="D54" s="67">
        <f t="shared" si="11"/>
        <v>0</v>
      </c>
      <c r="E54" s="69" t="e">
        <f>HLOOKUP(B54,xHesaplama!$AH$26:$FH$66,23,0)</f>
        <v>#N/A</v>
      </c>
      <c r="F54" s="76">
        <f t="shared" si="7"/>
        <v>0</v>
      </c>
      <c r="G54" s="70">
        <f t="shared" si="12"/>
        <v>0</v>
      </c>
      <c r="H54" s="69" t="str">
        <f t="shared" si="8"/>
        <v/>
      </c>
      <c r="I54" s="145">
        <v>0</v>
      </c>
      <c r="J54" s="619"/>
      <c r="K54" s="81">
        <f>IFERROR(VLOOKUP(B54,'x Malzemeler ve Özellikleri'!$O$1:$Q$181,3,0)*F54,0)</f>
        <v>0</v>
      </c>
      <c r="AW54" s="85">
        <f>VLOOKUP(AY54,'x Malzemeler ve Özellikleri'!B:C,2,0)</f>
        <v>0</v>
      </c>
    </row>
    <row r="55" spans="1:49" ht="19.5">
      <c r="A55" s="67">
        <f t="shared" si="9"/>
        <v>0</v>
      </c>
      <c r="B55" s="67">
        <f t="shared" si="10"/>
        <v>0</v>
      </c>
      <c r="C55" s="70" t="str">
        <f>IF(VLOOKUP(B55,'x Malzemeler ve Özellikleri'!$B$2:$M$136,12,0)="ALÜMİNYUM",'1PROJE'!$H$8,"")</f>
        <v/>
      </c>
      <c r="D55" s="67">
        <f t="shared" si="11"/>
        <v>0</v>
      </c>
      <c r="E55" s="69" t="e">
        <f>HLOOKUP(B55,xHesaplama!$AH$26:$FH$66,23,0)</f>
        <v>#N/A</v>
      </c>
      <c r="F55" s="76">
        <f t="shared" si="7"/>
        <v>0</v>
      </c>
      <c r="G55" s="70">
        <f t="shared" si="12"/>
        <v>0</v>
      </c>
      <c r="H55" s="69" t="str">
        <f t="shared" si="8"/>
        <v/>
      </c>
      <c r="I55" s="145">
        <v>0</v>
      </c>
      <c r="J55" s="619"/>
      <c r="K55" s="81">
        <f>IFERROR(VLOOKUP(B55,'x Malzemeler ve Özellikleri'!$O$1:$Q$181,3,0)*F55,0)</f>
        <v>0</v>
      </c>
      <c r="AW55" s="85">
        <f>VLOOKUP(AY55,'x Malzemeler ve Özellikleri'!B:C,2,0)</f>
        <v>0</v>
      </c>
    </row>
    <row r="56" spans="1:49" ht="19.5">
      <c r="A56" s="67">
        <f t="shared" si="9"/>
        <v>0</v>
      </c>
      <c r="B56" s="67">
        <f t="shared" si="10"/>
        <v>0</v>
      </c>
      <c r="C56" s="70" t="str">
        <f>IF(VLOOKUP(B56,'x Malzemeler ve Özellikleri'!$B$2:$M$136,12,0)="ALÜMİNYUM",'1PROJE'!$H$8,"")</f>
        <v/>
      </c>
      <c r="D56" s="67">
        <f t="shared" si="11"/>
        <v>0</v>
      </c>
      <c r="E56" s="69" t="e">
        <f>HLOOKUP(B56,xHesaplama!$AH$26:$FH$66,23,0)</f>
        <v>#N/A</v>
      </c>
      <c r="F56" s="76">
        <f t="shared" si="7"/>
        <v>0</v>
      </c>
      <c r="G56" s="70">
        <f t="shared" si="12"/>
        <v>0</v>
      </c>
      <c r="H56" s="69" t="str">
        <f t="shared" si="8"/>
        <v/>
      </c>
      <c r="I56" s="145">
        <v>0</v>
      </c>
      <c r="J56" s="619"/>
      <c r="K56" s="81">
        <f>IFERROR(VLOOKUP(B56,'x Malzemeler ve Özellikleri'!$O$1:$Q$181,3,0)*F56,0)</f>
        <v>0</v>
      </c>
      <c r="AW56" s="85">
        <f>VLOOKUP(AY56,'x Malzemeler ve Özellikleri'!B:C,2,0)</f>
        <v>0</v>
      </c>
    </row>
    <row r="57" spans="1:49" ht="19.5">
      <c r="A57" s="67">
        <f t="shared" si="9"/>
        <v>0</v>
      </c>
      <c r="B57" s="67">
        <f t="shared" si="10"/>
        <v>0</v>
      </c>
      <c r="C57" s="70" t="str">
        <f>IF(VLOOKUP(B57,'x Malzemeler ve Özellikleri'!$B$2:$M$136,12,0)="ALÜMİNYUM",'1PROJE'!$H$8,"")</f>
        <v/>
      </c>
      <c r="D57" s="67">
        <f t="shared" si="11"/>
        <v>0</v>
      </c>
      <c r="E57" s="69" t="e">
        <f>HLOOKUP(B57,xHesaplama!$AH$26:$FH$66,23,0)</f>
        <v>#N/A</v>
      </c>
      <c r="F57" s="76">
        <f t="shared" si="7"/>
        <v>0</v>
      </c>
      <c r="G57" s="70">
        <f t="shared" si="12"/>
        <v>0</v>
      </c>
      <c r="H57" s="69" t="str">
        <f t="shared" si="8"/>
        <v/>
      </c>
      <c r="I57" s="145">
        <v>0</v>
      </c>
      <c r="J57" s="619"/>
      <c r="K57" s="81">
        <f>IFERROR(VLOOKUP(B57,'x Malzemeler ve Özellikleri'!$O$1:$Q$181,3,0)*F57,0)</f>
        <v>0</v>
      </c>
      <c r="AW57" s="85">
        <f>VLOOKUP(AY57,'x Malzemeler ve Özellikleri'!B:C,2,0)</f>
        <v>0</v>
      </c>
    </row>
    <row r="58" spans="1:49" ht="19.5">
      <c r="A58" s="67">
        <f t="shared" si="9"/>
        <v>0</v>
      </c>
      <c r="B58" s="67">
        <f t="shared" si="10"/>
        <v>0</v>
      </c>
      <c r="C58" s="70" t="str">
        <f>IF(VLOOKUP(B58,'x Malzemeler ve Özellikleri'!$B$2:$M$136,12,0)="ALÜMİNYUM",'1PROJE'!$H$8,"")</f>
        <v/>
      </c>
      <c r="D58" s="67">
        <f t="shared" si="11"/>
        <v>0</v>
      </c>
      <c r="E58" s="69" t="e">
        <f>HLOOKUP(B58,xHesaplama!$AH$26:$FH$66,23,0)</f>
        <v>#N/A</v>
      </c>
      <c r="F58" s="76">
        <f t="shared" si="7"/>
        <v>0</v>
      </c>
      <c r="G58" s="70">
        <f t="shared" si="12"/>
        <v>0</v>
      </c>
      <c r="H58" s="69" t="str">
        <f t="shared" si="8"/>
        <v/>
      </c>
      <c r="I58" s="145">
        <v>0</v>
      </c>
      <c r="J58" s="619"/>
      <c r="K58" s="81">
        <f>IFERROR(VLOOKUP(B58,'x Malzemeler ve Özellikleri'!$O$1:$Q$181,3,0)*F58,0)</f>
        <v>0</v>
      </c>
      <c r="AW58" s="85">
        <f>VLOOKUP(AY58,'x Malzemeler ve Özellikleri'!B:C,2,0)</f>
        <v>0</v>
      </c>
    </row>
    <row r="59" spans="1:49" ht="19.5">
      <c r="A59" s="67">
        <f t="shared" si="9"/>
        <v>0</v>
      </c>
      <c r="B59" s="67">
        <f t="shared" si="10"/>
        <v>0</v>
      </c>
      <c r="C59" s="70" t="str">
        <f>IF(VLOOKUP(B59,'x Malzemeler ve Özellikleri'!$B$2:$M$136,12,0)="ALÜMİNYUM",'1PROJE'!$H$8,"")</f>
        <v/>
      </c>
      <c r="D59" s="67">
        <f t="shared" si="11"/>
        <v>0</v>
      </c>
      <c r="E59" s="69" t="e">
        <f>HLOOKUP(B59,xHesaplama!$AH$26:$FH$66,23,0)</f>
        <v>#N/A</v>
      </c>
      <c r="F59" s="76">
        <f t="shared" si="7"/>
        <v>0</v>
      </c>
      <c r="G59" s="70">
        <f t="shared" si="12"/>
        <v>0</v>
      </c>
      <c r="H59" s="69" t="str">
        <f t="shared" si="8"/>
        <v/>
      </c>
      <c r="I59" s="145">
        <v>0</v>
      </c>
      <c r="J59" s="619"/>
      <c r="K59" s="81">
        <f>IFERROR(VLOOKUP(B59,'x Malzemeler ve Özellikleri'!$O$1:$Q$181,3,0)*F59,0)</f>
        <v>0</v>
      </c>
      <c r="AW59" s="85">
        <f>VLOOKUP(AY59,'x Malzemeler ve Özellikleri'!B:C,2,0)</f>
        <v>0</v>
      </c>
    </row>
    <row r="60" spans="1:49" ht="19.5">
      <c r="A60" s="67">
        <f t="shared" si="9"/>
        <v>0</v>
      </c>
      <c r="B60" s="67">
        <f t="shared" si="10"/>
        <v>0</v>
      </c>
      <c r="C60" s="70" t="str">
        <f>IF(VLOOKUP(B60,'x Malzemeler ve Özellikleri'!$B$2:$M$136,12,0)="ALÜMİNYUM",'1PROJE'!$H$8,"")</f>
        <v/>
      </c>
      <c r="D60" s="67">
        <f t="shared" si="11"/>
        <v>0</v>
      </c>
      <c r="E60" s="69" t="e">
        <f>HLOOKUP(B60,xHesaplama!$AH$26:$FH$66,23,0)</f>
        <v>#N/A</v>
      </c>
      <c r="F60" s="76">
        <f t="shared" si="7"/>
        <v>0</v>
      </c>
      <c r="G60" s="70">
        <f t="shared" si="12"/>
        <v>0</v>
      </c>
      <c r="H60" s="69" t="str">
        <f t="shared" si="8"/>
        <v/>
      </c>
      <c r="I60" s="145">
        <v>0</v>
      </c>
      <c r="J60" s="619"/>
      <c r="K60" s="81">
        <f>IFERROR(VLOOKUP(B60,'x Malzemeler ve Özellikleri'!$O$1:$Q$181,3,0)*F60,0)</f>
        <v>0</v>
      </c>
      <c r="AW60" s="85">
        <f>VLOOKUP(AY60,'x Malzemeler ve Özellikleri'!B:C,2,0)</f>
        <v>0</v>
      </c>
    </row>
    <row r="61" spans="1:49" ht="19.5">
      <c r="A61" s="67">
        <f t="shared" si="9"/>
        <v>0</v>
      </c>
      <c r="B61" s="67">
        <f t="shared" si="10"/>
        <v>0</v>
      </c>
      <c r="C61" s="70" t="str">
        <f>IF(VLOOKUP(B61,'x Malzemeler ve Özellikleri'!$B$2:$M$136,12,0)="ALÜMİNYUM",'1PROJE'!$H$8,"")</f>
        <v/>
      </c>
      <c r="D61" s="67">
        <f t="shared" si="11"/>
        <v>0</v>
      </c>
      <c r="E61" s="69" t="e">
        <f>HLOOKUP(B61,xHesaplama!$AH$26:$FH$66,23,0)</f>
        <v>#N/A</v>
      </c>
      <c r="F61" s="76">
        <f t="shared" si="7"/>
        <v>0</v>
      </c>
      <c r="G61" s="70">
        <f t="shared" si="12"/>
        <v>0</v>
      </c>
      <c r="H61" s="69" t="str">
        <f t="shared" si="8"/>
        <v/>
      </c>
      <c r="I61" s="145">
        <v>0</v>
      </c>
      <c r="J61" s="619"/>
      <c r="K61" s="81">
        <f>IFERROR(VLOOKUP(B61,'x Malzemeler ve Özellikleri'!$O$1:$Q$181,3,0)*F61,0)</f>
        <v>0</v>
      </c>
      <c r="AW61" s="85">
        <f>VLOOKUP(AY61,'x Malzemeler ve Özellikleri'!B:C,2,0)</f>
        <v>0</v>
      </c>
    </row>
    <row r="62" spans="1:49" ht="19.5">
      <c r="A62" s="67">
        <f t="shared" si="9"/>
        <v>0</v>
      </c>
      <c r="B62" s="67">
        <f t="shared" si="10"/>
        <v>0</v>
      </c>
      <c r="C62" s="70" t="str">
        <f>IF(VLOOKUP(B62,'x Malzemeler ve Özellikleri'!$B$2:$M$136,12,0)="ALÜMİNYUM",'1PROJE'!$H$8,"")</f>
        <v/>
      </c>
      <c r="D62" s="67">
        <f t="shared" si="11"/>
        <v>0</v>
      </c>
      <c r="E62" s="69" t="e">
        <f>HLOOKUP(B62,xHesaplama!$AH$26:$FH$66,23,0)</f>
        <v>#N/A</v>
      </c>
      <c r="F62" s="76">
        <f t="shared" si="7"/>
        <v>0</v>
      </c>
      <c r="G62" s="70">
        <f t="shared" si="12"/>
        <v>0</v>
      </c>
      <c r="H62" s="69" t="str">
        <f t="shared" si="8"/>
        <v/>
      </c>
      <c r="I62" s="145">
        <v>0</v>
      </c>
      <c r="J62" s="619"/>
      <c r="K62" s="81">
        <f>IFERROR(VLOOKUP(B62,'x Malzemeler ve Özellikleri'!$O$1:$Q$181,3,0)*F62,0)</f>
        <v>0</v>
      </c>
      <c r="AW62" s="85">
        <f>VLOOKUP(AY62,'x Malzemeler ve Özellikleri'!B:C,2,0)</f>
        <v>0</v>
      </c>
    </row>
    <row r="63" spans="1:49" ht="19.5">
      <c r="A63" s="67">
        <f t="shared" si="9"/>
        <v>0</v>
      </c>
      <c r="B63" s="67">
        <f t="shared" si="10"/>
        <v>0</v>
      </c>
      <c r="C63" s="70" t="str">
        <f>IF(VLOOKUP(B63,'x Malzemeler ve Özellikleri'!$B$2:$M$136,12,0)="ALÜMİNYUM",'1PROJE'!$H$8,"")</f>
        <v/>
      </c>
      <c r="D63" s="67">
        <f t="shared" si="11"/>
        <v>0</v>
      </c>
      <c r="E63" s="69" t="e">
        <f>HLOOKUP(B63,xHesaplama!$AH$26:$FH$66,23,0)</f>
        <v>#N/A</v>
      </c>
      <c r="F63" s="76">
        <f t="shared" si="7"/>
        <v>0</v>
      </c>
      <c r="G63" s="70">
        <f t="shared" si="12"/>
        <v>0</v>
      </c>
      <c r="H63" s="69" t="str">
        <f t="shared" si="8"/>
        <v/>
      </c>
      <c r="I63" s="145">
        <v>0</v>
      </c>
      <c r="J63" s="619"/>
      <c r="K63" s="81">
        <f>IFERROR(VLOOKUP(B63,'x Malzemeler ve Özellikleri'!$O$1:$Q$181,3,0)*F63,0)</f>
        <v>0</v>
      </c>
      <c r="AW63" s="85">
        <f>VLOOKUP(AY63,'x Malzemeler ve Özellikleri'!B:C,2,0)</f>
        <v>0</v>
      </c>
    </row>
    <row r="64" spans="1:49" ht="19.5">
      <c r="A64" s="67">
        <f t="shared" si="9"/>
        <v>0</v>
      </c>
      <c r="B64" s="67">
        <f t="shared" si="10"/>
        <v>0</v>
      </c>
      <c r="C64" s="70" t="str">
        <f>IF(VLOOKUP(B64,'x Malzemeler ve Özellikleri'!$B$2:$M$136,12,0)="ALÜMİNYUM",'1PROJE'!$H$8,"")</f>
        <v/>
      </c>
      <c r="D64" s="67">
        <f t="shared" si="11"/>
        <v>0</v>
      </c>
      <c r="E64" s="69" t="e">
        <f>HLOOKUP(B64,xHesaplama!$AH$26:$FH$66,23,0)</f>
        <v>#N/A</v>
      </c>
      <c r="F64" s="76">
        <f t="shared" si="7"/>
        <v>0</v>
      </c>
      <c r="G64" s="70">
        <f t="shared" si="12"/>
        <v>0</v>
      </c>
      <c r="H64" s="69" t="str">
        <f t="shared" si="8"/>
        <v/>
      </c>
      <c r="I64" s="145">
        <v>0</v>
      </c>
      <c r="J64" s="619"/>
      <c r="K64" s="81">
        <f>IFERROR(VLOOKUP(B64,'x Malzemeler ve Özellikleri'!$O$1:$Q$181,3,0)*F64,0)</f>
        <v>0</v>
      </c>
      <c r="AW64" s="85">
        <f>VLOOKUP(AY64,'x Malzemeler ve Özellikleri'!B:C,2,0)</f>
        <v>0</v>
      </c>
    </row>
    <row r="65" spans="1:49" ht="19.5">
      <c r="A65" s="67">
        <f t="shared" si="9"/>
        <v>0</v>
      </c>
      <c r="B65" s="67">
        <f t="shared" si="10"/>
        <v>0</v>
      </c>
      <c r="C65" s="70" t="str">
        <f>IF(VLOOKUP(B65,'x Malzemeler ve Özellikleri'!$B$2:$M$136,12,0)="ALÜMİNYUM",'1PROJE'!$H$8,"")</f>
        <v/>
      </c>
      <c r="D65" s="67">
        <f t="shared" si="11"/>
        <v>0</v>
      </c>
      <c r="E65" s="69" t="e">
        <f>HLOOKUP(B65,xHesaplama!$AH$26:$FH$66,23,0)</f>
        <v>#N/A</v>
      </c>
      <c r="F65" s="76">
        <f t="shared" si="7"/>
        <v>0</v>
      </c>
      <c r="G65" s="70">
        <f t="shared" si="12"/>
        <v>0</v>
      </c>
      <c r="H65" s="69" t="str">
        <f t="shared" si="8"/>
        <v/>
      </c>
      <c r="I65" s="145">
        <v>0</v>
      </c>
      <c r="J65" s="619"/>
      <c r="K65" s="81">
        <f>IFERROR(VLOOKUP(B65,'x Malzemeler ve Özellikleri'!$O$1:$Q$181,3,0)*F65,0)</f>
        <v>0</v>
      </c>
      <c r="AW65" s="85">
        <f>VLOOKUP(AY65,'x Malzemeler ve Özellikleri'!B:C,2,0)</f>
        <v>0</v>
      </c>
    </row>
    <row r="66" spans="1:49" ht="19.5">
      <c r="A66" s="67">
        <f t="shared" si="9"/>
        <v>0</v>
      </c>
      <c r="B66" s="67">
        <f t="shared" si="10"/>
        <v>0</v>
      </c>
      <c r="C66" s="70" t="str">
        <f>IF(VLOOKUP(B66,'x Malzemeler ve Özellikleri'!$B$2:$M$136,12,0)="ALÜMİNYUM",'1PROJE'!$H$8,"")</f>
        <v/>
      </c>
      <c r="D66" s="67">
        <f t="shared" si="11"/>
        <v>0</v>
      </c>
      <c r="E66" s="69" t="e">
        <f>HLOOKUP(B66,xHesaplama!$AH$26:$FH$66,23,0)</f>
        <v>#N/A</v>
      </c>
      <c r="F66" s="76">
        <f t="shared" si="7"/>
        <v>0</v>
      </c>
      <c r="G66" s="70">
        <f t="shared" si="12"/>
        <v>0</v>
      </c>
      <c r="H66" s="69" t="str">
        <f t="shared" si="8"/>
        <v/>
      </c>
      <c r="I66" s="145">
        <v>0</v>
      </c>
      <c r="J66" s="619"/>
      <c r="K66" s="81">
        <f>IFERROR(VLOOKUP(B66,'x Malzemeler ve Özellikleri'!$O$1:$Q$181,3,0)*F66,0)</f>
        <v>0</v>
      </c>
      <c r="AW66" s="85">
        <f>VLOOKUP(AY66,'x Malzemeler ve Özellikleri'!B:C,2,0)</f>
        <v>0</v>
      </c>
    </row>
    <row r="67" spans="1:49" ht="19.5">
      <c r="A67" s="67">
        <f t="shared" si="9"/>
        <v>0</v>
      </c>
      <c r="B67" s="67">
        <f t="shared" si="10"/>
        <v>0</v>
      </c>
      <c r="C67" s="70" t="str">
        <f>IF(VLOOKUP(B67,'x Malzemeler ve Özellikleri'!$B$2:$M$136,12,0)="ALÜMİNYUM",'1PROJE'!$H$8,"")</f>
        <v/>
      </c>
      <c r="D67" s="67">
        <f t="shared" si="11"/>
        <v>0</v>
      </c>
      <c r="E67" s="69" t="e">
        <f>HLOOKUP(B67,xHesaplama!$AH$26:$FH$66,23,0)</f>
        <v>#N/A</v>
      </c>
      <c r="F67" s="76">
        <f t="shared" si="7"/>
        <v>0</v>
      </c>
      <c r="G67" s="70">
        <f t="shared" si="12"/>
        <v>0</v>
      </c>
      <c r="H67" s="69" t="str">
        <f t="shared" si="8"/>
        <v/>
      </c>
      <c r="I67" s="145">
        <v>0</v>
      </c>
      <c r="J67" s="619"/>
      <c r="K67" s="81">
        <f>IFERROR(VLOOKUP(B67,'x Malzemeler ve Özellikleri'!$O$1:$Q$181,3,0)*F67,0)</f>
        <v>0</v>
      </c>
      <c r="AW67" s="85">
        <f>VLOOKUP(AY67,'x Malzemeler ve Özellikleri'!B:C,2,0)</f>
        <v>0</v>
      </c>
    </row>
    <row r="68" spans="1:49" ht="19.5">
      <c r="A68" s="67">
        <f t="shared" si="9"/>
        <v>0</v>
      </c>
      <c r="B68" s="67">
        <f t="shared" si="10"/>
        <v>0</v>
      </c>
      <c r="C68" s="70" t="str">
        <f>IF(VLOOKUP(B68,'x Malzemeler ve Özellikleri'!$B$2:$M$136,12,0)="ALÜMİNYUM",'1PROJE'!$H$8,"")</f>
        <v/>
      </c>
      <c r="D68" s="67">
        <f t="shared" si="11"/>
        <v>0</v>
      </c>
      <c r="E68" s="69" t="e">
        <f>HLOOKUP(B68,xHesaplama!$AH$26:$FH$66,23,0)</f>
        <v>#N/A</v>
      </c>
      <c r="F68" s="76">
        <f t="shared" si="7"/>
        <v>0</v>
      </c>
      <c r="G68" s="70">
        <f t="shared" si="12"/>
        <v>0</v>
      </c>
      <c r="H68" s="69" t="str">
        <f t="shared" si="8"/>
        <v/>
      </c>
      <c r="I68" s="145">
        <v>0</v>
      </c>
      <c r="J68" s="619"/>
      <c r="K68" s="81">
        <f>IFERROR(VLOOKUP(B68,'x Malzemeler ve Özellikleri'!$O$1:$Q$181,3,0)*F68,0)</f>
        <v>0</v>
      </c>
      <c r="AW68" s="85">
        <f>VLOOKUP(AY68,'x Malzemeler ve Özellikleri'!B:C,2,0)</f>
        <v>0</v>
      </c>
    </row>
    <row r="69" spans="1:49" ht="19.5">
      <c r="A69" s="67">
        <f t="shared" si="9"/>
        <v>0</v>
      </c>
      <c r="B69" s="67">
        <f t="shared" si="10"/>
        <v>0</v>
      </c>
      <c r="C69" s="70" t="str">
        <f>IF(VLOOKUP(B69,'x Malzemeler ve Özellikleri'!$B$2:$M$136,12,0)="ALÜMİNYUM",'1PROJE'!$H$8,"")</f>
        <v/>
      </c>
      <c r="D69" s="67">
        <f t="shared" si="11"/>
        <v>0</v>
      </c>
      <c r="E69" s="69" t="e">
        <f>HLOOKUP(B69,xHesaplama!$AH$26:$FH$66,23,0)</f>
        <v>#N/A</v>
      </c>
      <c r="F69" s="76">
        <f t="shared" si="7"/>
        <v>0</v>
      </c>
      <c r="G69" s="70">
        <f t="shared" si="12"/>
        <v>0</v>
      </c>
      <c r="H69" s="69" t="str">
        <f t="shared" si="8"/>
        <v/>
      </c>
      <c r="I69" s="145">
        <v>0</v>
      </c>
      <c r="J69" s="619"/>
      <c r="K69" s="81">
        <f>IFERROR(VLOOKUP(B69,'x Malzemeler ve Özellikleri'!$O$1:$Q$181,3,0)*F69,0)</f>
        <v>0</v>
      </c>
      <c r="AW69" s="85">
        <f>VLOOKUP(AY69,'x Malzemeler ve Özellikleri'!B:C,2,0)</f>
        <v>0</v>
      </c>
    </row>
    <row r="70" spans="1:49" ht="19.5">
      <c r="A70" s="67">
        <f t="shared" si="9"/>
        <v>0</v>
      </c>
      <c r="B70" s="67">
        <f t="shared" si="10"/>
        <v>0</v>
      </c>
      <c r="C70" s="70" t="str">
        <f>IF(VLOOKUP(B70,'x Malzemeler ve Özellikleri'!$B$2:$M$136,12,0)="ALÜMİNYUM",'1PROJE'!$H$8,"")</f>
        <v/>
      </c>
      <c r="D70" s="67">
        <f t="shared" si="11"/>
        <v>0</v>
      </c>
      <c r="E70" s="69" t="e">
        <f>HLOOKUP(B70,xHesaplama!$AH$26:$FH$66,23,0)</f>
        <v>#N/A</v>
      </c>
      <c r="F70" s="76">
        <f t="shared" si="7"/>
        <v>0</v>
      </c>
      <c r="G70" s="70">
        <f t="shared" si="12"/>
        <v>0</v>
      </c>
      <c r="H70" s="69" t="str">
        <f t="shared" si="8"/>
        <v/>
      </c>
      <c r="I70" s="145">
        <v>0</v>
      </c>
      <c r="J70" s="619"/>
      <c r="K70" s="81">
        <f>IFERROR(VLOOKUP(B70,'x Malzemeler ve Özellikleri'!$O$1:$Q$181,3,0)*F70,0)</f>
        <v>0</v>
      </c>
      <c r="AW70" s="85">
        <f>VLOOKUP(AY70,'x Malzemeler ve Özellikleri'!B:C,2,0)</f>
        <v>0</v>
      </c>
    </row>
    <row r="71" spans="1:49" ht="19.5">
      <c r="A71" s="67">
        <f t="shared" si="9"/>
        <v>0</v>
      </c>
      <c r="B71" s="67">
        <f t="shared" si="10"/>
        <v>0</v>
      </c>
      <c r="C71" s="70" t="str">
        <f>IF(VLOOKUP(B71,'x Malzemeler ve Özellikleri'!$B$2:$M$136,12,0)="ALÜMİNYUM",'1PROJE'!$H$8,"")</f>
        <v/>
      </c>
      <c r="D71" s="67">
        <f t="shared" si="11"/>
        <v>0</v>
      </c>
      <c r="E71" s="69" t="e">
        <f>HLOOKUP(B71,xHesaplama!$AH$26:$FH$66,23,0)</f>
        <v>#N/A</v>
      </c>
      <c r="F71" s="76">
        <f t="shared" si="7"/>
        <v>0</v>
      </c>
      <c r="G71" s="70">
        <f t="shared" si="12"/>
        <v>0</v>
      </c>
      <c r="H71" s="69" t="str">
        <f t="shared" si="8"/>
        <v/>
      </c>
      <c r="I71" s="145">
        <v>0</v>
      </c>
      <c r="J71" s="619"/>
      <c r="K71" s="81">
        <f>IFERROR(VLOOKUP(B71,'x Malzemeler ve Özellikleri'!$O$1:$Q$181,3,0)*F71,0)</f>
        <v>0</v>
      </c>
      <c r="AW71" s="85">
        <f>VLOOKUP(AY71,'x Malzemeler ve Özellikleri'!B:C,2,0)</f>
        <v>0</v>
      </c>
    </row>
    <row r="72" spans="1:49" ht="19.5">
      <c r="A72" s="67">
        <f t="shared" si="9"/>
        <v>0</v>
      </c>
      <c r="B72" s="67">
        <f t="shared" si="10"/>
        <v>0</v>
      </c>
      <c r="C72" s="70" t="str">
        <f>IF(VLOOKUP(B72,'x Malzemeler ve Özellikleri'!$B$2:$M$136,12,0)="ALÜMİNYUM",'1PROJE'!$H$8,"")</f>
        <v/>
      </c>
      <c r="D72" s="67">
        <f t="shared" si="11"/>
        <v>0</v>
      </c>
      <c r="E72" s="69" t="e">
        <f>HLOOKUP(B72,xHesaplama!$AH$26:$FH$66,23,0)</f>
        <v>#N/A</v>
      </c>
      <c r="F72" s="76">
        <f t="shared" si="7"/>
        <v>0</v>
      </c>
      <c r="G72" s="70">
        <f t="shared" si="12"/>
        <v>0</v>
      </c>
      <c r="H72" s="69" t="str">
        <f t="shared" si="8"/>
        <v/>
      </c>
      <c r="I72" s="145">
        <v>0</v>
      </c>
      <c r="J72" s="619"/>
      <c r="K72" s="81">
        <f>IFERROR(VLOOKUP(B72,'x Malzemeler ve Özellikleri'!$O$1:$Q$181,3,0)*F72,0)</f>
        <v>0</v>
      </c>
      <c r="AW72" s="85">
        <f>VLOOKUP(AY72,'x Malzemeler ve Özellikleri'!B:C,2,0)</f>
        <v>0</v>
      </c>
    </row>
    <row r="73" spans="1:49" ht="19.5">
      <c r="A73" s="67">
        <f t="shared" si="9"/>
        <v>0</v>
      </c>
      <c r="B73" s="67">
        <f t="shared" si="10"/>
        <v>0</v>
      </c>
      <c r="C73" s="70" t="str">
        <f>IF(VLOOKUP(B73,'x Malzemeler ve Özellikleri'!$B$2:$M$136,12,0)="ALÜMİNYUM",'1PROJE'!$H$8,"")</f>
        <v/>
      </c>
      <c r="D73" s="67">
        <f t="shared" si="11"/>
        <v>0</v>
      </c>
      <c r="E73" s="69" t="e">
        <f>HLOOKUP(B73,xHesaplama!$AH$26:$FH$66,23,0)</f>
        <v>#N/A</v>
      </c>
      <c r="F73" s="76">
        <f t="shared" si="7"/>
        <v>0</v>
      </c>
      <c r="G73" s="70">
        <f t="shared" si="12"/>
        <v>0</v>
      </c>
      <c r="H73" s="69" t="str">
        <f t="shared" si="8"/>
        <v/>
      </c>
      <c r="I73" s="145">
        <v>0</v>
      </c>
      <c r="J73" s="619"/>
      <c r="K73" s="81">
        <f>IFERROR(VLOOKUP(B73,'x Malzemeler ve Özellikleri'!$O$1:$Q$181,3,0)*F73,0)</f>
        <v>0</v>
      </c>
      <c r="AW73" s="85">
        <f>VLOOKUP(AY73,'x Malzemeler ve Özellikleri'!B:C,2,0)</f>
        <v>0</v>
      </c>
    </row>
    <row r="74" spans="1:49" ht="19.5">
      <c r="A74" s="67">
        <f t="shared" si="9"/>
        <v>0</v>
      </c>
      <c r="B74" s="67">
        <f t="shared" si="10"/>
        <v>0</v>
      </c>
      <c r="C74" s="70" t="str">
        <f>IF(VLOOKUP(B74,'x Malzemeler ve Özellikleri'!$B$2:$M$136,12,0)="ALÜMİNYUM",'1PROJE'!$H$8,"")</f>
        <v/>
      </c>
      <c r="D74" s="67">
        <f t="shared" si="11"/>
        <v>0</v>
      </c>
      <c r="E74" s="69" t="e">
        <f>HLOOKUP(B74,xHesaplama!$AH$26:$FH$66,23,0)</f>
        <v>#N/A</v>
      </c>
      <c r="F74" s="76">
        <f t="shared" si="7"/>
        <v>0</v>
      </c>
      <c r="G74" s="70">
        <f t="shared" si="12"/>
        <v>0</v>
      </c>
      <c r="H74" s="69" t="str">
        <f t="shared" si="8"/>
        <v/>
      </c>
      <c r="I74" s="145">
        <v>0</v>
      </c>
      <c r="J74" s="619"/>
      <c r="K74" s="81">
        <f>IFERROR(VLOOKUP(B74,'x Malzemeler ve Özellikleri'!$O$1:$Q$181,3,0)*F74,0)</f>
        <v>0</v>
      </c>
      <c r="AW74" s="85">
        <f>VLOOKUP(AY74,'x Malzemeler ve Özellikleri'!B:C,2,0)</f>
        <v>0</v>
      </c>
    </row>
    <row r="75" spans="1:49" ht="19.5">
      <c r="A75" s="67">
        <f t="shared" si="9"/>
        <v>0</v>
      </c>
      <c r="B75" s="67">
        <f t="shared" si="10"/>
        <v>0</v>
      </c>
      <c r="C75" s="70" t="str">
        <f>IF(VLOOKUP(B75,'x Malzemeler ve Özellikleri'!$B$2:$M$136,12,0)="ALÜMİNYUM",'1PROJE'!$H$8,"")</f>
        <v/>
      </c>
      <c r="D75" s="67">
        <f t="shared" si="11"/>
        <v>0</v>
      </c>
      <c r="E75" s="69" t="e">
        <f>HLOOKUP(B75,xHesaplama!$AH$26:$FH$66,23,0)</f>
        <v>#N/A</v>
      </c>
      <c r="F75" s="76">
        <f t="shared" si="7"/>
        <v>0</v>
      </c>
      <c r="G75" s="70">
        <f t="shared" si="12"/>
        <v>0</v>
      </c>
      <c r="H75" s="69" t="str">
        <f t="shared" si="8"/>
        <v/>
      </c>
      <c r="I75" s="145">
        <v>0</v>
      </c>
      <c r="J75" s="619"/>
      <c r="K75" s="81">
        <f>IFERROR(VLOOKUP(B75,'x Malzemeler ve Özellikleri'!$O$1:$Q$181,3,0)*F75,0)</f>
        <v>0</v>
      </c>
      <c r="AW75" s="85">
        <f>VLOOKUP(AY75,'x Malzemeler ve Özellikleri'!B:C,2,0)</f>
        <v>0</v>
      </c>
    </row>
    <row r="76" spans="1:49" ht="19.5">
      <c r="A76" s="67">
        <f t="shared" si="9"/>
        <v>0</v>
      </c>
      <c r="B76" s="67">
        <f t="shared" si="10"/>
        <v>0</v>
      </c>
      <c r="C76" s="70" t="str">
        <f>IF(VLOOKUP(B76,'x Malzemeler ve Özellikleri'!$B$2:$M$136,12,0)="ALÜMİNYUM",'1PROJE'!$H$8,"")</f>
        <v/>
      </c>
      <c r="D76" s="67">
        <f t="shared" si="11"/>
        <v>0</v>
      </c>
      <c r="E76" s="69" t="e">
        <f>HLOOKUP(B76,xHesaplama!$AH$26:$FH$66,23,0)</f>
        <v>#N/A</v>
      </c>
      <c r="F76" s="76">
        <f t="shared" si="7"/>
        <v>0</v>
      </c>
      <c r="G76" s="70">
        <f t="shared" si="12"/>
        <v>0</v>
      </c>
      <c r="H76" s="69" t="str">
        <f t="shared" si="8"/>
        <v/>
      </c>
      <c r="I76" s="145">
        <v>0</v>
      </c>
      <c r="J76" s="619"/>
      <c r="K76" s="81">
        <f>IFERROR(VLOOKUP(B76,'x Malzemeler ve Özellikleri'!$O$1:$Q$181,3,0)*F76,0)</f>
        <v>0</v>
      </c>
      <c r="AW76" s="85">
        <f>VLOOKUP(AY76,'x Malzemeler ve Özellikleri'!B:C,2,0)</f>
        <v>0</v>
      </c>
    </row>
    <row r="77" spans="1:49" ht="19.5">
      <c r="A77" s="67">
        <f t="shared" si="9"/>
        <v>0</v>
      </c>
      <c r="B77" s="67">
        <f t="shared" si="10"/>
        <v>0</v>
      </c>
      <c r="C77" s="70" t="str">
        <f>IF(VLOOKUP(B77,'x Malzemeler ve Özellikleri'!$B$2:$M$136,12,0)="ALÜMİNYUM",'1PROJE'!$H$8,"")</f>
        <v/>
      </c>
      <c r="D77" s="67">
        <f t="shared" si="11"/>
        <v>0</v>
      </c>
      <c r="E77" s="69" t="e">
        <f>HLOOKUP(B77,xHesaplama!$AH$26:$FH$66,23,0)</f>
        <v>#N/A</v>
      </c>
      <c r="F77" s="76">
        <f t="shared" si="7"/>
        <v>0</v>
      </c>
      <c r="G77" s="70">
        <f t="shared" si="12"/>
        <v>0</v>
      </c>
      <c r="H77" s="69" t="str">
        <f t="shared" si="8"/>
        <v/>
      </c>
      <c r="I77" s="145">
        <v>0</v>
      </c>
      <c r="J77" s="619"/>
      <c r="K77" s="81">
        <f>IFERROR(VLOOKUP(B77,'x Malzemeler ve Özellikleri'!$O$1:$Q$181,3,0)*F77,0)</f>
        <v>0</v>
      </c>
      <c r="AW77" s="85">
        <f>VLOOKUP(AY77,'x Malzemeler ve Özellikleri'!B:C,2,0)</f>
        <v>0</v>
      </c>
    </row>
    <row r="78" spans="1:49" ht="19.5">
      <c r="A78" s="67">
        <f t="shared" si="9"/>
        <v>0</v>
      </c>
      <c r="B78" s="67">
        <f t="shared" si="10"/>
        <v>0</v>
      </c>
      <c r="C78" s="70" t="str">
        <f>IF(VLOOKUP(B78,'x Malzemeler ve Özellikleri'!$B$2:$M$136,12,0)="ALÜMİNYUM",'1PROJE'!$H$8,"")</f>
        <v/>
      </c>
      <c r="D78" s="67">
        <f t="shared" si="11"/>
        <v>0</v>
      </c>
      <c r="E78" s="69" t="e">
        <f>HLOOKUP(B78,xHesaplama!$AH$26:$FH$66,23,0)</f>
        <v>#N/A</v>
      </c>
      <c r="F78" s="76">
        <f t="shared" si="7"/>
        <v>0</v>
      </c>
      <c r="G78" s="70">
        <f t="shared" si="12"/>
        <v>0</v>
      </c>
      <c r="H78" s="69" t="str">
        <f t="shared" si="8"/>
        <v/>
      </c>
      <c r="I78" s="145">
        <v>0</v>
      </c>
      <c r="J78" s="619"/>
      <c r="K78" s="81">
        <f>IFERROR(VLOOKUP(B78,'x Malzemeler ve Özellikleri'!$O$1:$Q$181,3,0)*F78,0)</f>
        <v>0</v>
      </c>
      <c r="AW78" s="85">
        <f>VLOOKUP(AY78,'x Malzemeler ve Özellikleri'!B:C,2,0)</f>
        <v>0</v>
      </c>
    </row>
    <row r="79" spans="1:49" ht="19.5">
      <c r="A79" s="67">
        <f t="shared" si="9"/>
        <v>0</v>
      </c>
      <c r="B79" s="67">
        <f t="shared" si="10"/>
        <v>0</v>
      </c>
      <c r="C79" s="70" t="str">
        <f>IF(VLOOKUP(B79,'x Malzemeler ve Özellikleri'!$B$2:$M$136,12,0)="ALÜMİNYUM",'1PROJE'!$H$8,"")</f>
        <v/>
      </c>
      <c r="D79" s="67">
        <f t="shared" si="11"/>
        <v>0</v>
      </c>
      <c r="E79" s="69" t="e">
        <f>HLOOKUP(B79,xHesaplama!$AH$26:$FH$66,23,0)</f>
        <v>#N/A</v>
      </c>
      <c r="F79" s="76">
        <f t="shared" si="7"/>
        <v>0</v>
      </c>
      <c r="G79" s="70">
        <f t="shared" si="12"/>
        <v>0</v>
      </c>
      <c r="H79" s="69" t="str">
        <f t="shared" si="8"/>
        <v/>
      </c>
      <c r="I79" s="145">
        <v>0</v>
      </c>
      <c r="J79" s="619"/>
      <c r="K79" s="81">
        <f>IFERROR(VLOOKUP(B79,'x Malzemeler ve Özellikleri'!$O$1:$Q$181,3,0)*F79,0)</f>
        <v>0</v>
      </c>
      <c r="AW79" s="85">
        <f>VLOOKUP(AY79,'x Malzemeler ve Özellikleri'!B:C,2,0)</f>
        <v>0</v>
      </c>
    </row>
    <row r="80" spans="1:49" ht="19.5">
      <c r="A80" s="67">
        <f t="shared" si="9"/>
        <v>0</v>
      </c>
      <c r="B80" s="67">
        <f t="shared" si="10"/>
        <v>0</v>
      </c>
      <c r="C80" s="70" t="str">
        <f>IF(VLOOKUP(B80,'x Malzemeler ve Özellikleri'!$B$2:$M$136,12,0)="ALÜMİNYUM",'1PROJE'!$H$8,"")</f>
        <v/>
      </c>
      <c r="D80" s="67">
        <f t="shared" si="11"/>
        <v>0</v>
      </c>
      <c r="E80" s="69" t="e">
        <f>HLOOKUP(B80,xHesaplama!$AH$26:$FH$66,23,0)</f>
        <v>#N/A</v>
      </c>
      <c r="F80" s="76">
        <f t="shared" si="7"/>
        <v>0</v>
      </c>
      <c r="G80" s="70">
        <f t="shared" si="12"/>
        <v>0</v>
      </c>
      <c r="H80" s="69" t="str">
        <f t="shared" si="8"/>
        <v/>
      </c>
      <c r="I80" s="145">
        <v>0</v>
      </c>
      <c r="J80" s="619"/>
      <c r="K80" s="81">
        <f>IFERROR(VLOOKUP(B80,'x Malzemeler ve Özellikleri'!$O$1:$Q$181,3,0)*F80,0)</f>
        <v>0</v>
      </c>
      <c r="AW80" s="85">
        <f>VLOOKUP(AY80,'x Malzemeler ve Özellikleri'!B:C,2,0)</f>
        <v>0</v>
      </c>
    </row>
    <row r="81" spans="1:49" ht="19.5">
      <c r="A81" s="67">
        <f t="shared" si="9"/>
        <v>0</v>
      </c>
      <c r="B81" s="67">
        <f t="shared" si="10"/>
        <v>0</v>
      </c>
      <c r="C81" s="70" t="str">
        <f>IF(VLOOKUP(B81,'x Malzemeler ve Özellikleri'!$B$2:$M$136,12,0)="ALÜMİNYUM",'1PROJE'!$H$8,"")</f>
        <v/>
      </c>
      <c r="D81" s="67">
        <f t="shared" si="11"/>
        <v>0</v>
      </c>
      <c r="E81" s="69" t="e">
        <f>HLOOKUP(B81,xHesaplama!$AH$26:$FH$66,23,0)</f>
        <v>#N/A</v>
      </c>
      <c r="F81" s="76">
        <f t="shared" si="7"/>
        <v>0</v>
      </c>
      <c r="G81" s="70">
        <f t="shared" si="12"/>
        <v>0</v>
      </c>
      <c r="H81" s="69" t="str">
        <f t="shared" si="8"/>
        <v/>
      </c>
      <c r="I81" s="145">
        <v>0</v>
      </c>
      <c r="J81" s="619"/>
      <c r="K81" s="81">
        <f>IFERROR(VLOOKUP(B81,'x Malzemeler ve Özellikleri'!$O$1:$Q$181,3,0)*F81,0)</f>
        <v>0</v>
      </c>
      <c r="AW81" s="85">
        <f>VLOOKUP(AY81,'x Malzemeler ve Özellikleri'!B:C,2,0)</f>
        <v>0</v>
      </c>
    </row>
    <row r="82" spans="1:49" ht="20.25" thickBot="1">
      <c r="A82" s="67">
        <f t="shared" si="9"/>
        <v>0</v>
      </c>
      <c r="B82" s="67">
        <f t="shared" si="10"/>
        <v>0</v>
      </c>
      <c r="C82" s="70" t="str">
        <f>IF(VLOOKUP(B82,'x Malzemeler ve Özellikleri'!$B$2:$M$136,12,0)="ALÜMİNYUM",'1PROJE'!$H$8,"")</f>
        <v/>
      </c>
      <c r="D82" s="67">
        <f t="shared" si="11"/>
        <v>0</v>
      </c>
      <c r="E82" s="69" t="e">
        <f>HLOOKUP(B82,xHesaplama!$AH$26:$FH$66,23,0)</f>
        <v>#N/A</v>
      </c>
      <c r="F82" s="76">
        <f t="shared" si="7"/>
        <v>0</v>
      </c>
      <c r="G82" s="70">
        <f t="shared" si="12"/>
        <v>0</v>
      </c>
      <c r="H82" s="69" t="str">
        <f t="shared" si="8"/>
        <v/>
      </c>
      <c r="I82" s="145">
        <v>0</v>
      </c>
      <c r="J82" s="620"/>
      <c r="K82" s="81">
        <f>IFERROR(VLOOKUP(B82,'x Malzemeler ve Özellikleri'!$O$1:$Q$181,3,0)*F82,0)</f>
        <v>0</v>
      </c>
      <c r="AW82" s="85">
        <f>VLOOKUP(AY82,'x Malzemeler ve Özellikleri'!B:C,2,0)</f>
        <v>0</v>
      </c>
    </row>
    <row r="83" spans="1:49" ht="30" thickBot="1">
      <c r="A83" s="64" t="str">
        <f>"POZ"&amp;" "&amp;J84</f>
        <v>POZ 3</v>
      </c>
      <c r="C83" s="243">
        <f>xHesaplama!C29</f>
        <v>0</v>
      </c>
      <c r="D83" s="64" t="s">
        <v>357</v>
      </c>
      <c r="F83" s="74"/>
      <c r="G83" s="72" t="s">
        <v>786</v>
      </c>
      <c r="H83" s="65"/>
      <c r="I83" s="71">
        <f>SUM(H85:H123)</f>
        <v>0</v>
      </c>
      <c r="L83" t="str" cm="1">
        <f t="array" ref="L83:AJ83">_xlfn._xlws.FILTER(REÇETE!$D$11:$AB$142,REÇETE!$K$11:$K$142&lt;&gt;"","")</f>
        <v>EXCEL KODU</v>
      </c>
      <c r="M83" t="str">
        <v>PARÇA BİRİM</v>
      </c>
      <c r="N83" t="str">
        <v>PARÇA ADI</v>
      </c>
      <c r="O83" t="str">
        <v>MALZEME KODU</v>
      </c>
      <c r="P83" t="str">
        <v>BİRİM FİYAT</v>
      </c>
      <c r="Q83" t="str">
        <v>POZ 1</v>
      </c>
      <c r="R83" t="str">
        <v>POZ 2</v>
      </c>
      <c r="S83" t="str">
        <v>POZ 3</v>
      </c>
      <c r="T83" t="str">
        <v>POZ 4</v>
      </c>
      <c r="U83" t="str">
        <v>POZ 5</v>
      </c>
      <c r="V83" t="str">
        <v>POZ 6</v>
      </c>
      <c r="W83" t="str">
        <v>POZ 7</v>
      </c>
      <c r="X83" t="str">
        <v>POZ 8</v>
      </c>
      <c r="Y83" t="str">
        <v>POZ 9</v>
      </c>
      <c r="Z83" t="str">
        <v>POZ 10</v>
      </c>
      <c r="AA83" t="str">
        <v>POZ 11</v>
      </c>
      <c r="AB83" t="str">
        <v>POZ 12</v>
      </c>
      <c r="AC83" t="str">
        <v>POZ 13</v>
      </c>
      <c r="AD83" t="str">
        <v>POZ 14</v>
      </c>
      <c r="AE83" t="str">
        <v>POZ 15</v>
      </c>
      <c r="AF83" t="str">
        <v>POZ 16</v>
      </c>
      <c r="AG83" t="str">
        <v>POZ 17</v>
      </c>
      <c r="AH83" t="str">
        <v>POZ 18</v>
      </c>
      <c r="AI83" t="str">
        <v>POZ 19</v>
      </c>
      <c r="AJ83" t="str">
        <v>POZ 20</v>
      </c>
      <c r="AW83" s="85">
        <f>VLOOKUP(AY83,'x Malzemeler ve Özellikleri'!B:C,2,0)</f>
        <v>0</v>
      </c>
    </row>
    <row r="84" spans="1:49">
      <c r="A84" s="66" t="s">
        <v>782</v>
      </c>
      <c r="B84" s="66" t="s">
        <v>409</v>
      </c>
      <c r="C84" s="68"/>
      <c r="D84" s="66" t="s">
        <v>15</v>
      </c>
      <c r="E84" s="68" t="s">
        <v>808</v>
      </c>
      <c r="F84" s="75" t="s">
        <v>785</v>
      </c>
      <c r="G84" s="68" t="s">
        <v>650</v>
      </c>
      <c r="H84" s="68" t="s">
        <v>355</v>
      </c>
      <c r="J84" s="618">
        <v>3</v>
      </c>
      <c r="K84" s="221">
        <f>SUM(K85:K123)</f>
        <v>0</v>
      </c>
      <c r="AW84" s="85">
        <f>VLOOKUP(AY84,'x Malzemeler ve Özellikleri'!B:C,2,0)</f>
        <v>0</v>
      </c>
    </row>
    <row r="85" spans="1:49" ht="19.5">
      <c r="A85" s="67">
        <f>xHesaplama!H29</f>
        <v>0</v>
      </c>
      <c r="B85" s="67"/>
      <c r="C85" s="70">
        <f>xHesaplama!I29</f>
        <v>0</v>
      </c>
      <c r="D85" s="67">
        <f>xHesaplama!I29</f>
        <v>0</v>
      </c>
      <c r="E85" s="69" t="e">
        <f>xHesaplama!AC29</f>
        <v>#N/A</v>
      </c>
      <c r="F85" s="76">
        <f>xHesaplama!AD29*C83</f>
        <v>0</v>
      </c>
      <c r="G85" s="70" t="s">
        <v>817</v>
      </c>
      <c r="H85" s="69">
        <f t="shared" ref="H85:H86" si="13">IFERROR(E85*F85,0)</f>
        <v>0</v>
      </c>
      <c r="I85" s="145">
        <v>0</v>
      </c>
      <c r="J85" s="619"/>
      <c r="K85" s="81">
        <f>IFERROR(VLOOKUP(A85,'x Malzemeler ve Özellikleri'!$N$1:$Q$181,4,0)*F85,0)</f>
        <v>0</v>
      </c>
      <c r="AN85" s="84" cm="1">
        <f t="array" ref="AN85">_xlfn._xlws.FILTER(A85:I123,I85:I123,0)</f>
        <v>0</v>
      </c>
      <c r="AW85" s="85">
        <f>VLOOKUP(AY85,'x Malzemeler ve Özellikleri'!B:C,2,0)</f>
        <v>0</v>
      </c>
    </row>
    <row r="86" spans="1:49" ht="19.5">
      <c r="A86" s="67" t="s">
        <v>105</v>
      </c>
      <c r="B86" s="67"/>
      <c r="C86" s="70"/>
      <c r="D86" s="67">
        <f>xHesaplama!J29</f>
        <v>0</v>
      </c>
      <c r="E86" s="69" t="e">
        <f>xHesaplama!AB29</f>
        <v>#N/A</v>
      </c>
      <c r="F86" s="76">
        <f>C83</f>
        <v>0</v>
      </c>
      <c r="G86" s="70" t="s">
        <v>357</v>
      </c>
      <c r="H86" s="69">
        <f t="shared" si="13"/>
        <v>0</v>
      </c>
      <c r="I86" s="145">
        <v>0</v>
      </c>
      <c r="J86" s="619"/>
      <c r="K86" s="81">
        <f>IFERROR(VLOOKUP(D86,'x Malzemeler ve Özellikleri'!$N$1:$Q$181,4,0)*F86,0)</f>
        <v>0</v>
      </c>
      <c r="AW86" s="85">
        <f>VLOOKUP(AY86,'x Malzemeler ve Özellikleri'!B:C,2,0)</f>
        <v>0</v>
      </c>
    </row>
    <row r="87" spans="1:49" ht="19.5">
      <c r="A87" s="67">
        <f>N84</f>
        <v>0</v>
      </c>
      <c r="B87" s="67">
        <f>L84</f>
        <v>0</v>
      </c>
      <c r="C87" s="70" t="str">
        <f>IF(VLOOKUP(B87,'x Malzemeler ve Özellikleri'!$B$2:$M$136,12,0)="ALÜMİNYUM",'1PROJE'!$H$9,"")</f>
        <v/>
      </c>
      <c r="D87" s="67">
        <f>O84</f>
        <v>0</v>
      </c>
      <c r="E87" s="69" t="e">
        <f>HLOOKUP(B87,xHesaplama!$AH$26:$FH$66,24,0)</f>
        <v>#N/A</v>
      </c>
      <c r="F87" s="76">
        <f t="shared" ref="F87:F123" si="14">S84*$C$83</f>
        <v>0</v>
      </c>
      <c r="G87" s="70">
        <f>M84</f>
        <v>0</v>
      </c>
      <c r="H87" s="69" t="str">
        <f t="shared" ref="H87:H123" si="15">IFERROR(E87*$C$83,"")</f>
        <v/>
      </c>
      <c r="I87" s="145">
        <v>0</v>
      </c>
      <c r="J87" s="619"/>
      <c r="K87" s="81">
        <f>IFERROR(VLOOKUP(B87,'x Malzemeler ve Özellikleri'!$O$1:$Q$181,3,0)*F87,0)</f>
        <v>0</v>
      </c>
      <c r="AW87" s="85">
        <f>VLOOKUP(AY87,'x Malzemeler ve Özellikleri'!B:C,2,0)</f>
        <v>0</v>
      </c>
    </row>
    <row r="88" spans="1:49" ht="19.5">
      <c r="A88" s="67">
        <f t="shared" ref="A88:A123" si="16">N85</f>
        <v>0</v>
      </c>
      <c r="B88" s="67">
        <f t="shared" ref="B88:B123" si="17">L85</f>
        <v>0</v>
      </c>
      <c r="C88" s="70" t="str">
        <f>IF(VLOOKUP(B88,'x Malzemeler ve Özellikleri'!$B$2:$M$136,12,0)="ALÜMİNYUM",'1PROJE'!$H$9,"")</f>
        <v/>
      </c>
      <c r="D88" s="67">
        <f t="shared" ref="D88:D123" si="18">O85</f>
        <v>0</v>
      </c>
      <c r="E88" s="69" t="e">
        <f>HLOOKUP(B88,xHesaplama!$AH$26:$FH$66,24,0)</f>
        <v>#N/A</v>
      </c>
      <c r="F88" s="76">
        <f t="shared" si="14"/>
        <v>0</v>
      </c>
      <c r="G88" s="70">
        <f t="shared" ref="G88:G123" si="19">M85</f>
        <v>0</v>
      </c>
      <c r="H88" s="69" t="str">
        <f t="shared" si="15"/>
        <v/>
      </c>
      <c r="I88" s="145">
        <v>0</v>
      </c>
      <c r="J88" s="619"/>
      <c r="K88" s="81">
        <f>IFERROR(VLOOKUP(B88,'x Malzemeler ve Özellikleri'!$O$1:$Q$181,3,0)*F88,0)</f>
        <v>0</v>
      </c>
      <c r="AW88" s="85">
        <f>VLOOKUP(AY88,'x Malzemeler ve Özellikleri'!B:C,2,0)</f>
        <v>0</v>
      </c>
    </row>
    <row r="89" spans="1:49" ht="19.5">
      <c r="A89" s="67">
        <f t="shared" si="16"/>
        <v>0</v>
      </c>
      <c r="B89" s="67">
        <f t="shared" si="17"/>
        <v>0</v>
      </c>
      <c r="C89" s="70" t="str">
        <f>IF(VLOOKUP(B89,'x Malzemeler ve Özellikleri'!$B$2:$M$136,12,0)="ALÜMİNYUM",'1PROJE'!$H$9,"")</f>
        <v/>
      </c>
      <c r="D89" s="67">
        <f t="shared" si="18"/>
        <v>0</v>
      </c>
      <c r="E89" s="69" t="e">
        <f>HLOOKUP(B89,xHesaplama!$AH$26:$FH$66,24,0)</f>
        <v>#N/A</v>
      </c>
      <c r="F89" s="76">
        <f t="shared" si="14"/>
        <v>0</v>
      </c>
      <c r="G89" s="70">
        <f t="shared" si="19"/>
        <v>0</v>
      </c>
      <c r="H89" s="69" t="str">
        <f t="shared" si="15"/>
        <v/>
      </c>
      <c r="I89" s="145">
        <v>0</v>
      </c>
      <c r="J89" s="619"/>
      <c r="K89" s="81">
        <f>IFERROR(VLOOKUP(B89,'x Malzemeler ve Özellikleri'!$O$1:$Q$181,3,0)*F89,0)</f>
        <v>0</v>
      </c>
      <c r="AW89" s="85">
        <f>VLOOKUP(AY89,'x Malzemeler ve Özellikleri'!B:C,2,0)</f>
        <v>0</v>
      </c>
    </row>
    <row r="90" spans="1:49" ht="19.5">
      <c r="A90" s="67">
        <f t="shared" si="16"/>
        <v>0</v>
      </c>
      <c r="B90" s="67">
        <f t="shared" si="17"/>
        <v>0</v>
      </c>
      <c r="C90" s="70" t="str">
        <f>IF(VLOOKUP(B90,'x Malzemeler ve Özellikleri'!$B$2:$M$136,12,0)="ALÜMİNYUM",'1PROJE'!$H$9,"")</f>
        <v/>
      </c>
      <c r="D90" s="67">
        <f t="shared" si="18"/>
        <v>0</v>
      </c>
      <c r="E90" s="69" t="e">
        <f>HLOOKUP(B90,xHesaplama!$AH$26:$FH$66,24,0)</f>
        <v>#N/A</v>
      </c>
      <c r="F90" s="76">
        <f t="shared" si="14"/>
        <v>0</v>
      </c>
      <c r="G90" s="70">
        <f t="shared" si="19"/>
        <v>0</v>
      </c>
      <c r="H90" s="69" t="str">
        <f t="shared" si="15"/>
        <v/>
      </c>
      <c r="I90" s="145">
        <v>0</v>
      </c>
      <c r="J90" s="619"/>
      <c r="K90" s="81">
        <f>IFERROR(VLOOKUP(B90,'x Malzemeler ve Özellikleri'!$O$1:$Q$181,3,0)*F90,0)</f>
        <v>0</v>
      </c>
      <c r="AW90" s="85">
        <f>VLOOKUP(AY90,'x Malzemeler ve Özellikleri'!B:C,2,0)</f>
        <v>0</v>
      </c>
    </row>
    <row r="91" spans="1:49" ht="19.5">
      <c r="A91" s="67">
        <f t="shared" si="16"/>
        <v>0</v>
      </c>
      <c r="B91" s="67">
        <f t="shared" si="17"/>
        <v>0</v>
      </c>
      <c r="C91" s="70" t="str">
        <f>IF(VLOOKUP(B91,'x Malzemeler ve Özellikleri'!$B$2:$M$136,12,0)="ALÜMİNYUM",'1PROJE'!$H$9,"")</f>
        <v/>
      </c>
      <c r="D91" s="67">
        <f t="shared" si="18"/>
        <v>0</v>
      </c>
      <c r="E91" s="69" t="e">
        <f>HLOOKUP(B91,xHesaplama!$AH$26:$FH$66,24,0)</f>
        <v>#N/A</v>
      </c>
      <c r="F91" s="76">
        <f t="shared" si="14"/>
        <v>0</v>
      </c>
      <c r="G91" s="70">
        <f t="shared" si="19"/>
        <v>0</v>
      </c>
      <c r="H91" s="69" t="str">
        <f t="shared" si="15"/>
        <v/>
      </c>
      <c r="I91" s="145">
        <v>0</v>
      </c>
      <c r="J91" s="619"/>
      <c r="K91" s="81">
        <f>IFERROR(VLOOKUP(B91,'x Malzemeler ve Özellikleri'!$O$1:$Q$181,3,0)*F91,0)</f>
        <v>0</v>
      </c>
      <c r="AW91" s="85">
        <f>VLOOKUP(AY91,'x Malzemeler ve Özellikleri'!B:C,2,0)</f>
        <v>0</v>
      </c>
    </row>
    <row r="92" spans="1:49" ht="19.5">
      <c r="A92" s="67">
        <f t="shared" si="16"/>
        <v>0</v>
      </c>
      <c r="B92" s="67">
        <f t="shared" si="17"/>
        <v>0</v>
      </c>
      <c r="C92" s="70" t="str">
        <f>IF(VLOOKUP(B92,'x Malzemeler ve Özellikleri'!$B$2:$M$136,12,0)="ALÜMİNYUM",'1PROJE'!$H$9,"")</f>
        <v/>
      </c>
      <c r="D92" s="67">
        <f t="shared" si="18"/>
        <v>0</v>
      </c>
      <c r="E92" s="69" t="e">
        <f>HLOOKUP(B92,xHesaplama!$AH$26:$FH$66,24,0)</f>
        <v>#N/A</v>
      </c>
      <c r="F92" s="76">
        <f t="shared" si="14"/>
        <v>0</v>
      </c>
      <c r="G92" s="70">
        <f t="shared" si="19"/>
        <v>0</v>
      </c>
      <c r="H92" s="69" t="str">
        <f t="shared" si="15"/>
        <v/>
      </c>
      <c r="I92" s="145">
        <v>0</v>
      </c>
      <c r="J92" s="619"/>
      <c r="K92" s="81">
        <f>IFERROR(VLOOKUP(B92,'x Malzemeler ve Özellikleri'!$O$1:$Q$181,3,0)*F92,0)</f>
        <v>0</v>
      </c>
      <c r="AW92" s="85">
        <f>VLOOKUP(AY92,'x Malzemeler ve Özellikleri'!B:C,2,0)</f>
        <v>0</v>
      </c>
    </row>
    <row r="93" spans="1:49" ht="19.5">
      <c r="A93" s="67">
        <f t="shared" si="16"/>
        <v>0</v>
      </c>
      <c r="B93" s="67">
        <f t="shared" si="17"/>
        <v>0</v>
      </c>
      <c r="C93" s="70" t="str">
        <f>IF(VLOOKUP(B93,'x Malzemeler ve Özellikleri'!$B$2:$M$136,12,0)="ALÜMİNYUM",'1PROJE'!$H$9,"")</f>
        <v/>
      </c>
      <c r="D93" s="67">
        <f t="shared" si="18"/>
        <v>0</v>
      </c>
      <c r="E93" s="69" t="e">
        <f>HLOOKUP(B93,xHesaplama!$AH$26:$FH$66,24,0)</f>
        <v>#N/A</v>
      </c>
      <c r="F93" s="76">
        <f t="shared" si="14"/>
        <v>0</v>
      </c>
      <c r="G93" s="70">
        <f t="shared" si="19"/>
        <v>0</v>
      </c>
      <c r="H93" s="69" t="str">
        <f t="shared" si="15"/>
        <v/>
      </c>
      <c r="I93" s="145">
        <v>0</v>
      </c>
      <c r="J93" s="619"/>
      <c r="K93" s="81">
        <f>IFERROR(VLOOKUP(B93,'x Malzemeler ve Özellikleri'!$O$1:$Q$181,3,0)*F93,0)</f>
        <v>0</v>
      </c>
      <c r="AW93" s="85">
        <f>VLOOKUP(AY93,'x Malzemeler ve Özellikleri'!B:C,2,0)</f>
        <v>0</v>
      </c>
    </row>
    <row r="94" spans="1:49" ht="19.5">
      <c r="A94" s="67">
        <f t="shared" si="16"/>
        <v>0</v>
      </c>
      <c r="B94" s="67">
        <f t="shared" si="17"/>
        <v>0</v>
      </c>
      <c r="C94" s="70" t="str">
        <f>IF(VLOOKUP(B94,'x Malzemeler ve Özellikleri'!$B$2:$M$136,12,0)="ALÜMİNYUM",'1PROJE'!$H$9,"")</f>
        <v/>
      </c>
      <c r="D94" s="67">
        <f t="shared" si="18"/>
        <v>0</v>
      </c>
      <c r="E94" s="69" t="e">
        <f>HLOOKUP(B94,xHesaplama!$AH$26:$FH$66,24,0)</f>
        <v>#N/A</v>
      </c>
      <c r="F94" s="76">
        <f t="shared" si="14"/>
        <v>0</v>
      </c>
      <c r="G94" s="70">
        <f t="shared" si="19"/>
        <v>0</v>
      </c>
      <c r="H94" s="69" t="str">
        <f t="shared" si="15"/>
        <v/>
      </c>
      <c r="I94" s="145">
        <v>0</v>
      </c>
      <c r="J94" s="619"/>
      <c r="K94" s="81">
        <f>IFERROR(VLOOKUP(B94,'x Malzemeler ve Özellikleri'!$O$1:$Q$181,3,0)*F94,0)</f>
        <v>0</v>
      </c>
      <c r="AW94" s="85">
        <f>VLOOKUP(AY94,'x Malzemeler ve Özellikleri'!B:C,2,0)</f>
        <v>0</v>
      </c>
    </row>
    <row r="95" spans="1:49" ht="19.5">
      <c r="A95" s="67">
        <f t="shared" si="16"/>
        <v>0</v>
      </c>
      <c r="B95" s="67">
        <f t="shared" si="17"/>
        <v>0</v>
      </c>
      <c r="C95" s="70" t="str">
        <f>IF(VLOOKUP(B95,'x Malzemeler ve Özellikleri'!$B$2:$M$136,12,0)="ALÜMİNYUM",'1PROJE'!$H$9,"")</f>
        <v/>
      </c>
      <c r="D95" s="67">
        <f t="shared" si="18"/>
        <v>0</v>
      </c>
      <c r="E95" s="69" t="e">
        <f>HLOOKUP(B95,xHesaplama!$AH$26:$FH$66,24,0)</f>
        <v>#N/A</v>
      </c>
      <c r="F95" s="76">
        <f t="shared" si="14"/>
        <v>0</v>
      </c>
      <c r="G95" s="70">
        <f t="shared" si="19"/>
        <v>0</v>
      </c>
      <c r="H95" s="69" t="str">
        <f t="shared" si="15"/>
        <v/>
      </c>
      <c r="I95" s="145">
        <v>0</v>
      </c>
      <c r="J95" s="619"/>
      <c r="K95" s="81">
        <f>IFERROR(VLOOKUP(B95,'x Malzemeler ve Özellikleri'!$O$1:$Q$181,3,0)*F95,0)</f>
        <v>0</v>
      </c>
      <c r="AW95" s="85">
        <f>VLOOKUP(AY95,'x Malzemeler ve Özellikleri'!B:C,2,0)</f>
        <v>0</v>
      </c>
    </row>
    <row r="96" spans="1:49" ht="19.5">
      <c r="A96" s="67">
        <f t="shared" si="16"/>
        <v>0</v>
      </c>
      <c r="B96" s="67">
        <f t="shared" si="17"/>
        <v>0</v>
      </c>
      <c r="C96" s="70" t="str">
        <f>IF(VLOOKUP(B96,'x Malzemeler ve Özellikleri'!$B$2:$M$136,12,0)="ALÜMİNYUM",'1PROJE'!$H$9,"")</f>
        <v/>
      </c>
      <c r="D96" s="67">
        <f t="shared" si="18"/>
        <v>0</v>
      </c>
      <c r="E96" s="69" t="e">
        <f>HLOOKUP(B96,xHesaplama!$AH$26:$FH$66,24,0)</f>
        <v>#N/A</v>
      </c>
      <c r="F96" s="76">
        <f t="shared" si="14"/>
        <v>0</v>
      </c>
      <c r="G96" s="70">
        <f t="shared" si="19"/>
        <v>0</v>
      </c>
      <c r="H96" s="69" t="str">
        <f t="shared" si="15"/>
        <v/>
      </c>
      <c r="I96" s="145">
        <v>0</v>
      </c>
      <c r="J96" s="619"/>
      <c r="K96" s="81">
        <f>IFERROR(VLOOKUP(B96,'x Malzemeler ve Özellikleri'!$O$1:$Q$181,3,0)*F96,0)</f>
        <v>0</v>
      </c>
      <c r="AW96" s="85">
        <f>VLOOKUP(AY96,'x Malzemeler ve Özellikleri'!B:C,2,0)</f>
        <v>0</v>
      </c>
    </row>
    <row r="97" spans="1:49" ht="19.5">
      <c r="A97" s="67">
        <f t="shared" si="16"/>
        <v>0</v>
      </c>
      <c r="B97" s="67">
        <f t="shared" si="17"/>
        <v>0</v>
      </c>
      <c r="C97" s="70" t="str">
        <f>IF(VLOOKUP(B97,'x Malzemeler ve Özellikleri'!$B$2:$M$136,12,0)="ALÜMİNYUM",'1PROJE'!$H$9,"")</f>
        <v/>
      </c>
      <c r="D97" s="67">
        <f t="shared" si="18"/>
        <v>0</v>
      </c>
      <c r="E97" s="69" t="e">
        <f>HLOOKUP(B97,xHesaplama!$AH$26:$FH$66,24,0)</f>
        <v>#N/A</v>
      </c>
      <c r="F97" s="76">
        <f t="shared" si="14"/>
        <v>0</v>
      </c>
      <c r="G97" s="70">
        <f t="shared" si="19"/>
        <v>0</v>
      </c>
      <c r="H97" s="69" t="str">
        <f t="shared" si="15"/>
        <v/>
      </c>
      <c r="I97" s="145">
        <v>0</v>
      </c>
      <c r="J97" s="619"/>
      <c r="K97" s="81">
        <f>IFERROR(VLOOKUP(B97,'x Malzemeler ve Özellikleri'!$O$1:$Q$181,3,0)*F97,0)</f>
        <v>0</v>
      </c>
      <c r="AW97" s="85">
        <f>VLOOKUP(AY97,'x Malzemeler ve Özellikleri'!B:C,2,0)</f>
        <v>0</v>
      </c>
    </row>
    <row r="98" spans="1:49" ht="19.5">
      <c r="A98" s="67">
        <f t="shared" si="16"/>
        <v>0</v>
      </c>
      <c r="B98" s="67">
        <f t="shared" si="17"/>
        <v>0</v>
      </c>
      <c r="C98" s="70" t="str">
        <f>IF(VLOOKUP(B98,'x Malzemeler ve Özellikleri'!$B$2:$M$136,12,0)="ALÜMİNYUM",'1PROJE'!$H$9,"")</f>
        <v/>
      </c>
      <c r="D98" s="67">
        <f t="shared" si="18"/>
        <v>0</v>
      </c>
      <c r="E98" s="69" t="e">
        <f>HLOOKUP(B98,xHesaplama!$AH$26:$FH$66,24,0)</f>
        <v>#N/A</v>
      </c>
      <c r="F98" s="76">
        <f t="shared" si="14"/>
        <v>0</v>
      </c>
      <c r="G98" s="70">
        <f t="shared" si="19"/>
        <v>0</v>
      </c>
      <c r="H98" s="69" t="str">
        <f t="shared" si="15"/>
        <v/>
      </c>
      <c r="I98" s="145">
        <v>0</v>
      </c>
      <c r="J98" s="619"/>
      <c r="K98" s="81">
        <f>IFERROR(VLOOKUP(B98,'x Malzemeler ve Özellikleri'!$O$1:$Q$181,3,0)*F98,0)</f>
        <v>0</v>
      </c>
      <c r="AW98" s="85">
        <f>VLOOKUP(AY98,'x Malzemeler ve Özellikleri'!B:C,2,0)</f>
        <v>0</v>
      </c>
    </row>
    <row r="99" spans="1:49" ht="19.5">
      <c r="A99" s="67">
        <f t="shared" si="16"/>
        <v>0</v>
      </c>
      <c r="B99" s="67">
        <f t="shared" si="17"/>
        <v>0</v>
      </c>
      <c r="C99" s="70" t="str">
        <f>IF(VLOOKUP(B99,'x Malzemeler ve Özellikleri'!$B$2:$M$136,12,0)="ALÜMİNYUM",'1PROJE'!$H$9,"")</f>
        <v/>
      </c>
      <c r="D99" s="67">
        <f t="shared" si="18"/>
        <v>0</v>
      </c>
      <c r="E99" s="69" t="e">
        <f>HLOOKUP(B99,xHesaplama!$AH$26:$FH$66,24,0)</f>
        <v>#N/A</v>
      </c>
      <c r="F99" s="76">
        <f t="shared" si="14"/>
        <v>0</v>
      </c>
      <c r="G99" s="70">
        <f t="shared" si="19"/>
        <v>0</v>
      </c>
      <c r="H99" s="69" t="str">
        <f t="shared" si="15"/>
        <v/>
      </c>
      <c r="I99" s="145">
        <v>0</v>
      </c>
      <c r="J99" s="619"/>
      <c r="K99" s="81">
        <f>IFERROR(VLOOKUP(B99,'x Malzemeler ve Özellikleri'!$O$1:$Q$181,3,0)*F99,0)</f>
        <v>0</v>
      </c>
      <c r="AW99" s="85">
        <f>VLOOKUP(AY99,'x Malzemeler ve Özellikleri'!B:C,2,0)</f>
        <v>0</v>
      </c>
    </row>
    <row r="100" spans="1:49" ht="19.5">
      <c r="A100" s="67">
        <f t="shared" si="16"/>
        <v>0</v>
      </c>
      <c r="B100" s="67">
        <f t="shared" si="17"/>
        <v>0</v>
      </c>
      <c r="C100" s="70" t="str">
        <f>IF(VLOOKUP(B100,'x Malzemeler ve Özellikleri'!$B$2:$M$136,12,0)="ALÜMİNYUM",'1PROJE'!$H$9,"")</f>
        <v/>
      </c>
      <c r="D100" s="67">
        <f t="shared" si="18"/>
        <v>0</v>
      </c>
      <c r="E100" s="69" t="e">
        <f>HLOOKUP(B100,xHesaplama!$AH$26:$FH$66,24,0)</f>
        <v>#N/A</v>
      </c>
      <c r="F100" s="76">
        <f t="shared" si="14"/>
        <v>0</v>
      </c>
      <c r="G100" s="70">
        <f t="shared" si="19"/>
        <v>0</v>
      </c>
      <c r="H100" s="69" t="str">
        <f t="shared" si="15"/>
        <v/>
      </c>
      <c r="I100" s="145">
        <v>0</v>
      </c>
      <c r="J100" s="619"/>
      <c r="K100" s="81">
        <f>IFERROR(VLOOKUP(B100,'x Malzemeler ve Özellikleri'!$O$1:$Q$181,3,0)*F100,0)</f>
        <v>0</v>
      </c>
      <c r="AW100" s="85">
        <f>VLOOKUP(AY100,'x Malzemeler ve Özellikleri'!B:C,2,0)</f>
        <v>0</v>
      </c>
    </row>
    <row r="101" spans="1:49" ht="19.5">
      <c r="A101" s="67">
        <f t="shared" si="16"/>
        <v>0</v>
      </c>
      <c r="B101" s="67">
        <f t="shared" si="17"/>
        <v>0</v>
      </c>
      <c r="C101" s="70" t="str">
        <f>IF(VLOOKUP(B101,'x Malzemeler ve Özellikleri'!$B$2:$M$136,12,0)="ALÜMİNYUM",'1PROJE'!$H$9,"")</f>
        <v/>
      </c>
      <c r="D101" s="67">
        <f t="shared" si="18"/>
        <v>0</v>
      </c>
      <c r="E101" s="69" t="e">
        <f>HLOOKUP(B101,xHesaplama!$AH$26:$FH$66,24,0)</f>
        <v>#N/A</v>
      </c>
      <c r="F101" s="76">
        <f t="shared" si="14"/>
        <v>0</v>
      </c>
      <c r="G101" s="70">
        <f t="shared" si="19"/>
        <v>0</v>
      </c>
      <c r="H101" s="69" t="str">
        <f t="shared" si="15"/>
        <v/>
      </c>
      <c r="I101" s="145">
        <v>0</v>
      </c>
      <c r="J101" s="619"/>
      <c r="K101" s="81">
        <f>IFERROR(VLOOKUP(B101,'x Malzemeler ve Özellikleri'!$O$1:$Q$181,3,0)*F101,0)</f>
        <v>0</v>
      </c>
      <c r="AW101" s="85">
        <f>VLOOKUP(AY101,'x Malzemeler ve Özellikleri'!B:C,2,0)</f>
        <v>0</v>
      </c>
    </row>
    <row r="102" spans="1:49" ht="19.5">
      <c r="A102" s="67">
        <f t="shared" si="16"/>
        <v>0</v>
      </c>
      <c r="B102" s="67">
        <f t="shared" si="17"/>
        <v>0</v>
      </c>
      <c r="C102" s="70" t="str">
        <f>IF(VLOOKUP(B102,'x Malzemeler ve Özellikleri'!$B$2:$M$136,12,0)="ALÜMİNYUM",'1PROJE'!$H$9,"")</f>
        <v/>
      </c>
      <c r="D102" s="67">
        <f t="shared" si="18"/>
        <v>0</v>
      </c>
      <c r="E102" s="69" t="e">
        <f>HLOOKUP(B102,xHesaplama!$AH$26:$FH$66,24,0)</f>
        <v>#N/A</v>
      </c>
      <c r="F102" s="76">
        <f t="shared" si="14"/>
        <v>0</v>
      </c>
      <c r="G102" s="70">
        <f t="shared" si="19"/>
        <v>0</v>
      </c>
      <c r="H102" s="69" t="str">
        <f t="shared" si="15"/>
        <v/>
      </c>
      <c r="I102" s="145">
        <v>0</v>
      </c>
      <c r="J102" s="619"/>
      <c r="K102" s="81">
        <f>IFERROR(VLOOKUP(B102,'x Malzemeler ve Özellikleri'!$O$1:$Q$181,3,0)*F102,0)</f>
        <v>0</v>
      </c>
      <c r="AW102" s="85">
        <f>VLOOKUP(AY102,'x Malzemeler ve Özellikleri'!B:C,2,0)</f>
        <v>0</v>
      </c>
    </row>
    <row r="103" spans="1:49" ht="19.5">
      <c r="A103" s="67">
        <f t="shared" si="16"/>
        <v>0</v>
      </c>
      <c r="B103" s="67">
        <f t="shared" si="17"/>
        <v>0</v>
      </c>
      <c r="C103" s="70" t="str">
        <f>IF(VLOOKUP(B103,'x Malzemeler ve Özellikleri'!$B$2:$M$136,12,0)="ALÜMİNYUM",'1PROJE'!$H$9,"")</f>
        <v/>
      </c>
      <c r="D103" s="67">
        <f t="shared" si="18"/>
        <v>0</v>
      </c>
      <c r="E103" s="69" t="e">
        <f>HLOOKUP(B103,xHesaplama!$AH$26:$FH$66,24,0)</f>
        <v>#N/A</v>
      </c>
      <c r="F103" s="76">
        <f t="shared" si="14"/>
        <v>0</v>
      </c>
      <c r="G103" s="70">
        <f t="shared" si="19"/>
        <v>0</v>
      </c>
      <c r="H103" s="69" t="str">
        <f t="shared" si="15"/>
        <v/>
      </c>
      <c r="I103" s="145">
        <v>0</v>
      </c>
      <c r="J103" s="619"/>
      <c r="K103" s="81">
        <f>IFERROR(VLOOKUP(B103,'x Malzemeler ve Özellikleri'!$O$1:$Q$181,3,0)*F103,0)</f>
        <v>0</v>
      </c>
      <c r="AW103" s="85">
        <f>VLOOKUP(AY103,'x Malzemeler ve Özellikleri'!B:C,2,0)</f>
        <v>0</v>
      </c>
    </row>
    <row r="104" spans="1:49" ht="19.5">
      <c r="A104" s="67">
        <f t="shared" si="16"/>
        <v>0</v>
      </c>
      <c r="B104" s="67">
        <f t="shared" si="17"/>
        <v>0</v>
      </c>
      <c r="C104" s="70" t="str">
        <f>IF(VLOOKUP(B104,'x Malzemeler ve Özellikleri'!$B$2:$M$136,12,0)="ALÜMİNYUM",'1PROJE'!$H$9,"")</f>
        <v/>
      </c>
      <c r="D104" s="67">
        <f t="shared" si="18"/>
        <v>0</v>
      </c>
      <c r="E104" s="69" t="e">
        <f>HLOOKUP(B104,xHesaplama!$AH$26:$FH$66,24,0)</f>
        <v>#N/A</v>
      </c>
      <c r="F104" s="76">
        <f t="shared" si="14"/>
        <v>0</v>
      </c>
      <c r="G104" s="70">
        <f t="shared" si="19"/>
        <v>0</v>
      </c>
      <c r="H104" s="69" t="str">
        <f t="shared" si="15"/>
        <v/>
      </c>
      <c r="I104" s="145">
        <v>0</v>
      </c>
      <c r="J104" s="619"/>
      <c r="K104" s="81">
        <f>IFERROR(VLOOKUP(B104,'x Malzemeler ve Özellikleri'!$O$1:$Q$181,3,0)*F104,0)</f>
        <v>0</v>
      </c>
      <c r="AW104" s="85">
        <f>VLOOKUP(AY104,'x Malzemeler ve Özellikleri'!B:C,2,0)</f>
        <v>0</v>
      </c>
    </row>
    <row r="105" spans="1:49" ht="19.5">
      <c r="A105" s="67">
        <f t="shared" si="16"/>
        <v>0</v>
      </c>
      <c r="B105" s="67">
        <f t="shared" si="17"/>
        <v>0</v>
      </c>
      <c r="C105" s="70" t="str">
        <f>IF(VLOOKUP(B105,'x Malzemeler ve Özellikleri'!$B$2:$M$136,12,0)="ALÜMİNYUM",'1PROJE'!$H$9,"")</f>
        <v/>
      </c>
      <c r="D105" s="67">
        <f t="shared" si="18"/>
        <v>0</v>
      </c>
      <c r="E105" s="69" t="e">
        <f>HLOOKUP(B105,xHesaplama!$AH$26:$FH$66,24,0)</f>
        <v>#N/A</v>
      </c>
      <c r="F105" s="76">
        <f t="shared" si="14"/>
        <v>0</v>
      </c>
      <c r="G105" s="70">
        <f t="shared" si="19"/>
        <v>0</v>
      </c>
      <c r="H105" s="69" t="str">
        <f t="shared" si="15"/>
        <v/>
      </c>
      <c r="I105" s="145">
        <v>0</v>
      </c>
      <c r="J105" s="619"/>
      <c r="K105" s="81">
        <f>IFERROR(VLOOKUP(B105,'x Malzemeler ve Özellikleri'!$O$1:$Q$181,3,0)*F105,0)</f>
        <v>0</v>
      </c>
      <c r="AW105" s="85">
        <f>VLOOKUP(AY105,'x Malzemeler ve Özellikleri'!B:C,2,0)</f>
        <v>0</v>
      </c>
    </row>
    <row r="106" spans="1:49" ht="19.5">
      <c r="A106" s="67">
        <f t="shared" si="16"/>
        <v>0</v>
      </c>
      <c r="B106" s="67">
        <f t="shared" si="17"/>
        <v>0</v>
      </c>
      <c r="C106" s="70" t="str">
        <f>IF(VLOOKUP(B106,'x Malzemeler ve Özellikleri'!$B$2:$M$136,12,0)="ALÜMİNYUM",'1PROJE'!$H$9,"")</f>
        <v/>
      </c>
      <c r="D106" s="67">
        <f t="shared" si="18"/>
        <v>0</v>
      </c>
      <c r="E106" s="69" t="e">
        <f>HLOOKUP(B106,xHesaplama!$AH$26:$FH$66,24,0)</f>
        <v>#N/A</v>
      </c>
      <c r="F106" s="76">
        <f t="shared" si="14"/>
        <v>0</v>
      </c>
      <c r="G106" s="70">
        <f t="shared" si="19"/>
        <v>0</v>
      </c>
      <c r="H106" s="69" t="str">
        <f t="shared" si="15"/>
        <v/>
      </c>
      <c r="I106" s="145">
        <v>0</v>
      </c>
      <c r="J106" s="619"/>
      <c r="K106" s="81">
        <f>IFERROR(VLOOKUP(B106,'x Malzemeler ve Özellikleri'!$O$1:$Q$181,3,0)*F106,0)</f>
        <v>0</v>
      </c>
      <c r="AW106" s="85">
        <f>VLOOKUP(AY106,'x Malzemeler ve Özellikleri'!B:C,2,0)</f>
        <v>0</v>
      </c>
    </row>
    <row r="107" spans="1:49" ht="19.5">
      <c r="A107" s="67">
        <f t="shared" si="16"/>
        <v>0</v>
      </c>
      <c r="B107" s="67">
        <f t="shared" si="17"/>
        <v>0</v>
      </c>
      <c r="C107" s="70" t="str">
        <f>IF(VLOOKUP(B107,'x Malzemeler ve Özellikleri'!$B$2:$M$136,12,0)="ALÜMİNYUM",'1PROJE'!$H$9,"")</f>
        <v/>
      </c>
      <c r="D107" s="67">
        <f t="shared" si="18"/>
        <v>0</v>
      </c>
      <c r="E107" s="69" t="e">
        <f>HLOOKUP(B107,xHesaplama!$AH$26:$FH$66,24,0)</f>
        <v>#N/A</v>
      </c>
      <c r="F107" s="76">
        <f t="shared" si="14"/>
        <v>0</v>
      </c>
      <c r="G107" s="70">
        <f t="shared" si="19"/>
        <v>0</v>
      </c>
      <c r="H107" s="69" t="str">
        <f t="shared" si="15"/>
        <v/>
      </c>
      <c r="I107" s="145">
        <v>0</v>
      </c>
      <c r="J107" s="619"/>
      <c r="K107" s="81">
        <f>IFERROR(VLOOKUP(B107,'x Malzemeler ve Özellikleri'!$O$1:$Q$181,3,0)*F107,0)</f>
        <v>0</v>
      </c>
      <c r="AW107" s="85">
        <f>VLOOKUP(AY107,'x Malzemeler ve Özellikleri'!B:C,2,0)</f>
        <v>0</v>
      </c>
    </row>
    <row r="108" spans="1:49" ht="19.5">
      <c r="A108" s="67">
        <f t="shared" si="16"/>
        <v>0</v>
      </c>
      <c r="B108" s="67">
        <f t="shared" si="17"/>
        <v>0</v>
      </c>
      <c r="C108" s="70" t="str">
        <f>IF(VLOOKUP(B108,'x Malzemeler ve Özellikleri'!$B$2:$M$136,12,0)="ALÜMİNYUM",'1PROJE'!$H$9,"")</f>
        <v/>
      </c>
      <c r="D108" s="67">
        <f t="shared" si="18"/>
        <v>0</v>
      </c>
      <c r="E108" s="69" t="e">
        <f>HLOOKUP(B108,xHesaplama!$AH$26:$FH$66,24,0)</f>
        <v>#N/A</v>
      </c>
      <c r="F108" s="76">
        <f t="shared" si="14"/>
        <v>0</v>
      </c>
      <c r="G108" s="70">
        <f t="shared" si="19"/>
        <v>0</v>
      </c>
      <c r="H108" s="69" t="str">
        <f t="shared" si="15"/>
        <v/>
      </c>
      <c r="I108" s="145">
        <v>0</v>
      </c>
      <c r="J108" s="619"/>
      <c r="K108" s="81">
        <f>IFERROR(VLOOKUP(B108,'x Malzemeler ve Özellikleri'!$O$1:$Q$181,3,0)*F108,0)</f>
        <v>0</v>
      </c>
      <c r="AW108" s="85">
        <f>VLOOKUP(AY108,'x Malzemeler ve Özellikleri'!B:C,2,0)</f>
        <v>0</v>
      </c>
    </row>
    <row r="109" spans="1:49" ht="19.5">
      <c r="A109" s="67">
        <f t="shared" si="16"/>
        <v>0</v>
      </c>
      <c r="B109" s="67">
        <f t="shared" si="17"/>
        <v>0</v>
      </c>
      <c r="C109" s="70" t="str">
        <f>IF(VLOOKUP(B109,'x Malzemeler ve Özellikleri'!$B$2:$M$136,12,0)="ALÜMİNYUM",'1PROJE'!$H$9,"")</f>
        <v/>
      </c>
      <c r="D109" s="67">
        <f t="shared" si="18"/>
        <v>0</v>
      </c>
      <c r="E109" s="69" t="e">
        <f>HLOOKUP(B109,xHesaplama!$AH$26:$FH$66,24,0)</f>
        <v>#N/A</v>
      </c>
      <c r="F109" s="76">
        <f t="shared" si="14"/>
        <v>0</v>
      </c>
      <c r="G109" s="70">
        <f t="shared" si="19"/>
        <v>0</v>
      </c>
      <c r="H109" s="69" t="str">
        <f t="shared" si="15"/>
        <v/>
      </c>
      <c r="I109" s="145">
        <v>0</v>
      </c>
      <c r="J109" s="619"/>
      <c r="K109" s="81">
        <f>IFERROR(VLOOKUP(B109,'x Malzemeler ve Özellikleri'!$O$1:$Q$181,3,0)*F109,0)</f>
        <v>0</v>
      </c>
      <c r="AW109" s="85">
        <f>VLOOKUP(AY109,'x Malzemeler ve Özellikleri'!B:C,2,0)</f>
        <v>0</v>
      </c>
    </row>
    <row r="110" spans="1:49" ht="19.5">
      <c r="A110" s="67">
        <f t="shared" si="16"/>
        <v>0</v>
      </c>
      <c r="B110" s="67">
        <f t="shared" si="17"/>
        <v>0</v>
      </c>
      <c r="C110" s="70" t="str">
        <f>IF(VLOOKUP(B110,'x Malzemeler ve Özellikleri'!$B$2:$M$136,12,0)="ALÜMİNYUM",'1PROJE'!$H$9,"")</f>
        <v/>
      </c>
      <c r="D110" s="67">
        <f t="shared" si="18"/>
        <v>0</v>
      </c>
      <c r="E110" s="69" t="e">
        <f>HLOOKUP(B110,xHesaplama!$AH$26:$FH$66,24,0)</f>
        <v>#N/A</v>
      </c>
      <c r="F110" s="76">
        <f t="shared" si="14"/>
        <v>0</v>
      </c>
      <c r="G110" s="70">
        <f t="shared" si="19"/>
        <v>0</v>
      </c>
      <c r="H110" s="69" t="str">
        <f t="shared" si="15"/>
        <v/>
      </c>
      <c r="I110" s="145">
        <v>0</v>
      </c>
      <c r="J110" s="619"/>
      <c r="K110" s="81">
        <f>IFERROR(VLOOKUP(B110,'x Malzemeler ve Özellikleri'!$O$1:$Q$181,3,0)*F110,0)</f>
        <v>0</v>
      </c>
      <c r="AW110" s="85">
        <f>VLOOKUP(AY110,'x Malzemeler ve Özellikleri'!B:C,2,0)</f>
        <v>0</v>
      </c>
    </row>
    <row r="111" spans="1:49" ht="19.5">
      <c r="A111" s="67">
        <f t="shared" si="16"/>
        <v>0</v>
      </c>
      <c r="B111" s="67">
        <f t="shared" si="17"/>
        <v>0</v>
      </c>
      <c r="C111" s="70" t="str">
        <f>IF(VLOOKUP(B111,'x Malzemeler ve Özellikleri'!$B$2:$M$136,12,0)="ALÜMİNYUM",'1PROJE'!$H$9,"")</f>
        <v/>
      </c>
      <c r="D111" s="67">
        <f t="shared" si="18"/>
        <v>0</v>
      </c>
      <c r="E111" s="69" t="e">
        <f>HLOOKUP(B111,xHesaplama!$AH$26:$FH$66,24,0)</f>
        <v>#N/A</v>
      </c>
      <c r="F111" s="76">
        <f t="shared" si="14"/>
        <v>0</v>
      </c>
      <c r="G111" s="70">
        <f t="shared" si="19"/>
        <v>0</v>
      </c>
      <c r="H111" s="69" t="str">
        <f t="shared" si="15"/>
        <v/>
      </c>
      <c r="I111" s="145">
        <v>0</v>
      </c>
      <c r="J111" s="619"/>
      <c r="K111" s="81">
        <f>IFERROR(VLOOKUP(B111,'x Malzemeler ve Özellikleri'!$O$1:$Q$181,3,0)*F111,0)</f>
        <v>0</v>
      </c>
      <c r="AW111" s="85">
        <f>VLOOKUP(AY111,'x Malzemeler ve Özellikleri'!B:C,2,0)</f>
        <v>0</v>
      </c>
    </row>
    <row r="112" spans="1:49" ht="19.5">
      <c r="A112" s="67">
        <f t="shared" si="16"/>
        <v>0</v>
      </c>
      <c r="B112" s="67">
        <f t="shared" si="17"/>
        <v>0</v>
      </c>
      <c r="C112" s="70" t="str">
        <f>IF(VLOOKUP(B112,'x Malzemeler ve Özellikleri'!$B$2:$M$136,12,0)="ALÜMİNYUM",'1PROJE'!$H$9,"")</f>
        <v/>
      </c>
      <c r="D112" s="67">
        <f t="shared" si="18"/>
        <v>0</v>
      </c>
      <c r="E112" s="69" t="e">
        <f>HLOOKUP(B112,xHesaplama!$AH$26:$FH$66,24,0)</f>
        <v>#N/A</v>
      </c>
      <c r="F112" s="76">
        <f t="shared" si="14"/>
        <v>0</v>
      </c>
      <c r="G112" s="70">
        <f t="shared" si="19"/>
        <v>0</v>
      </c>
      <c r="H112" s="69" t="str">
        <f t="shared" si="15"/>
        <v/>
      </c>
      <c r="I112" s="145">
        <v>0</v>
      </c>
      <c r="J112" s="619"/>
      <c r="K112" s="81">
        <f>IFERROR(VLOOKUP(B112,'x Malzemeler ve Özellikleri'!$O$1:$Q$181,3,0)*F112,0)</f>
        <v>0</v>
      </c>
      <c r="AW112" s="85">
        <f>VLOOKUP(AY112,'x Malzemeler ve Özellikleri'!B:C,2,0)</f>
        <v>0</v>
      </c>
    </row>
    <row r="113" spans="1:49" ht="19.5">
      <c r="A113" s="67">
        <f t="shared" si="16"/>
        <v>0</v>
      </c>
      <c r="B113" s="67">
        <f t="shared" si="17"/>
        <v>0</v>
      </c>
      <c r="C113" s="70" t="str">
        <f>IF(VLOOKUP(B113,'x Malzemeler ve Özellikleri'!$B$2:$M$136,12,0)="ALÜMİNYUM",'1PROJE'!$H$9,"")</f>
        <v/>
      </c>
      <c r="D113" s="67">
        <f t="shared" si="18"/>
        <v>0</v>
      </c>
      <c r="E113" s="69" t="e">
        <f>HLOOKUP(B113,xHesaplama!$AH$26:$FH$66,24,0)</f>
        <v>#N/A</v>
      </c>
      <c r="F113" s="76">
        <f t="shared" si="14"/>
        <v>0</v>
      </c>
      <c r="G113" s="70">
        <f t="shared" si="19"/>
        <v>0</v>
      </c>
      <c r="H113" s="69" t="str">
        <f t="shared" si="15"/>
        <v/>
      </c>
      <c r="I113" s="145">
        <v>0</v>
      </c>
      <c r="J113" s="619"/>
      <c r="K113" s="81">
        <f>IFERROR(VLOOKUP(B113,'x Malzemeler ve Özellikleri'!$O$1:$Q$181,3,0)*F113,0)</f>
        <v>0</v>
      </c>
      <c r="AW113" s="85">
        <f>VLOOKUP(AY113,'x Malzemeler ve Özellikleri'!B:C,2,0)</f>
        <v>0</v>
      </c>
    </row>
    <row r="114" spans="1:49" ht="19.5">
      <c r="A114" s="67">
        <f t="shared" si="16"/>
        <v>0</v>
      </c>
      <c r="B114" s="67">
        <f t="shared" si="17"/>
        <v>0</v>
      </c>
      <c r="C114" s="70" t="str">
        <f>IF(VLOOKUP(B114,'x Malzemeler ve Özellikleri'!$B$2:$M$136,12,0)="ALÜMİNYUM",'1PROJE'!$H$9,"")</f>
        <v/>
      </c>
      <c r="D114" s="67">
        <f t="shared" si="18"/>
        <v>0</v>
      </c>
      <c r="E114" s="69" t="e">
        <f>HLOOKUP(B114,xHesaplama!$AH$26:$FH$66,24,0)</f>
        <v>#N/A</v>
      </c>
      <c r="F114" s="76">
        <f t="shared" si="14"/>
        <v>0</v>
      </c>
      <c r="G114" s="70">
        <f t="shared" si="19"/>
        <v>0</v>
      </c>
      <c r="H114" s="69" t="str">
        <f t="shared" si="15"/>
        <v/>
      </c>
      <c r="I114" s="145">
        <v>0</v>
      </c>
      <c r="J114" s="619"/>
      <c r="K114" s="81">
        <f>IFERROR(VLOOKUP(B114,'x Malzemeler ve Özellikleri'!$O$1:$Q$181,3,0)*F114,0)</f>
        <v>0</v>
      </c>
      <c r="AW114" s="85">
        <f>VLOOKUP(AY114,'x Malzemeler ve Özellikleri'!B:C,2,0)</f>
        <v>0</v>
      </c>
    </row>
    <row r="115" spans="1:49" ht="19.5">
      <c r="A115" s="67">
        <f t="shared" si="16"/>
        <v>0</v>
      </c>
      <c r="B115" s="67">
        <f t="shared" si="17"/>
        <v>0</v>
      </c>
      <c r="C115" s="70" t="str">
        <f>IF(VLOOKUP(B115,'x Malzemeler ve Özellikleri'!$B$2:$M$136,12,0)="ALÜMİNYUM",'1PROJE'!$H$9,"")</f>
        <v/>
      </c>
      <c r="D115" s="67">
        <f t="shared" si="18"/>
        <v>0</v>
      </c>
      <c r="E115" s="69" t="e">
        <f>HLOOKUP(B115,xHesaplama!$AH$26:$FH$66,24,0)</f>
        <v>#N/A</v>
      </c>
      <c r="F115" s="76">
        <f t="shared" si="14"/>
        <v>0</v>
      </c>
      <c r="G115" s="70">
        <f t="shared" si="19"/>
        <v>0</v>
      </c>
      <c r="H115" s="69" t="str">
        <f t="shared" si="15"/>
        <v/>
      </c>
      <c r="I115" s="145">
        <v>0</v>
      </c>
      <c r="J115" s="619"/>
      <c r="K115" s="81">
        <f>IFERROR(VLOOKUP(B115,'x Malzemeler ve Özellikleri'!$O$1:$Q$181,3,0)*F115,0)</f>
        <v>0</v>
      </c>
      <c r="AW115" s="85">
        <f>VLOOKUP(AY115,'x Malzemeler ve Özellikleri'!B:C,2,0)</f>
        <v>0</v>
      </c>
    </row>
    <row r="116" spans="1:49" ht="19.5">
      <c r="A116" s="67">
        <f t="shared" si="16"/>
        <v>0</v>
      </c>
      <c r="B116" s="67">
        <f t="shared" si="17"/>
        <v>0</v>
      </c>
      <c r="C116" s="70" t="str">
        <f>IF(VLOOKUP(B116,'x Malzemeler ve Özellikleri'!$B$2:$M$136,12,0)="ALÜMİNYUM",'1PROJE'!$H$9,"")</f>
        <v/>
      </c>
      <c r="D116" s="67">
        <f t="shared" si="18"/>
        <v>0</v>
      </c>
      <c r="E116" s="69" t="e">
        <f>HLOOKUP(B116,xHesaplama!$AH$26:$FH$66,24,0)</f>
        <v>#N/A</v>
      </c>
      <c r="F116" s="76">
        <f t="shared" si="14"/>
        <v>0</v>
      </c>
      <c r="G116" s="70">
        <f t="shared" si="19"/>
        <v>0</v>
      </c>
      <c r="H116" s="69" t="str">
        <f t="shared" si="15"/>
        <v/>
      </c>
      <c r="I116" s="145">
        <v>0</v>
      </c>
      <c r="J116" s="619"/>
      <c r="K116" s="81">
        <f>IFERROR(VLOOKUP(B116,'x Malzemeler ve Özellikleri'!$O$1:$Q$181,3,0)*F116,0)</f>
        <v>0</v>
      </c>
      <c r="AW116" s="85">
        <f>VLOOKUP(AY116,'x Malzemeler ve Özellikleri'!B:C,2,0)</f>
        <v>0</v>
      </c>
    </row>
    <row r="117" spans="1:49" ht="19.5">
      <c r="A117" s="67">
        <f t="shared" si="16"/>
        <v>0</v>
      </c>
      <c r="B117" s="67">
        <f t="shared" si="17"/>
        <v>0</v>
      </c>
      <c r="C117" s="70" t="str">
        <f>IF(VLOOKUP(B117,'x Malzemeler ve Özellikleri'!$B$2:$M$136,12,0)="ALÜMİNYUM",'1PROJE'!$H$9,"")</f>
        <v/>
      </c>
      <c r="D117" s="67">
        <f t="shared" si="18"/>
        <v>0</v>
      </c>
      <c r="E117" s="69" t="e">
        <f>HLOOKUP(B117,xHesaplama!$AH$26:$FH$66,24,0)</f>
        <v>#N/A</v>
      </c>
      <c r="F117" s="76">
        <f t="shared" si="14"/>
        <v>0</v>
      </c>
      <c r="G117" s="70">
        <f t="shared" si="19"/>
        <v>0</v>
      </c>
      <c r="H117" s="69" t="str">
        <f t="shared" si="15"/>
        <v/>
      </c>
      <c r="I117" s="145">
        <v>0</v>
      </c>
      <c r="J117" s="619"/>
      <c r="K117" s="81">
        <f>IFERROR(VLOOKUP(B117,'x Malzemeler ve Özellikleri'!$O$1:$Q$181,3,0)*F117,0)</f>
        <v>0</v>
      </c>
      <c r="AW117" s="85">
        <f>VLOOKUP(AY117,'x Malzemeler ve Özellikleri'!B:C,2,0)</f>
        <v>0</v>
      </c>
    </row>
    <row r="118" spans="1:49" ht="19.5">
      <c r="A118" s="67">
        <f t="shared" si="16"/>
        <v>0</v>
      </c>
      <c r="B118" s="67">
        <f t="shared" si="17"/>
        <v>0</v>
      </c>
      <c r="C118" s="70" t="str">
        <f>IF(VLOOKUP(B118,'x Malzemeler ve Özellikleri'!$B$2:$M$136,12,0)="ALÜMİNYUM",'1PROJE'!$H$9,"")</f>
        <v/>
      </c>
      <c r="D118" s="67">
        <f t="shared" si="18"/>
        <v>0</v>
      </c>
      <c r="E118" s="69" t="e">
        <f>HLOOKUP(B118,xHesaplama!$AH$26:$FH$66,24,0)</f>
        <v>#N/A</v>
      </c>
      <c r="F118" s="76">
        <f t="shared" si="14"/>
        <v>0</v>
      </c>
      <c r="G118" s="70">
        <f t="shared" si="19"/>
        <v>0</v>
      </c>
      <c r="H118" s="69" t="str">
        <f t="shared" si="15"/>
        <v/>
      </c>
      <c r="I118" s="145">
        <v>0</v>
      </c>
      <c r="J118" s="619"/>
      <c r="K118" s="81">
        <f>IFERROR(VLOOKUP(B118,'x Malzemeler ve Özellikleri'!$O$1:$Q$181,3,0)*F118,0)</f>
        <v>0</v>
      </c>
      <c r="AW118" s="85">
        <f>VLOOKUP(AY118,'x Malzemeler ve Özellikleri'!B:C,2,0)</f>
        <v>0</v>
      </c>
    </row>
    <row r="119" spans="1:49" ht="19.5">
      <c r="A119" s="67">
        <f t="shared" si="16"/>
        <v>0</v>
      </c>
      <c r="B119" s="67">
        <f t="shared" si="17"/>
        <v>0</v>
      </c>
      <c r="C119" s="70" t="str">
        <f>IF(VLOOKUP(B119,'x Malzemeler ve Özellikleri'!$B$2:$M$136,12,0)="ALÜMİNYUM",'1PROJE'!$H$9,"")</f>
        <v/>
      </c>
      <c r="D119" s="67">
        <f t="shared" si="18"/>
        <v>0</v>
      </c>
      <c r="E119" s="69" t="e">
        <f>HLOOKUP(B119,xHesaplama!$AH$26:$FH$66,24,0)</f>
        <v>#N/A</v>
      </c>
      <c r="F119" s="76">
        <f t="shared" si="14"/>
        <v>0</v>
      </c>
      <c r="G119" s="70">
        <f t="shared" si="19"/>
        <v>0</v>
      </c>
      <c r="H119" s="69" t="str">
        <f t="shared" si="15"/>
        <v/>
      </c>
      <c r="I119" s="145">
        <v>0</v>
      </c>
      <c r="J119" s="619"/>
      <c r="K119" s="81">
        <f>IFERROR(VLOOKUP(B119,'x Malzemeler ve Özellikleri'!$O$1:$Q$181,3,0)*F119,0)</f>
        <v>0</v>
      </c>
      <c r="AW119" s="85">
        <f>VLOOKUP(AY119,'x Malzemeler ve Özellikleri'!B:C,2,0)</f>
        <v>0</v>
      </c>
    </row>
    <row r="120" spans="1:49" ht="19.5">
      <c r="A120" s="67">
        <f t="shared" si="16"/>
        <v>0</v>
      </c>
      <c r="B120" s="67">
        <f t="shared" si="17"/>
        <v>0</v>
      </c>
      <c r="C120" s="70" t="str">
        <f>IF(VLOOKUP(B120,'x Malzemeler ve Özellikleri'!$B$2:$M$136,12,0)="ALÜMİNYUM",'1PROJE'!$H$9,"")</f>
        <v/>
      </c>
      <c r="D120" s="67">
        <f t="shared" si="18"/>
        <v>0</v>
      </c>
      <c r="E120" s="69" t="e">
        <f>HLOOKUP(B120,xHesaplama!$AH$26:$FH$66,24,0)</f>
        <v>#N/A</v>
      </c>
      <c r="F120" s="76">
        <f t="shared" si="14"/>
        <v>0</v>
      </c>
      <c r="G120" s="70">
        <f t="shared" si="19"/>
        <v>0</v>
      </c>
      <c r="H120" s="69" t="str">
        <f t="shared" si="15"/>
        <v/>
      </c>
      <c r="I120" s="145">
        <v>0</v>
      </c>
      <c r="J120" s="619"/>
      <c r="K120" s="81">
        <f>IFERROR(VLOOKUP(B120,'x Malzemeler ve Özellikleri'!$O$1:$Q$181,3,0)*F120,0)</f>
        <v>0</v>
      </c>
      <c r="AW120" s="85">
        <f>VLOOKUP(AY120,'x Malzemeler ve Özellikleri'!B:C,2,0)</f>
        <v>0</v>
      </c>
    </row>
    <row r="121" spans="1:49" ht="19.5">
      <c r="A121" s="67">
        <f t="shared" si="16"/>
        <v>0</v>
      </c>
      <c r="B121" s="67">
        <f t="shared" si="17"/>
        <v>0</v>
      </c>
      <c r="C121" s="70" t="str">
        <f>IF(VLOOKUP(B121,'x Malzemeler ve Özellikleri'!$B$2:$M$136,12,0)="ALÜMİNYUM",'1PROJE'!$H$9,"")</f>
        <v/>
      </c>
      <c r="D121" s="67">
        <f t="shared" si="18"/>
        <v>0</v>
      </c>
      <c r="E121" s="69" t="e">
        <f>HLOOKUP(B121,xHesaplama!$AH$26:$FH$66,24,0)</f>
        <v>#N/A</v>
      </c>
      <c r="F121" s="76">
        <f t="shared" si="14"/>
        <v>0</v>
      </c>
      <c r="G121" s="70">
        <f t="shared" si="19"/>
        <v>0</v>
      </c>
      <c r="H121" s="69" t="str">
        <f t="shared" si="15"/>
        <v/>
      </c>
      <c r="I121" s="145">
        <v>0</v>
      </c>
      <c r="J121" s="619"/>
      <c r="K121" s="81">
        <f>IFERROR(VLOOKUP(B121,'x Malzemeler ve Özellikleri'!$O$1:$Q$181,3,0)*F121,0)</f>
        <v>0</v>
      </c>
      <c r="AW121" s="85">
        <f>VLOOKUP(AY121,'x Malzemeler ve Özellikleri'!B:C,2,0)</f>
        <v>0</v>
      </c>
    </row>
    <row r="122" spans="1:49" ht="19.5">
      <c r="A122" s="67">
        <f t="shared" si="16"/>
        <v>0</v>
      </c>
      <c r="B122" s="67">
        <f t="shared" si="17"/>
        <v>0</v>
      </c>
      <c r="C122" s="70" t="str">
        <f>IF(VLOOKUP(B122,'x Malzemeler ve Özellikleri'!$B$2:$M$136,12,0)="ALÜMİNYUM",'1PROJE'!$H$9,"")</f>
        <v/>
      </c>
      <c r="D122" s="67">
        <f t="shared" si="18"/>
        <v>0</v>
      </c>
      <c r="E122" s="69" t="e">
        <f>HLOOKUP(B122,xHesaplama!$AH$26:$FH$66,24,0)</f>
        <v>#N/A</v>
      </c>
      <c r="F122" s="76">
        <f t="shared" si="14"/>
        <v>0</v>
      </c>
      <c r="G122" s="70">
        <f t="shared" si="19"/>
        <v>0</v>
      </c>
      <c r="H122" s="69" t="str">
        <f t="shared" si="15"/>
        <v/>
      </c>
      <c r="I122" s="145">
        <v>0</v>
      </c>
      <c r="J122" s="619"/>
      <c r="K122" s="81">
        <f>IFERROR(VLOOKUP(B122,'x Malzemeler ve Özellikleri'!$O$1:$Q$181,3,0)*F122,0)</f>
        <v>0</v>
      </c>
      <c r="AW122" s="85">
        <f>VLOOKUP(AY122,'x Malzemeler ve Özellikleri'!B:C,2,0)</f>
        <v>0</v>
      </c>
    </row>
    <row r="123" spans="1:49" ht="20.25" thickBot="1">
      <c r="A123" s="67">
        <f t="shared" si="16"/>
        <v>0</v>
      </c>
      <c r="B123" s="67">
        <f t="shared" si="17"/>
        <v>0</v>
      </c>
      <c r="C123" s="70" t="str">
        <f>IF(VLOOKUP(B123,'x Malzemeler ve Özellikleri'!$B$2:$M$136,12,0)="ALÜMİNYUM",'1PROJE'!$H$9,"")</f>
        <v/>
      </c>
      <c r="D123" s="67">
        <f t="shared" si="18"/>
        <v>0</v>
      </c>
      <c r="E123" s="69" t="e">
        <f>HLOOKUP(B123,xHesaplama!$AH$26:$FH$66,24,0)</f>
        <v>#N/A</v>
      </c>
      <c r="F123" s="76">
        <f t="shared" si="14"/>
        <v>0</v>
      </c>
      <c r="G123" s="70">
        <f t="shared" si="19"/>
        <v>0</v>
      </c>
      <c r="H123" s="69" t="str">
        <f t="shared" si="15"/>
        <v/>
      </c>
      <c r="I123" s="145">
        <v>0</v>
      </c>
      <c r="J123" s="620"/>
      <c r="K123" s="81">
        <f>IFERROR(VLOOKUP(B123,'x Malzemeler ve Özellikleri'!$O$1:$Q$181,3,0)*F123,0)</f>
        <v>0</v>
      </c>
      <c r="AW123" s="85">
        <f>VLOOKUP(AY123,'x Malzemeler ve Özellikleri'!B:C,2,0)</f>
        <v>0</v>
      </c>
    </row>
    <row r="124" spans="1:49" ht="30" thickBot="1">
      <c r="A124" s="64" t="str">
        <f>"POZ"&amp;" "&amp;J125</f>
        <v>POZ 4</v>
      </c>
      <c r="C124" s="243">
        <f>xHesaplama!C30</f>
        <v>0</v>
      </c>
      <c r="D124" s="64" t="s">
        <v>357</v>
      </c>
      <c r="F124" s="74"/>
      <c r="G124" s="72" t="s">
        <v>786</v>
      </c>
      <c r="H124" s="65"/>
      <c r="I124" s="71">
        <f>SUM(H126:H164)</f>
        <v>0</v>
      </c>
      <c r="L124" t="str" cm="1">
        <f t="array" ref="L124:AJ124">_xlfn._xlws.FILTER(REÇETE!$D$11:$AB$142,REÇETE!$L$11:$L$142&lt;&gt;"","")</f>
        <v>EXCEL KODU</v>
      </c>
      <c r="M124" t="str">
        <v>PARÇA BİRİM</v>
      </c>
      <c r="N124" t="str">
        <v>PARÇA ADI</v>
      </c>
      <c r="O124" t="str">
        <v>MALZEME KODU</v>
      </c>
      <c r="P124" t="str">
        <v>BİRİM FİYAT</v>
      </c>
      <c r="Q124" t="str">
        <v>POZ 1</v>
      </c>
      <c r="R124" t="str">
        <v>POZ 2</v>
      </c>
      <c r="S124" t="str">
        <v>POZ 3</v>
      </c>
      <c r="T124" t="str">
        <v>POZ 4</v>
      </c>
      <c r="U124" t="str">
        <v>POZ 5</v>
      </c>
      <c r="V124" t="str">
        <v>POZ 6</v>
      </c>
      <c r="W124" t="str">
        <v>POZ 7</v>
      </c>
      <c r="X124" t="str">
        <v>POZ 8</v>
      </c>
      <c r="Y124" t="str">
        <v>POZ 9</v>
      </c>
      <c r="Z124" t="str">
        <v>POZ 10</v>
      </c>
      <c r="AA124" t="str">
        <v>POZ 11</v>
      </c>
      <c r="AB124" t="str">
        <v>POZ 12</v>
      </c>
      <c r="AC124" t="str">
        <v>POZ 13</v>
      </c>
      <c r="AD124" t="str">
        <v>POZ 14</v>
      </c>
      <c r="AE124" t="str">
        <v>POZ 15</v>
      </c>
      <c r="AF124" t="str">
        <v>POZ 16</v>
      </c>
      <c r="AG124" t="str">
        <v>POZ 17</v>
      </c>
      <c r="AH124" t="str">
        <v>POZ 18</v>
      </c>
      <c r="AI124" t="str">
        <v>POZ 19</v>
      </c>
      <c r="AJ124" t="str">
        <v>POZ 20</v>
      </c>
      <c r="AW124" s="85">
        <f>VLOOKUP(AY124,'x Malzemeler ve Özellikleri'!B:C,2,0)</f>
        <v>0</v>
      </c>
    </row>
    <row r="125" spans="1:49">
      <c r="A125" s="66" t="s">
        <v>782</v>
      </c>
      <c r="B125" s="66" t="s">
        <v>409</v>
      </c>
      <c r="C125" s="68"/>
      <c r="D125" s="66" t="s">
        <v>15</v>
      </c>
      <c r="E125" s="68" t="s">
        <v>808</v>
      </c>
      <c r="F125" s="75" t="s">
        <v>785</v>
      </c>
      <c r="G125" s="68" t="s">
        <v>650</v>
      </c>
      <c r="H125" s="68" t="s">
        <v>355</v>
      </c>
      <c r="J125" s="618">
        <v>4</v>
      </c>
      <c r="K125" s="221">
        <f>SUM(K126:K164)</f>
        <v>0</v>
      </c>
      <c r="AW125" s="85">
        <f>VLOOKUP(AY125,'x Malzemeler ve Özellikleri'!B:C,2,0)</f>
        <v>0</v>
      </c>
    </row>
    <row r="126" spans="1:49" ht="19.5">
      <c r="A126" s="67">
        <f>xHesaplama!H30</f>
        <v>0</v>
      </c>
      <c r="B126" s="67"/>
      <c r="C126" s="70">
        <f>xHesaplama!I30</f>
        <v>0</v>
      </c>
      <c r="D126" s="67">
        <f>xHesaplama!I30</f>
        <v>0</v>
      </c>
      <c r="E126" s="69" t="e">
        <f>xHesaplama!AC30</f>
        <v>#N/A</v>
      </c>
      <c r="F126" s="76">
        <f>xHesaplama!AD30*C124</f>
        <v>0</v>
      </c>
      <c r="G126" s="70" t="s">
        <v>817</v>
      </c>
      <c r="H126" s="69">
        <f t="shared" ref="H126:H127" si="20">IFERROR(E126*F126,0)</f>
        <v>0</v>
      </c>
      <c r="I126" s="145">
        <v>0</v>
      </c>
      <c r="J126" s="619"/>
      <c r="K126" s="81">
        <f>IFERROR(VLOOKUP(A126,'x Malzemeler ve Özellikleri'!$N$1:$Q$181,4,0)*F126,0)</f>
        <v>0</v>
      </c>
      <c r="AN126" s="84" cm="1">
        <f t="array" ref="AN126">_xlfn._xlws.FILTER(A126:I164,I126:I164,0)</f>
        <v>0</v>
      </c>
      <c r="AW126" s="85">
        <f>VLOOKUP(AY126,'x Malzemeler ve Özellikleri'!B:C,2,0)</f>
        <v>0</v>
      </c>
    </row>
    <row r="127" spans="1:49" ht="19.5">
      <c r="A127" s="67" t="s">
        <v>105</v>
      </c>
      <c r="B127" s="67"/>
      <c r="C127" s="70"/>
      <c r="D127" s="67">
        <f>xHesaplama!J30</f>
        <v>0</v>
      </c>
      <c r="E127" s="69" t="e">
        <f>xHesaplama!AB30</f>
        <v>#N/A</v>
      </c>
      <c r="F127" s="76">
        <f>C124</f>
        <v>0</v>
      </c>
      <c r="G127" s="70" t="s">
        <v>357</v>
      </c>
      <c r="H127" s="69">
        <f t="shared" si="20"/>
        <v>0</v>
      </c>
      <c r="I127" s="145">
        <v>0</v>
      </c>
      <c r="J127" s="619"/>
      <c r="K127" s="81">
        <f>IFERROR(VLOOKUP(D127,'x Malzemeler ve Özellikleri'!$N$1:$Q$181,4,0)*F127,0)</f>
        <v>0</v>
      </c>
      <c r="AW127" s="85">
        <f>VLOOKUP(AY127,'x Malzemeler ve Özellikleri'!B:C,2,0)</f>
        <v>0</v>
      </c>
    </row>
    <row r="128" spans="1:49" ht="19.5">
      <c r="A128" s="67">
        <f>N125</f>
        <v>0</v>
      </c>
      <c r="B128" s="67">
        <f>L125</f>
        <v>0</v>
      </c>
      <c r="C128" s="70" t="str">
        <f>IF(VLOOKUP(B128,'x Malzemeler ve Özellikleri'!$B$2:$M$136,12,0)="ALÜMİNYUM",'1PROJE'!$H$10,"")</f>
        <v/>
      </c>
      <c r="D128" s="67">
        <f>O125</f>
        <v>0</v>
      </c>
      <c r="E128" s="69" t="e">
        <f>HLOOKUP(B128,xHesaplama!$AH$26:$FH$66,25,0)</f>
        <v>#N/A</v>
      </c>
      <c r="F128" s="76">
        <f t="shared" ref="F128:F164" si="21">T125*$C$124</f>
        <v>0</v>
      </c>
      <c r="G128" s="70">
        <f>M125</f>
        <v>0</v>
      </c>
      <c r="H128" s="69" t="str">
        <f t="shared" ref="H128:H164" si="22">IFERROR(E128*$C$124,"")</f>
        <v/>
      </c>
      <c r="I128" s="145">
        <v>0</v>
      </c>
      <c r="J128" s="619"/>
      <c r="K128" s="81">
        <f>IFERROR(VLOOKUP(B128,'x Malzemeler ve Özellikleri'!$O$1:$Q$181,3,0)*F128,0)</f>
        <v>0</v>
      </c>
      <c r="AW128" s="85">
        <f>VLOOKUP(AY128,'x Malzemeler ve Özellikleri'!B:C,2,0)</f>
        <v>0</v>
      </c>
    </row>
    <row r="129" spans="1:49" ht="19.5">
      <c r="A129" s="67">
        <f t="shared" ref="A129:A164" si="23">N126</f>
        <v>0</v>
      </c>
      <c r="B129" s="67">
        <f t="shared" ref="B129:B164" si="24">L126</f>
        <v>0</v>
      </c>
      <c r="C129" s="70" t="str">
        <f>IF(VLOOKUP(B129,'x Malzemeler ve Özellikleri'!$B$2:$M$136,12,0)="ALÜMİNYUM",'1PROJE'!$H$10,"")</f>
        <v/>
      </c>
      <c r="D129" s="67">
        <f t="shared" ref="D129:D164" si="25">O126</f>
        <v>0</v>
      </c>
      <c r="E129" s="69" t="e">
        <f>HLOOKUP(B129,xHesaplama!$AH$26:$FH$66,25,0)</f>
        <v>#N/A</v>
      </c>
      <c r="F129" s="76">
        <f t="shared" si="21"/>
        <v>0</v>
      </c>
      <c r="G129" s="70">
        <f t="shared" ref="G129:G164" si="26">M126</f>
        <v>0</v>
      </c>
      <c r="H129" s="69" t="str">
        <f t="shared" si="22"/>
        <v/>
      </c>
      <c r="I129" s="145">
        <v>0</v>
      </c>
      <c r="J129" s="619"/>
      <c r="K129" s="81">
        <f>IFERROR(VLOOKUP(B129,'x Malzemeler ve Özellikleri'!$O$1:$Q$181,3,0)*F129,0)</f>
        <v>0</v>
      </c>
      <c r="AW129" s="85">
        <f>VLOOKUP(AY129,'x Malzemeler ve Özellikleri'!B:C,2,0)</f>
        <v>0</v>
      </c>
    </row>
    <row r="130" spans="1:49" ht="19.5">
      <c r="A130" s="67">
        <f t="shared" si="23"/>
        <v>0</v>
      </c>
      <c r="B130" s="67">
        <f t="shared" si="24"/>
        <v>0</v>
      </c>
      <c r="C130" s="70" t="str">
        <f>IF(VLOOKUP(B130,'x Malzemeler ve Özellikleri'!$B$2:$M$136,12,0)="ALÜMİNYUM",'1PROJE'!$H$10,"")</f>
        <v/>
      </c>
      <c r="D130" s="67">
        <f t="shared" si="25"/>
        <v>0</v>
      </c>
      <c r="E130" s="69" t="e">
        <f>HLOOKUP(B130,xHesaplama!$AH$26:$FH$66,25,0)</f>
        <v>#N/A</v>
      </c>
      <c r="F130" s="76">
        <f t="shared" si="21"/>
        <v>0</v>
      </c>
      <c r="G130" s="70">
        <f t="shared" si="26"/>
        <v>0</v>
      </c>
      <c r="H130" s="69" t="str">
        <f t="shared" si="22"/>
        <v/>
      </c>
      <c r="I130" s="145">
        <v>0</v>
      </c>
      <c r="J130" s="619"/>
      <c r="K130" s="81">
        <f>IFERROR(VLOOKUP(B130,'x Malzemeler ve Özellikleri'!$O$1:$Q$181,3,0)*F130,0)</f>
        <v>0</v>
      </c>
      <c r="AW130" s="85">
        <f>VLOOKUP(AY130,'x Malzemeler ve Özellikleri'!B:C,2,0)</f>
        <v>0</v>
      </c>
    </row>
    <row r="131" spans="1:49" ht="19.5">
      <c r="A131" s="67">
        <f t="shared" si="23"/>
        <v>0</v>
      </c>
      <c r="B131" s="67">
        <f t="shared" si="24"/>
        <v>0</v>
      </c>
      <c r="C131" s="70" t="str">
        <f>IF(VLOOKUP(B131,'x Malzemeler ve Özellikleri'!$B$2:$M$136,12,0)="ALÜMİNYUM",'1PROJE'!$H$10,"")</f>
        <v/>
      </c>
      <c r="D131" s="67">
        <f t="shared" si="25"/>
        <v>0</v>
      </c>
      <c r="E131" s="69" t="e">
        <f>HLOOKUP(B131,xHesaplama!$AH$26:$FH$66,25,0)</f>
        <v>#N/A</v>
      </c>
      <c r="F131" s="76">
        <f t="shared" si="21"/>
        <v>0</v>
      </c>
      <c r="G131" s="70">
        <f t="shared" si="26"/>
        <v>0</v>
      </c>
      <c r="H131" s="69" t="str">
        <f t="shared" si="22"/>
        <v/>
      </c>
      <c r="I131" s="145">
        <v>0</v>
      </c>
      <c r="J131" s="619"/>
      <c r="K131" s="81">
        <f>IFERROR(VLOOKUP(B131,'x Malzemeler ve Özellikleri'!$O$1:$Q$181,3,0)*F131,0)</f>
        <v>0</v>
      </c>
      <c r="AW131" s="85">
        <f>VLOOKUP(AY131,'x Malzemeler ve Özellikleri'!B:C,2,0)</f>
        <v>0</v>
      </c>
    </row>
    <row r="132" spans="1:49" ht="19.5">
      <c r="A132" s="67">
        <f t="shared" si="23"/>
        <v>0</v>
      </c>
      <c r="B132" s="67">
        <f t="shared" si="24"/>
        <v>0</v>
      </c>
      <c r="C132" s="70" t="str">
        <f>IF(VLOOKUP(B132,'x Malzemeler ve Özellikleri'!$B$2:$M$136,12,0)="ALÜMİNYUM",'1PROJE'!$H$10,"")</f>
        <v/>
      </c>
      <c r="D132" s="67">
        <f t="shared" si="25"/>
        <v>0</v>
      </c>
      <c r="E132" s="69" t="e">
        <f>HLOOKUP(B132,xHesaplama!$AH$26:$FH$66,25,0)</f>
        <v>#N/A</v>
      </c>
      <c r="F132" s="76">
        <f t="shared" si="21"/>
        <v>0</v>
      </c>
      <c r="G132" s="70">
        <f t="shared" si="26"/>
        <v>0</v>
      </c>
      <c r="H132" s="69" t="str">
        <f t="shared" si="22"/>
        <v/>
      </c>
      <c r="I132" s="145">
        <v>0</v>
      </c>
      <c r="J132" s="619"/>
      <c r="K132" s="81">
        <f>IFERROR(VLOOKUP(B132,'x Malzemeler ve Özellikleri'!$O$1:$Q$181,3,0)*F132,0)</f>
        <v>0</v>
      </c>
      <c r="AW132" s="85">
        <f>VLOOKUP(AY132,'x Malzemeler ve Özellikleri'!B:C,2,0)</f>
        <v>0</v>
      </c>
    </row>
    <row r="133" spans="1:49" ht="19.5">
      <c r="A133" s="67">
        <f t="shared" si="23"/>
        <v>0</v>
      </c>
      <c r="B133" s="67">
        <f t="shared" si="24"/>
        <v>0</v>
      </c>
      <c r="C133" s="70" t="str">
        <f>IF(VLOOKUP(B133,'x Malzemeler ve Özellikleri'!$B$2:$M$136,12,0)="ALÜMİNYUM",'1PROJE'!$H$10,"")</f>
        <v/>
      </c>
      <c r="D133" s="67">
        <f t="shared" si="25"/>
        <v>0</v>
      </c>
      <c r="E133" s="69" t="e">
        <f>HLOOKUP(B133,xHesaplama!$AH$26:$FH$66,25,0)</f>
        <v>#N/A</v>
      </c>
      <c r="F133" s="76">
        <f t="shared" si="21"/>
        <v>0</v>
      </c>
      <c r="G133" s="70">
        <f t="shared" si="26"/>
        <v>0</v>
      </c>
      <c r="H133" s="69" t="str">
        <f t="shared" si="22"/>
        <v/>
      </c>
      <c r="I133" s="145">
        <v>0</v>
      </c>
      <c r="J133" s="619"/>
      <c r="K133" s="81">
        <f>IFERROR(VLOOKUP(B133,'x Malzemeler ve Özellikleri'!$O$1:$Q$181,3,0)*F133,0)</f>
        <v>0</v>
      </c>
      <c r="AW133" s="85">
        <f>VLOOKUP(AY133,'x Malzemeler ve Özellikleri'!B:C,2,0)</f>
        <v>0</v>
      </c>
    </row>
    <row r="134" spans="1:49" ht="19.5">
      <c r="A134" s="67">
        <f t="shared" si="23"/>
        <v>0</v>
      </c>
      <c r="B134" s="67">
        <f t="shared" si="24"/>
        <v>0</v>
      </c>
      <c r="C134" s="70" t="str">
        <f>IF(VLOOKUP(B134,'x Malzemeler ve Özellikleri'!$B$2:$M$136,12,0)="ALÜMİNYUM",'1PROJE'!$H$10,"")</f>
        <v/>
      </c>
      <c r="D134" s="67">
        <f t="shared" si="25"/>
        <v>0</v>
      </c>
      <c r="E134" s="69" t="e">
        <f>HLOOKUP(B134,xHesaplama!$AH$26:$FH$66,25,0)</f>
        <v>#N/A</v>
      </c>
      <c r="F134" s="76">
        <f t="shared" si="21"/>
        <v>0</v>
      </c>
      <c r="G134" s="70">
        <f t="shared" si="26"/>
        <v>0</v>
      </c>
      <c r="H134" s="69" t="str">
        <f t="shared" si="22"/>
        <v/>
      </c>
      <c r="I134" s="145">
        <v>0</v>
      </c>
      <c r="J134" s="619"/>
      <c r="K134" s="81">
        <f>IFERROR(VLOOKUP(B134,'x Malzemeler ve Özellikleri'!$O$1:$Q$181,3,0)*F134,0)</f>
        <v>0</v>
      </c>
      <c r="AW134" s="85">
        <f>VLOOKUP(AY134,'x Malzemeler ve Özellikleri'!B:C,2,0)</f>
        <v>0</v>
      </c>
    </row>
    <row r="135" spans="1:49" ht="19.5">
      <c r="A135" s="67">
        <f t="shared" si="23"/>
        <v>0</v>
      </c>
      <c r="B135" s="67">
        <f t="shared" si="24"/>
        <v>0</v>
      </c>
      <c r="C135" s="70" t="str">
        <f>IF(VLOOKUP(B135,'x Malzemeler ve Özellikleri'!$B$2:$M$136,12,0)="ALÜMİNYUM",'1PROJE'!$H$10,"")</f>
        <v/>
      </c>
      <c r="D135" s="67">
        <f t="shared" si="25"/>
        <v>0</v>
      </c>
      <c r="E135" s="69" t="e">
        <f>HLOOKUP(B135,xHesaplama!$AH$26:$FH$66,25,0)</f>
        <v>#N/A</v>
      </c>
      <c r="F135" s="76">
        <f t="shared" si="21"/>
        <v>0</v>
      </c>
      <c r="G135" s="70">
        <f t="shared" si="26"/>
        <v>0</v>
      </c>
      <c r="H135" s="69" t="str">
        <f t="shared" si="22"/>
        <v/>
      </c>
      <c r="I135" s="145">
        <v>0</v>
      </c>
      <c r="J135" s="619"/>
      <c r="K135" s="81">
        <f>IFERROR(VLOOKUP(B135,'x Malzemeler ve Özellikleri'!$O$1:$Q$181,3,0)*F135,0)</f>
        <v>0</v>
      </c>
      <c r="AW135" s="85">
        <f>VLOOKUP(AY135,'x Malzemeler ve Özellikleri'!B:C,2,0)</f>
        <v>0</v>
      </c>
    </row>
    <row r="136" spans="1:49" ht="19.5">
      <c r="A136" s="67">
        <f t="shared" si="23"/>
        <v>0</v>
      </c>
      <c r="B136" s="67">
        <f t="shared" si="24"/>
        <v>0</v>
      </c>
      <c r="C136" s="70" t="str">
        <f>IF(VLOOKUP(B136,'x Malzemeler ve Özellikleri'!$B$2:$M$136,12,0)="ALÜMİNYUM",'1PROJE'!$H$10,"")</f>
        <v/>
      </c>
      <c r="D136" s="67">
        <f t="shared" si="25"/>
        <v>0</v>
      </c>
      <c r="E136" s="69" t="e">
        <f>HLOOKUP(B136,xHesaplama!$AH$26:$FH$66,25,0)</f>
        <v>#N/A</v>
      </c>
      <c r="F136" s="76">
        <f t="shared" si="21"/>
        <v>0</v>
      </c>
      <c r="G136" s="70">
        <f t="shared" si="26"/>
        <v>0</v>
      </c>
      <c r="H136" s="69" t="str">
        <f t="shared" si="22"/>
        <v/>
      </c>
      <c r="I136" s="145">
        <v>0</v>
      </c>
      <c r="J136" s="619"/>
      <c r="K136" s="81">
        <f>IFERROR(VLOOKUP(B136,'x Malzemeler ve Özellikleri'!$O$1:$Q$181,3,0)*F136,0)</f>
        <v>0</v>
      </c>
      <c r="AW136" s="85">
        <f>VLOOKUP(AY136,'x Malzemeler ve Özellikleri'!B:C,2,0)</f>
        <v>0</v>
      </c>
    </row>
    <row r="137" spans="1:49" ht="19.5">
      <c r="A137" s="67">
        <f t="shared" si="23"/>
        <v>0</v>
      </c>
      <c r="B137" s="67">
        <f t="shared" si="24"/>
        <v>0</v>
      </c>
      <c r="C137" s="70" t="str">
        <f>IF(VLOOKUP(B137,'x Malzemeler ve Özellikleri'!$B$2:$M$136,12,0)="ALÜMİNYUM",'1PROJE'!$H$10,"")</f>
        <v/>
      </c>
      <c r="D137" s="67">
        <f t="shared" si="25"/>
        <v>0</v>
      </c>
      <c r="E137" s="69" t="e">
        <f>HLOOKUP(B137,xHesaplama!$AH$26:$FH$66,25,0)</f>
        <v>#N/A</v>
      </c>
      <c r="F137" s="76">
        <f t="shared" si="21"/>
        <v>0</v>
      </c>
      <c r="G137" s="70">
        <f t="shared" si="26"/>
        <v>0</v>
      </c>
      <c r="H137" s="69" t="str">
        <f t="shared" si="22"/>
        <v/>
      </c>
      <c r="I137" s="145">
        <v>0</v>
      </c>
      <c r="J137" s="619"/>
      <c r="K137" s="81">
        <f>IFERROR(VLOOKUP(B137,'x Malzemeler ve Özellikleri'!$O$1:$Q$181,3,0)*F137,0)</f>
        <v>0</v>
      </c>
      <c r="AW137" s="85">
        <f>VLOOKUP(AY137,'x Malzemeler ve Özellikleri'!B:C,2,0)</f>
        <v>0</v>
      </c>
    </row>
    <row r="138" spans="1:49" ht="19.5">
      <c r="A138" s="67">
        <f t="shared" si="23"/>
        <v>0</v>
      </c>
      <c r="B138" s="67">
        <f t="shared" si="24"/>
        <v>0</v>
      </c>
      <c r="C138" s="70" t="str">
        <f>IF(VLOOKUP(B138,'x Malzemeler ve Özellikleri'!$B$2:$M$136,12,0)="ALÜMİNYUM",'1PROJE'!$H$10,"")</f>
        <v/>
      </c>
      <c r="D138" s="67">
        <f t="shared" si="25"/>
        <v>0</v>
      </c>
      <c r="E138" s="69" t="e">
        <f>HLOOKUP(B138,xHesaplama!$AH$26:$FH$66,25,0)</f>
        <v>#N/A</v>
      </c>
      <c r="F138" s="76">
        <f t="shared" si="21"/>
        <v>0</v>
      </c>
      <c r="G138" s="70">
        <f t="shared" si="26"/>
        <v>0</v>
      </c>
      <c r="H138" s="69" t="str">
        <f t="shared" si="22"/>
        <v/>
      </c>
      <c r="I138" s="145">
        <v>0</v>
      </c>
      <c r="J138" s="619"/>
      <c r="K138" s="81">
        <f>IFERROR(VLOOKUP(B138,'x Malzemeler ve Özellikleri'!$O$1:$Q$181,3,0)*F138,0)</f>
        <v>0</v>
      </c>
      <c r="AW138" s="85">
        <f>VLOOKUP(AY138,'x Malzemeler ve Özellikleri'!B:C,2,0)</f>
        <v>0</v>
      </c>
    </row>
    <row r="139" spans="1:49" ht="19.5">
      <c r="A139" s="67">
        <f t="shared" si="23"/>
        <v>0</v>
      </c>
      <c r="B139" s="67">
        <f t="shared" si="24"/>
        <v>0</v>
      </c>
      <c r="C139" s="70" t="str">
        <f>IF(VLOOKUP(B139,'x Malzemeler ve Özellikleri'!$B$2:$M$136,12,0)="ALÜMİNYUM",'1PROJE'!$H$10,"")</f>
        <v/>
      </c>
      <c r="D139" s="67">
        <f t="shared" si="25"/>
        <v>0</v>
      </c>
      <c r="E139" s="69" t="e">
        <f>HLOOKUP(B139,xHesaplama!$AH$26:$FH$66,25,0)</f>
        <v>#N/A</v>
      </c>
      <c r="F139" s="76">
        <f t="shared" si="21"/>
        <v>0</v>
      </c>
      <c r="G139" s="70">
        <f t="shared" si="26"/>
        <v>0</v>
      </c>
      <c r="H139" s="69" t="str">
        <f t="shared" si="22"/>
        <v/>
      </c>
      <c r="I139" s="145">
        <v>0</v>
      </c>
      <c r="J139" s="619"/>
      <c r="K139" s="81">
        <f>IFERROR(VLOOKUP(B139,'x Malzemeler ve Özellikleri'!$O$1:$Q$181,3,0)*F139,0)</f>
        <v>0</v>
      </c>
      <c r="AW139" s="85">
        <f>VLOOKUP(AY139,'x Malzemeler ve Özellikleri'!B:C,2,0)</f>
        <v>0</v>
      </c>
    </row>
    <row r="140" spans="1:49" ht="19.5">
      <c r="A140" s="67">
        <f t="shared" si="23"/>
        <v>0</v>
      </c>
      <c r="B140" s="67">
        <f t="shared" si="24"/>
        <v>0</v>
      </c>
      <c r="C140" s="70" t="str">
        <f>IF(VLOOKUP(B140,'x Malzemeler ve Özellikleri'!$B$2:$M$136,12,0)="ALÜMİNYUM",'1PROJE'!$H$10,"")</f>
        <v/>
      </c>
      <c r="D140" s="67">
        <f t="shared" si="25"/>
        <v>0</v>
      </c>
      <c r="E140" s="69" t="e">
        <f>HLOOKUP(B140,xHesaplama!$AH$26:$FH$66,25,0)</f>
        <v>#N/A</v>
      </c>
      <c r="F140" s="76">
        <f t="shared" si="21"/>
        <v>0</v>
      </c>
      <c r="G140" s="70">
        <f t="shared" si="26"/>
        <v>0</v>
      </c>
      <c r="H140" s="69" t="str">
        <f t="shared" si="22"/>
        <v/>
      </c>
      <c r="I140" s="145">
        <v>0</v>
      </c>
      <c r="J140" s="619"/>
      <c r="K140" s="81">
        <f>IFERROR(VLOOKUP(B140,'x Malzemeler ve Özellikleri'!$O$1:$Q$181,3,0)*F140,0)</f>
        <v>0</v>
      </c>
      <c r="AW140" s="85">
        <f>VLOOKUP(AY140,'x Malzemeler ve Özellikleri'!B:C,2,0)</f>
        <v>0</v>
      </c>
    </row>
    <row r="141" spans="1:49" ht="19.5">
      <c r="A141" s="67">
        <f t="shared" si="23"/>
        <v>0</v>
      </c>
      <c r="B141" s="67">
        <f t="shared" si="24"/>
        <v>0</v>
      </c>
      <c r="C141" s="70" t="str">
        <f>IF(VLOOKUP(B141,'x Malzemeler ve Özellikleri'!$B$2:$M$136,12,0)="ALÜMİNYUM",'1PROJE'!$H$10,"")</f>
        <v/>
      </c>
      <c r="D141" s="67">
        <f t="shared" si="25"/>
        <v>0</v>
      </c>
      <c r="E141" s="69" t="e">
        <f>HLOOKUP(B141,xHesaplama!$AH$26:$FH$66,25,0)</f>
        <v>#N/A</v>
      </c>
      <c r="F141" s="76">
        <f t="shared" si="21"/>
        <v>0</v>
      </c>
      <c r="G141" s="70">
        <f t="shared" si="26"/>
        <v>0</v>
      </c>
      <c r="H141" s="69" t="str">
        <f t="shared" si="22"/>
        <v/>
      </c>
      <c r="I141" s="145">
        <v>0</v>
      </c>
      <c r="J141" s="619"/>
      <c r="K141" s="81">
        <f>IFERROR(VLOOKUP(B141,'x Malzemeler ve Özellikleri'!$O$1:$Q$181,3,0)*F141,0)</f>
        <v>0</v>
      </c>
      <c r="AW141" s="85">
        <f>VLOOKUP(AY141,'x Malzemeler ve Özellikleri'!B:C,2,0)</f>
        <v>0</v>
      </c>
    </row>
    <row r="142" spans="1:49" ht="19.5">
      <c r="A142" s="67">
        <f t="shared" si="23"/>
        <v>0</v>
      </c>
      <c r="B142" s="67">
        <f t="shared" si="24"/>
        <v>0</v>
      </c>
      <c r="C142" s="70" t="str">
        <f>IF(VLOOKUP(B142,'x Malzemeler ve Özellikleri'!$B$2:$M$136,12,0)="ALÜMİNYUM",'1PROJE'!$H$10,"")</f>
        <v/>
      </c>
      <c r="D142" s="67">
        <f t="shared" si="25"/>
        <v>0</v>
      </c>
      <c r="E142" s="69" t="e">
        <f>HLOOKUP(B142,xHesaplama!$AH$26:$FH$66,25,0)</f>
        <v>#N/A</v>
      </c>
      <c r="F142" s="76">
        <f t="shared" si="21"/>
        <v>0</v>
      </c>
      <c r="G142" s="70">
        <f t="shared" si="26"/>
        <v>0</v>
      </c>
      <c r="H142" s="69" t="str">
        <f t="shared" si="22"/>
        <v/>
      </c>
      <c r="I142" s="145">
        <v>0</v>
      </c>
      <c r="J142" s="619"/>
      <c r="K142" s="81">
        <f>IFERROR(VLOOKUP(B142,'x Malzemeler ve Özellikleri'!$O$1:$Q$181,3,0)*F142,0)</f>
        <v>0</v>
      </c>
      <c r="AW142" s="85">
        <f>VLOOKUP(AY142,'x Malzemeler ve Özellikleri'!B:C,2,0)</f>
        <v>0</v>
      </c>
    </row>
    <row r="143" spans="1:49" ht="19.5">
      <c r="A143" s="67">
        <f t="shared" si="23"/>
        <v>0</v>
      </c>
      <c r="B143" s="67">
        <f t="shared" si="24"/>
        <v>0</v>
      </c>
      <c r="C143" s="70" t="str">
        <f>IF(VLOOKUP(B143,'x Malzemeler ve Özellikleri'!$B$2:$M$136,12,0)="ALÜMİNYUM",'1PROJE'!$H$10,"")</f>
        <v/>
      </c>
      <c r="D143" s="67">
        <f t="shared" si="25"/>
        <v>0</v>
      </c>
      <c r="E143" s="69" t="e">
        <f>HLOOKUP(B143,xHesaplama!$AH$26:$FH$66,25,0)</f>
        <v>#N/A</v>
      </c>
      <c r="F143" s="76">
        <f t="shared" si="21"/>
        <v>0</v>
      </c>
      <c r="G143" s="70">
        <f t="shared" si="26"/>
        <v>0</v>
      </c>
      <c r="H143" s="69" t="str">
        <f t="shared" si="22"/>
        <v/>
      </c>
      <c r="I143" s="145">
        <v>0</v>
      </c>
      <c r="J143" s="619"/>
      <c r="K143" s="81">
        <f>IFERROR(VLOOKUP(B143,'x Malzemeler ve Özellikleri'!$O$1:$Q$181,3,0)*F143,0)</f>
        <v>0</v>
      </c>
      <c r="AW143" s="85">
        <f>VLOOKUP(AY143,'x Malzemeler ve Özellikleri'!B:C,2,0)</f>
        <v>0</v>
      </c>
    </row>
    <row r="144" spans="1:49" ht="19.5">
      <c r="A144" s="67">
        <f t="shared" si="23"/>
        <v>0</v>
      </c>
      <c r="B144" s="67">
        <f t="shared" si="24"/>
        <v>0</v>
      </c>
      <c r="C144" s="70" t="str">
        <f>IF(VLOOKUP(B144,'x Malzemeler ve Özellikleri'!$B$2:$M$136,12,0)="ALÜMİNYUM",'1PROJE'!$H$10,"")</f>
        <v/>
      </c>
      <c r="D144" s="67">
        <f t="shared" si="25"/>
        <v>0</v>
      </c>
      <c r="E144" s="69" t="e">
        <f>HLOOKUP(B144,xHesaplama!$AH$26:$FH$66,25,0)</f>
        <v>#N/A</v>
      </c>
      <c r="F144" s="76">
        <f t="shared" si="21"/>
        <v>0</v>
      </c>
      <c r="G144" s="70">
        <f t="shared" si="26"/>
        <v>0</v>
      </c>
      <c r="H144" s="69" t="str">
        <f t="shared" si="22"/>
        <v/>
      </c>
      <c r="I144" s="145">
        <v>0</v>
      </c>
      <c r="J144" s="619"/>
      <c r="K144" s="81">
        <f>IFERROR(VLOOKUP(B144,'x Malzemeler ve Özellikleri'!$O$1:$Q$181,3,0)*F144,0)</f>
        <v>0</v>
      </c>
      <c r="AW144" s="85">
        <f>VLOOKUP(AY144,'x Malzemeler ve Özellikleri'!B:C,2,0)</f>
        <v>0</v>
      </c>
    </row>
    <row r="145" spans="1:49" ht="19.5">
      <c r="A145" s="67">
        <f t="shared" si="23"/>
        <v>0</v>
      </c>
      <c r="B145" s="67">
        <f t="shared" si="24"/>
        <v>0</v>
      </c>
      <c r="C145" s="70" t="str">
        <f>IF(VLOOKUP(B145,'x Malzemeler ve Özellikleri'!$B$2:$M$136,12,0)="ALÜMİNYUM",'1PROJE'!$H$10,"")</f>
        <v/>
      </c>
      <c r="D145" s="67">
        <f t="shared" si="25"/>
        <v>0</v>
      </c>
      <c r="E145" s="69" t="e">
        <f>HLOOKUP(B145,xHesaplama!$AH$26:$FH$66,25,0)</f>
        <v>#N/A</v>
      </c>
      <c r="F145" s="76">
        <f t="shared" si="21"/>
        <v>0</v>
      </c>
      <c r="G145" s="70">
        <f t="shared" si="26"/>
        <v>0</v>
      </c>
      <c r="H145" s="69" t="str">
        <f t="shared" si="22"/>
        <v/>
      </c>
      <c r="I145" s="145">
        <v>0</v>
      </c>
      <c r="J145" s="619"/>
      <c r="K145" s="81">
        <f>IFERROR(VLOOKUP(B145,'x Malzemeler ve Özellikleri'!$O$1:$Q$181,3,0)*F145,0)</f>
        <v>0</v>
      </c>
      <c r="AW145" s="85">
        <f>VLOOKUP(AY145,'x Malzemeler ve Özellikleri'!B:C,2,0)</f>
        <v>0</v>
      </c>
    </row>
    <row r="146" spans="1:49" ht="19.5">
      <c r="A146" s="67">
        <f t="shared" si="23"/>
        <v>0</v>
      </c>
      <c r="B146" s="67">
        <f t="shared" si="24"/>
        <v>0</v>
      </c>
      <c r="C146" s="70" t="str">
        <f>IF(VLOOKUP(B146,'x Malzemeler ve Özellikleri'!$B$2:$M$136,12,0)="ALÜMİNYUM",'1PROJE'!$H$10,"")</f>
        <v/>
      </c>
      <c r="D146" s="67">
        <f t="shared" si="25"/>
        <v>0</v>
      </c>
      <c r="E146" s="69" t="e">
        <f>HLOOKUP(B146,xHesaplama!$AH$26:$FH$66,25,0)</f>
        <v>#N/A</v>
      </c>
      <c r="F146" s="76">
        <f t="shared" si="21"/>
        <v>0</v>
      </c>
      <c r="G146" s="70">
        <f t="shared" si="26"/>
        <v>0</v>
      </c>
      <c r="H146" s="69" t="str">
        <f t="shared" si="22"/>
        <v/>
      </c>
      <c r="I146" s="145">
        <v>0</v>
      </c>
      <c r="J146" s="619"/>
      <c r="K146" s="81">
        <f>IFERROR(VLOOKUP(B146,'x Malzemeler ve Özellikleri'!$O$1:$Q$181,3,0)*F146,0)</f>
        <v>0</v>
      </c>
      <c r="AW146" s="85">
        <f>VLOOKUP(AY146,'x Malzemeler ve Özellikleri'!B:C,2,0)</f>
        <v>0</v>
      </c>
    </row>
    <row r="147" spans="1:49" ht="19.5">
      <c r="A147" s="67">
        <f t="shared" si="23"/>
        <v>0</v>
      </c>
      <c r="B147" s="67">
        <f t="shared" si="24"/>
        <v>0</v>
      </c>
      <c r="C147" s="70" t="str">
        <f>IF(VLOOKUP(B147,'x Malzemeler ve Özellikleri'!$B$2:$M$136,12,0)="ALÜMİNYUM",'1PROJE'!$H$10,"")</f>
        <v/>
      </c>
      <c r="D147" s="67">
        <f t="shared" si="25"/>
        <v>0</v>
      </c>
      <c r="E147" s="69" t="e">
        <f>HLOOKUP(B147,xHesaplama!$AH$26:$FH$66,25,0)</f>
        <v>#N/A</v>
      </c>
      <c r="F147" s="76">
        <f t="shared" si="21"/>
        <v>0</v>
      </c>
      <c r="G147" s="70">
        <f t="shared" si="26"/>
        <v>0</v>
      </c>
      <c r="H147" s="69" t="str">
        <f t="shared" si="22"/>
        <v/>
      </c>
      <c r="I147" s="145">
        <v>0</v>
      </c>
      <c r="J147" s="619"/>
      <c r="K147" s="81">
        <f>IFERROR(VLOOKUP(B147,'x Malzemeler ve Özellikleri'!$O$1:$Q$181,3,0)*F147,0)</f>
        <v>0</v>
      </c>
      <c r="AW147" s="85">
        <f>VLOOKUP(AY147,'x Malzemeler ve Özellikleri'!B:C,2,0)</f>
        <v>0</v>
      </c>
    </row>
    <row r="148" spans="1:49" ht="19.5">
      <c r="A148" s="67">
        <f t="shared" si="23"/>
        <v>0</v>
      </c>
      <c r="B148" s="67">
        <f t="shared" si="24"/>
        <v>0</v>
      </c>
      <c r="C148" s="70" t="str">
        <f>IF(VLOOKUP(B148,'x Malzemeler ve Özellikleri'!$B$2:$M$136,12,0)="ALÜMİNYUM",'1PROJE'!$H$10,"")</f>
        <v/>
      </c>
      <c r="D148" s="67">
        <f t="shared" si="25"/>
        <v>0</v>
      </c>
      <c r="E148" s="69" t="e">
        <f>HLOOKUP(B148,xHesaplama!$AH$26:$FH$66,25,0)</f>
        <v>#N/A</v>
      </c>
      <c r="F148" s="76">
        <f t="shared" si="21"/>
        <v>0</v>
      </c>
      <c r="G148" s="70">
        <f t="shared" si="26"/>
        <v>0</v>
      </c>
      <c r="H148" s="69" t="str">
        <f t="shared" si="22"/>
        <v/>
      </c>
      <c r="I148" s="145">
        <v>0</v>
      </c>
      <c r="J148" s="619"/>
      <c r="K148" s="81">
        <f>IFERROR(VLOOKUP(B148,'x Malzemeler ve Özellikleri'!$O$1:$Q$181,3,0)*F148,0)</f>
        <v>0</v>
      </c>
      <c r="AW148" s="85">
        <f>VLOOKUP(AY148,'x Malzemeler ve Özellikleri'!B:C,2,0)</f>
        <v>0</v>
      </c>
    </row>
    <row r="149" spans="1:49" ht="19.5">
      <c r="A149" s="67">
        <f t="shared" si="23"/>
        <v>0</v>
      </c>
      <c r="B149" s="67">
        <f t="shared" si="24"/>
        <v>0</v>
      </c>
      <c r="C149" s="70" t="str">
        <f>IF(VLOOKUP(B149,'x Malzemeler ve Özellikleri'!$B$2:$M$136,12,0)="ALÜMİNYUM",'1PROJE'!$H$10,"")</f>
        <v/>
      </c>
      <c r="D149" s="67">
        <f t="shared" si="25"/>
        <v>0</v>
      </c>
      <c r="E149" s="69" t="e">
        <f>HLOOKUP(B149,xHesaplama!$AH$26:$FH$66,25,0)</f>
        <v>#N/A</v>
      </c>
      <c r="F149" s="76">
        <f t="shared" si="21"/>
        <v>0</v>
      </c>
      <c r="G149" s="70">
        <f t="shared" si="26"/>
        <v>0</v>
      </c>
      <c r="H149" s="69" t="str">
        <f t="shared" si="22"/>
        <v/>
      </c>
      <c r="I149" s="145">
        <v>0</v>
      </c>
      <c r="J149" s="619"/>
      <c r="K149" s="81">
        <f>IFERROR(VLOOKUP(B149,'x Malzemeler ve Özellikleri'!$O$1:$Q$181,3,0)*F149,0)</f>
        <v>0</v>
      </c>
      <c r="AW149" s="85">
        <f>VLOOKUP(AY149,'x Malzemeler ve Özellikleri'!B:C,2,0)</f>
        <v>0</v>
      </c>
    </row>
    <row r="150" spans="1:49" ht="19.5">
      <c r="A150" s="67">
        <f t="shared" si="23"/>
        <v>0</v>
      </c>
      <c r="B150" s="67">
        <f t="shared" si="24"/>
        <v>0</v>
      </c>
      <c r="C150" s="70" t="str">
        <f>IF(VLOOKUP(B150,'x Malzemeler ve Özellikleri'!$B$2:$M$136,12,0)="ALÜMİNYUM",'1PROJE'!$H$10,"")</f>
        <v/>
      </c>
      <c r="D150" s="67">
        <f t="shared" si="25"/>
        <v>0</v>
      </c>
      <c r="E150" s="69" t="e">
        <f>HLOOKUP(B150,xHesaplama!$AH$26:$FH$66,25,0)</f>
        <v>#N/A</v>
      </c>
      <c r="F150" s="76">
        <f t="shared" si="21"/>
        <v>0</v>
      </c>
      <c r="G150" s="70">
        <f t="shared" si="26"/>
        <v>0</v>
      </c>
      <c r="H150" s="69" t="str">
        <f t="shared" si="22"/>
        <v/>
      </c>
      <c r="I150" s="145">
        <v>0</v>
      </c>
      <c r="J150" s="619"/>
      <c r="K150" s="81">
        <f>IFERROR(VLOOKUP(B150,'x Malzemeler ve Özellikleri'!$O$1:$Q$181,3,0)*F150,0)</f>
        <v>0</v>
      </c>
      <c r="AW150" s="85">
        <f>VLOOKUP(AY150,'x Malzemeler ve Özellikleri'!B:C,2,0)</f>
        <v>0</v>
      </c>
    </row>
    <row r="151" spans="1:49" ht="19.5">
      <c r="A151" s="67">
        <f t="shared" si="23"/>
        <v>0</v>
      </c>
      <c r="B151" s="67">
        <f t="shared" si="24"/>
        <v>0</v>
      </c>
      <c r="C151" s="70" t="str">
        <f>IF(VLOOKUP(B151,'x Malzemeler ve Özellikleri'!$B$2:$M$136,12,0)="ALÜMİNYUM",'1PROJE'!$H$10,"")</f>
        <v/>
      </c>
      <c r="D151" s="67">
        <f t="shared" si="25"/>
        <v>0</v>
      </c>
      <c r="E151" s="69" t="e">
        <f>HLOOKUP(B151,xHesaplama!$AH$26:$FH$66,25,0)</f>
        <v>#N/A</v>
      </c>
      <c r="F151" s="76">
        <f t="shared" si="21"/>
        <v>0</v>
      </c>
      <c r="G151" s="70">
        <f t="shared" si="26"/>
        <v>0</v>
      </c>
      <c r="H151" s="69" t="str">
        <f t="shared" si="22"/>
        <v/>
      </c>
      <c r="I151" s="145">
        <v>0</v>
      </c>
      <c r="J151" s="619"/>
      <c r="K151" s="81">
        <f>IFERROR(VLOOKUP(B151,'x Malzemeler ve Özellikleri'!$O$1:$Q$181,3,0)*F151,0)</f>
        <v>0</v>
      </c>
      <c r="AW151" s="85">
        <f>VLOOKUP(AY151,'x Malzemeler ve Özellikleri'!B:C,2,0)</f>
        <v>0</v>
      </c>
    </row>
    <row r="152" spans="1:49" ht="19.5">
      <c r="A152" s="67">
        <f t="shared" si="23"/>
        <v>0</v>
      </c>
      <c r="B152" s="67">
        <f t="shared" si="24"/>
        <v>0</v>
      </c>
      <c r="C152" s="70" t="str">
        <f>IF(VLOOKUP(B152,'x Malzemeler ve Özellikleri'!$B$2:$M$136,12,0)="ALÜMİNYUM",'1PROJE'!$H$10,"")</f>
        <v/>
      </c>
      <c r="D152" s="67">
        <f t="shared" si="25"/>
        <v>0</v>
      </c>
      <c r="E152" s="69" t="e">
        <f>HLOOKUP(B152,xHesaplama!$AH$26:$FH$66,25,0)</f>
        <v>#N/A</v>
      </c>
      <c r="F152" s="76">
        <f t="shared" si="21"/>
        <v>0</v>
      </c>
      <c r="G152" s="70">
        <f t="shared" si="26"/>
        <v>0</v>
      </c>
      <c r="H152" s="69" t="str">
        <f t="shared" si="22"/>
        <v/>
      </c>
      <c r="I152" s="145">
        <v>0</v>
      </c>
      <c r="J152" s="619"/>
      <c r="K152" s="81">
        <f>IFERROR(VLOOKUP(B152,'x Malzemeler ve Özellikleri'!$O$1:$Q$181,3,0)*F152,0)</f>
        <v>0</v>
      </c>
      <c r="AW152" s="85">
        <f>VLOOKUP(AY152,'x Malzemeler ve Özellikleri'!B:C,2,0)</f>
        <v>0</v>
      </c>
    </row>
    <row r="153" spans="1:49" ht="19.5">
      <c r="A153" s="67">
        <f t="shared" si="23"/>
        <v>0</v>
      </c>
      <c r="B153" s="67">
        <f t="shared" si="24"/>
        <v>0</v>
      </c>
      <c r="C153" s="70" t="str">
        <f>IF(VLOOKUP(B153,'x Malzemeler ve Özellikleri'!$B$2:$M$136,12,0)="ALÜMİNYUM",'1PROJE'!$H$10,"")</f>
        <v/>
      </c>
      <c r="D153" s="67">
        <f t="shared" si="25"/>
        <v>0</v>
      </c>
      <c r="E153" s="69" t="e">
        <f>HLOOKUP(B153,xHesaplama!$AH$26:$FH$66,25,0)</f>
        <v>#N/A</v>
      </c>
      <c r="F153" s="76">
        <f t="shared" si="21"/>
        <v>0</v>
      </c>
      <c r="G153" s="70">
        <f t="shared" si="26"/>
        <v>0</v>
      </c>
      <c r="H153" s="69" t="str">
        <f t="shared" si="22"/>
        <v/>
      </c>
      <c r="I153" s="145">
        <v>0</v>
      </c>
      <c r="J153" s="619"/>
      <c r="K153" s="81">
        <f>IFERROR(VLOOKUP(B153,'x Malzemeler ve Özellikleri'!$O$1:$Q$181,3,0)*F153,0)</f>
        <v>0</v>
      </c>
      <c r="AW153" s="85">
        <f>VLOOKUP(AY153,'x Malzemeler ve Özellikleri'!B:C,2,0)</f>
        <v>0</v>
      </c>
    </row>
    <row r="154" spans="1:49" ht="19.5">
      <c r="A154" s="67">
        <f t="shared" si="23"/>
        <v>0</v>
      </c>
      <c r="B154" s="67">
        <f t="shared" si="24"/>
        <v>0</v>
      </c>
      <c r="C154" s="70" t="str">
        <f>IF(VLOOKUP(B154,'x Malzemeler ve Özellikleri'!$B$2:$M$136,12,0)="ALÜMİNYUM",'1PROJE'!$H$10,"")</f>
        <v/>
      </c>
      <c r="D154" s="67">
        <f t="shared" si="25"/>
        <v>0</v>
      </c>
      <c r="E154" s="69" t="e">
        <f>HLOOKUP(B154,xHesaplama!$AH$26:$FH$66,25,0)</f>
        <v>#N/A</v>
      </c>
      <c r="F154" s="76">
        <f t="shared" si="21"/>
        <v>0</v>
      </c>
      <c r="G154" s="70">
        <f t="shared" si="26"/>
        <v>0</v>
      </c>
      <c r="H154" s="69" t="str">
        <f t="shared" si="22"/>
        <v/>
      </c>
      <c r="I154" s="145">
        <v>0</v>
      </c>
      <c r="J154" s="619"/>
      <c r="K154" s="81">
        <f>IFERROR(VLOOKUP(B154,'x Malzemeler ve Özellikleri'!$O$1:$Q$181,3,0)*F154,0)</f>
        <v>0</v>
      </c>
      <c r="AW154" s="85">
        <f>VLOOKUP(AY154,'x Malzemeler ve Özellikleri'!B:C,2,0)</f>
        <v>0</v>
      </c>
    </row>
    <row r="155" spans="1:49" ht="19.5">
      <c r="A155" s="67">
        <f t="shared" si="23"/>
        <v>0</v>
      </c>
      <c r="B155" s="67">
        <f t="shared" si="24"/>
        <v>0</v>
      </c>
      <c r="C155" s="70" t="str">
        <f>IF(VLOOKUP(B155,'x Malzemeler ve Özellikleri'!$B$2:$M$136,12,0)="ALÜMİNYUM",'1PROJE'!$H$10,"")</f>
        <v/>
      </c>
      <c r="D155" s="67">
        <f t="shared" si="25"/>
        <v>0</v>
      </c>
      <c r="E155" s="69" t="e">
        <f>HLOOKUP(B155,xHesaplama!$AH$26:$FH$66,25,0)</f>
        <v>#N/A</v>
      </c>
      <c r="F155" s="76">
        <f t="shared" si="21"/>
        <v>0</v>
      </c>
      <c r="G155" s="70">
        <f t="shared" si="26"/>
        <v>0</v>
      </c>
      <c r="H155" s="69" t="str">
        <f t="shared" si="22"/>
        <v/>
      </c>
      <c r="I155" s="145">
        <v>0</v>
      </c>
      <c r="J155" s="619"/>
      <c r="K155" s="81">
        <f>IFERROR(VLOOKUP(B155,'x Malzemeler ve Özellikleri'!$O$1:$Q$181,3,0)*F155,0)</f>
        <v>0</v>
      </c>
      <c r="AW155" s="85">
        <f>VLOOKUP(AY155,'x Malzemeler ve Özellikleri'!B:C,2,0)</f>
        <v>0</v>
      </c>
    </row>
    <row r="156" spans="1:49" ht="19.5">
      <c r="A156" s="67">
        <f t="shared" si="23"/>
        <v>0</v>
      </c>
      <c r="B156" s="67">
        <f t="shared" si="24"/>
        <v>0</v>
      </c>
      <c r="C156" s="70" t="str">
        <f>IF(VLOOKUP(B156,'x Malzemeler ve Özellikleri'!$B$2:$M$136,12,0)="ALÜMİNYUM",'1PROJE'!$H$10,"")</f>
        <v/>
      </c>
      <c r="D156" s="67">
        <f t="shared" si="25"/>
        <v>0</v>
      </c>
      <c r="E156" s="69" t="e">
        <f>HLOOKUP(B156,xHesaplama!$AH$26:$FH$66,25,0)</f>
        <v>#N/A</v>
      </c>
      <c r="F156" s="76">
        <f t="shared" si="21"/>
        <v>0</v>
      </c>
      <c r="G156" s="70">
        <f t="shared" si="26"/>
        <v>0</v>
      </c>
      <c r="H156" s="69" t="str">
        <f t="shared" si="22"/>
        <v/>
      </c>
      <c r="I156" s="145">
        <v>0</v>
      </c>
      <c r="J156" s="619"/>
      <c r="K156" s="81">
        <f>IFERROR(VLOOKUP(B156,'x Malzemeler ve Özellikleri'!$O$1:$Q$181,3,0)*F156,0)</f>
        <v>0</v>
      </c>
      <c r="AW156" s="85">
        <f>VLOOKUP(AY156,'x Malzemeler ve Özellikleri'!B:C,2,0)</f>
        <v>0</v>
      </c>
    </row>
    <row r="157" spans="1:49" ht="19.5">
      <c r="A157" s="67">
        <f t="shared" si="23"/>
        <v>0</v>
      </c>
      <c r="B157" s="67">
        <f t="shared" si="24"/>
        <v>0</v>
      </c>
      <c r="C157" s="70" t="str">
        <f>IF(VLOOKUP(B157,'x Malzemeler ve Özellikleri'!$B$2:$M$136,12,0)="ALÜMİNYUM",'1PROJE'!$H$10,"")</f>
        <v/>
      </c>
      <c r="D157" s="67">
        <f t="shared" si="25"/>
        <v>0</v>
      </c>
      <c r="E157" s="69" t="e">
        <f>HLOOKUP(B157,xHesaplama!$AH$26:$FH$66,25,0)</f>
        <v>#N/A</v>
      </c>
      <c r="F157" s="76">
        <f t="shared" si="21"/>
        <v>0</v>
      </c>
      <c r="G157" s="70">
        <f t="shared" si="26"/>
        <v>0</v>
      </c>
      <c r="H157" s="69" t="str">
        <f t="shared" si="22"/>
        <v/>
      </c>
      <c r="I157" s="145">
        <v>0</v>
      </c>
      <c r="J157" s="619"/>
      <c r="K157" s="81">
        <f>IFERROR(VLOOKUP(B157,'x Malzemeler ve Özellikleri'!$O$1:$Q$181,3,0)*F157,0)</f>
        <v>0</v>
      </c>
      <c r="AW157" s="85">
        <f>VLOOKUP(AY157,'x Malzemeler ve Özellikleri'!B:C,2,0)</f>
        <v>0</v>
      </c>
    </row>
    <row r="158" spans="1:49" ht="19.5">
      <c r="A158" s="67">
        <f t="shared" si="23"/>
        <v>0</v>
      </c>
      <c r="B158" s="67">
        <f t="shared" si="24"/>
        <v>0</v>
      </c>
      <c r="C158" s="70" t="str">
        <f>IF(VLOOKUP(B158,'x Malzemeler ve Özellikleri'!$B$2:$M$136,12,0)="ALÜMİNYUM",'1PROJE'!$H$10,"")</f>
        <v/>
      </c>
      <c r="D158" s="67">
        <f t="shared" si="25"/>
        <v>0</v>
      </c>
      <c r="E158" s="69" t="e">
        <f>HLOOKUP(B158,xHesaplama!$AH$26:$FH$66,25,0)</f>
        <v>#N/A</v>
      </c>
      <c r="F158" s="76">
        <f t="shared" si="21"/>
        <v>0</v>
      </c>
      <c r="G158" s="70">
        <f t="shared" si="26"/>
        <v>0</v>
      </c>
      <c r="H158" s="69" t="str">
        <f t="shared" si="22"/>
        <v/>
      </c>
      <c r="I158" s="145">
        <v>0</v>
      </c>
      <c r="J158" s="619"/>
      <c r="K158" s="81">
        <f>IFERROR(VLOOKUP(B158,'x Malzemeler ve Özellikleri'!$O$1:$Q$181,3,0)*F158,0)</f>
        <v>0</v>
      </c>
      <c r="AW158" s="85">
        <f>VLOOKUP(AY158,'x Malzemeler ve Özellikleri'!B:C,2,0)</f>
        <v>0</v>
      </c>
    </row>
    <row r="159" spans="1:49" ht="19.5">
      <c r="A159" s="67">
        <f t="shared" si="23"/>
        <v>0</v>
      </c>
      <c r="B159" s="67">
        <f t="shared" si="24"/>
        <v>0</v>
      </c>
      <c r="C159" s="70" t="str">
        <f>IF(VLOOKUP(B159,'x Malzemeler ve Özellikleri'!$B$2:$M$136,12,0)="ALÜMİNYUM",'1PROJE'!$H$10,"")</f>
        <v/>
      </c>
      <c r="D159" s="67">
        <f t="shared" si="25"/>
        <v>0</v>
      </c>
      <c r="E159" s="69" t="e">
        <f>HLOOKUP(B159,xHesaplama!$AH$26:$FH$66,25,0)</f>
        <v>#N/A</v>
      </c>
      <c r="F159" s="76">
        <f t="shared" si="21"/>
        <v>0</v>
      </c>
      <c r="G159" s="70">
        <f t="shared" si="26"/>
        <v>0</v>
      </c>
      <c r="H159" s="69" t="str">
        <f t="shared" si="22"/>
        <v/>
      </c>
      <c r="I159" s="145">
        <v>0</v>
      </c>
      <c r="J159" s="619"/>
      <c r="K159" s="81">
        <f>IFERROR(VLOOKUP(B159,'x Malzemeler ve Özellikleri'!$O$1:$Q$181,3,0)*F159,0)</f>
        <v>0</v>
      </c>
      <c r="AW159" s="85">
        <f>VLOOKUP(AY159,'x Malzemeler ve Özellikleri'!B:C,2,0)</f>
        <v>0</v>
      </c>
    </row>
    <row r="160" spans="1:49" ht="19.5">
      <c r="A160" s="67">
        <f t="shared" si="23"/>
        <v>0</v>
      </c>
      <c r="B160" s="67">
        <f t="shared" si="24"/>
        <v>0</v>
      </c>
      <c r="C160" s="70" t="str">
        <f>IF(VLOOKUP(B160,'x Malzemeler ve Özellikleri'!$B$2:$M$136,12,0)="ALÜMİNYUM",'1PROJE'!$H$10,"")</f>
        <v/>
      </c>
      <c r="D160" s="67">
        <f t="shared" si="25"/>
        <v>0</v>
      </c>
      <c r="E160" s="69" t="e">
        <f>HLOOKUP(B160,xHesaplama!$AH$26:$FH$66,25,0)</f>
        <v>#N/A</v>
      </c>
      <c r="F160" s="76">
        <f t="shared" si="21"/>
        <v>0</v>
      </c>
      <c r="G160" s="70">
        <f t="shared" si="26"/>
        <v>0</v>
      </c>
      <c r="H160" s="69" t="str">
        <f t="shared" si="22"/>
        <v/>
      </c>
      <c r="I160" s="145">
        <v>0</v>
      </c>
      <c r="J160" s="619"/>
      <c r="K160" s="81">
        <f>IFERROR(VLOOKUP(B160,'x Malzemeler ve Özellikleri'!$O$1:$Q$181,3,0)*F160,0)</f>
        <v>0</v>
      </c>
      <c r="AW160" s="85">
        <f>VLOOKUP(AY160,'x Malzemeler ve Özellikleri'!B:C,2,0)</f>
        <v>0</v>
      </c>
    </row>
    <row r="161" spans="1:49" ht="19.5">
      <c r="A161" s="67">
        <f t="shared" si="23"/>
        <v>0</v>
      </c>
      <c r="B161" s="67">
        <f t="shared" si="24"/>
        <v>0</v>
      </c>
      <c r="C161" s="70" t="str">
        <f>IF(VLOOKUP(B161,'x Malzemeler ve Özellikleri'!$B$2:$M$136,12,0)="ALÜMİNYUM",'1PROJE'!$H$10,"")</f>
        <v/>
      </c>
      <c r="D161" s="67">
        <f t="shared" si="25"/>
        <v>0</v>
      </c>
      <c r="E161" s="69" t="e">
        <f>HLOOKUP(B161,xHesaplama!$AH$26:$FH$66,25,0)</f>
        <v>#N/A</v>
      </c>
      <c r="F161" s="76">
        <f t="shared" si="21"/>
        <v>0</v>
      </c>
      <c r="G161" s="70">
        <f t="shared" si="26"/>
        <v>0</v>
      </c>
      <c r="H161" s="69" t="str">
        <f t="shared" si="22"/>
        <v/>
      </c>
      <c r="I161" s="145">
        <v>0</v>
      </c>
      <c r="J161" s="619"/>
      <c r="K161" s="81">
        <f>IFERROR(VLOOKUP(B161,'x Malzemeler ve Özellikleri'!$O$1:$Q$181,3,0)*F161,0)</f>
        <v>0</v>
      </c>
      <c r="AW161" s="85">
        <f>VLOOKUP(AY161,'x Malzemeler ve Özellikleri'!B:C,2,0)</f>
        <v>0</v>
      </c>
    </row>
    <row r="162" spans="1:49" ht="19.5">
      <c r="A162" s="67">
        <f t="shared" si="23"/>
        <v>0</v>
      </c>
      <c r="B162" s="67">
        <f t="shared" si="24"/>
        <v>0</v>
      </c>
      <c r="C162" s="70" t="str">
        <f>IF(VLOOKUP(B162,'x Malzemeler ve Özellikleri'!$B$2:$M$136,12,0)="ALÜMİNYUM",'1PROJE'!$H$10,"")</f>
        <v/>
      </c>
      <c r="D162" s="67">
        <f t="shared" si="25"/>
        <v>0</v>
      </c>
      <c r="E162" s="69" t="e">
        <f>HLOOKUP(B162,xHesaplama!$AH$26:$FH$66,25,0)</f>
        <v>#N/A</v>
      </c>
      <c r="F162" s="76">
        <f t="shared" si="21"/>
        <v>0</v>
      </c>
      <c r="G162" s="70">
        <f t="shared" si="26"/>
        <v>0</v>
      </c>
      <c r="H162" s="69" t="str">
        <f t="shared" si="22"/>
        <v/>
      </c>
      <c r="I162" s="145">
        <v>0</v>
      </c>
      <c r="J162" s="619"/>
      <c r="K162" s="81">
        <f>IFERROR(VLOOKUP(B162,'x Malzemeler ve Özellikleri'!$O$1:$Q$181,3,0)*F162,0)</f>
        <v>0</v>
      </c>
      <c r="AW162" s="85">
        <f>VLOOKUP(AY162,'x Malzemeler ve Özellikleri'!B:C,2,0)</f>
        <v>0</v>
      </c>
    </row>
    <row r="163" spans="1:49" ht="19.5">
      <c r="A163" s="67">
        <f t="shared" si="23"/>
        <v>0</v>
      </c>
      <c r="B163" s="67">
        <f t="shared" si="24"/>
        <v>0</v>
      </c>
      <c r="C163" s="70" t="str">
        <f>IF(VLOOKUP(B163,'x Malzemeler ve Özellikleri'!$B$2:$M$136,12,0)="ALÜMİNYUM",'1PROJE'!$H$10,"")</f>
        <v/>
      </c>
      <c r="D163" s="67">
        <f t="shared" si="25"/>
        <v>0</v>
      </c>
      <c r="E163" s="69" t="e">
        <f>HLOOKUP(B163,xHesaplama!$AH$26:$FH$66,25,0)</f>
        <v>#N/A</v>
      </c>
      <c r="F163" s="76">
        <f t="shared" si="21"/>
        <v>0</v>
      </c>
      <c r="G163" s="70">
        <f t="shared" si="26"/>
        <v>0</v>
      </c>
      <c r="H163" s="69" t="str">
        <f t="shared" si="22"/>
        <v/>
      </c>
      <c r="I163" s="145">
        <v>0</v>
      </c>
      <c r="J163" s="619"/>
      <c r="K163" s="81">
        <f>IFERROR(VLOOKUP(B163,'x Malzemeler ve Özellikleri'!$O$1:$Q$181,3,0)*F163,0)</f>
        <v>0</v>
      </c>
      <c r="AW163" s="85">
        <f>VLOOKUP(AY163,'x Malzemeler ve Özellikleri'!B:C,2,0)</f>
        <v>0</v>
      </c>
    </row>
    <row r="164" spans="1:49" ht="20.25" thickBot="1">
      <c r="A164" s="67">
        <f t="shared" si="23"/>
        <v>0</v>
      </c>
      <c r="B164" s="67">
        <f t="shared" si="24"/>
        <v>0</v>
      </c>
      <c r="C164" s="70" t="str">
        <f>IF(VLOOKUP(B164,'x Malzemeler ve Özellikleri'!$B$2:$M$136,12,0)="ALÜMİNYUM",'1PROJE'!$H$10,"")</f>
        <v/>
      </c>
      <c r="D164" s="67">
        <f t="shared" si="25"/>
        <v>0</v>
      </c>
      <c r="E164" s="69" t="e">
        <f>HLOOKUP(B164,xHesaplama!$AH$26:$FH$66,25,0)</f>
        <v>#N/A</v>
      </c>
      <c r="F164" s="76">
        <f t="shared" si="21"/>
        <v>0</v>
      </c>
      <c r="G164" s="70">
        <f t="shared" si="26"/>
        <v>0</v>
      </c>
      <c r="H164" s="69" t="str">
        <f t="shared" si="22"/>
        <v/>
      </c>
      <c r="I164" s="145">
        <v>0</v>
      </c>
      <c r="J164" s="620"/>
      <c r="K164" s="81">
        <f>IFERROR(VLOOKUP(B164,'x Malzemeler ve Özellikleri'!$O$1:$Q$181,3,0)*F164,0)</f>
        <v>0</v>
      </c>
      <c r="AW164" s="85">
        <f>VLOOKUP(AY164,'x Malzemeler ve Özellikleri'!B:C,2,0)</f>
        <v>0</v>
      </c>
    </row>
    <row r="165" spans="1:49" ht="30" thickBot="1">
      <c r="A165" s="64" t="str">
        <f>"POZ"&amp;" "&amp;J166</f>
        <v>POZ 5</v>
      </c>
      <c r="C165" s="243">
        <f>xHesaplama!C31</f>
        <v>0</v>
      </c>
      <c r="D165" s="64" t="s">
        <v>357</v>
      </c>
      <c r="F165" s="74"/>
      <c r="G165" s="72" t="s">
        <v>786</v>
      </c>
      <c r="H165" s="65"/>
      <c r="I165" s="71">
        <f>SUM(H167:H205)</f>
        <v>0</v>
      </c>
      <c r="L165" t="str" cm="1">
        <f t="array" ref="L165:AJ165">_xlfn._xlws.FILTER(REÇETE!$D$11:$AB$142,REÇETE!$M$11:$M$142&lt;&gt;"","")</f>
        <v>EXCEL KODU</v>
      </c>
      <c r="M165" t="str">
        <v>PARÇA BİRİM</v>
      </c>
      <c r="N165" t="str">
        <v>PARÇA ADI</v>
      </c>
      <c r="O165" t="str">
        <v>MALZEME KODU</v>
      </c>
      <c r="P165" t="str">
        <v>BİRİM FİYAT</v>
      </c>
      <c r="Q165" t="str">
        <v>POZ 1</v>
      </c>
      <c r="R165" t="str">
        <v>POZ 2</v>
      </c>
      <c r="S165" t="str">
        <v>POZ 3</v>
      </c>
      <c r="T165" t="str">
        <v>POZ 4</v>
      </c>
      <c r="U165" t="str">
        <v>POZ 5</v>
      </c>
      <c r="V165" t="str">
        <v>POZ 6</v>
      </c>
      <c r="W165" t="str">
        <v>POZ 7</v>
      </c>
      <c r="X165" t="str">
        <v>POZ 8</v>
      </c>
      <c r="Y165" t="str">
        <v>POZ 9</v>
      </c>
      <c r="Z165" t="str">
        <v>POZ 10</v>
      </c>
      <c r="AA165" t="str">
        <v>POZ 11</v>
      </c>
      <c r="AB165" t="str">
        <v>POZ 12</v>
      </c>
      <c r="AC165" t="str">
        <v>POZ 13</v>
      </c>
      <c r="AD165" t="str">
        <v>POZ 14</v>
      </c>
      <c r="AE165" t="str">
        <v>POZ 15</v>
      </c>
      <c r="AF165" t="str">
        <v>POZ 16</v>
      </c>
      <c r="AG165" t="str">
        <v>POZ 17</v>
      </c>
      <c r="AH165" t="str">
        <v>POZ 18</v>
      </c>
      <c r="AI165" t="str">
        <v>POZ 19</v>
      </c>
      <c r="AJ165" t="str">
        <v>POZ 20</v>
      </c>
      <c r="AW165" s="85">
        <f>VLOOKUP(AY165,'x Malzemeler ve Özellikleri'!B:C,2,0)</f>
        <v>0</v>
      </c>
    </row>
    <row r="166" spans="1:49">
      <c r="A166" s="66" t="s">
        <v>782</v>
      </c>
      <c r="B166" s="66" t="s">
        <v>409</v>
      </c>
      <c r="C166" s="68"/>
      <c r="D166" s="66" t="s">
        <v>15</v>
      </c>
      <c r="E166" s="68" t="s">
        <v>808</v>
      </c>
      <c r="F166" s="75" t="s">
        <v>785</v>
      </c>
      <c r="G166" s="68" t="s">
        <v>650</v>
      </c>
      <c r="H166" s="68" t="s">
        <v>355</v>
      </c>
      <c r="J166" s="618">
        <v>5</v>
      </c>
      <c r="K166" s="221">
        <f>SUM(K167:K205)</f>
        <v>0</v>
      </c>
      <c r="AW166" s="85">
        <f>VLOOKUP(AY166,'x Malzemeler ve Özellikleri'!B:C,2,0)</f>
        <v>0</v>
      </c>
    </row>
    <row r="167" spans="1:49" ht="19.5">
      <c r="A167" s="67">
        <f>xHesaplama!H31</f>
        <v>0</v>
      </c>
      <c r="B167" s="67"/>
      <c r="C167" s="70">
        <f>xHesaplama!I31</f>
        <v>0</v>
      </c>
      <c r="D167" s="67">
        <f>xHesaplama!I31</f>
        <v>0</v>
      </c>
      <c r="E167" s="69" t="e">
        <f>xHesaplama!AC31</f>
        <v>#N/A</v>
      </c>
      <c r="F167" s="76">
        <f>xHesaplama!AD31*C165</f>
        <v>0</v>
      </c>
      <c r="G167" s="70" t="s">
        <v>817</v>
      </c>
      <c r="H167" s="69">
        <f t="shared" ref="H167:H168" si="27">IFERROR(E167*F167,0)</f>
        <v>0</v>
      </c>
      <c r="I167" s="145">
        <v>0</v>
      </c>
      <c r="J167" s="619"/>
      <c r="K167" s="81">
        <f>IFERROR(VLOOKUP(A167,'x Malzemeler ve Özellikleri'!$N$1:$Q$181,4,0)*F167,0)</f>
        <v>0</v>
      </c>
      <c r="AN167" s="84" cm="1">
        <f t="array" ref="AN167">_xlfn._xlws.FILTER(A167:I205,I167:I205,0)</f>
        <v>0</v>
      </c>
      <c r="AW167" s="85">
        <f>VLOOKUP(AY167,'x Malzemeler ve Özellikleri'!B:C,2,0)</f>
        <v>0</v>
      </c>
    </row>
    <row r="168" spans="1:49" ht="19.5">
      <c r="A168" s="67" t="s">
        <v>105</v>
      </c>
      <c r="B168" s="67"/>
      <c r="C168" s="70"/>
      <c r="D168" s="67">
        <f>xHesaplama!J31</f>
        <v>0</v>
      </c>
      <c r="E168" s="69" t="e">
        <f>xHesaplama!AB31</f>
        <v>#N/A</v>
      </c>
      <c r="F168" s="76">
        <f>C165</f>
        <v>0</v>
      </c>
      <c r="G168" s="70" t="s">
        <v>357</v>
      </c>
      <c r="H168" s="69">
        <f t="shared" si="27"/>
        <v>0</v>
      </c>
      <c r="I168" s="145">
        <v>0</v>
      </c>
      <c r="J168" s="619"/>
      <c r="K168" s="81">
        <f>IFERROR(VLOOKUP(D168,'x Malzemeler ve Özellikleri'!$N$1:$Q$181,4,0)*F168,0)</f>
        <v>0</v>
      </c>
      <c r="AW168" s="85">
        <f>VLOOKUP(AY168,'x Malzemeler ve Özellikleri'!B:C,2,0)</f>
        <v>0</v>
      </c>
    </row>
    <row r="169" spans="1:49" ht="19.5">
      <c r="A169" s="67">
        <f>N166</f>
        <v>0</v>
      </c>
      <c r="B169" s="67">
        <f>L166</f>
        <v>0</v>
      </c>
      <c r="C169" s="70" t="str">
        <f>IF(VLOOKUP(B169,'x Malzemeler ve Özellikleri'!$B$2:$M$136,12,0)="ALÜMİNYUM",'1PROJE'!$H$11,"")</f>
        <v/>
      </c>
      <c r="D169" s="67">
        <f>O166</f>
        <v>0</v>
      </c>
      <c r="E169" s="69" t="e">
        <f>HLOOKUP(B169,xHesaplama!$AH$26:$FH$66,26,0)</f>
        <v>#N/A</v>
      </c>
      <c r="F169" s="76">
        <f t="shared" ref="F169:F205" si="28">U166*$C$165</f>
        <v>0</v>
      </c>
      <c r="G169" s="70">
        <f>M166</f>
        <v>0</v>
      </c>
      <c r="H169" s="69" t="str">
        <f t="shared" ref="H169:H205" si="29">IFERROR(E169*$C$165,"")</f>
        <v/>
      </c>
      <c r="I169" s="145">
        <v>0</v>
      </c>
      <c r="J169" s="619"/>
      <c r="K169" s="81">
        <f>IFERROR(VLOOKUP(B169,'x Malzemeler ve Özellikleri'!$O$1:$Q$181,3,0)*F169,0)</f>
        <v>0</v>
      </c>
      <c r="AW169" s="85">
        <f>VLOOKUP(AY169,'x Malzemeler ve Özellikleri'!B:C,2,0)</f>
        <v>0</v>
      </c>
    </row>
    <row r="170" spans="1:49" ht="19.5">
      <c r="A170" s="67">
        <f t="shared" ref="A170:A205" si="30">N167</f>
        <v>0</v>
      </c>
      <c r="B170" s="67">
        <f t="shared" ref="B170:B205" si="31">L167</f>
        <v>0</v>
      </c>
      <c r="C170" s="70" t="str">
        <f>IF(VLOOKUP(B170,'x Malzemeler ve Özellikleri'!$B$2:$M$136,12,0)="ALÜMİNYUM",'1PROJE'!$H$11,"")</f>
        <v/>
      </c>
      <c r="D170" s="67">
        <f t="shared" ref="D170:D205" si="32">O167</f>
        <v>0</v>
      </c>
      <c r="E170" s="69" t="e">
        <f>HLOOKUP(B170,xHesaplama!$AH$26:$FH$66,26,0)</f>
        <v>#N/A</v>
      </c>
      <c r="F170" s="76">
        <f t="shared" si="28"/>
        <v>0</v>
      </c>
      <c r="G170" s="70">
        <f t="shared" ref="G170:G205" si="33">M167</f>
        <v>0</v>
      </c>
      <c r="H170" s="69" t="str">
        <f t="shared" si="29"/>
        <v/>
      </c>
      <c r="I170" s="145">
        <v>0</v>
      </c>
      <c r="J170" s="619"/>
      <c r="K170" s="81">
        <f>IFERROR(VLOOKUP(B170,'x Malzemeler ve Özellikleri'!$O$1:$Q$181,3,0)*F170,0)</f>
        <v>0</v>
      </c>
      <c r="AW170" s="85">
        <f>VLOOKUP(AY170,'x Malzemeler ve Özellikleri'!B:C,2,0)</f>
        <v>0</v>
      </c>
    </row>
    <row r="171" spans="1:49" ht="19.5">
      <c r="A171" s="67">
        <f t="shared" si="30"/>
        <v>0</v>
      </c>
      <c r="B171" s="67">
        <f t="shared" si="31"/>
        <v>0</v>
      </c>
      <c r="C171" s="70" t="str">
        <f>IF(VLOOKUP(B171,'x Malzemeler ve Özellikleri'!$B$2:$M$136,12,0)="ALÜMİNYUM",'1PROJE'!$H$11,"")</f>
        <v/>
      </c>
      <c r="D171" s="67">
        <f t="shared" si="32"/>
        <v>0</v>
      </c>
      <c r="E171" s="69" t="e">
        <f>HLOOKUP(B171,xHesaplama!$AH$26:$FH$66,26,0)</f>
        <v>#N/A</v>
      </c>
      <c r="F171" s="76">
        <f t="shared" si="28"/>
        <v>0</v>
      </c>
      <c r="G171" s="70">
        <f t="shared" si="33"/>
        <v>0</v>
      </c>
      <c r="H171" s="69" t="str">
        <f t="shared" si="29"/>
        <v/>
      </c>
      <c r="I171" s="145">
        <v>0</v>
      </c>
      <c r="J171" s="619"/>
      <c r="K171" s="81">
        <f>IFERROR(VLOOKUP(B171,'x Malzemeler ve Özellikleri'!$O$1:$Q$181,3,0)*F171,0)</f>
        <v>0</v>
      </c>
      <c r="AW171" s="85">
        <f>VLOOKUP(AY171,'x Malzemeler ve Özellikleri'!B:C,2,0)</f>
        <v>0</v>
      </c>
    </row>
    <row r="172" spans="1:49" ht="19.5">
      <c r="A172" s="67">
        <f t="shared" si="30"/>
        <v>0</v>
      </c>
      <c r="B172" s="67">
        <f t="shared" si="31"/>
        <v>0</v>
      </c>
      <c r="C172" s="70" t="str">
        <f>IF(VLOOKUP(B172,'x Malzemeler ve Özellikleri'!$B$2:$M$136,12,0)="ALÜMİNYUM",'1PROJE'!$H$11,"")</f>
        <v/>
      </c>
      <c r="D172" s="67">
        <f t="shared" si="32"/>
        <v>0</v>
      </c>
      <c r="E172" s="69" t="e">
        <f>HLOOKUP(B172,xHesaplama!$AH$26:$FH$66,26,0)</f>
        <v>#N/A</v>
      </c>
      <c r="F172" s="76">
        <f t="shared" si="28"/>
        <v>0</v>
      </c>
      <c r="G172" s="70">
        <f t="shared" si="33"/>
        <v>0</v>
      </c>
      <c r="H172" s="69" t="str">
        <f t="shared" si="29"/>
        <v/>
      </c>
      <c r="I172" s="145">
        <v>0</v>
      </c>
      <c r="J172" s="619"/>
      <c r="K172" s="81">
        <f>IFERROR(VLOOKUP(B172,'x Malzemeler ve Özellikleri'!$O$1:$Q$181,3,0)*F172,0)</f>
        <v>0</v>
      </c>
      <c r="AW172" s="85">
        <f>VLOOKUP(AY172,'x Malzemeler ve Özellikleri'!B:C,2,0)</f>
        <v>0</v>
      </c>
    </row>
    <row r="173" spans="1:49" ht="19.5">
      <c r="A173" s="67">
        <f t="shared" si="30"/>
        <v>0</v>
      </c>
      <c r="B173" s="67">
        <f t="shared" si="31"/>
        <v>0</v>
      </c>
      <c r="C173" s="70" t="str">
        <f>IF(VLOOKUP(B173,'x Malzemeler ve Özellikleri'!$B$2:$M$136,12,0)="ALÜMİNYUM",'1PROJE'!$H$11,"")</f>
        <v/>
      </c>
      <c r="D173" s="67">
        <f t="shared" si="32"/>
        <v>0</v>
      </c>
      <c r="E173" s="69" t="e">
        <f>HLOOKUP(B173,xHesaplama!$AH$26:$FH$66,26,0)</f>
        <v>#N/A</v>
      </c>
      <c r="F173" s="76">
        <f t="shared" si="28"/>
        <v>0</v>
      </c>
      <c r="G173" s="70">
        <f t="shared" si="33"/>
        <v>0</v>
      </c>
      <c r="H173" s="69" t="str">
        <f t="shared" si="29"/>
        <v/>
      </c>
      <c r="I173" s="145">
        <v>0</v>
      </c>
      <c r="J173" s="619"/>
      <c r="K173" s="81">
        <f>IFERROR(VLOOKUP(B173,'x Malzemeler ve Özellikleri'!$O$1:$Q$181,3,0)*F173,0)</f>
        <v>0</v>
      </c>
      <c r="AW173" s="85">
        <f>VLOOKUP(AY173,'x Malzemeler ve Özellikleri'!B:C,2,0)</f>
        <v>0</v>
      </c>
    </row>
    <row r="174" spans="1:49" ht="19.5">
      <c r="A174" s="67">
        <f t="shared" si="30"/>
        <v>0</v>
      </c>
      <c r="B174" s="67">
        <f t="shared" si="31"/>
        <v>0</v>
      </c>
      <c r="C174" s="70" t="str">
        <f>IF(VLOOKUP(B174,'x Malzemeler ve Özellikleri'!$B$2:$M$136,12,0)="ALÜMİNYUM",'1PROJE'!$H$11,"")</f>
        <v/>
      </c>
      <c r="D174" s="67">
        <f t="shared" si="32"/>
        <v>0</v>
      </c>
      <c r="E174" s="69" t="e">
        <f>HLOOKUP(B174,xHesaplama!$AH$26:$FH$66,26,0)</f>
        <v>#N/A</v>
      </c>
      <c r="F174" s="76">
        <f t="shared" si="28"/>
        <v>0</v>
      </c>
      <c r="G174" s="70">
        <f t="shared" si="33"/>
        <v>0</v>
      </c>
      <c r="H174" s="69" t="str">
        <f t="shared" si="29"/>
        <v/>
      </c>
      <c r="I174" s="145">
        <v>0</v>
      </c>
      <c r="J174" s="619"/>
      <c r="K174" s="81">
        <f>IFERROR(VLOOKUP(B174,'x Malzemeler ve Özellikleri'!$O$1:$Q$181,3,0)*F174,0)</f>
        <v>0</v>
      </c>
      <c r="AW174" s="85">
        <f>VLOOKUP(AY174,'x Malzemeler ve Özellikleri'!B:C,2,0)</f>
        <v>0</v>
      </c>
    </row>
    <row r="175" spans="1:49" ht="19.5">
      <c r="A175" s="67">
        <f t="shared" si="30"/>
        <v>0</v>
      </c>
      <c r="B175" s="67">
        <f t="shared" si="31"/>
        <v>0</v>
      </c>
      <c r="C175" s="70" t="str">
        <f>IF(VLOOKUP(B175,'x Malzemeler ve Özellikleri'!$B$2:$M$136,12,0)="ALÜMİNYUM",'1PROJE'!$H$11,"")</f>
        <v/>
      </c>
      <c r="D175" s="67">
        <f t="shared" si="32"/>
        <v>0</v>
      </c>
      <c r="E175" s="69" t="e">
        <f>HLOOKUP(B175,xHesaplama!$AH$26:$FH$66,26,0)</f>
        <v>#N/A</v>
      </c>
      <c r="F175" s="76">
        <f t="shared" si="28"/>
        <v>0</v>
      </c>
      <c r="G175" s="70">
        <f t="shared" si="33"/>
        <v>0</v>
      </c>
      <c r="H175" s="69" t="str">
        <f t="shared" si="29"/>
        <v/>
      </c>
      <c r="I175" s="145">
        <v>0</v>
      </c>
      <c r="J175" s="619"/>
      <c r="K175" s="81">
        <f>IFERROR(VLOOKUP(B175,'x Malzemeler ve Özellikleri'!$O$1:$Q$181,3,0)*F175,0)</f>
        <v>0</v>
      </c>
      <c r="AW175" s="85">
        <f>VLOOKUP(AY175,'x Malzemeler ve Özellikleri'!B:C,2,0)</f>
        <v>0</v>
      </c>
    </row>
    <row r="176" spans="1:49" ht="19.5">
      <c r="A176" s="67">
        <f t="shared" si="30"/>
        <v>0</v>
      </c>
      <c r="B176" s="67">
        <f t="shared" si="31"/>
        <v>0</v>
      </c>
      <c r="C176" s="70" t="str">
        <f>IF(VLOOKUP(B176,'x Malzemeler ve Özellikleri'!$B$2:$M$136,12,0)="ALÜMİNYUM",'1PROJE'!$H$11,"")</f>
        <v/>
      </c>
      <c r="D176" s="67">
        <f t="shared" si="32"/>
        <v>0</v>
      </c>
      <c r="E176" s="69" t="e">
        <f>HLOOKUP(B176,xHesaplama!$AH$26:$FH$66,26,0)</f>
        <v>#N/A</v>
      </c>
      <c r="F176" s="76">
        <f t="shared" si="28"/>
        <v>0</v>
      </c>
      <c r="G176" s="70">
        <f t="shared" si="33"/>
        <v>0</v>
      </c>
      <c r="H176" s="69" t="str">
        <f t="shared" si="29"/>
        <v/>
      </c>
      <c r="I176" s="145">
        <v>0</v>
      </c>
      <c r="J176" s="619"/>
      <c r="K176" s="81">
        <f>IFERROR(VLOOKUP(B176,'x Malzemeler ve Özellikleri'!$O$1:$Q$181,3,0)*F176,0)</f>
        <v>0</v>
      </c>
      <c r="AW176" s="85">
        <f>VLOOKUP(AY176,'x Malzemeler ve Özellikleri'!B:C,2,0)</f>
        <v>0</v>
      </c>
    </row>
    <row r="177" spans="1:49" ht="19.5">
      <c r="A177" s="67">
        <f t="shared" si="30"/>
        <v>0</v>
      </c>
      <c r="B177" s="67">
        <f t="shared" si="31"/>
        <v>0</v>
      </c>
      <c r="C177" s="70" t="str">
        <f>IF(VLOOKUP(B177,'x Malzemeler ve Özellikleri'!$B$2:$M$136,12,0)="ALÜMİNYUM",'1PROJE'!$H$11,"")</f>
        <v/>
      </c>
      <c r="D177" s="67">
        <f t="shared" si="32"/>
        <v>0</v>
      </c>
      <c r="E177" s="69" t="e">
        <f>HLOOKUP(B177,xHesaplama!$AH$26:$FH$66,26,0)</f>
        <v>#N/A</v>
      </c>
      <c r="F177" s="76">
        <f t="shared" si="28"/>
        <v>0</v>
      </c>
      <c r="G177" s="70">
        <f t="shared" si="33"/>
        <v>0</v>
      </c>
      <c r="H177" s="69" t="str">
        <f t="shared" si="29"/>
        <v/>
      </c>
      <c r="I177" s="145">
        <v>0</v>
      </c>
      <c r="J177" s="619"/>
      <c r="K177" s="81">
        <f>IFERROR(VLOOKUP(B177,'x Malzemeler ve Özellikleri'!$O$1:$Q$181,3,0)*F177,0)</f>
        <v>0</v>
      </c>
      <c r="AW177" s="85">
        <f>VLOOKUP(AY177,'x Malzemeler ve Özellikleri'!B:C,2,0)</f>
        <v>0</v>
      </c>
    </row>
    <row r="178" spans="1:49" ht="19.5">
      <c r="A178" s="67">
        <f t="shared" si="30"/>
        <v>0</v>
      </c>
      <c r="B178" s="67">
        <f t="shared" si="31"/>
        <v>0</v>
      </c>
      <c r="C178" s="70" t="str">
        <f>IF(VLOOKUP(B178,'x Malzemeler ve Özellikleri'!$B$2:$M$136,12,0)="ALÜMİNYUM",'1PROJE'!$H$11,"")</f>
        <v/>
      </c>
      <c r="D178" s="67">
        <f t="shared" si="32"/>
        <v>0</v>
      </c>
      <c r="E178" s="69" t="e">
        <f>HLOOKUP(B178,xHesaplama!$AH$26:$FH$66,26,0)</f>
        <v>#N/A</v>
      </c>
      <c r="F178" s="76">
        <f t="shared" si="28"/>
        <v>0</v>
      </c>
      <c r="G178" s="70">
        <f t="shared" si="33"/>
        <v>0</v>
      </c>
      <c r="H178" s="69" t="str">
        <f t="shared" si="29"/>
        <v/>
      </c>
      <c r="I178" s="145">
        <v>0</v>
      </c>
      <c r="J178" s="619"/>
      <c r="K178" s="81">
        <f>IFERROR(VLOOKUP(B178,'x Malzemeler ve Özellikleri'!$O$1:$Q$181,3,0)*F178,0)</f>
        <v>0</v>
      </c>
      <c r="AW178" s="85">
        <f>VLOOKUP(AY178,'x Malzemeler ve Özellikleri'!B:C,2,0)</f>
        <v>0</v>
      </c>
    </row>
    <row r="179" spans="1:49" ht="19.5">
      <c r="A179" s="67">
        <f t="shared" si="30"/>
        <v>0</v>
      </c>
      <c r="B179" s="67">
        <f t="shared" si="31"/>
        <v>0</v>
      </c>
      <c r="C179" s="70" t="str">
        <f>IF(VLOOKUP(B179,'x Malzemeler ve Özellikleri'!$B$2:$M$136,12,0)="ALÜMİNYUM",'1PROJE'!$H$11,"")</f>
        <v/>
      </c>
      <c r="D179" s="67">
        <f t="shared" si="32"/>
        <v>0</v>
      </c>
      <c r="E179" s="69" t="e">
        <f>HLOOKUP(B179,xHesaplama!$AH$26:$FH$66,26,0)</f>
        <v>#N/A</v>
      </c>
      <c r="F179" s="76">
        <f t="shared" si="28"/>
        <v>0</v>
      </c>
      <c r="G179" s="70">
        <f t="shared" si="33"/>
        <v>0</v>
      </c>
      <c r="H179" s="69" t="str">
        <f t="shared" si="29"/>
        <v/>
      </c>
      <c r="I179" s="145">
        <v>0</v>
      </c>
      <c r="J179" s="619"/>
      <c r="K179" s="81">
        <f>IFERROR(VLOOKUP(B179,'x Malzemeler ve Özellikleri'!$O$1:$Q$181,3,0)*F179,0)</f>
        <v>0</v>
      </c>
      <c r="AW179" s="85">
        <f>VLOOKUP(AY179,'x Malzemeler ve Özellikleri'!B:C,2,0)</f>
        <v>0</v>
      </c>
    </row>
    <row r="180" spans="1:49" ht="19.5">
      <c r="A180" s="67">
        <f t="shared" si="30"/>
        <v>0</v>
      </c>
      <c r="B180" s="67">
        <f t="shared" si="31"/>
        <v>0</v>
      </c>
      <c r="C180" s="70" t="str">
        <f>IF(VLOOKUP(B180,'x Malzemeler ve Özellikleri'!$B$2:$M$136,12,0)="ALÜMİNYUM",'1PROJE'!$H$11,"")</f>
        <v/>
      </c>
      <c r="D180" s="67">
        <f t="shared" si="32"/>
        <v>0</v>
      </c>
      <c r="E180" s="69" t="e">
        <f>HLOOKUP(B180,xHesaplama!$AH$26:$FH$66,26,0)</f>
        <v>#N/A</v>
      </c>
      <c r="F180" s="76">
        <f t="shared" si="28"/>
        <v>0</v>
      </c>
      <c r="G180" s="70">
        <f t="shared" si="33"/>
        <v>0</v>
      </c>
      <c r="H180" s="69" t="str">
        <f t="shared" si="29"/>
        <v/>
      </c>
      <c r="I180" s="145">
        <v>0</v>
      </c>
      <c r="J180" s="619"/>
      <c r="K180" s="81">
        <f>IFERROR(VLOOKUP(B180,'x Malzemeler ve Özellikleri'!$O$1:$Q$181,3,0)*F180,0)</f>
        <v>0</v>
      </c>
      <c r="AW180" s="85">
        <f>VLOOKUP(AY180,'x Malzemeler ve Özellikleri'!B:C,2,0)</f>
        <v>0</v>
      </c>
    </row>
    <row r="181" spans="1:49" ht="19.5">
      <c r="A181" s="67">
        <f t="shared" si="30"/>
        <v>0</v>
      </c>
      <c r="B181" s="67">
        <f t="shared" si="31"/>
        <v>0</v>
      </c>
      <c r="C181" s="70" t="str">
        <f>IF(VLOOKUP(B181,'x Malzemeler ve Özellikleri'!$B$2:$M$136,12,0)="ALÜMİNYUM",'1PROJE'!$H$11,"")</f>
        <v/>
      </c>
      <c r="D181" s="67">
        <f t="shared" si="32"/>
        <v>0</v>
      </c>
      <c r="E181" s="69" t="e">
        <f>HLOOKUP(B181,xHesaplama!$AH$26:$FH$66,26,0)</f>
        <v>#N/A</v>
      </c>
      <c r="F181" s="76">
        <f t="shared" si="28"/>
        <v>0</v>
      </c>
      <c r="G181" s="70">
        <f t="shared" si="33"/>
        <v>0</v>
      </c>
      <c r="H181" s="69" t="str">
        <f t="shared" si="29"/>
        <v/>
      </c>
      <c r="I181" s="145">
        <v>0</v>
      </c>
      <c r="J181" s="619"/>
      <c r="K181" s="81">
        <f>IFERROR(VLOOKUP(B181,'x Malzemeler ve Özellikleri'!$O$1:$Q$181,3,0)*F181,0)</f>
        <v>0</v>
      </c>
      <c r="AW181" s="85">
        <f>VLOOKUP(AY181,'x Malzemeler ve Özellikleri'!B:C,2,0)</f>
        <v>0</v>
      </c>
    </row>
    <row r="182" spans="1:49" ht="19.5">
      <c r="A182" s="67">
        <f t="shared" si="30"/>
        <v>0</v>
      </c>
      <c r="B182" s="67">
        <f t="shared" si="31"/>
        <v>0</v>
      </c>
      <c r="C182" s="70" t="str">
        <f>IF(VLOOKUP(B182,'x Malzemeler ve Özellikleri'!$B$2:$M$136,12,0)="ALÜMİNYUM",'1PROJE'!$H$11,"")</f>
        <v/>
      </c>
      <c r="D182" s="67">
        <f t="shared" si="32"/>
        <v>0</v>
      </c>
      <c r="E182" s="69" t="e">
        <f>HLOOKUP(B182,xHesaplama!$AH$26:$FH$66,26,0)</f>
        <v>#N/A</v>
      </c>
      <c r="F182" s="76">
        <f t="shared" si="28"/>
        <v>0</v>
      </c>
      <c r="G182" s="70">
        <f t="shared" si="33"/>
        <v>0</v>
      </c>
      <c r="H182" s="69" t="str">
        <f t="shared" si="29"/>
        <v/>
      </c>
      <c r="I182" s="145">
        <v>0</v>
      </c>
      <c r="J182" s="619"/>
      <c r="K182" s="81">
        <f>IFERROR(VLOOKUP(B182,'x Malzemeler ve Özellikleri'!$O$1:$Q$181,3,0)*F182,0)</f>
        <v>0</v>
      </c>
      <c r="AW182" s="85">
        <f>VLOOKUP(AY182,'x Malzemeler ve Özellikleri'!B:C,2,0)</f>
        <v>0</v>
      </c>
    </row>
    <row r="183" spans="1:49" ht="19.5">
      <c r="A183" s="67">
        <f t="shared" si="30"/>
        <v>0</v>
      </c>
      <c r="B183" s="67">
        <f t="shared" si="31"/>
        <v>0</v>
      </c>
      <c r="C183" s="70" t="str">
        <f>IF(VLOOKUP(B183,'x Malzemeler ve Özellikleri'!$B$2:$M$136,12,0)="ALÜMİNYUM",'1PROJE'!$H$11,"")</f>
        <v/>
      </c>
      <c r="D183" s="67">
        <f t="shared" si="32"/>
        <v>0</v>
      </c>
      <c r="E183" s="69" t="e">
        <f>HLOOKUP(B183,xHesaplama!$AH$26:$FH$66,26,0)</f>
        <v>#N/A</v>
      </c>
      <c r="F183" s="76">
        <f t="shared" si="28"/>
        <v>0</v>
      </c>
      <c r="G183" s="70">
        <f t="shared" si="33"/>
        <v>0</v>
      </c>
      <c r="H183" s="69" t="str">
        <f t="shared" si="29"/>
        <v/>
      </c>
      <c r="I183" s="145">
        <v>0</v>
      </c>
      <c r="J183" s="619"/>
      <c r="K183" s="81">
        <f>IFERROR(VLOOKUP(B183,'x Malzemeler ve Özellikleri'!$O$1:$Q$181,3,0)*F183,0)</f>
        <v>0</v>
      </c>
      <c r="AW183" s="85">
        <f>VLOOKUP(AY183,'x Malzemeler ve Özellikleri'!B:C,2,0)</f>
        <v>0</v>
      </c>
    </row>
    <row r="184" spans="1:49" ht="19.5">
      <c r="A184" s="67">
        <f t="shared" si="30"/>
        <v>0</v>
      </c>
      <c r="B184" s="67">
        <f t="shared" si="31"/>
        <v>0</v>
      </c>
      <c r="C184" s="70" t="str">
        <f>IF(VLOOKUP(B184,'x Malzemeler ve Özellikleri'!$B$2:$M$136,12,0)="ALÜMİNYUM",'1PROJE'!$H$11,"")</f>
        <v/>
      </c>
      <c r="D184" s="67">
        <f t="shared" si="32"/>
        <v>0</v>
      </c>
      <c r="E184" s="69" t="e">
        <f>HLOOKUP(B184,xHesaplama!$AH$26:$FH$66,26,0)</f>
        <v>#N/A</v>
      </c>
      <c r="F184" s="76">
        <f t="shared" si="28"/>
        <v>0</v>
      </c>
      <c r="G184" s="70">
        <f t="shared" si="33"/>
        <v>0</v>
      </c>
      <c r="H184" s="69" t="str">
        <f t="shared" si="29"/>
        <v/>
      </c>
      <c r="I184" s="145">
        <v>0</v>
      </c>
      <c r="J184" s="619"/>
      <c r="K184" s="81">
        <f>IFERROR(VLOOKUP(B184,'x Malzemeler ve Özellikleri'!$O$1:$Q$181,3,0)*F184,0)</f>
        <v>0</v>
      </c>
      <c r="AW184" s="85">
        <f>VLOOKUP(AY184,'x Malzemeler ve Özellikleri'!B:C,2,0)</f>
        <v>0</v>
      </c>
    </row>
    <row r="185" spans="1:49" ht="19.5">
      <c r="A185" s="67">
        <f t="shared" si="30"/>
        <v>0</v>
      </c>
      <c r="B185" s="67">
        <f t="shared" si="31"/>
        <v>0</v>
      </c>
      <c r="C185" s="70" t="str">
        <f>IF(VLOOKUP(B185,'x Malzemeler ve Özellikleri'!$B$2:$M$136,12,0)="ALÜMİNYUM",'1PROJE'!$H$11,"")</f>
        <v/>
      </c>
      <c r="D185" s="67">
        <f t="shared" si="32"/>
        <v>0</v>
      </c>
      <c r="E185" s="69" t="e">
        <f>HLOOKUP(B185,xHesaplama!$AH$26:$FH$66,26,0)</f>
        <v>#N/A</v>
      </c>
      <c r="F185" s="76">
        <f t="shared" si="28"/>
        <v>0</v>
      </c>
      <c r="G185" s="70">
        <f t="shared" si="33"/>
        <v>0</v>
      </c>
      <c r="H185" s="69" t="str">
        <f t="shared" si="29"/>
        <v/>
      </c>
      <c r="I185" s="145">
        <v>0</v>
      </c>
      <c r="J185" s="619"/>
      <c r="K185" s="81">
        <f>IFERROR(VLOOKUP(B185,'x Malzemeler ve Özellikleri'!$O$1:$Q$181,3,0)*F185,0)</f>
        <v>0</v>
      </c>
      <c r="AW185" s="85">
        <f>VLOOKUP(AY185,'x Malzemeler ve Özellikleri'!B:C,2,0)</f>
        <v>0</v>
      </c>
    </row>
    <row r="186" spans="1:49" ht="19.5">
      <c r="A186" s="67">
        <f t="shared" si="30"/>
        <v>0</v>
      </c>
      <c r="B186" s="67">
        <f t="shared" si="31"/>
        <v>0</v>
      </c>
      <c r="C186" s="70" t="str">
        <f>IF(VLOOKUP(B186,'x Malzemeler ve Özellikleri'!$B$2:$M$136,12,0)="ALÜMİNYUM",'1PROJE'!$H$11,"")</f>
        <v/>
      </c>
      <c r="D186" s="67">
        <f t="shared" si="32"/>
        <v>0</v>
      </c>
      <c r="E186" s="69" t="e">
        <f>HLOOKUP(B186,xHesaplama!$AH$26:$FH$66,26,0)</f>
        <v>#N/A</v>
      </c>
      <c r="F186" s="76">
        <f t="shared" si="28"/>
        <v>0</v>
      </c>
      <c r="G186" s="70">
        <f t="shared" si="33"/>
        <v>0</v>
      </c>
      <c r="H186" s="69" t="str">
        <f t="shared" si="29"/>
        <v/>
      </c>
      <c r="I186" s="145">
        <v>0</v>
      </c>
      <c r="J186" s="619"/>
      <c r="K186" s="81">
        <f>IFERROR(VLOOKUP(B186,'x Malzemeler ve Özellikleri'!$O$1:$Q$181,3,0)*F186,0)</f>
        <v>0</v>
      </c>
      <c r="AW186" s="85">
        <f>VLOOKUP(AY186,'x Malzemeler ve Özellikleri'!B:C,2,0)</f>
        <v>0</v>
      </c>
    </row>
    <row r="187" spans="1:49" ht="19.5">
      <c r="A187" s="67">
        <f t="shared" si="30"/>
        <v>0</v>
      </c>
      <c r="B187" s="67">
        <f t="shared" si="31"/>
        <v>0</v>
      </c>
      <c r="C187" s="70" t="str">
        <f>IF(VLOOKUP(B187,'x Malzemeler ve Özellikleri'!$B$2:$M$136,12,0)="ALÜMİNYUM",'1PROJE'!$H$11,"")</f>
        <v/>
      </c>
      <c r="D187" s="67">
        <f t="shared" si="32"/>
        <v>0</v>
      </c>
      <c r="E187" s="69" t="e">
        <f>HLOOKUP(B187,xHesaplama!$AH$26:$FH$66,26,0)</f>
        <v>#N/A</v>
      </c>
      <c r="F187" s="76">
        <f t="shared" si="28"/>
        <v>0</v>
      </c>
      <c r="G187" s="70">
        <f t="shared" si="33"/>
        <v>0</v>
      </c>
      <c r="H187" s="69" t="str">
        <f t="shared" si="29"/>
        <v/>
      </c>
      <c r="I187" s="145">
        <v>0</v>
      </c>
      <c r="J187" s="619"/>
      <c r="K187" s="81">
        <f>IFERROR(VLOOKUP(B187,'x Malzemeler ve Özellikleri'!$O$1:$Q$181,3,0)*F187,0)</f>
        <v>0</v>
      </c>
      <c r="AW187" s="85">
        <f>VLOOKUP(AY187,'x Malzemeler ve Özellikleri'!B:C,2,0)</f>
        <v>0</v>
      </c>
    </row>
    <row r="188" spans="1:49" ht="19.5">
      <c r="A188" s="67">
        <f t="shared" si="30"/>
        <v>0</v>
      </c>
      <c r="B188" s="67">
        <f t="shared" si="31"/>
        <v>0</v>
      </c>
      <c r="C188" s="70" t="str">
        <f>IF(VLOOKUP(B188,'x Malzemeler ve Özellikleri'!$B$2:$M$136,12,0)="ALÜMİNYUM",'1PROJE'!$H$11,"")</f>
        <v/>
      </c>
      <c r="D188" s="67">
        <f t="shared" si="32"/>
        <v>0</v>
      </c>
      <c r="E188" s="69" t="e">
        <f>HLOOKUP(B188,xHesaplama!$AH$26:$FH$66,26,0)</f>
        <v>#N/A</v>
      </c>
      <c r="F188" s="76">
        <f t="shared" si="28"/>
        <v>0</v>
      </c>
      <c r="G188" s="70">
        <f t="shared" si="33"/>
        <v>0</v>
      </c>
      <c r="H188" s="69" t="str">
        <f t="shared" si="29"/>
        <v/>
      </c>
      <c r="I188" s="145">
        <v>0</v>
      </c>
      <c r="J188" s="619"/>
      <c r="K188" s="81">
        <f>IFERROR(VLOOKUP(B188,'x Malzemeler ve Özellikleri'!$O$1:$Q$181,3,0)*F188,0)</f>
        <v>0</v>
      </c>
      <c r="AW188" s="85">
        <f>VLOOKUP(AY188,'x Malzemeler ve Özellikleri'!B:C,2,0)</f>
        <v>0</v>
      </c>
    </row>
    <row r="189" spans="1:49" ht="19.5">
      <c r="A189" s="67">
        <f t="shared" si="30"/>
        <v>0</v>
      </c>
      <c r="B189" s="67">
        <f t="shared" si="31"/>
        <v>0</v>
      </c>
      <c r="C189" s="70" t="str">
        <f>IF(VLOOKUP(B189,'x Malzemeler ve Özellikleri'!$B$2:$M$136,12,0)="ALÜMİNYUM",'1PROJE'!$H$11,"")</f>
        <v/>
      </c>
      <c r="D189" s="67">
        <f t="shared" si="32"/>
        <v>0</v>
      </c>
      <c r="E189" s="69" t="e">
        <f>HLOOKUP(B189,xHesaplama!$AH$26:$FH$66,26,0)</f>
        <v>#N/A</v>
      </c>
      <c r="F189" s="76">
        <f t="shared" si="28"/>
        <v>0</v>
      </c>
      <c r="G189" s="70">
        <f t="shared" si="33"/>
        <v>0</v>
      </c>
      <c r="H189" s="69" t="str">
        <f t="shared" si="29"/>
        <v/>
      </c>
      <c r="I189" s="145">
        <v>0</v>
      </c>
      <c r="J189" s="619"/>
      <c r="K189" s="81">
        <f>IFERROR(VLOOKUP(B189,'x Malzemeler ve Özellikleri'!$O$1:$Q$181,3,0)*F189,0)</f>
        <v>0</v>
      </c>
      <c r="AW189" s="85">
        <f>VLOOKUP(AY189,'x Malzemeler ve Özellikleri'!B:C,2,0)</f>
        <v>0</v>
      </c>
    </row>
    <row r="190" spans="1:49" ht="19.5">
      <c r="A190" s="67">
        <f t="shared" si="30"/>
        <v>0</v>
      </c>
      <c r="B190" s="67">
        <f t="shared" si="31"/>
        <v>0</v>
      </c>
      <c r="C190" s="70" t="str">
        <f>IF(VLOOKUP(B190,'x Malzemeler ve Özellikleri'!$B$2:$M$136,12,0)="ALÜMİNYUM",'1PROJE'!$H$11,"")</f>
        <v/>
      </c>
      <c r="D190" s="67">
        <f t="shared" si="32"/>
        <v>0</v>
      </c>
      <c r="E190" s="69" t="e">
        <f>HLOOKUP(B190,xHesaplama!$AH$26:$FH$66,26,0)</f>
        <v>#N/A</v>
      </c>
      <c r="F190" s="76">
        <f t="shared" si="28"/>
        <v>0</v>
      </c>
      <c r="G190" s="70">
        <f t="shared" si="33"/>
        <v>0</v>
      </c>
      <c r="H190" s="69" t="str">
        <f t="shared" si="29"/>
        <v/>
      </c>
      <c r="I190" s="145">
        <v>0</v>
      </c>
      <c r="J190" s="619"/>
      <c r="K190" s="81">
        <f>IFERROR(VLOOKUP(B190,'x Malzemeler ve Özellikleri'!$O$1:$Q$181,3,0)*F190,0)</f>
        <v>0</v>
      </c>
      <c r="AW190" s="85">
        <f>VLOOKUP(AY190,'x Malzemeler ve Özellikleri'!B:C,2,0)</f>
        <v>0</v>
      </c>
    </row>
    <row r="191" spans="1:49" ht="19.5">
      <c r="A191" s="67">
        <f t="shared" si="30"/>
        <v>0</v>
      </c>
      <c r="B191" s="67">
        <f t="shared" si="31"/>
        <v>0</v>
      </c>
      <c r="C191" s="70" t="str">
        <f>IF(VLOOKUP(B191,'x Malzemeler ve Özellikleri'!$B$2:$M$136,12,0)="ALÜMİNYUM",'1PROJE'!$H$11,"")</f>
        <v/>
      </c>
      <c r="D191" s="67">
        <f t="shared" si="32"/>
        <v>0</v>
      </c>
      <c r="E191" s="69" t="e">
        <f>HLOOKUP(B191,xHesaplama!$AH$26:$FH$66,26,0)</f>
        <v>#N/A</v>
      </c>
      <c r="F191" s="76">
        <f t="shared" si="28"/>
        <v>0</v>
      </c>
      <c r="G191" s="70">
        <f t="shared" si="33"/>
        <v>0</v>
      </c>
      <c r="H191" s="69" t="str">
        <f t="shared" si="29"/>
        <v/>
      </c>
      <c r="I191" s="145">
        <v>0</v>
      </c>
      <c r="J191" s="619"/>
      <c r="K191" s="81">
        <f>IFERROR(VLOOKUP(B191,'x Malzemeler ve Özellikleri'!$O$1:$Q$181,3,0)*F191,0)</f>
        <v>0</v>
      </c>
      <c r="AW191" s="85">
        <f>VLOOKUP(AY191,'x Malzemeler ve Özellikleri'!B:C,2,0)</f>
        <v>0</v>
      </c>
    </row>
    <row r="192" spans="1:49" ht="19.5">
      <c r="A192" s="67">
        <f t="shared" si="30"/>
        <v>0</v>
      </c>
      <c r="B192" s="67">
        <f t="shared" si="31"/>
        <v>0</v>
      </c>
      <c r="C192" s="70" t="str">
        <f>IF(VLOOKUP(B192,'x Malzemeler ve Özellikleri'!$B$2:$M$136,12,0)="ALÜMİNYUM",'1PROJE'!$H$11,"")</f>
        <v/>
      </c>
      <c r="D192" s="67">
        <f t="shared" si="32"/>
        <v>0</v>
      </c>
      <c r="E192" s="69" t="e">
        <f>HLOOKUP(B192,xHesaplama!$AH$26:$FH$66,26,0)</f>
        <v>#N/A</v>
      </c>
      <c r="F192" s="76">
        <f t="shared" si="28"/>
        <v>0</v>
      </c>
      <c r="G192" s="70">
        <f t="shared" si="33"/>
        <v>0</v>
      </c>
      <c r="H192" s="69" t="str">
        <f t="shared" si="29"/>
        <v/>
      </c>
      <c r="I192" s="145">
        <v>0</v>
      </c>
      <c r="J192" s="619"/>
      <c r="K192" s="81">
        <f>IFERROR(VLOOKUP(B192,'x Malzemeler ve Özellikleri'!$O$1:$Q$181,3,0)*F192,0)</f>
        <v>0</v>
      </c>
      <c r="AW192" s="85">
        <f>VLOOKUP(AY192,'x Malzemeler ve Özellikleri'!B:C,2,0)</f>
        <v>0</v>
      </c>
    </row>
    <row r="193" spans="1:49" ht="19.5">
      <c r="A193" s="67">
        <f t="shared" si="30"/>
        <v>0</v>
      </c>
      <c r="B193" s="67">
        <f t="shared" si="31"/>
        <v>0</v>
      </c>
      <c r="C193" s="70" t="str">
        <f>IF(VLOOKUP(B193,'x Malzemeler ve Özellikleri'!$B$2:$M$136,12,0)="ALÜMİNYUM",'1PROJE'!$H$11,"")</f>
        <v/>
      </c>
      <c r="D193" s="67">
        <f t="shared" si="32"/>
        <v>0</v>
      </c>
      <c r="E193" s="69" t="e">
        <f>HLOOKUP(B193,xHesaplama!$AH$26:$FH$66,26,0)</f>
        <v>#N/A</v>
      </c>
      <c r="F193" s="76">
        <f t="shared" si="28"/>
        <v>0</v>
      </c>
      <c r="G193" s="70">
        <f t="shared" si="33"/>
        <v>0</v>
      </c>
      <c r="H193" s="69" t="str">
        <f t="shared" si="29"/>
        <v/>
      </c>
      <c r="I193" s="145">
        <v>0</v>
      </c>
      <c r="J193" s="619"/>
      <c r="K193" s="81">
        <f>IFERROR(VLOOKUP(B193,'x Malzemeler ve Özellikleri'!$O$1:$Q$181,3,0)*F193,0)</f>
        <v>0</v>
      </c>
      <c r="AW193" s="85">
        <f>VLOOKUP(AY193,'x Malzemeler ve Özellikleri'!B:C,2,0)</f>
        <v>0</v>
      </c>
    </row>
    <row r="194" spans="1:49" ht="19.5">
      <c r="A194" s="67">
        <f t="shared" si="30"/>
        <v>0</v>
      </c>
      <c r="B194" s="67">
        <f t="shared" si="31"/>
        <v>0</v>
      </c>
      <c r="C194" s="70" t="str">
        <f>IF(VLOOKUP(B194,'x Malzemeler ve Özellikleri'!$B$2:$M$136,12,0)="ALÜMİNYUM",'1PROJE'!$H$11,"")</f>
        <v/>
      </c>
      <c r="D194" s="67">
        <f t="shared" si="32"/>
        <v>0</v>
      </c>
      <c r="E194" s="69" t="e">
        <f>HLOOKUP(B194,xHesaplama!$AH$26:$FH$66,26,0)</f>
        <v>#N/A</v>
      </c>
      <c r="F194" s="76">
        <f t="shared" si="28"/>
        <v>0</v>
      </c>
      <c r="G194" s="70">
        <f t="shared" si="33"/>
        <v>0</v>
      </c>
      <c r="H194" s="69" t="str">
        <f t="shared" si="29"/>
        <v/>
      </c>
      <c r="I194" s="145">
        <v>0</v>
      </c>
      <c r="J194" s="619"/>
      <c r="K194" s="81">
        <f>IFERROR(VLOOKUP(B194,'x Malzemeler ve Özellikleri'!$O$1:$Q$181,3,0)*F194,0)</f>
        <v>0</v>
      </c>
      <c r="AW194" s="85">
        <f>VLOOKUP(AY194,'x Malzemeler ve Özellikleri'!B:C,2,0)</f>
        <v>0</v>
      </c>
    </row>
    <row r="195" spans="1:49" ht="19.5">
      <c r="A195" s="67">
        <f t="shared" si="30"/>
        <v>0</v>
      </c>
      <c r="B195" s="67">
        <f t="shared" si="31"/>
        <v>0</v>
      </c>
      <c r="C195" s="70" t="str">
        <f>IF(VLOOKUP(B195,'x Malzemeler ve Özellikleri'!$B$2:$M$136,12,0)="ALÜMİNYUM",'1PROJE'!$H$11,"")</f>
        <v/>
      </c>
      <c r="D195" s="67">
        <f t="shared" si="32"/>
        <v>0</v>
      </c>
      <c r="E195" s="69" t="e">
        <f>HLOOKUP(B195,xHesaplama!$AH$26:$FH$66,26,0)</f>
        <v>#N/A</v>
      </c>
      <c r="F195" s="76">
        <f t="shared" si="28"/>
        <v>0</v>
      </c>
      <c r="G195" s="70">
        <f t="shared" si="33"/>
        <v>0</v>
      </c>
      <c r="H195" s="69" t="str">
        <f t="shared" si="29"/>
        <v/>
      </c>
      <c r="I195" s="145">
        <v>0</v>
      </c>
      <c r="J195" s="619"/>
      <c r="K195" s="81">
        <f>IFERROR(VLOOKUP(B195,'x Malzemeler ve Özellikleri'!$O$1:$Q$181,3,0)*F195,0)</f>
        <v>0</v>
      </c>
      <c r="AW195" s="85">
        <f>VLOOKUP(AY195,'x Malzemeler ve Özellikleri'!B:C,2,0)</f>
        <v>0</v>
      </c>
    </row>
    <row r="196" spans="1:49" ht="19.5">
      <c r="A196" s="67">
        <f t="shared" si="30"/>
        <v>0</v>
      </c>
      <c r="B196" s="67">
        <f t="shared" si="31"/>
        <v>0</v>
      </c>
      <c r="C196" s="70" t="str">
        <f>IF(VLOOKUP(B196,'x Malzemeler ve Özellikleri'!$B$2:$M$136,12,0)="ALÜMİNYUM",'1PROJE'!$H$11,"")</f>
        <v/>
      </c>
      <c r="D196" s="67">
        <f t="shared" si="32"/>
        <v>0</v>
      </c>
      <c r="E196" s="69" t="e">
        <f>HLOOKUP(B196,xHesaplama!$AH$26:$FH$66,26,0)</f>
        <v>#N/A</v>
      </c>
      <c r="F196" s="76">
        <f t="shared" si="28"/>
        <v>0</v>
      </c>
      <c r="G196" s="70">
        <f t="shared" si="33"/>
        <v>0</v>
      </c>
      <c r="H196" s="69" t="str">
        <f t="shared" si="29"/>
        <v/>
      </c>
      <c r="I196" s="145">
        <v>0</v>
      </c>
      <c r="J196" s="619"/>
      <c r="K196" s="81">
        <f>IFERROR(VLOOKUP(B196,'x Malzemeler ve Özellikleri'!$O$1:$Q$181,3,0)*F196,0)</f>
        <v>0</v>
      </c>
      <c r="AW196" s="85">
        <f>VLOOKUP(AY196,'x Malzemeler ve Özellikleri'!B:C,2,0)</f>
        <v>0</v>
      </c>
    </row>
    <row r="197" spans="1:49" ht="19.5">
      <c r="A197" s="67">
        <f t="shared" si="30"/>
        <v>0</v>
      </c>
      <c r="B197" s="67">
        <f t="shared" si="31"/>
        <v>0</v>
      </c>
      <c r="C197" s="70" t="str">
        <f>IF(VLOOKUP(B197,'x Malzemeler ve Özellikleri'!$B$2:$M$136,12,0)="ALÜMİNYUM",'1PROJE'!$H$11,"")</f>
        <v/>
      </c>
      <c r="D197" s="67">
        <f t="shared" si="32"/>
        <v>0</v>
      </c>
      <c r="E197" s="69" t="e">
        <f>HLOOKUP(B197,xHesaplama!$AH$26:$FH$66,26,0)</f>
        <v>#N/A</v>
      </c>
      <c r="F197" s="76">
        <f t="shared" si="28"/>
        <v>0</v>
      </c>
      <c r="G197" s="70">
        <f t="shared" si="33"/>
        <v>0</v>
      </c>
      <c r="H197" s="69" t="str">
        <f t="shared" si="29"/>
        <v/>
      </c>
      <c r="I197" s="145">
        <v>0</v>
      </c>
      <c r="J197" s="619"/>
      <c r="K197" s="81">
        <f>IFERROR(VLOOKUP(B197,'x Malzemeler ve Özellikleri'!$O$1:$Q$181,3,0)*F197,0)</f>
        <v>0</v>
      </c>
      <c r="AW197" s="85">
        <f>VLOOKUP(AY197,'x Malzemeler ve Özellikleri'!B:C,2,0)</f>
        <v>0</v>
      </c>
    </row>
    <row r="198" spans="1:49" ht="19.5">
      <c r="A198" s="67">
        <f t="shared" si="30"/>
        <v>0</v>
      </c>
      <c r="B198" s="67">
        <f t="shared" si="31"/>
        <v>0</v>
      </c>
      <c r="C198" s="70" t="str">
        <f>IF(VLOOKUP(B198,'x Malzemeler ve Özellikleri'!$B$2:$M$136,12,0)="ALÜMİNYUM",'1PROJE'!$H$11,"")</f>
        <v/>
      </c>
      <c r="D198" s="67">
        <f t="shared" si="32"/>
        <v>0</v>
      </c>
      <c r="E198" s="69" t="e">
        <f>HLOOKUP(B198,xHesaplama!$AH$26:$FH$66,26,0)</f>
        <v>#N/A</v>
      </c>
      <c r="F198" s="76">
        <f t="shared" si="28"/>
        <v>0</v>
      </c>
      <c r="G198" s="70">
        <f t="shared" si="33"/>
        <v>0</v>
      </c>
      <c r="H198" s="69" t="str">
        <f t="shared" si="29"/>
        <v/>
      </c>
      <c r="I198" s="145">
        <v>0</v>
      </c>
      <c r="J198" s="619"/>
      <c r="K198" s="81">
        <f>IFERROR(VLOOKUP(B198,'x Malzemeler ve Özellikleri'!$O$1:$Q$181,3,0)*F198,0)</f>
        <v>0</v>
      </c>
      <c r="AW198" s="85">
        <f>VLOOKUP(AY198,'x Malzemeler ve Özellikleri'!B:C,2,0)</f>
        <v>0</v>
      </c>
    </row>
    <row r="199" spans="1:49" ht="19.5">
      <c r="A199" s="67">
        <f t="shared" si="30"/>
        <v>0</v>
      </c>
      <c r="B199" s="67">
        <f t="shared" si="31"/>
        <v>0</v>
      </c>
      <c r="C199" s="70" t="str">
        <f>IF(VLOOKUP(B199,'x Malzemeler ve Özellikleri'!$B$2:$M$136,12,0)="ALÜMİNYUM",'1PROJE'!$H$11,"")</f>
        <v/>
      </c>
      <c r="D199" s="67">
        <f t="shared" si="32"/>
        <v>0</v>
      </c>
      <c r="E199" s="69" t="e">
        <f>HLOOKUP(B199,xHesaplama!$AH$26:$FH$66,26,0)</f>
        <v>#N/A</v>
      </c>
      <c r="F199" s="76">
        <f t="shared" si="28"/>
        <v>0</v>
      </c>
      <c r="G199" s="70">
        <f t="shared" si="33"/>
        <v>0</v>
      </c>
      <c r="H199" s="69" t="str">
        <f t="shared" si="29"/>
        <v/>
      </c>
      <c r="I199" s="145">
        <v>0</v>
      </c>
      <c r="J199" s="619"/>
      <c r="K199" s="81">
        <f>IFERROR(VLOOKUP(B199,'x Malzemeler ve Özellikleri'!$O$1:$Q$181,3,0)*F199,0)</f>
        <v>0</v>
      </c>
      <c r="AW199" s="85">
        <f>VLOOKUP(AY199,'x Malzemeler ve Özellikleri'!B:C,2,0)</f>
        <v>0</v>
      </c>
    </row>
    <row r="200" spans="1:49" ht="19.5">
      <c r="A200" s="67">
        <f t="shared" si="30"/>
        <v>0</v>
      </c>
      <c r="B200" s="67">
        <f t="shared" si="31"/>
        <v>0</v>
      </c>
      <c r="C200" s="70" t="str">
        <f>IF(VLOOKUP(B200,'x Malzemeler ve Özellikleri'!$B$2:$M$136,12,0)="ALÜMİNYUM",'1PROJE'!$H$11,"")</f>
        <v/>
      </c>
      <c r="D200" s="67">
        <f t="shared" si="32"/>
        <v>0</v>
      </c>
      <c r="E200" s="69" t="e">
        <f>HLOOKUP(B200,xHesaplama!$AH$26:$FH$66,26,0)</f>
        <v>#N/A</v>
      </c>
      <c r="F200" s="76">
        <f t="shared" si="28"/>
        <v>0</v>
      </c>
      <c r="G200" s="70">
        <f t="shared" si="33"/>
        <v>0</v>
      </c>
      <c r="H200" s="69" t="str">
        <f t="shared" si="29"/>
        <v/>
      </c>
      <c r="I200" s="145">
        <v>0</v>
      </c>
      <c r="J200" s="619"/>
      <c r="K200" s="81">
        <f>IFERROR(VLOOKUP(B200,'x Malzemeler ve Özellikleri'!$O$1:$Q$181,3,0)*F200,0)</f>
        <v>0</v>
      </c>
      <c r="AW200" s="85">
        <f>VLOOKUP(AY200,'x Malzemeler ve Özellikleri'!B:C,2,0)</f>
        <v>0</v>
      </c>
    </row>
    <row r="201" spans="1:49" ht="19.5">
      <c r="A201" s="67">
        <f t="shared" si="30"/>
        <v>0</v>
      </c>
      <c r="B201" s="67">
        <f t="shared" si="31"/>
        <v>0</v>
      </c>
      <c r="C201" s="70" t="str">
        <f>IF(VLOOKUP(B201,'x Malzemeler ve Özellikleri'!$B$2:$M$136,12,0)="ALÜMİNYUM",'1PROJE'!$H$11,"")</f>
        <v/>
      </c>
      <c r="D201" s="67">
        <f t="shared" si="32"/>
        <v>0</v>
      </c>
      <c r="E201" s="69" t="e">
        <f>HLOOKUP(B201,xHesaplama!$AH$26:$FH$66,26,0)</f>
        <v>#N/A</v>
      </c>
      <c r="F201" s="76">
        <f t="shared" si="28"/>
        <v>0</v>
      </c>
      <c r="G201" s="70">
        <f t="shared" si="33"/>
        <v>0</v>
      </c>
      <c r="H201" s="69" t="str">
        <f t="shared" si="29"/>
        <v/>
      </c>
      <c r="I201" s="145">
        <v>0</v>
      </c>
      <c r="J201" s="619"/>
      <c r="K201" s="81">
        <f>IFERROR(VLOOKUP(B201,'x Malzemeler ve Özellikleri'!$O$1:$Q$181,3,0)*F201,0)</f>
        <v>0</v>
      </c>
      <c r="AW201" s="85">
        <f>VLOOKUP(AY201,'x Malzemeler ve Özellikleri'!B:C,2,0)</f>
        <v>0</v>
      </c>
    </row>
    <row r="202" spans="1:49" ht="19.5">
      <c r="A202" s="67">
        <f t="shared" si="30"/>
        <v>0</v>
      </c>
      <c r="B202" s="67">
        <f t="shared" si="31"/>
        <v>0</v>
      </c>
      <c r="C202" s="70" t="str">
        <f>IF(VLOOKUP(B202,'x Malzemeler ve Özellikleri'!$B$2:$M$136,12,0)="ALÜMİNYUM",'1PROJE'!$H$11,"")</f>
        <v/>
      </c>
      <c r="D202" s="67">
        <f t="shared" si="32"/>
        <v>0</v>
      </c>
      <c r="E202" s="69" t="e">
        <f>HLOOKUP(B202,xHesaplama!$AH$26:$FH$66,26,0)</f>
        <v>#N/A</v>
      </c>
      <c r="F202" s="76">
        <f t="shared" si="28"/>
        <v>0</v>
      </c>
      <c r="G202" s="70">
        <f t="shared" si="33"/>
        <v>0</v>
      </c>
      <c r="H202" s="69" t="str">
        <f t="shared" si="29"/>
        <v/>
      </c>
      <c r="I202" s="145">
        <v>0</v>
      </c>
      <c r="J202" s="619"/>
      <c r="K202" s="81">
        <f>IFERROR(VLOOKUP(B202,'x Malzemeler ve Özellikleri'!$O$1:$Q$181,3,0)*F202,0)</f>
        <v>0</v>
      </c>
      <c r="AW202" s="85">
        <f>VLOOKUP(AY202,'x Malzemeler ve Özellikleri'!B:C,2,0)</f>
        <v>0</v>
      </c>
    </row>
    <row r="203" spans="1:49" ht="19.5">
      <c r="A203" s="67">
        <f t="shared" si="30"/>
        <v>0</v>
      </c>
      <c r="B203" s="67">
        <f t="shared" si="31"/>
        <v>0</v>
      </c>
      <c r="C203" s="70" t="str">
        <f>IF(VLOOKUP(B203,'x Malzemeler ve Özellikleri'!$B$2:$M$136,12,0)="ALÜMİNYUM",'1PROJE'!$H$11,"")</f>
        <v/>
      </c>
      <c r="D203" s="67">
        <f t="shared" si="32"/>
        <v>0</v>
      </c>
      <c r="E203" s="69" t="e">
        <f>HLOOKUP(B203,xHesaplama!$AH$26:$FH$66,26,0)</f>
        <v>#N/A</v>
      </c>
      <c r="F203" s="76">
        <f t="shared" si="28"/>
        <v>0</v>
      </c>
      <c r="G203" s="70">
        <f t="shared" si="33"/>
        <v>0</v>
      </c>
      <c r="H203" s="69" t="str">
        <f t="shared" si="29"/>
        <v/>
      </c>
      <c r="I203" s="145">
        <v>0</v>
      </c>
      <c r="J203" s="619"/>
      <c r="K203" s="81">
        <f>IFERROR(VLOOKUP(B203,'x Malzemeler ve Özellikleri'!$O$1:$Q$181,3,0)*F203,0)</f>
        <v>0</v>
      </c>
      <c r="AW203" s="85">
        <f>VLOOKUP(AY203,'x Malzemeler ve Özellikleri'!B:C,2,0)</f>
        <v>0</v>
      </c>
    </row>
    <row r="204" spans="1:49" ht="19.5">
      <c r="A204" s="67">
        <f t="shared" si="30"/>
        <v>0</v>
      </c>
      <c r="B204" s="67">
        <f t="shared" si="31"/>
        <v>0</v>
      </c>
      <c r="C204" s="70" t="str">
        <f>IF(VLOOKUP(B204,'x Malzemeler ve Özellikleri'!$B$2:$M$136,12,0)="ALÜMİNYUM",'1PROJE'!$H$11,"")</f>
        <v/>
      </c>
      <c r="D204" s="67">
        <f t="shared" si="32"/>
        <v>0</v>
      </c>
      <c r="E204" s="69" t="e">
        <f>HLOOKUP(B204,xHesaplama!$AH$26:$FH$66,26,0)</f>
        <v>#N/A</v>
      </c>
      <c r="F204" s="76">
        <f t="shared" si="28"/>
        <v>0</v>
      </c>
      <c r="G204" s="70">
        <f t="shared" si="33"/>
        <v>0</v>
      </c>
      <c r="H204" s="69" t="str">
        <f t="shared" si="29"/>
        <v/>
      </c>
      <c r="I204" s="145">
        <v>0</v>
      </c>
      <c r="J204" s="619"/>
      <c r="K204" s="81">
        <f>IFERROR(VLOOKUP(B204,'x Malzemeler ve Özellikleri'!$O$1:$Q$181,3,0)*F204,0)</f>
        <v>0</v>
      </c>
      <c r="AW204" s="85">
        <f>VLOOKUP(AY204,'x Malzemeler ve Özellikleri'!B:C,2,0)</f>
        <v>0</v>
      </c>
    </row>
    <row r="205" spans="1:49" ht="20.25" thickBot="1">
      <c r="A205" s="67">
        <f t="shared" si="30"/>
        <v>0</v>
      </c>
      <c r="B205" s="67">
        <f t="shared" si="31"/>
        <v>0</v>
      </c>
      <c r="C205" s="70" t="str">
        <f>IF(VLOOKUP(B205,'x Malzemeler ve Özellikleri'!$B$2:$M$136,12,0)="ALÜMİNYUM",'1PROJE'!$H$11,"")</f>
        <v/>
      </c>
      <c r="D205" s="67">
        <f t="shared" si="32"/>
        <v>0</v>
      </c>
      <c r="E205" s="69" t="e">
        <f>HLOOKUP(B205,xHesaplama!$AH$26:$FH$66,26,0)</f>
        <v>#N/A</v>
      </c>
      <c r="F205" s="76">
        <f t="shared" si="28"/>
        <v>0</v>
      </c>
      <c r="G205" s="70">
        <f t="shared" si="33"/>
        <v>0</v>
      </c>
      <c r="H205" s="69" t="str">
        <f t="shared" si="29"/>
        <v/>
      </c>
      <c r="I205" s="145">
        <v>0</v>
      </c>
      <c r="J205" s="620"/>
      <c r="K205" s="81">
        <f>IFERROR(VLOOKUP(B205,'x Malzemeler ve Özellikleri'!$O$1:$Q$181,3,0)*F205,0)</f>
        <v>0</v>
      </c>
      <c r="AW205" s="85">
        <f>VLOOKUP(AY205,'x Malzemeler ve Özellikleri'!B:C,2,0)</f>
        <v>0</v>
      </c>
    </row>
    <row r="206" spans="1:49" ht="30" thickBot="1">
      <c r="A206" s="64" t="str">
        <f>"POZ"&amp;" "&amp;J207</f>
        <v>POZ 6</v>
      </c>
      <c r="C206" s="243">
        <f>xHesaplama!C32</f>
        <v>0</v>
      </c>
      <c r="D206" s="64" t="s">
        <v>357</v>
      </c>
      <c r="F206" s="74"/>
      <c r="G206" s="72" t="s">
        <v>786</v>
      </c>
      <c r="H206" s="65"/>
      <c r="I206" s="71">
        <f>SUM(H208:H246)</f>
        <v>0</v>
      </c>
      <c r="L206" t="str" cm="1">
        <f t="array" ref="L206:AJ206">_xlfn._xlws.FILTER(REÇETE!$D$11:$AB$142,REÇETE!$N$11:$N$142&lt;&gt;"","")</f>
        <v>EXCEL KODU</v>
      </c>
      <c r="M206" t="str">
        <v>PARÇA BİRİM</v>
      </c>
      <c r="N206" t="str">
        <v>PARÇA ADI</v>
      </c>
      <c r="O206" t="str">
        <v>MALZEME KODU</v>
      </c>
      <c r="P206" t="str">
        <v>BİRİM FİYAT</v>
      </c>
      <c r="Q206" t="str">
        <v>POZ 1</v>
      </c>
      <c r="R206" t="str">
        <v>POZ 2</v>
      </c>
      <c r="S206" t="str">
        <v>POZ 3</v>
      </c>
      <c r="T206" t="str">
        <v>POZ 4</v>
      </c>
      <c r="U206" t="str">
        <v>POZ 5</v>
      </c>
      <c r="V206" t="str">
        <v>POZ 6</v>
      </c>
      <c r="W206" t="str">
        <v>POZ 7</v>
      </c>
      <c r="X206" t="str">
        <v>POZ 8</v>
      </c>
      <c r="Y206" t="str">
        <v>POZ 9</v>
      </c>
      <c r="Z206" t="str">
        <v>POZ 10</v>
      </c>
      <c r="AA206" t="str">
        <v>POZ 11</v>
      </c>
      <c r="AB206" t="str">
        <v>POZ 12</v>
      </c>
      <c r="AC206" t="str">
        <v>POZ 13</v>
      </c>
      <c r="AD206" t="str">
        <v>POZ 14</v>
      </c>
      <c r="AE206" t="str">
        <v>POZ 15</v>
      </c>
      <c r="AF206" t="str">
        <v>POZ 16</v>
      </c>
      <c r="AG206" t="str">
        <v>POZ 17</v>
      </c>
      <c r="AH206" t="str">
        <v>POZ 18</v>
      </c>
      <c r="AI206" t="str">
        <v>POZ 19</v>
      </c>
      <c r="AJ206" t="str">
        <v>POZ 20</v>
      </c>
      <c r="AW206" s="85">
        <f>VLOOKUP(AY206,'x Malzemeler ve Özellikleri'!B:C,2,0)</f>
        <v>0</v>
      </c>
    </row>
    <row r="207" spans="1:49">
      <c r="A207" s="66" t="s">
        <v>782</v>
      </c>
      <c r="B207" s="66" t="s">
        <v>409</v>
      </c>
      <c r="C207" s="68"/>
      <c r="D207" s="66" t="s">
        <v>15</v>
      </c>
      <c r="E207" s="68" t="s">
        <v>808</v>
      </c>
      <c r="F207" s="75" t="s">
        <v>785</v>
      </c>
      <c r="G207" s="68" t="s">
        <v>650</v>
      </c>
      <c r="H207" s="68" t="s">
        <v>355</v>
      </c>
      <c r="J207" s="618">
        <v>6</v>
      </c>
      <c r="K207" s="221">
        <f>SUM(K208:K246)</f>
        <v>0</v>
      </c>
      <c r="AW207" s="85">
        <f>VLOOKUP(AY207,'x Malzemeler ve Özellikleri'!B:C,2,0)</f>
        <v>0</v>
      </c>
    </row>
    <row r="208" spans="1:49" ht="19.5">
      <c r="A208" s="67">
        <f>xHesaplama!H32</f>
        <v>0</v>
      </c>
      <c r="B208" s="67"/>
      <c r="C208" s="70">
        <f>xHesaplama!I32</f>
        <v>0</v>
      </c>
      <c r="D208" s="67">
        <f>xHesaplama!I32</f>
        <v>0</v>
      </c>
      <c r="E208" s="69" t="e">
        <f>xHesaplama!AC32</f>
        <v>#N/A</v>
      </c>
      <c r="F208" s="76">
        <f>xHesaplama!AD32*C206</f>
        <v>0</v>
      </c>
      <c r="G208" s="70" t="s">
        <v>817</v>
      </c>
      <c r="H208" s="69">
        <f t="shared" ref="H208:H209" si="34">IFERROR(E208*F208,0)</f>
        <v>0</v>
      </c>
      <c r="I208" s="145"/>
      <c r="J208" s="619"/>
      <c r="K208" s="81">
        <f>IFERROR(VLOOKUP(A208,'x Malzemeler ve Özellikleri'!$N$1:$Q$181,4,0)*F208,0)</f>
        <v>0</v>
      </c>
      <c r="AN208" s="84" cm="1">
        <f t="array" ref="AN208">_xlfn._xlws.FILTER(A208:I246,I208:I246,0)</f>
        <v>0</v>
      </c>
      <c r="AW208" s="85">
        <f>VLOOKUP(AY208,'x Malzemeler ve Özellikleri'!B:C,2,0)</f>
        <v>0</v>
      </c>
    </row>
    <row r="209" spans="1:49" ht="19.5">
      <c r="A209" s="67" t="s">
        <v>105</v>
      </c>
      <c r="B209" s="67"/>
      <c r="C209" s="70"/>
      <c r="D209" s="67">
        <f>xHesaplama!J32</f>
        <v>0</v>
      </c>
      <c r="E209" s="69" t="e">
        <f>xHesaplama!AB32</f>
        <v>#N/A</v>
      </c>
      <c r="F209" s="76">
        <f>C206</f>
        <v>0</v>
      </c>
      <c r="G209" s="70" t="s">
        <v>357</v>
      </c>
      <c r="H209" s="69">
        <f t="shared" si="34"/>
        <v>0</v>
      </c>
      <c r="I209" s="145">
        <v>0</v>
      </c>
      <c r="J209" s="619"/>
      <c r="K209" s="81">
        <f>IFERROR(VLOOKUP(D209,'x Malzemeler ve Özellikleri'!$N$1:$Q$181,4,0)*F209,0)</f>
        <v>0</v>
      </c>
      <c r="AW209" s="85">
        <f>VLOOKUP(AY209,'x Malzemeler ve Özellikleri'!B:C,2,0)</f>
        <v>0</v>
      </c>
    </row>
    <row r="210" spans="1:49" ht="19.5">
      <c r="A210" s="67">
        <f>N207</f>
        <v>0</v>
      </c>
      <c r="B210" s="67">
        <f>L207</f>
        <v>0</v>
      </c>
      <c r="C210" s="70" t="str">
        <f>IF(VLOOKUP(B210,'x Malzemeler ve Özellikleri'!$B$2:$M$136,12,0)="ALÜMİNYUM",'1PROJE'!$H$12,"")</f>
        <v/>
      </c>
      <c r="D210" s="67">
        <f>O207</f>
        <v>0</v>
      </c>
      <c r="E210" s="69" t="e">
        <f>HLOOKUP(B210,xHesaplama!$AH$26:$FH$66,27,0)</f>
        <v>#N/A</v>
      </c>
      <c r="F210" s="76">
        <f t="shared" ref="F210:F246" si="35">V207*$C$206</f>
        <v>0</v>
      </c>
      <c r="G210" s="70">
        <f>M207</f>
        <v>0</v>
      </c>
      <c r="H210" s="69" t="str">
        <f t="shared" ref="H210:H246" si="36">IFERROR(E210*$C$206,"")</f>
        <v/>
      </c>
      <c r="I210" s="145">
        <v>0</v>
      </c>
      <c r="J210" s="619"/>
      <c r="K210" s="81">
        <f>IFERROR(VLOOKUP(B210,'x Malzemeler ve Özellikleri'!$O$1:$Q$181,3,0)*F210,0)</f>
        <v>0</v>
      </c>
      <c r="AW210" s="85">
        <f>VLOOKUP(AY210,'x Malzemeler ve Özellikleri'!B:C,2,0)</f>
        <v>0</v>
      </c>
    </row>
    <row r="211" spans="1:49" ht="19.5">
      <c r="A211" s="67">
        <f t="shared" ref="A211:A246" si="37">N208</f>
        <v>0</v>
      </c>
      <c r="B211" s="67">
        <f t="shared" ref="B211:B246" si="38">L208</f>
        <v>0</v>
      </c>
      <c r="C211" s="70" t="str">
        <f>IF(VLOOKUP(B211,'x Malzemeler ve Özellikleri'!$B$2:$M$136,12,0)="ALÜMİNYUM",'1PROJE'!$H$12,"")</f>
        <v/>
      </c>
      <c r="D211" s="67">
        <f t="shared" ref="D211:D246" si="39">O208</f>
        <v>0</v>
      </c>
      <c r="E211" s="69" t="e">
        <f>HLOOKUP(B211,xHesaplama!$AH$26:$FH$66,27,0)</f>
        <v>#N/A</v>
      </c>
      <c r="F211" s="76">
        <f t="shared" si="35"/>
        <v>0</v>
      </c>
      <c r="G211" s="70">
        <f t="shared" ref="G211:G246" si="40">M208</f>
        <v>0</v>
      </c>
      <c r="H211" s="69" t="str">
        <f t="shared" si="36"/>
        <v/>
      </c>
      <c r="I211" s="145">
        <v>0</v>
      </c>
      <c r="J211" s="619"/>
      <c r="K211" s="81">
        <f>IFERROR(VLOOKUP(B211,'x Malzemeler ve Özellikleri'!$O$1:$Q$181,3,0)*F211,0)</f>
        <v>0</v>
      </c>
      <c r="AW211" s="85">
        <f>VLOOKUP(AY211,'x Malzemeler ve Özellikleri'!B:C,2,0)</f>
        <v>0</v>
      </c>
    </row>
    <row r="212" spans="1:49" ht="19.5">
      <c r="A212" s="67">
        <f t="shared" si="37"/>
        <v>0</v>
      </c>
      <c r="B212" s="67">
        <f t="shared" si="38"/>
        <v>0</v>
      </c>
      <c r="C212" s="70" t="str">
        <f>IF(VLOOKUP(B212,'x Malzemeler ve Özellikleri'!$B$2:$M$136,12,0)="ALÜMİNYUM",'1PROJE'!$H$12,"")</f>
        <v/>
      </c>
      <c r="D212" s="67">
        <f t="shared" si="39"/>
        <v>0</v>
      </c>
      <c r="E212" s="69" t="e">
        <f>HLOOKUP(B212,xHesaplama!$AH$26:$FH$66,27,0)</f>
        <v>#N/A</v>
      </c>
      <c r="F212" s="76">
        <f t="shared" si="35"/>
        <v>0</v>
      </c>
      <c r="G212" s="70">
        <f t="shared" si="40"/>
        <v>0</v>
      </c>
      <c r="H212" s="69" t="str">
        <f t="shared" si="36"/>
        <v/>
      </c>
      <c r="I212" s="145">
        <v>0</v>
      </c>
      <c r="J212" s="619"/>
      <c r="K212" s="81">
        <f>IFERROR(VLOOKUP(B212,'x Malzemeler ve Özellikleri'!$O$1:$Q$181,3,0)*F212,0)</f>
        <v>0</v>
      </c>
      <c r="AW212" s="85">
        <f>VLOOKUP(AY212,'x Malzemeler ve Özellikleri'!B:C,2,0)</f>
        <v>0</v>
      </c>
    </row>
    <row r="213" spans="1:49" ht="19.5">
      <c r="A213" s="67">
        <f t="shared" si="37"/>
        <v>0</v>
      </c>
      <c r="B213" s="67">
        <f t="shared" si="38"/>
        <v>0</v>
      </c>
      <c r="C213" s="70" t="str">
        <f>IF(VLOOKUP(B213,'x Malzemeler ve Özellikleri'!$B$2:$M$136,12,0)="ALÜMİNYUM",'1PROJE'!$H$12,"")</f>
        <v/>
      </c>
      <c r="D213" s="67">
        <f t="shared" si="39"/>
        <v>0</v>
      </c>
      <c r="E213" s="69" t="e">
        <f>HLOOKUP(B213,xHesaplama!$AH$26:$FH$66,27,0)</f>
        <v>#N/A</v>
      </c>
      <c r="F213" s="76">
        <f t="shared" si="35"/>
        <v>0</v>
      </c>
      <c r="G213" s="70">
        <f t="shared" si="40"/>
        <v>0</v>
      </c>
      <c r="H213" s="69" t="str">
        <f t="shared" si="36"/>
        <v/>
      </c>
      <c r="I213" s="145">
        <v>0</v>
      </c>
      <c r="J213" s="619"/>
      <c r="K213" s="81">
        <f>IFERROR(VLOOKUP(B213,'x Malzemeler ve Özellikleri'!$O$1:$Q$181,3,0)*F213,0)</f>
        <v>0</v>
      </c>
      <c r="AW213" s="85">
        <f>VLOOKUP(AY213,'x Malzemeler ve Özellikleri'!B:C,2,0)</f>
        <v>0</v>
      </c>
    </row>
    <row r="214" spans="1:49" ht="19.5">
      <c r="A214" s="67">
        <f t="shared" si="37"/>
        <v>0</v>
      </c>
      <c r="B214" s="67">
        <f t="shared" si="38"/>
        <v>0</v>
      </c>
      <c r="C214" s="70" t="str">
        <f>IF(VLOOKUP(B214,'x Malzemeler ve Özellikleri'!$B$2:$M$136,12,0)="ALÜMİNYUM",'1PROJE'!$H$12,"")</f>
        <v/>
      </c>
      <c r="D214" s="67">
        <f t="shared" si="39"/>
        <v>0</v>
      </c>
      <c r="E214" s="69" t="e">
        <f>HLOOKUP(B214,xHesaplama!$AH$26:$FH$66,27,0)</f>
        <v>#N/A</v>
      </c>
      <c r="F214" s="76">
        <f t="shared" si="35"/>
        <v>0</v>
      </c>
      <c r="G214" s="70">
        <f t="shared" si="40"/>
        <v>0</v>
      </c>
      <c r="H214" s="69" t="str">
        <f t="shared" si="36"/>
        <v/>
      </c>
      <c r="I214" s="145">
        <v>0</v>
      </c>
      <c r="J214" s="619"/>
      <c r="K214" s="81">
        <f>IFERROR(VLOOKUP(B214,'x Malzemeler ve Özellikleri'!$O$1:$Q$181,3,0)*F214,0)</f>
        <v>0</v>
      </c>
      <c r="AW214" s="85">
        <f>VLOOKUP(AY214,'x Malzemeler ve Özellikleri'!B:C,2,0)</f>
        <v>0</v>
      </c>
    </row>
    <row r="215" spans="1:49" ht="19.5">
      <c r="A215" s="67">
        <f t="shared" si="37"/>
        <v>0</v>
      </c>
      <c r="B215" s="67">
        <f t="shared" si="38"/>
        <v>0</v>
      </c>
      <c r="C215" s="70" t="str">
        <f>IF(VLOOKUP(B215,'x Malzemeler ve Özellikleri'!$B$2:$M$136,12,0)="ALÜMİNYUM",'1PROJE'!$H$12,"")</f>
        <v/>
      </c>
      <c r="D215" s="67">
        <f t="shared" si="39"/>
        <v>0</v>
      </c>
      <c r="E215" s="69" t="e">
        <f>HLOOKUP(B215,xHesaplama!$AH$26:$FH$66,27,0)</f>
        <v>#N/A</v>
      </c>
      <c r="F215" s="76">
        <f t="shared" si="35"/>
        <v>0</v>
      </c>
      <c r="G215" s="70">
        <f t="shared" si="40"/>
        <v>0</v>
      </c>
      <c r="H215" s="69" t="str">
        <f t="shared" si="36"/>
        <v/>
      </c>
      <c r="I215" s="145">
        <v>0</v>
      </c>
      <c r="J215" s="619"/>
      <c r="K215" s="81">
        <f>IFERROR(VLOOKUP(B215,'x Malzemeler ve Özellikleri'!$O$1:$Q$181,3,0)*F215,0)</f>
        <v>0</v>
      </c>
      <c r="AW215" s="85">
        <f>VLOOKUP(AY215,'x Malzemeler ve Özellikleri'!B:C,2,0)</f>
        <v>0</v>
      </c>
    </row>
    <row r="216" spans="1:49" ht="19.5">
      <c r="A216" s="67">
        <f t="shared" si="37"/>
        <v>0</v>
      </c>
      <c r="B216" s="67">
        <f t="shared" si="38"/>
        <v>0</v>
      </c>
      <c r="C216" s="70" t="str">
        <f>IF(VLOOKUP(B216,'x Malzemeler ve Özellikleri'!$B$2:$M$136,12,0)="ALÜMİNYUM",'1PROJE'!$H$12,"")</f>
        <v/>
      </c>
      <c r="D216" s="67">
        <f t="shared" si="39"/>
        <v>0</v>
      </c>
      <c r="E216" s="69" t="e">
        <f>HLOOKUP(B216,xHesaplama!$AH$26:$FH$66,27,0)</f>
        <v>#N/A</v>
      </c>
      <c r="F216" s="76">
        <f t="shared" si="35"/>
        <v>0</v>
      </c>
      <c r="G216" s="70">
        <f t="shared" si="40"/>
        <v>0</v>
      </c>
      <c r="H216" s="69" t="str">
        <f t="shared" si="36"/>
        <v/>
      </c>
      <c r="I216" s="145">
        <v>0</v>
      </c>
      <c r="J216" s="619"/>
      <c r="K216" s="81">
        <f>IFERROR(VLOOKUP(B216,'x Malzemeler ve Özellikleri'!$O$1:$Q$181,3,0)*F216,0)</f>
        <v>0</v>
      </c>
    </row>
    <row r="217" spans="1:49" ht="19.5">
      <c r="A217" s="67">
        <f t="shared" si="37"/>
        <v>0</v>
      </c>
      <c r="B217" s="67">
        <f t="shared" si="38"/>
        <v>0</v>
      </c>
      <c r="C217" s="70" t="str">
        <f>IF(VLOOKUP(B217,'x Malzemeler ve Özellikleri'!$B$2:$M$136,12,0)="ALÜMİNYUM",'1PROJE'!$H$12,"")</f>
        <v/>
      </c>
      <c r="D217" s="67">
        <f t="shared" si="39"/>
        <v>0</v>
      </c>
      <c r="E217" s="69" t="e">
        <f>HLOOKUP(B217,xHesaplama!$AH$26:$FH$66,27,0)</f>
        <v>#N/A</v>
      </c>
      <c r="F217" s="76">
        <f t="shared" si="35"/>
        <v>0</v>
      </c>
      <c r="G217" s="70">
        <f t="shared" si="40"/>
        <v>0</v>
      </c>
      <c r="H217" s="69" t="str">
        <f t="shared" si="36"/>
        <v/>
      </c>
      <c r="I217" s="145">
        <v>0</v>
      </c>
      <c r="J217" s="619"/>
      <c r="K217" s="81">
        <f>IFERROR(VLOOKUP(B217,'x Malzemeler ve Özellikleri'!$O$1:$Q$181,3,0)*F217,0)</f>
        <v>0</v>
      </c>
    </row>
    <row r="218" spans="1:49" ht="19.5">
      <c r="A218" s="67">
        <f t="shared" si="37"/>
        <v>0</v>
      </c>
      <c r="B218" s="67">
        <f t="shared" si="38"/>
        <v>0</v>
      </c>
      <c r="C218" s="70" t="str">
        <f>IF(VLOOKUP(B218,'x Malzemeler ve Özellikleri'!$B$2:$M$136,12,0)="ALÜMİNYUM",'1PROJE'!$H$12,"")</f>
        <v/>
      </c>
      <c r="D218" s="67">
        <f t="shared" si="39"/>
        <v>0</v>
      </c>
      <c r="E218" s="69" t="e">
        <f>HLOOKUP(B218,xHesaplama!$AH$26:$FH$66,27,0)</f>
        <v>#N/A</v>
      </c>
      <c r="F218" s="76">
        <f t="shared" si="35"/>
        <v>0</v>
      </c>
      <c r="G218" s="70">
        <f t="shared" si="40"/>
        <v>0</v>
      </c>
      <c r="H218" s="69" t="str">
        <f t="shared" si="36"/>
        <v/>
      </c>
      <c r="I218" s="145">
        <v>0</v>
      </c>
      <c r="J218" s="619"/>
      <c r="K218" s="81">
        <f>IFERROR(VLOOKUP(B218,'x Malzemeler ve Özellikleri'!$O$1:$Q$181,3,0)*F218,0)</f>
        <v>0</v>
      </c>
    </row>
    <row r="219" spans="1:49" ht="19.5">
      <c r="A219" s="67">
        <f t="shared" si="37"/>
        <v>0</v>
      </c>
      <c r="B219" s="67">
        <f t="shared" si="38"/>
        <v>0</v>
      </c>
      <c r="C219" s="70" t="str">
        <f>IF(VLOOKUP(B219,'x Malzemeler ve Özellikleri'!$B$2:$M$136,12,0)="ALÜMİNYUM",'1PROJE'!$H$12,"")</f>
        <v/>
      </c>
      <c r="D219" s="67">
        <f t="shared" si="39"/>
        <v>0</v>
      </c>
      <c r="E219" s="69" t="e">
        <f>HLOOKUP(B219,xHesaplama!$AH$26:$FH$66,27,0)</f>
        <v>#N/A</v>
      </c>
      <c r="F219" s="76">
        <f t="shared" si="35"/>
        <v>0</v>
      </c>
      <c r="G219" s="70">
        <f t="shared" si="40"/>
        <v>0</v>
      </c>
      <c r="H219" s="69" t="str">
        <f t="shared" si="36"/>
        <v/>
      </c>
      <c r="I219" s="145">
        <v>0</v>
      </c>
      <c r="J219" s="619"/>
      <c r="K219" s="81">
        <f>IFERROR(VLOOKUP(B219,'x Malzemeler ve Özellikleri'!$O$1:$Q$181,3,0)*F219,0)</f>
        <v>0</v>
      </c>
    </row>
    <row r="220" spans="1:49" ht="19.5">
      <c r="A220" s="67">
        <f t="shared" si="37"/>
        <v>0</v>
      </c>
      <c r="B220" s="67">
        <f t="shared" si="38"/>
        <v>0</v>
      </c>
      <c r="C220" s="70" t="str">
        <f>IF(VLOOKUP(B220,'x Malzemeler ve Özellikleri'!$B$2:$M$136,12,0)="ALÜMİNYUM",'1PROJE'!$H$12,"")</f>
        <v/>
      </c>
      <c r="D220" s="67">
        <f t="shared" si="39"/>
        <v>0</v>
      </c>
      <c r="E220" s="69" t="e">
        <f>HLOOKUP(B220,xHesaplama!$AH$26:$FH$66,27,0)</f>
        <v>#N/A</v>
      </c>
      <c r="F220" s="76">
        <f t="shared" si="35"/>
        <v>0</v>
      </c>
      <c r="G220" s="70">
        <f t="shared" si="40"/>
        <v>0</v>
      </c>
      <c r="H220" s="69" t="str">
        <f t="shared" si="36"/>
        <v/>
      </c>
      <c r="I220" s="145">
        <v>0</v>
      </c>
      <c r="J220" s="619"/>
      <c r="K220" s="81">
        <f>IFERROR(VLOOKUP(B220,'x Malzemeler ve Özellikleri'!$O$1:$Q$181,3,0)*F220,0)</f>
        <v>0</v>
      </c>
    </row>
    <row r="221" spans="1:49" ht="19.5">
      <c r="A221" s="67">
        <f t="shared" si="37"/>
        <v>0</v>
      </c>
      <c r="B221" s="67">
        <f t="shared" si="38"/>
        <v>0</v>
      </c>
      <c r="C221" s="70" t="str">
        <f>IF(VLOOKUP(B221,'x Malzemeler ve Özellikleri'!$B$2:$M$136,12,0)="ALÜMİNYUM",'1PROJE'!$H$12,"")</f>
        <v/>
      </c>
      <c r="D221" s="67">
        <f t="shared" si="39"/>
        <v>0</v>
      </c>
      <c r="E221" s="69" t="e">
        <f>HLOOKUP(B221,xHesaplama!$AH$26:$FH$66,27,0)</f>
        <v>#N/A</v>
      </c>
      <c r="F221" s="76">
        <f t="shared" si="35"/>
        <v>0</v>
      </c>
      <c r="G221" s="70">
        <f t="shared" si="40"/>
        <v>0</v>
      </c>
      <c r="H221" s="69" t="str">
        <f t="shared" si="36"/>
        <v/>
      </c>
      <c r="I221" s="145">
        <v>0</v>
      </c>
      <c r="J221" s="619"/>
      <c r="K221" s="81">
        <f>IFERROR(VLOOKUP(B221,'x Malzemeler ve Özellikleri'!$O$1:$Q$181,3,0)*F221,0)</f>
        <v>0</v>
      </c>
    </row>
    <row r="222" spans="1:49" ht="19.5">
      <c r="A222" s="67">
        <f t="shared" si="37"/>
        <v>0</v>
      </c>
      <c r="B222" s="67">
        <f t="shared" si="38"/>
        <v>0</v>
      </c>
      <c r="C222" s="70" t="str">
        <f>IF(VLOOKUP(B222,'x Malzemeler ve Özellikleri'!$B$2:$M$136,12,0)="ALÜMİNYUM",'1PROJE'!$H$12,"")</f>
        <v/>
      </c>
      <c r="D222" s="67">
        <f t="shared" si="39"/>
        <v>0</v>
      </c>
      <c r="E222" s="69" t="e">
        <f>HLOOKUP(B222,xHesaplama!$AH$26:$FH$66,27,0)</f>
        <v>#N/A</v>
      </c>
      <c r="F222" s="76">
        <f t="shared" si="35"/>
        <v>0</v>
      </c>
      <c r="G222" s="70">
        <f t="shared" si="40"/>
        <v>0</v>
      </c>
      <c r="H222" s="69" t="str">
        <f t="shared" si="36"/>
        <v/>
      </c>
      <c r="I222" s="145">
        <v>0</v>
      </c>
      <c r="J222" s="619"/>
      <c r="K222" s="81">
        <f>IFERROR(VLOOKUP(B222,'x Malzemeler ve Özellikleri'!$O$1:$Q$181,3,0)*F222,0)</f>
        <v>0</v>
      </c>
    </row>
    <row r="223" spans="1:49" ht="19.5">
      <c r="A223" s="67">
        <f t="shared" si="37"/>
        <v>0</v>
      </c>
      <c r="B223" s="67">
        <f t="shared" si="38"/>
        <v>0</v>
      </c>
      <c r="C223" s="70" t="str">
        <f>IF(VLOOKUP(B223,'x Malzemeler ve Özellikleri'!$B$2:$M$136,12,0)="ALÜMİNYUM",'1PROJE'!$H$12,"")</f>
        <v/>
      </c>
      <c r="D223" s="67">
        <f t="shared" si="39"/>
        <v>0</v>
      </c>
      <c r="E223" s="69" t="e">
        <f>HLOOKUP(B223,xHesaplama!$AH$26:$FH$66,27,0)</f>
        <v>#N/A</v>
      </c>
      <c r="F223" s="76">
        <f t="shared" si="35"/>
        <v>0</v>
      </c>
      <c r="G223" s="70">
        <f t="shared" si="40"/>
        <v>0</v>
      </c>
      <c r="H223" s="69" t="str">
        <f t="shared" si="36"/>
        <v/>
      </c>
      <c r="I223" s="145">
        <v>0</v>
      </c>
      <c r="J223" s="619"/>
      <c r="K223" s="81">
        <f>IFERROR(VLOOKUP(B223,'x Malzemeler ve Özellikleri'!$O$1:$Q$181,3,0)*F223,0)</f>
        <v>0</v>
      </c>
    </row>
    <row r="224" spans="1:49" ht="19.5">
      <c r="A224" s="67">
        <f t="shared" si="37"/>
        <v>0</v>
      </c>
      <c r="B224" s="67">
        <f t="shared" si="38"/>
        <v>0</v>
      </c>
      <c r="C224" s="70" t="str">
        <f>IF(VLOOKUP(B224,'x Malzemeler ve Özellikleri'!$B$2:$M$136,12,0)="ALÜMİNYUM",'1PROJE'!$H$12,"")</f>
        <v/>
      </c>
      <c r="D224" s="67">
        <f t="shared" si="39"/>
        <v>0</v>
      </c>
      <c r="E224" s="69" t="e">
        <f>HLOOKUP(B224,xHesaplama!$AH$26:$FH$66,27,0)</f>
        <v>#N/A</v>
      </c>
      <c r="F224" s="76">
        <f t="shared" si="35"/>
        <v>0</v>
      </c>
      <c r="G224" s="70">
        <f t="shared" si="40"/>
        <v>0</v>
      </c>
      <c r="H224" s="69" t="str">
        <f t="shared" si="36"/>
        <v/>
      </c>
      <c r="I224" s="145">
        <v>0</v>
      </c>
      <c r="J224" s="619"/>
      <c r="K224" s="81">
        <f>IFERROR(VLOOKUP(B224,'x Malzemeler ve Özellikleri'!$O$1:$Q$181,3,0)*F224,0)</f>
        <v>0</v>
      </c>
    </row>
    <row r="225" spans="1:11" ht="19.5">
      <c r="A225" s="67">
        <f t="shared" si="37"/>
        <v>0</v>
      </c>
      <c r="B225" s="67">
        <f t="shared" si="38"/>
        <v>0</v>
      </c>
      <c r="C225" s="70" t="str">
        <f>IF(VLOOKUP(B225,'x Malzemeler ve Özellikleri'!$B$2:$M$136,12,0)="ALÜMİNYUM",'1PROJE'!$H$12,"")</f>
        <v/>
      </c>
      <c r="D225" s="67">
        <f t="shared" si="39"/>
        <v>0</v>
      </c>
      <c r="E225" s="69" t="e">
        <f>HLOOKUP(B225,xHesaplama!$AH$26:$FH$66,27,0)</f>
        <v>#N/A</v>
      </c>
      <c r="F225" s="76">
        <f t="shared" si="35"/>
        <v>0</v>
      </c>
      <c r="G225" s="70">
        <f t="shared" si="40"/>
        <v>0</v>
      </c>
      <c r="H225" s="69" t="str">
        <f t="shared" si="36"/>
        <v/>
      </c>
      <c r="I225" s="145">
        <v>0</v>
      </c>
      <c r="J225" s="619"/>
      <c r="K225" s="81">
        <f>IFERROR(VLOOKUP(B225,'x Malzemeler ve Özellikleri'!$O$1:$Q$181,3,0)*F225,0)</f>
        <v>0</v>
      </c>
    </row>
    <row r="226" spans="1:11" ht="19.5">
      <c r="A226" s="67">
        <f t="shared" si="37"/>
        <v>0</v>
      </c>
      <c r="B226" s="67">
        <f t="shared" si="38"/>
        <v>0</v>
      </c>
      <c r="C226" s="70" t="str">
        <f>IF(VLOOKUP(B226,'x Malzemeler ve Özellikleri'!$B$2:$M$136,12,0)="ALÜMİNYUM",'1PROJE'!$H$12,"")</f>
        <v/>
      </c>
      <c r="D226" s="67">
        <f t="shared" si="39"/>
        <v>0</v>
      </c>
      <c r="E226" s="69" t="e">
        <f>HLOOKUP(B226,xHesaplama!$AH$26:$FH$66,27,0)</f>
        <v>#N/A</v>
      </c>
      <c r="F226" s="76">
        <f t="shared" si="35"/>
        <v>0</v>
      </c>
      <c r="G226" s="70">
        <f t="shared" si="40"/>
        <v>0</v>
      </c>
      <c r="H226" s="69" t="str">
        <f t="shared" si="36"/>
        <v/>
      </c>
      <c r="I226" s="145">
        <v>0</v>
      </c>
      <c r="J226" s="619"/>
      <c r="K226" s="81">
        <f>IFERROR(VLOOKUP(B226,'x Malzemeler ve Özellikleri'!$O$1:$Q$181,3,0)*F226,0)</f>
        <v>0</v>
      </c>
    </row>
    <row r="227" spans="1:11" ht="19.5">
      <c r="A227" s="67">
        <f t="shared" si="37"/>
        <v>0</v>
      </c>
      <c r="B227" s="67">
        <f t="shared" si="38"/>
        <v>0</v>
      </c>
      <c r="C227" s="70" t="str">
        <f>IF(VLOOKUP(B227,'x Malzemeler ve Özellikleri'!$B$2:$M$136,12,0)="ALÜMİNYUM",'1PROJE'!$H$12,"")</f>
        <v/>
      </c>
      <c r="D227" s="67">
        <f t="shared" si="39"/>
        <v>0</v>
      </c>
      <c r="E227" s="69" t="e">
        <f>HLOOKUP(B227,xHesaplama!$AH$26:$FH$66,27,0)</f>
        <v>#N/A</v>
      </c>
      <c r="F227" s="76">
        <f t="shared" si="35"/>
        <v>0</v>
      </c>
      <c r="G227" s="70">
        <f t="shared" si="40"/>
        <v>0</v>
      </c>
      <c r="H227" s="69" t="str">
        <f t="shared" si="36"/>
        <v/>
      </c>
      <c r="I227" s="145">
        <v>0</v>
      </c>
      <c r="J227" s="619"/>
      <c r="K227" s="81">
        <f>IFERROR(VLOOKUP(B227,'x Malzemeler ve Özellikleri'!$O$1:$Q$181,3,0)*F227,0)</f>
        <v>0</v>
      </c>
    </row>
    <row r="228" spans="1:11" ht="19.5">
      <c r="A228" s="67">
        <f t="shared" si="37"/>
        <v>0</v>
      </c>
      <c r="B228" s="67">
        <f t="shared" si="38"/>
        <v>0</v>
      </c>
      <c r="C228" s="70" t="str">
        <f>IF(VLOOKUP(B228,'x Malzemeler ve Özellikleri'!$B$2:$M$136,12,0)="ALÜMİNYUM",'1PROJE'!$H$12,"")</f>
        <v/>
      </c>
      <c r="D228" s="67">
        <f t="shared" si="39"/>
        <v>0</v>
      </c>
      <c r="E228" s="69" t="e">
        <f>HLOOKUP(B228,xHesaplama!$AH$26:$FH$66,27,0)</f>
        <v>#N/A</v>
      </c>
      <c r="F228" s="76">
        <f t="shared" si="35"/>
        <v>0</v>
      </c>
      <c r="G228" s="70">
        <f t="shared" si="40"/>
        <v>0</v>
      </c>
      <c r="H228" s="69" t="str">
        <f t="shared" si="36"/>
        <v/>
      </c>
      <c r="I228" s="145">
        <v>0</v>
      </c>
      <c r="J228" s="619"/>
      <c r="K228" s="81">
        <f>IFERROR(VLOOKUP(B228,'x Malzemeler ve Özellikleri'!$O$1:$Q$181,3,0)*F228,0)</f>
        <v>0</v>
      </c>
    </row>
    <row r="229" spans="1:11" ht="19.5">
      <c r="A229" s="67">
        <f t="shared" si="37"/>
        <v>0</v>
      </c>
      <c r="B229" s="67">
        <f t="shared" si="38"/>
        <v>0</v>
      </c>
      <c r="C229" s="70" t="str">
        <f>IF(VLOOKUP(B229,'x Malzemeler ve Özellikleri'!$B$2:$M$136,12,0)="ALÜMİNYUM",'1PROJE'!$H$12,"")</f>
        <v/>
      </c>
      <c r="D229" s="67">
        <f t="shared" si="39"/>
        <v>0</v>
      </c>
      <c r="E229" s="69" t="e">
        <f>HLOOKUP(B229,xHesaplama!$AH$26:$FH$66,27,0)</f>
        <v>#N/A</v>
      </c>
      <c r="F229" s="76">
        <f t="shared" si="35"/>
        <v>0</v>
      </c>
      <c r="G229" s="70">
        <f t="shared" si="40"/>
        <v>0</v>
      </c>
      <c r="H229" s="69" t="str">
        <f t="shared" si="36"/>
        <v/>
      </c>
      <c r="I229" s="145">
        <v>0</v>
      </c>
      <c r="J229" s="619"/>
      <c r="K229" s="81">
        <f>IFERROR(VLOOKUP(B229,'x Malzemeler ve Özellikleri'!$O$1:$Q$181,3,0)*F229,0)</f>
        <v>0</v>
      </c>
    </row>
    <row r="230" spans="1:11" ht="19.5">
      <c r="A230" s="67">
        <f t="shared" si="37"/>
        <v>0</v>
      </c>
      <c r="B230" s="67">
        <f t="shared" si="38"/>
        <v>0</v>
      </c>
      <c r="C230" s="70" t="str">
        <f>IF(VLOOKUP(B230,'x Malzemeler ve Özellikleri'!$B$2:$M$136,12,0)="ALÜMİNYUM",'1PROJE'!$H$12,"")</f>
        <v/>
      </c>
      <c r="D230" s="67">
        <f t="shared" si="39"/>
        <v>0</v>
      </c>
      <c r="E230" s="69" t="e">
        <f>HLOOKUP(B230,xHesaplama!$AH$26:$FH$66,27,0)</f>
        <v>#N/A</v>
      </c>
      <c r="F230" s="76">
        <f t="shared" si="35"/>
        <v>0</v>
      </c>
      <c r="G230" s="70">
        <f t="shared" si="40"/>
        <v>0</v>
      </c>
      <c r="H230" s="69" t="str">
        <f t="shared" si="36"/>
        <v/>
      </c>
      <c r="I230" s="145">
        <v>0</v>
      </c>
      <c r="J230" s="619"/>
      <c r="K230" s="81">
        <f>IFERROR(VLOOKUP(B230,'x Malzemeler ve Özellikleri'!$O$1:$Q$181,3,0)*F230,0)</f>
        <v>0</v>
      </c>
    </row>
    <row r="231" spans="1:11" ht="19.5">
      <c r="A231" s="67">
        <f t="shared" si="37"/>
        <v>0</v>
      </c>
      <c r="B231" s="67">
        <f t="shared" si="38"/>
        <v>0</v>
      </c>
      <c r="C231" s="70" t="str">
        <f>IF(VLOOKUP(B231,'x Malzemeler ve Özellikleri'!$B$2:$M$136,12,0)="ALÜMİNYUM",'1PROJE'!$H$12,"")</f>
        <v/>
      </c>
      <c r="D231" s="67">
        <f t="shared" si="39"/>
        <v>0</v>
      </c>
      <c r="E231" s="69" t="e">
        <f>HLOOKUP(B231,xHesaplama!$AH$26:$FH$66,27,0)</f>
        <v>#N/A</v>
      </c>
      <c r="F231" s="76">
        <f t="shared" si="35"/>
        <v>0</v>
      </c>
      <c r="G231" s="70">
        <f t="shared" si="40"/>
        <v>0</v>
      </c>
      <c r="H231" s="69" t="str">
        <f t="shared" si="36"/>
        <v/>
      </c>
      <c r="I231" s="145">
        <v>0</v>
      </c>
      <c r="J231" s="619"/>
      <c r="K231" s="81">
        <f>IFERROR(VLOOKUP(B231,'x Malzemeler ve Özellikleri'!$O$1:$Q$181,3,0)*F231,0)</f>
        <v>0</v>
      </c>
    </row>
    <row r="232" spans="1:11" ht="19.5">
      <c r="A232" s="67">
        <f t="shared" si="37"/>
        <v>0</v>
      </c>
      <c r="B232" s="67">
        <f t="shared" si="38"/>
        <v>0</v>
      </c>
      <c r="C232" s="70" t="str">
        <f>IF(VLOOKUP(B232,'x Malzemeler ve Özellikleri'!$B$2:$M$136,12,0)="ALÜMİNYUM",'1PROJE'!$H$12,"")</f>
        <v/>
      </c>
      <c r="D232" s="67">
        <f t="shared" si="39"/>
        <v>0</v>
      </c>
      <c r="E232" s="69" t="e">
        <f>HLOOKUP(B232,xHesaplama!$AH$26:$FH$66,27,0)</f>
        <v>#N/A</v>
      </c>
      <c r="F232" s="76">
        <f t="shared" si="35"/>
        <v>0</v>
      </c>
      <c r="G232" s="70">
        <f t="shared" si="40"/>
        <v>0</v>
      </c>
      <c r="H232" s="69" t="str">
        <f t="shared" si="36"/>
        <v/>
      </c>
      <c r="I232" s="145">
        <v>0</v>
      </c>
      <c r="J232" s="619"/>
      <c r="K232" s="81">
        <f>IFERROR(VLOOKUP(B232,'x Malzemeler ve Özellikleri'!$O$1:$Q$181,3,0)*F232,0)</f>
        <v>0</v>
      </c>
    </row>
    <row r="233" spans="1:11" ht="19.5">
      <c r="A233" s="67">
        <f t="shared" si="37"/>
        <v>0</v>
      </c>
      <c r="B233" s="67">
        <f t="shared" si="38"/>
        <v>0</v>
      </c>
      <c r="C233" s="70" t="str">
        <f>IF(VLOOKUP(B233,'x Malzemeler ve Özellikleri'!$B$2:$M$136,12,0)="ALÜMİNYUM",'1PROJE'!$H$12,"")</f>
        <v/>
      </c>
      <c r="D233" s="67">
        <f t="shared" si="39"/>
        <v>0</v>
      </c>
      <c r="E233" s="69" t="e">
        <f>HLOOKUP(B233,xHesaplama!$AH$26:$FH$66,27,0)</f>
        <v>#N/A</v>
      </c>
      <c r="F233" s="76">
        <f t="shared" si="35"/>
        <v>0</v>
      </c>
      <c r="G233" s="70">
        <f t="shared" si="40"/>
        <v>0</v>
      </c>
      <c r="H233" s="69" t="str">
        <f t="shared" si="36"/>
        <v/>
      </c>
      <c r="I233" s="145">
        <v>0</v>
      </c>
      <c r="J233" s="619"/>
      <c r="K233" s="81">
        <f>IFERROR(VLOOKUP(B233,'x Malzemeler ve Özellikleri'!$O$1:$Q$181,3,0)*F233,0)</f>
        <v>0</v>
      </c>
    </row>
    <row r="234" spans="1:11" ht="19.5">
      <c r="A234" s="67">
        <f t="shared" si="37"/>
        <v>0</v>
      </c>
      <c r="B234" s="67">
        <f t="shared" si="38"/>
        <v>0</v>
      </c>
      <c r="C234" s="70" t="str">
        <f>IF(VLOOKUP(B234,'x Malzemeler ve Özellikleri'!$B$2:$M$136,12,0)="ALÜMİNYUM",'1PROJE'!$H$12,"")</f>
        <v/>
      </c>
      <c r="D234" s="67">
        <f t="shared" si="39"/>
        <v>0</v>
      </c>
      <c r="E234" s="69" t="e">
        <f>HLOOKUP(B234,xHesaplama!$AH$26:$FH$66,27,0)</f>
        <v>#N/A</v>
      </c>
      <c r="F234" s="76">
        <f t="shared" si="35"/>
        <v>0</v>
      </c>
      <c r="G234" s="70">
        <f t="shared" si="40"/>
        <v>0</v>
      </c>
      <c r="H234" s="69" t="str">
        <f t="shared" si="36"/>
        <v/>
      </c>
      <c r="I234" s="145">
        <v>0</v>
      </c>
      <c r="J234" s="619"/>
      <c r="K234" s="81">
        <f>IFERROR(VLOOKUP(B234,'x Malzemeler ve Özellikleri'!$O$1:$Q$181,3,0)*F234,0)</f>
        <v>0</v>
      </c>
    </row>
    <row r="235" spans="1:11" ht="19.5">
      <c r="A235" s="67">
        <f t="shared" si="37"/>
        <v>0</v>
      </c>
      <c r="B235" s="67">
        <f t="shared" si="38"/>
        <v>0</v>
      </c>
      <c r="C235" s="70" t="str">
        <f>IF(VLOOKUP(B235,'x Malzemeler ve Özellikleri'!$B$2:$M$136,12,0)="ALÜMİNYUM",'1PROJE'!$H$12,"")</f>
        <v/>
      </c>
      <c r="D235" s="67">
        <f t="shared" si="39"/>
        <v>0</v>
      </c>
      <c r="E235" s="69" t="e">
        <f>HLOOKUP(B235,xHesaplama!$AH$26:$FH$66,27,0)</f>
        <v>#N/A</v>
      </c>
      <c r="F235" s="76">
        <f t="shared" si="35"/>
        <v>0</v>
      </c>
      <c r="G235" s="70">
        <f t="shared" si="40"/>
        <v>0</v>
      </c>
      <c r="H235" s="69" t="str">
        <f t="shared" si="36"/>
        <v/>
      </c>
      <c r="I235" s="145">
        <v>0</v>
      </c>
      <c r="J235" s="619"/>
      <c r="K235" s="81">
        <f>IFERROR(VLOOKUP(B235,'x Malzemeler ve Özellikleri'!$O$1:$Q$181,3,0)*F235,0)</f>
        <v>0</v>
      </c>
    </row>
    <row r="236" spans="1:11" ht="19.5">
      <c r="A236" s="67">
        <f t="shared" si="37"/>
        <v>0</v>
      </c>
      <c r="B236" s="67">
        <f t="shared" si="38"/>
        <v>0</v>
      </c>
      <c r="C236" s="70" t="str">
        <f>IF(VLOOKUP(B236,'x Malzemeler ve Özellikleri'!$B$2:$M$136,12,0)="ALÜMİNYUM",'1PROJE'!$H$12,"")</f>
        <v/>
      </c>
      <c r="D236" s="67">
        <f t="shared" si="39"/>
        <v>0</v>
      </c>
      <c r="E236" s="69" t="e">
        <f>HLOOKUP(B236,xHesaplama!$AH$26:$FH$66,27,0)</f>
        <v>#N/A</v>
      </c>
      <c r="F236" s="76">
        <f t="shared" si="35"/>
        <v>0</v>
      </c>
      <c r="G236" s="70">
        <f t="shared" si="40"/>
        <v>0</v>
      </c>
      <c r="H236" s="69" t="str">
        <f t="shared" si="36"/>
        <v/>
      </c>
      <c r="I236" s="145">
        <v>0</v>
      </c>
      <c r="J236" s="619"/>
      <c r="K236" s="81">
        <f>IFERROR(VLOOKUP(B236,'x Malzemeler ve Özellikleri'!$O$1:$Q$181,3,0)*F236,0)</f>
        <v>0</v>
      </c>
    </row>
    <row r="237" spans="1:11" ht="19.5">
      <c r="A237" s="67">
        <f t="shared" si="37"/>
        <v>0</v>
      </c>
      <c r="B237" s="67">
        <f t="shared" si="38"/>
        <v>0</v>
      </c>
      <c r="C237" s="70" t="str">
        <f>IF(VLOOKUP(B237,'x Malzemeler ve Özellikleri'!$B$2:$M$136,12,0)="ALÜMİNYUM",'1PROJE'!$H$12,"")</f>
        <v/>
      </c>
      <c r="D237" s="67">
        <f t="shared" si="39"/>
        <v>0</v>
      </c>
      <c r="E237" s="69" t="e">
        <f>HLOOKUP(B237,xHesaplama!$AH$26:$FH$66,27,0)</f>
        <v>#N/A</v>
      </c>
      <c r="F237" s="76">
        <f t="shared" si="35"/>
        <v>0</v>
      </c>
      <c r="G237" s="70">
        <f t="shared" si="40"/>
        <v>0</v>
      </c>
      <c r="H237" s="69" t="str">
        <f t="shared" si="36"/>
        <v/>
      </c>
      <c r="I237" s="145">
        <v>0</v>
      </c>
      <c r="J237" s="619"/>
      <c r="K237" s="81">
        <f>IFERROR(VLOOKUP(B237,'x Malzemeler ve Özellikleri'!$O$1:$Q$181,3,0)*F237,0)</f>
        <v>0</v>
      </c>
    </row>
    <row r="238" spans="1:11" ht="19.5">
      <c r="A238" s="67">
        <f t="shared" si="37"/>
        <v>0</v>
      </c>
      <c r="B238" s="67">
        <f t="shared" si="38"/>
        <v>0</v>
      </c>
      <c r="C238" s="70" t="str">
        <f>IF(VLOOKUP(B238,'x Malzemeler ve Özellikleri'!$B$2:$M$136,12,0)="ALÜMİNYUM",'1PROJE'!$H$12,"")</f>
        <v/>
      </c>
      <c r="D238" s="67">
        <f t="shared" si="39"/>
        <v>0</v>
      </c>
      <c r="E238" s="69" t="e">
        <f>HLOOKUP(B238,xHesaplama!$AH$26:$FH$66,27,0)</f>
        <v>#N/A</v>
      </c>
      <c r="F238" s="76">
        <f t="shared" si="35"/>
        <v>0</v>
      </c>
      <c r="G238" s="70">
        <f t="shared" si="40"/>
        <v>0</v>
      </c>
      <c r="H238" s="69" t="str">
        <f t="shared" si="36"/>
        <v/>
      </c>
      <c r="I238" s="145">
        <v>0</v>
      </c>
      <c r="J238" s="619"/>
      <c r="K238" s="81">
        <f>IFERROR(VLOOKUP(B238,'x Malzemeler ve Özellikleri'!$O$1:$Q$181,3,0)*F238,0)</f>
        <v>0</v>
      </c>
    </row>
    <row r="239" spans="1:11" ht="19.5">
      <c r="A239" s="67">
        <f t="shared" si="37"/>
        <v>0</v>
      </c>
      <c r="B239" s="67">
        <f t="shared" si="38"/>
        <v>0</v>
      </c>
      <c r="C239" s="70" t="str">
        <f>IF(VLOOKUP(B239,'x Malzemeler ve Özellikleri'!$B$2:$M$136,12,0)="ALÜMİNYUM",'1PROJE'!$H$12,"")</f>
        <v/>
      </c>
      <c r="D239" s="67">
        <f t="shared" si="39"/>
        <v>0</v>
      </c>
      <c r="E239" s="69" t="e">
        <f>HLOOKUP(B239,xHesaplama!$AH$26:$FH$66,27,0)</f>
        <v>#N/A</v>
      </c>
      <c r="F239" s="76">
        <f t="shared" si="35"/>
        <v>0</v>
      </c>
      <c r="G239" s="70">
        <f t="shared" si="40"/>
        <v>0</v>
      </c>
      <c r="H239" s="69" t="str">
        <f t="shared" si="36"/>
        <v/>
      </c>
      <c r="I239" s="145">
        <v>0</v>
      </c>
      <c r="J239" s="619"/>
      <c r="K239" s="81">
        <f>IFERROR(VLOOKUP(B239,'x Malzemeler ve Özellikleri'!$O$1:$Q$181,3,0)*F239,0)</f>
        <v>0</v>
      </c>
    </row>
    <row r="240" spans="1:11" ht="19.5">
      <c r="A240" s="67">
        <f t="shared" si="37"/>
        <v>0</v>
      </c>
      <c r="B240" s="67">
        <f t="shared" si="38"/>
        <v>0</v>
      </c>
      <c r="C240" s="70" t="str">
        <f>IF(VLOOKUP(B240,'x Malzemeler ve Özellikleri'!$B$2:$M$136,12,0)="ALÜMİNYUM",'1PROJE'!$H$12,"")</f>
        <v/>
      </c>
      <c r="D240" s="67">
        <f t="shared" si="39"/>
        <v>0</v>
      </c>
      <c r="E240" s="69" t="e">
        <f>HLOOKUP(B240,xHesaplama!$AH$26:$FH$66,27,0)</f>
        <v>#N/A</v>
      </c>
      <c r="F240" s="76">
        <f t="shared" si="35"/>
        <v>0</v>
      </c>
      <c r="G240" s="70">
        <f t="shared" si="40"/>
        <v>0</v>
      </c>
      <c r="H240" s="69" t="str">
        <f t="shared" si="36"/>
        <v/>
      </c>
      <c r="I240" s="145">
        <v>0</v>
      </c>
      <c r="J240" s="619"/>
      <c r="K240" s="81">
        <f>IFERROR(VLOOKUP(B240,'x Malzemeler ve Özellikleri'!$O$1:$Q$181,3,0)*F240,0)</f>
        <v>0</v>
      </c>
    </row>
    <row r="241" spans="1:40" ht="19.5">
      <c r="A241" s="67">
        <f t="shared" si="37"/>
        <v>0</v>
      </c>
      <c r="B241" s="67">
        <f t="shared" si="38"/>
        <v>0</v>
      </c>
      <c r="C241" s="70" t="str">
        <f>IF(VLOOKUP(B241,'x Malzemeler ve Özellikleri'!$B$2:$M$136,12,0)="ALÜMİNYUM",'1PROJE'!$H$12,"")</f>
        <v/>
      </c>
      <c r="D241" s="67">
        <f t="shared" si="39"/>
        <v>0</v>
      </c>
      <c r="E241" s="69" t="e">
        <f>HLOOKUP(B241,xHesaplama!$AH$26:$FH$66,27,0)</f>
        <v>#N/A</v>
      </c>
      <c r="F241" s="76">
        <f t="shared" si="35"/>
        <v>0</v>
      </c>
      <c r="G241" s="70">
        <f t="shared" si="40"/>
        <v>0</v>
      </c>
      <c r="H241" s="69" t="str">
        <f t="shared" si="36"/>
        <v/>
      </c>
      <c r="I241" s="145">
        <v>0</v>
      </c>
      <c r="J241" s="619"/>
      <c r="K241" s="81">
        <f>IFERROR(VLOOKUP(B241,'x Malzemeler ve Özellikleri'!$O$1:$Q$181,3,0)*F241,0)</f>
        <v>0</v>
      </c>
    </row>
    <row r="242" spans="1:40" ht="19.5">
      <c r="A242" s="67">
        <f t="shared" si="37"/>
        <v>0</v>
      </c>
      <c r="B242" s="67">
        <f t="shared" si="38"/>
        <v>0</v>
      </c>
      <c r="C242" s="70" t="str">
        <f>IF(VLOOKUP(B242,'x Malzemeler ve Özellikleri'!$B$2:$M$136,12,0)="ALÜMİNYUM",'1PROJE'!$H$12,"")</f>
        <v/>
      </c>
      <c r="D242" s="67">
        <f t="shared" si="39"/>
        <v>0</v>
      </c>
      <c r="E242" s="69" t="e">
        <f>HLOOKUP(B242,xHesaplama!$AH$26:$FH$66,27,0)</f>
        <v>#N/A</v>
      </c>
      <c r="F242" s="76">
        <f t="shared" si="35"/>
        <v>0</v>
      </c>
      <c r="G242" s="70">
        <f t="shared" si="40"/>
        <v>0</v>
      </c>
      <c r="H242" s="69" t="str">
        <f t="shared" si="36"/>
        <v/>
      </c>
      <c r="I242" s="145">
        <v>0</v>
      </c>
      <c r="J242" s="619"/>
      <c r="K242" s="81">
        <f>IFERROR(VLOOKUP(B242,'x Malzemeler ve Özellikleri'!$O$1:$Q$181,3,0)*F242,0)</f>
        <v>0</v>
      </c>
    </row>
    <row r="243" spans="1:40" ht="19.5">
      <c r="A243" s="67">
        <f t="shared" si="37"/>
        <v>0</v>
      </c>
      <c r="B243" s="67">
        <f t="shared" si="38"/>
        <v>0</v>
      </c>
      <c r="C243" s="70" t="str">
        <f>IF(VLOOKUP(B243,'x Malzemeler ve Özellikleri'!$B$2:$M$136,12,0)="ALÜMİNYUM",'1PROJE'!$H$12,"")</f>
        <v/>
      </c>
      <c r="D243" s="67">
        <f t="shared" si="39"/>
        <v>0</v>
      </c>
      <c r="E243" s="69" t="e">
        <f>HLOOKUP(B243,xHesaplama!$AH$26:$FH$66,27,0)</f>
        <v>#N/A</v>
      </c>
      <c r="F243" s="76">
        <f t="shared" si="35"/>
        <v>0</v>
      </c>
      <c r="G243" s="70">
        <f t="shared" si="40"/>
        <v>0</v>
      </c>
      <c r="H243" s="69" t="str">
        <f t="shared" si="36"/>
        <v/>
      </c>
      <c r="I243" s="145">
        <v>0</v>
      </c>
      <c r="J243" s="619"/>
      <c r="K243" s="81">
        <f>IFERROR(VLOOKUP(B243,'x Malzemeler ve Özellikleri'!$O$1:$Q$181,3,0)*F243,0)</f>
        <v>0</v>
      </c>
    </row>
    <row r="244" spans="1:40" ht="19.5">
      <c r="A244" s="67">
        <f t="shared" si="37"/>
        <v>0</v>
      </c>
      <c r="B244" s="67">
        <f t="shared" si="38"/>
        <v>0</v>
      </c>
      <c r="C244" s="70" t="str">
        <f>IF(VLOOKUP(B244,'x Malzemeler ve Özellikleri'!$B$2:$M$136,12,0)="ALÜMİNYUM",'1PROJE'!$H$12,"")</f>
        <v/>
      </c>
      <c r="D244" s="67">
        <f t="shared" si="39"/>
        <v>0</v>
      </c>
      <c r="E244" s="69" t="e">
        <f>HLOOKUP(B244,xHesaplama!$AH$26:$FH$66,27,0)</f>
        <v>#N/A</v>
      </c>
      <c r="F244" s="76">
        <f t="shared" si="35"/>
        <v>0</v>
      </c>
      <c r="G244" s="70">
        <f t="shared" si="40"/>
        <v>0</v>
      </c>
      <c r="H244" s="69" t="str">
        <f t="shared" si="36"/>
        <v/>
      </c>
      <c r="I244" s="145">
        <v>0</v>
      </c>
      <c r="J244" s="619"/>
      <c r="K244" s="81">
        <f>IFERROR(VLOOKUP(B244,'x Malzemeler ve Özellikleri'!$O$1:$Q$181,3,0)*F244,0)</f>
        <v>0</v>
      </c>
    </row>
    <row r="245" spans="1:40" ht="19.5">
      <c r="A245" s="67">
        <f t="shared" si="37"/>
        <v>0</v>
      </c>
      <c r="B245" s="67">
        <f t="shared" si="38"/>
        <v>0</v>
      </c>
      <c r="C245" s="70" t="str">
        <f>IF(VLOOKUP(B245,'x Malzemeler ve Özellikleri'!$B$2:$M$136,12,0)="ALÜMİNYUM",'1PROJE'!$H$12,"")</f>
        <v/>
      </c>
      <c r="D245" s="67">
        <f t="shared" si="39"/>
        <v>0</v>
      </c>
      <c r="E245" s="69" t="e">
        <f>HLOOKUP(B245,xHesaplama!$AH$26:$FH$66,27,0)</f>
        <v>#N/A</v>
      </c>
      <c r="F245" s="76">
        <f t="shared" si="35"/>
        <v>0</v>
      </c>
      <c r="G245" s="70">
        <f t="shared" si="40"/>
        <v>0</v>
      </c>
      <c r="H245" s="69" t="str">
        <f t="shared" si="36"/>
        <v/>
      </c>
      <c r="I245" s="145">
        <v>0</v>
      </c>
      <c r="J245" s="619"/>
      <c r="K245" s="81">
        <f>IFERROR(VLOOKUP(B245,'x Malzemeler ve Özellikleri'!$O$1:$Q$181,3,0)*F245,0)</f>
        <v>0</v>
      </c>
    </row>
    <row r="246" spans="1:40" ht="20.25" thickBot="1">
      <c r="A246" s="67">
        <f t="shared" si="37"/>
        <v>0</v>
      </c>
      <c r="B246" s="67">
        <f t="shared" si="38"/>
        <v>0</v>
      </c>
      <c r="C246" s="70" t="str">
        <f>IF(VLOOKUP(B246,'x Malzemeler ve Özellikleri'!$B$2:$M$136,12,0)="ALÜMİNYUM",'1PROJE'!$H$12,"")</f>
        <v/>
      </c>
      <c r="D246" s="67">
        <f t="shared" si="39"/>
        <v>0</v>
      </c>
      <c r="E246" s="69" t="e">
        <f>HLOOKUP(B246,xHesaplama!$AH$26:$FH$66,27,0)</f>
        <v>#N/A</v>
      </c>
      <c r="F246" s="76">
        <f t="shared" si="35"/>
        <v>0</v>
      </c>
      <c r="G246" s="70">
        <f t="shared" si="40"/>
        <v>0</v>
      </c>
      <c r="H246" s="69" t="str">
        <f t="shared" si="36"/>
        <v/>
      </c>
      <c r="I246" s="145">
        <v>0</v>
      </c>
      <c r="J246" s="620"/>
      <c r="K246" s="81">
        <f>IFERROR(VLOOKUP(B246,'x Malzemeler ve Özellikleri'!$O$1:$Q$181,3,0)*F246,0)</f>
        <v>0</v>
      </c>
    </row>
    <row r="247" spans="1:40" ht="30" thickBot="1">
      <c r="A247" s="64" t="str">
        <f>"POZ"&amp;" "&amp;J248</f>
        <v>POZ 7</v>
      </c>
      <c r="C247" s="243">
        <f>xHesaplama!C33</f>
        <v>0</v>
      </c>
      <c r="D247" s="64" t="s">
        <v>357</v>
      </c>
      <c r="F247" s="74"/>
      <c r="G247" s="72" t="s">
        <v>786</v>
      </c>
      <c r="H247" s="65"/>
      <c r="I247" s="71">
        <f>SUM(H249:H287)</f>
        <v>0</v>
      </c>
      <c r="L247" t="str" cm="1">
        <f t="array" ref="L247:AJ247">_xlfn._xlws.FILTER(REÇETE!$D$11:$AB$142,REÇETE!$O$11:$O$142&lt;&gt;"","")</f>
        <v>EXCEL KODU</v>
      </c>
      <c r="M247" t="str">
        <v>PARÇA BİRİM</v>
      </c>
      <c r="N247" t="str">
        <v>PARÇA ADI</v>
      </c>
      <c r="O247" t="str">
        <v>MALZEME KODU</v>
      </c>
      <c r="P247" t="str">
        <v>BİRİM FİYAT</v>
      </c>
      <c r="Q247" t="str">
        <v>POZ 1</v>
      </c>
      <c r="R247" t="str">
        <v>POZ 2</v>
      </c>
      <c r="S247" t="str">
        <v>POZ 3</v>
      </c>
      <c r="T247" t="str">
        <v>POZ 4</v>
      </c>
      <c r="U247" t="str">
        <v>POZ 5</v>
      </c>
      <c r="V247" t="str">
        <v>POZ 6</v>
      </c>
      <c r="W247" t="str">
        <v>POZ 7</v>
      </c>
      <c r="X247" t="str">
        <v>POZ 8</v>
      </c>
      <c r="Y247" t="str">
        <v>POZ 9</v>
      </c>
      <c r="Z247" t="str">
        <v>POZ 10</v>
      </c>
      <c r="AA247" t="str">
        <v>POZ 11</v>
      </c>
      <c r="AB247" t="str">
        <v>POZ 12</v>
      </c>
      <c r="AC247" t="str">
        <v>POZ 13</v>
      </c>
      <c r="AD247" t="str">
        <v>POZ 14</v>
      </c>
      <c r="AE247" t="str">
        <v>POZ 15</v>
      </c>
      <c r="AF247" t="str">
        <v>POZ 16</v>
      </c>
      <c r="AG247" t="str">
        <v>POZ 17</v>
      </c>
      <c r="AH247" t="str">
        <v>POZ 18</v>
      </c>
      <c r="AI247" t="str">
        <v>POZ 19</v>
      </c>
      <c r="AJ247" t="str">
        <v>POZ 20</v>
      </c>
    </row>
    <row r="248" spans="1:40">
      <c r="A248" s="66" t="s">
        <v>782</v>
      </c>
      <c r="B248" s="66" t="s">
        <v>409</v>
      </c>
      <c r="C248" s="68"/>
      <c r="D248" s="66" t="s">
        <v>15</v>
      </c>
      <c r="E248" s="68" t="s">
        <v>808</v>
      </c>
      <c r="F248" s="75" t="s">
        <v>785</v>
      </c>
      <c r="G248" s="68" t="s">
        <v>650</v>
      </c>
      <c r="H248" s="68" t="s">
        <v>355</v>
      </c>
      <c r="J248" s="618">
        <v>7</v>
      </c>
      <c r="K248" s="221">
        <f>SUM(K249:K287)</f>
        <v>0</v>
      </c>
    </row>
    <row r="249" spans="1:40" ht="19.5">
      <c r="A249" s="67">
        <f>xHesaplama!H33</f>
        <v>0</v>
      </c>
      <c r="B249" s="67"/>
      <c r="C249" s="70">
        <f>xHesaplama!I33</f>
        <v>0</v>
      </c>
      <c r="D249" s="67">
        <f>xHesaplama!I33</f>
        <v>0</v>
      </c>
      <c r="E249" s="69" t="e">
        <f>xHesaplama!AC33</f>
        <v>#N/A</v>
      </c>
      <c r="F249" s="76">
        <f>xHesaplama!AD33*C247</f>
        <v>0</v>
      </c>
      <c r="G249" s="70" t="s">
        <v>817</v>
      </c>
      <c r="H249" s="69">
        <f t="shared" ref="H249:H250" si="41">IFERROR(E249*F249,0)</f>
        <v>0</v>
      </c>
      <c r="I249" s="145"/>
      <c r="J249" s="619"/>
      <c r="K249" s="81">
        <f>IFERROR(VLOOKUP(A249,'x Malzemeler ve Özellikleri'!$N$1:$Q$181,4,0)*F249,0)</f>
        <v>0</v>
      </c>
      <c r="AN249" s="84" cm="1">
        <f t="array" ref="AN249">_xlfn._xlws.FILTER(A249:I287,I249:I287,0)</f>
        <v>0</v>
      </c>
    </row>
    <row r="250" spans="1:40" ht="19.5">
      <c r="A250" s="67" t="s">
        <v>105</v>
      </c>
      <c r="B250" s="67"/>
      <c r="C250" s="70"/>
      <c r="D250" s="67">
        <f>xHesaplama!J33</f>
        <v>0</v>
      </c>
      <c r="E250" s="69" t="e">
        <f>xHesaplama!AB33</f>
        <v>#N/A</v>
      </c>
      <c r="F250" s="76">
        <f>C247</f>
        <v>0</v>
      </c>
      <c r="G250" s="70" t="s">
        <v>357</v>
      </c>
      <c r="H250" s="69">
        <f t="shared" si="41"/>
        <v>0</v>
      </c>
      <c r="I250" s="145">
        <v>0</v>
      </c>
      <c r="J250" s="619"/>
      <c r="K250" s="81">
        <f>IFERROR(VLOOKUP(D250,'x Malzemeler ve Özellikleri'!$N$1:$Q$181,4,0)*F250,0)</f>
        <v>0</v>
      </c>
    </row>
    <row r="251" spans="1:40" ht="19.5">
      <c r="A251" s="67">
        <f>N248</f>
        <v>0</v>
      </c>
      <c r="B251" s="67">
        <f>L248</f>
        <v>0</v>
      </c>
      <c r="C251" s="70" t="str">
        <f>IF(VLOOKUP(B251,'x Malzemeler ve Özellikleri'!$B$2:$M$136,12,0)="ALÜMİNYUM",'1PROJE'!$H$13,"")</f>
        <v/>
      </c>
      <c r="D251" s="67">
        <f>O248</f>
        <v>0</v>
      </c>
      <c r="E251" s="69" t="e">
        <f>HLOOKUP(B251,xHesaplama!$AH$26:$FH$66,28,0)</f>
        <v>#N/A</v>
      </c>
      <c r="F251" s="76">
        <f t="shared" ref="F251:F287" si="42">W248*$C$247</f>
        <v>0</v>
      </c>
      <c r="G251" s="70">
        <f>M248</f>
        <v>0</v>
      </c>
      <c r="H251" s="69" t="str">
        <f t="shared" ref="H251:H287" si="43">IFERROR(E251*$C$247,"")</f>
        <v/>
      </c>
      <c r="I251" s="145">
        <v>0</v>
      </c>
      <c r="J251" s="619"/>
      <c r="K251" s="81">
        <f>IFERROR(VLOOKUP(B251,'x Malzemeler ve Özellikleri'!$O$1:$Q$181,3,0)*F251,0)</f>
        <v>0</v>
      </c>
    </row>
    <row r="252" spans="1:40" ht="19.5">
      <c r="A252" s="67">
        <f t="shared" ref="A252:A287" si="44">N249</f>
        <v>0</v>
      </c>
      <c r="B252" s="67">
        <f t="shared" ref="B252:B287" si="45">L249</f>
        <v>0</v>
      </c>
      <c r="C252" s="70" t="str">
        <f>IF(VLOOKUP(B252,'x Malzemeler ve Özellikleri'!$B$2:$M$136,12,0)="ALÜMİNYUM",'1PROJE'!$H$13,"")</f>
        <v/>
      </c>
      <c r="D252" s="67">
        <f t="shared" ref="D252:D287" si="46">O249</f>
        <v>0</v>
      </c>
      <c r="E252" s="69" t="e">
        <f>HLOOKUP(B252,xHesaplama!$AH$26:$FH$66,28,0)</f>
        <v>#N/A</v>
      </c>
      <c r="F252" s="76">
        <f t="shared" si="42"/>
        <v>0</v>
      </c>
      <c r="G252" s="70">
        <f t="shared" ref="G252:G287" si="47">M249</f>
        <v>0</v>
      </c>
      <c r="H252" s="69" t="str">
        <f t="shared" si="43"/>
        <v/>
      </c>
      <c r="I252" s="145">
        <v>0</v>
      </c>
      <c r="J252" s="619"/>
      <c r="K252" s="81">
        <f>IFERROR(VLOOKUP(B252,'x Malzemeler ve Özellikleri'!$O$1:$Q$181,3,0)*F252,0)</f>
        <v>0</v>
      </c>
    </row>
    <row r="253" spans="1:40" ht="19.5">
      <c r="A253" s="67">
        <f t="shared" si="44"/>
        <v>0</v>
      </c>
      <c r="B253" s="67">
        <f t="shared" si="45"/>
        <v>0</v>
      </c>
      <c r="C253" s="70" t="str">
        <f>IF(VLOOKUP(B253,'x Malzemeler ve Özellikleri'!$B$2:$M$136,12,0)="ALÜMİNYUM",'1PROJE'!$H$13,"")</f>
        <v/>
      </c>
      <c r="D253" s="67">
        <f t="shared" si="46"/>
        <v>0</v>
      </c>
      <c r="E253" s="69" t="e">
        <f>HLOOKUP(B253,xHesaplama!$AH$26:$FH$66,28,0)</f>
        <v>#N/A</v>
      </c>
      <c r="F253" s="76">
        <f t="shared" si="42"/>
        <v>0</v>
      </c>
      <c r="G253" s="70">
        <f t="shared" si="47"/>
        <v>0</v>
      </c>
      <c r="H253" s="69" t="str">
        <f t="shared" si="43"/>
        <v/>
      </c>
      <c r="I253" s="145">
        <v>0</v>
      </c>
      <c r="J253" s="619"/>
      <c r="K253" s="81">
        <f>IFERROR(VLOOKUP(B253,'x Malzemeler ve Özellikleri'!$O$1:$Q$181,3,0)*F253,0)</f>
        <v>0</v>
      </c>
    </row>
    <row r="254" spans="1:40" ht="19.5">
      <c r="A254" s="67">
        <f t="shared" si="44"/>
        <v>0</v>
      </c>
      <c r="B254" s="67">
        <f t="shared" si="45"/>
        <v>0</v>
      </c>
      <c r="C254" s="70" t="str">
        <f>IF(VLOOKUP(B254,'x Malzemeler ve Özellikleri'!$B$2:$M$136,12,0)="ALÜMİNYUM",'1PROJE'!$H$13,"")</f>
        <v/>
      </c>
      <c r="D254" s="67">
        <f t="shared" si="46"/>
        <v>0</v>
      </c>
      <c r="E254" s="69" t="e">
        <f>HLOOKUP(B254,xHesaplama!$AH$26:$FH$66,28,0)</f>
        <v>#N/A</v>
      </c>
      <c r="F254" s="76">
        <f t="shared" si="42"/>
        <v>0</v>
      </c>
      <c r="G254" s="70">
        <f t="shared" si="47"/>
        <v>0</v>
      </c>
      <c r="H254" s="69" t="str">
        <f t="shared" si="43"/>
        <v/>
      </c>
      <c r="I254" s="145">
        <v>0</v>
      </c>
      <c r="J254" s="619"/>
      <c r="K254" s="81">
        <f>IFERROR(VLOOKUP(B254,'x Malzemeler ve Özellikleri'!$O$1:$Q$181,3,0)*F254,0)</f>
        <v>0</v>
      </c>
    </row>
    <row r="255" spans="1:40" ht="19.5">
      <c r="A255" s="67">
        <f t="shared" si="44"/>
        <v>0</v>
      </c>
      <c r="B255" s="67">
        <f t="shared" si="45"/>
        <v>0</v>
      </c>
      <c r="C255" s="70" t="str">
        <f>IF(VLOOKUP(B255,'x Malzemeler ve Özellikleri'!$B$2:$M$136,12,0)="ALÜMİNYUM",'1PROJE'!$H$13,"")</f>
        <v/>
      </c>
      <c r="D255" s="67">
        <f t="shared" si="46"/>
        <v>0</v>
      </c>
      <c r="E255" s="69" t="e">
        <f>HLOOKUP(B255,xHesaplama!$AH$26:$FH$66,28,0)</f>
        <v>#N/A</v>
      </c>
      <c r="F255" s="76">
        <f t="shared" si="42"/>
        <v>0</v>
      </c>
      <c r="G255" s="70">
        <f t="shared" si="47"/>
        <v>0</v>
      </c>
      <c r="H255" s="69" t="str">
        <f t="shared" si="43"/>
        <v/>
      </c>
      <c r="I255" s="145">
        <v>0</v>
      </c>
      <c r="J255" s="619"/>
      <c r="K255" s="81">
        <f>IFERROR(VLOOKUP(B255,'x Malzemeler ve Özellikleri'!$O$1:$Q$181,3,0)*F255,0)</f>
        <v>0</v>
      </c>
    </row>
    <row r="256" spans="1:40" ht="19.5">
      <c r="A256" s="67">
        <f t="shared" si="44"/>
        <v>0</v>
      </c>
      <c r="B256" s="67">
        <f t="shared" si="45"/>
        <v>0</v>
      </c>
      <c r="C256" s="70" t="str">
        <f>IF(VLOOKUP(B256,'x Malzemeler ve Özellikleri'!$B$2:$M$136,12,0)="ALÜMİNYUM",'1PROJE'!$H$13,"")</f>
        <v/>
      </c>
      <c r="D256" s="67">
        <f t="shared" si="46"/>
        <v>0</v>
      </c>
      <c r="E256" s="69" t="e">
        <f>HLOOKUP(B256,xHesaplama!$AH$26:$FH$66,28,0)</f>
        <v>#N/A</v>
      </c>
      <c r="F256" s="76">
        <f t="shared" si="42"/>
        <v>0</v>
      </c>
      <c r="G256" s="70">
        <f t="shared" si="47"/>
        <v>0</v>
      </c>
      <c r="H256" s="69" t="str">
        <f t="shared" si="43"/>
        <v/>
      </c>
      <c r="I256" s="145">
        <v>0</v>
      </c>
      <c r="J256" s="619"/>
      <c r="K256" s="81">
        <f>IFERROR(VLOOKUP(B256,'x Malzemeler ve Özellikleri'!$O$1:$Q$181,3,0)*F256,0)</f>
        <v>0</v>
      </c>
    </row>
    <row r="257" spans="1:11" ht="19.5">
      <c r="A257" s="67">
        <f t="shared" si="44"/>
        <v>0</v>
      </c>
      <c r="B257" s="67">
        <f t="shared" si="45"/>
        <v>0</v>
      </c>
      <c r="C257" s="70" t="str">
        <f>IF(VLOOKUP(B257,'x Malzemeler ve Özellikleri'!$B$2:$M$136,12,0)="ALÜMİNYUM",'1PROJE'!$H$13,"")</f>
        <v/>
      </c>
      <c r="D257" s="67">
        <f t="shared" si="46"/>
        <v>0</v>
      </c>
      <c r="E257" s="69" t="e">
        <f>HLOOKUP(B257,xHesaplama!$AH$26:$FH$66,28,0)</f>
        <v>#N/A</v>
      </c>
      <c r="F257" s="76">
        <f t="shared" si="42"/>
        <v>0</v>
      </c>
      <c r="G257" s="70">
        <f t="shared" si="47"/>
        <v>0</v>
      </c>
      <c r="H257" s="69" t="str">
        <f t="shared" si="43"/>
        <v/>
      </c>
      <c r="I257" s="145">
        <v>0</v>
      </c>
      <c r="J257" s="619"/>
      <c r="K257" s="81">
        <f>IFERROR(VLOOKUP(B257,'x Malzemeler ve Özellikleri'!$O$1:$Q$181,3,0)*F257,0)</f>
        <v>0</v>
      </c>
    </row>
    <row r="258" spans="1:11" ht="19.5">
      <c r="A258" s="67">
        <f t="shared" si="44"/>
        <v>0</v>
      </c>
      <c r="B258" s="67">
        <f t="shared" si="45"/>
        <v>0</v>
      </c>
      <c r="C258" s="70" t="str">
        <f>IF(VLOOKUP(B258,'x Malzemeler ve Özellikleri'!$B$2:$M$136,12,0)="ALÜMİNYUM",'1PROJE'!$H$13,"")</f>
        <v/>
      </c>
      <c r="D258" s="67">
        <f t="shared" si="46"/>
        <v>0</v>
      </c>
      <c r="E258" s="69" t="e">
        <f>HLOOKUP(B258,xHesaplama!$AH$26:$FH$66,28,0)</f>
        <v>#N/A</v>
      </c>
      <c r="F258" s="76">
        <f t="shared" si="42"/>
        <v>0</v>
      </c>
      <c r="G258" s="70">
        <f t="shared" si="47"/>
        <v>0</v>
      </c>
      <c r="H258" s="69" t="str">
        <f t="shared" si="43"/>
        <v/>
      </c>
      <c r="I258" s="145">
        <v>0</v>
      </c>
      <c r="J258" s="619"/>
      <c r="K258" s="81">
        <f>IFERROR(VLOOKUP(B258,'x Malzemeler ve Özellikleri'!$O$1:$Q$181,3,0)*F258,0)</f>
        <v>0</v>
      </c>
    </row>
    <row r="259" spans="1:11" ht="19.5">
      <c r="A259" s="67">
        <f t="shared" si="44"/>
        <v>0</v>
      </c>
      <c r="B259" s="67">
        <f t="shared" si="45"/>
        <v>0</v>
      </c>
      <c r="C259" s="70" t="str">
        <f>IF(VLOOKUP(B259,'x Malzemeler ve Özellikleri'!$B$2:$M$136,12,0)="ALÜMİNYUM",'1PROJE'!$H$13,"")</f>
        <v/>
      </c>
      <c r="D259" s="67">
        <f t="shared" si="46"/>
        <v>0</v>
      </c>
      <c r="E259" s="69" t="e">
        <f>HLOOKUP(B259,xHesaplama!$AH$26:$FH$66,28,0)</f>
        <v>#N/A</v>
      </c>
      <c r="F259" s="76">
        <f t="shared" si="42"/>
        <v>0</v>
      </c>
      <c r="G259" s="70">
        <f t="shared" si="47"/>
        <v>0</v>
      </c>
      <c r="H259" s="69" t="str">
        <f t="shared" si="43"/>
        <v/>
      </c>
      <c r="I259" s="145">
        <v>0</v>
      </c>
      <c r="J259" s="619"/>
      <c r="K259" s="81">
        <f>IFERROR(VLOOKUP(B259,'x Malzemeler ve Özellikleri'!$O$1:$Q$181,3,0)*F259,0)</f>
        <v>0</v>
      </c>
    </row>
    <row r="260" spans="1:11" ht="19.5">
      <c r="A260" s="67">
        <f t="shared" si="44"/>
        <v>0</v>
      </c>
      <c r="B260" s="67">
        <f t="shared" si="45"/>
        <v>0</v>
      </c>
      <c r="C260" s="70" t="str">
        <f>IF(VLOOKUP(B260,'x Malzemeler ve Özellikleri'!$B$2:$M$136,12,0)="ALÜMİNYUM",'1PROJE'!$H$13,"")</f>
        <v/>
      </c>
      <c r="D260" s="67">
        <f t="shared" si="46"/>
        <v>0</v>
      </c>
      <c r="E260" s="69" t="e">
        <f>HLOOKUP(B260,xHesaplama!$AH$26:$FH$66,28,0)</f>
        <v>#N/A</v>
      </c>
      <c r="F260" s="76">
        <f t="shared" si="42"/>
        <v>0</v>
      </c>
      <c r="G260" s="70">
        <f t="shared" si="47"/>
        <v>0</v>
      </c>
      <c r="H260" s="69" t="str">
        <f t="shared" si="43"/>
        <v/>
      </c>
      <c r="I260" s="145">
        <v>0</v>
      </c>
      <c r="J260" s="619"/>
      <c r="K260" s="81">
        <f>IFERROR(VLOOKUP(B260,'x Malzemeler ve Özellikleri'!$O$1:$Q$181,3,0)*F260,0)</f>
        <v>0</v>
      </c>
    </row>
    <row r="261" spans="1:11" ht="19.5">
      <c r="A261" s="67">
        <f t="shared" si="44"/>
        <v>0</v>
      </c>
      <c r="B261" s="67">
        <f t="shared" si="45"/>
        <v>0</v>
      </c>
      <c r="C261" s="70" t="str">
        <f>IF(VLOOKUP(B261,'x Malzemeler ve Özellikleri'!$B$2:$M$136,12,0)="ALÜMİNYUM",'1PROJE'!$H$13,"")</f>
        <v/>
      </c>
      <c r="D261" s="67">
        <f t="shared" si="46"/>
        <v>0</v>
      </c>
      <c r="E261" s="69" t="e">
        <f>HLOOKUP(B261,xHesaplama!$AH$26:$FH$66,28,0)</f>
        <v>#N/A</v>
      </c>
      <c r="F261" s="76">
        <f t="shared" si="42"/>
        <v>0</v>
      </c>
      <c r="G261" s="70">
        <f t="shared" si="47"/>
        <v>0</v>
      </c>
      <c r="H261" s="69" t="str">
        <f t="shared" si="43"/>
        <v/>
      </c>
      <c r="I261" s="145">
        <v>0</v>
      </c>
      <c r="J261" s="619"/>
      <c r="K261" s="81">
        <f>IFERROR(VLOOKUP(B261,'x Malzemeler ve Özellikleri'!$O$1:$Q$181,3,0)*F261,0)</f>
        <v>0</v>
      </c>
    </row>
    <row r="262" spans="1:11" ht="19.5">
      <c r="A262" s="67">
        <f t="shared" si="44"/>
        <v>0</v>
      </c>
      <c r="B262" s="67">
        <f t="shared" si="45"/>
        <v>0</v>
      </c>
      <c r="C262" s="70" t="str">
        <f>IF(VLOOKUP(B262,'x Malzemeler ve Özellikleri'!$B$2:$M$136,12,0)="ALÜMİNYUM",'1PROJE'!$H$13,"")</f>
        <v/>
      </c>
      <c r="D262" s="67">
        <f t="shared" si="46"/>
        <v>0</v>
      </c>
      <c r="E262" s="69" t="e">
        <f>HLOOKUP(B262,xHesaplama!$AH$26:$FH$66,28,0)</f>
        <v>#N/A</v>
      </c>
      <c r="F262" s="76">
        <f t="shared" si="42"/>
        <v>0</v>
      </c>
      <c r="G262" s="70">
        <f t="shared" si="47"/>
        <v>0</v>
      </c>
      <c r="H262" s="69" t="str">
        <f t="shared" si="43"/>
        <v/>
      </c>
      <c r="I262" s="145">
        <v>0</v>
      </c>
      <c r="J262" s="619"/>
      <c r="K262" s="81">
        <f>IFERROR(VLOOKUP(B262,'x Malzemeler ve Özellikleri'!$O$1:$Q$181,3,0)*F262,0)</f>
        <v>0</v>
      </c>
    </row>
    <row r="263" spans="1:11" ht="19.5">
      <c r="A263" s="67">
        <f t="shared" si="44"/>
        <v>0</v>
      </c>
      <c r="B263" s="67">
        <f t="shared" si="45"/>
        <v>0</v>
      </c>
      <c r="C263" s="70" t="str">
        <f>IF(VLOOKUP(B263,'x Malzemeler ve Özellikleri'!$B$2:$M$136,12,0)="ALÜMİNYUM",'1PROJE'!$H$13,"")</f>
        <v/>
      </c>
      <c r="D263" s="67">
        <f t="shared" si="46"/>
        <v>0</v>
      </c>
      <c r="E263" s="69" t="e">
        <f>HLOOKUP(B263,xHesaplama!$AH$26:$FH$66,28,0)</f>
        <v>#N/A</v>
      </c>
      <c r="F263" s="76">
        <f t="shared" si="42"/>
        <v>0</v>
      </c>
      <c r="G263" s="70">
        <f t="shared" si="47"/>
        <v>0</v>
      </c>
      <c r="H263" s="69" t="str">
        <f t="shared" si="43"/>
        <v/>
      </c>
      <c r="I263" s="145">
        <v>0</v>
      </c>
      <c r="J263" s="619"/>
      <c r="K263" s="81">
        <f>IFERROR(VLOOKUP(B263,'x Malzemeler ve Özellikleri'!$O$1:$Q$181,3,0)*F263,0)</f>
        <v>0</v>
      </c>
    </row>
    <row r="264" spans="1:11" ht="19.5">
      <c r="A264" s="67">
        <f t="shared" si="44"/>
        <v>0</v>
      </c>
      <c r="B264" s="67">
        <f t="shared" si="45"/>
        <v>0</v>
      </c>
      <c r="C264" s="70" t="str">
        <f>IF(VLOOKUP(B264,'x Malzemeler ve Özellikleri'!$B$2:$M$136,12,0)="ALÜMİNYUM",'1PROJE'!$H$13,"")</f>
        <v/>
      </c>
      <c r="D264" s="67">
        <f t="shared" si="46"/>
        <v>0</v>
      </c>
      <c r="E264" s="69" t="e">
        <f>HLOOKUP(B264,xHesaplama!$AH$26:$FH$66,28,0)</f>
        <v>#N/A</v>
      </c>
      <c r="F264" s="76">
        <f t="shared" si="42"/>
        <v>0</v>
      </c>
      <c r="G264" s="70">
        <f t="shared" si="47"/>
        <v>0</v>
      </c>
      <c r="H264" s="69" t="str">
        <f t="shared" si="43"/>
        <v/>
      </c>
      <c r="I264" s="145">
        <v>0</v>
      </c>
      <c r="J264" s="619"/>
      <c r="K264" s="81">
        <f>IFERROR(VLOOKUP(B264,'x Malzemeler ve Özellikleri'!$O$1:$Q$181,3,0)*F264,0)</f>
        <v>0</v>
      </c>
    </row>
    <row r="265" spans="1:11" ht="19.5">
      <c r="A265" s="67">
        <f t="shared" si="44"/>
        <v>0</v>
      </c>
      <c r="B265" s="67">
        <f t="shared" si="45"/>
        <v>0</v>
      </c>
      <c r="C265" s="70" t="str">
        <f>IF(VLOOKUP(B265,'x Malzemeler ve Özellikleri'!$B$2:$M$136,12,0)="ALÜMİNYUM",'1PROJE'!$H$13,"")</f>
        <v/>
      </c>
      <c r="D265" s="67">
        <f t="shared" si="46"/>
        <v>0</v>
      </c>
      <c r="E265" s="69" t="e">
        <f>HLOOKUP(B265,xHesaplama!$AH$26:$FH$66,28,0)</f>
        <v>#N/A</v>
      </c>
      <c r="F265" s="76">
        <f t="shared" si="42"/>
        <v>0</v>
      </c>
      <c r="G265" s="70">
        <f t="shared" si="47"/>
        <v>0</v>
      </c>
      <c r="H265" s="69" t="str">
        <f t="shared" si="43"/>
        <v/>
      </c>
      <c r="I265" s="145">
        <v>0</v>
      </c>
      <c r="J265" s="619"/>
      <c r="K265" s="81">
        <f>IFERROR(VLOOKUP(B265,'x Malzemeler ve Özellikleri'!$O$1:$Q$181,3,0)*F265,0)</f>
        <v>0</v>
      </c>
    </row>
    <row r="266" spans="1:11" ht="19.5">
      <c r="A266" s="67">
        <f t="shared" si="44"/>
        <v>0</v>
      </c>
      <c r="B266" s="67">
        <f t="shared" si="45"/>
        <v>0</v>
      </c>
      <c r="C266" s="70" t="str">
        <f>IF(VLOOKUP(B266,'x Malzemeler ve Özellikleri'!$B$2:$M$136,12,0)="ALÜMİNYUM",'1PROJE'!$H$13,"")</f>
        <v/>
      </c>
      <c r="D266" s="67">
        <f t="shared" si="46"/>
        <v>0</v>
      </c>
      <c r="E266" s="69" t="e">
        <f>HLOOKUP(B266,xHesaplama!$AH$26:$FH$66,28,0)</f>
        <v>#N/A</v>
      </c>
      <c r="F266" s="76">
        <f t="shared" si="42"/>
        <v>0</v>
      </c>
      <c r="G266" s="70">
        <f t="shared" si="47"/>
        <v>0</v>
      </c>
      <c r="H266" s="69" t="str">
        <f t="shared" si="43"/>
        <v/>
      </c>
      <c r="I266" s="145">
        <v>0</v>
      </c>
      <c r="J266" s="619"/>
      <c r="K266" s="81">
        <f>IFERROR(VLOOKUP(B266,'x Malzemeler ve Özellikleri'!$O$1:$Q$181,3,0)*F266,0)</f>
        <v>0</v>
      </c>
    </row>
    <row r="267" spans="1:11" ht="19.5">
      <c r="A267" s="67">
        <f t="shared" si="44"/>
        <v>0</v>
      </c>
      <c r="B267" s="67">
        <f t="shared" si="45"/>
        <v>0</v>
      </c>
      <c r="C267" s="70" t="str">
        <f>IF(VLOOKUP(B267,'x Malzemeler ve Özellikleri'!$B$2:$M$136,12,0)="ALÜMİNYUM",'1PROJE'!$H$13,"")</f>
        <v/>
      </c>
      <c r="D267" s="67">
        <f t="shared" si="46"/>
        <v>0</v>
      </c>
      <c r="E267" s="69" t="e">
        <f>HLOOKUP(B267,xHesaplama!$AH$26:$FH$66,28,0)</f>
        <v>#N/A</v>
      </c>
      <c r="F267" s="76">
        <f t="shared" si="42"/>
        <v>0</v>
      </c>
      <c r="G267" s="70">
        <f t="shared" si="47"/>
        <v>0</v>
      </c>
      <c r="H267" s="69" t="str">
        <f t="shared" si="43"/>
        <v/>
      </c>
      <c r="I267" s="145">
        <v>0</v>
      </c>
      <c r="J267" s="619"/>
      <c r="K267" s="81">
        <f>IFERROR(VLOOKUP(B267,'x Malzemeler ve Özellikleri'!$O$1:$Q$181,3,0)*F267,0)</f>
        <v>0</v>
      </c>
    </row>
    <row r="268" spans="1:11" ht="19.5">
      <c r="A268" s="67">
        <f t="shared" si="44"/>
        <v>0</v>
      </c>
      <c r="B268" s="67">
        <f t="shared" si="45"/>
        <v>0</v>
      </c>
      <c r="C268" s="70" t="str">
        <f>IF(VLOOKUP(B268,'x Malzemeler ve Özellikleri'!$B$2:$M$136,12,0)="ALÜMİNYUM",'1PROJE'!$H$13,"")</f>
        <v/>
      </c>
      <c r="D268" s="67">
        <f t="shared" si="46"/>
        <v>0</v>
      </c>
      <c r="E268" s="69" t="e">
        <f>HLOOKUP(B268,xHesaplama!$AH$26:$FH$66,28,0)</f>
        <v>#N/A</v>
      </c>
      <c r="F268" s="76">
        <f t="shared" si="42"/>
        <v>0</v>
      </c>
      <c r="G268" s="70">
        <f t="shared" si="47"/>
        <v>0</v>
      </c>
      <c r="H268" s="69" t="str">
        <f t="shared" si="43"/>
        <v/>
      </c>
      <c r="I268" s="145">
        <v>0</v>
      </c>
      <c r="J268" s="619"/>
      <c r="K268" s="81">
        <f>IFERROR(VLOOKUP(B268,'x Malzemeler ve Özellikleri'!$O$1:$Q$181,3,0)*F268,0)</f>
        <v>0</v>
      </c>
    </row>
    <row r="269" spans="1:11" ht="19.5">
      <c r="A269" s="67">
        <f t="shared" si="44"/>
        <v>0</v>
      </c>
      <c r="B269" s="67">
        <f t="shared" si="45"/>
        <v>0</v>
      </c>
      <c r="C269" s="70" t="str">
        <f>IF(VLOOKUP(B269,'x Malzemeler ve Özellikleri'!$B$2:$M$136,12,0)="ALÜMİNYUM",'1PROJE'!$H$13,"")</f>
        <v/>
      </c>
      <c r="D269" s="67">
        <f t="shared" si="46"/>
        <v>0</v>
      </c>
      <c r="E269" s="69" t="e">
        <f>HLOOKUP(B269,xHesaplama!$AH$26:$FH$66,28,0)</f>
        <v>#N/A</v>
      </c>
      <c r="F269" s="76">
        <f t="shared" si="42"/>
        <v>0</v>
      </c>
      <c r="G269" s="70">
        <f t="shared" si="47"/>
        <v>0</v>
      </c>
      <c r="H269" s="69" t="str">
        <f t="shared" si="43"/>
        <v/>
      </c>
      <c r="I269" s="145">
        <v>0</v>
      </c>
      <c r="J269" s="619"/>
      <c r="K269" s="81">
        <f>IFERROR(VLOOKUP(B269,'x Malzemeler ve Özellikleri'!$O$1:$Q$181,3,0)*F269,0)</f>
        <v>0</v>
      </c>
    </row>
    <row r="270" spans="1:11" ht="19.5">
      <c r="A270" s="67">
        <f t="shared" si="44"/>
        <v>0</v>
      </c>
      <c r="B270" s="67">
        <f t="shared" si="45"/>
        <v>0</v>
      </c>
      <c r="C270" s="70" t="str">
        <f>IF(VLOOKUP(B270,'x Malzemeler ve Özellikleri'!$B$2:$M$136,12,0)="ALÜMİNYUM",'1PROJE'!$H$13,"")</f>
        <v/>
      </c>
      <c r="D270" s="67">
        <f t="shared" si="46"/>
        <v>0</v>
      </c>
      <c r="E270" s="69" t="e">
        <f>HLOOKUP(B270,xHesaplama!$AH$26:$FH$66,28,0)</f>
        <v>#N/A</v>
      </c>
      <c r="F270" s="76">
        <f t="shared" si="42"/>
        <v>0</v>
      </c>
      <c r="G270" s="70">
        <f t="shared" si="47"/>
        <v>0</v>
      </c>
      <c r="H270" s="69" t="str">
        <f t="shared" si="43"/>
        <v/>
      </c>
      <c r="I270" s="145">
        <v>0</v>
      </c>
      <c r="J270" s="619"/>
      <c r="K270" s="81">
        <f>IFERROR(VLOOKUP(B270,'x Malzemeler ve Özellikleri'!$O$1:$Q$181,3,0)*F270,0)</f>
        <v>0</v>
      </c>
    </row>
    <row r="271" spans="1:11" ht="19.5">
      <c r="A271" s="67">
        <f t="shared" si="44"/>
        <v>0</v>
      </c>
      <c r="B271" s="67">
        <f t="shared" si="45"/>
        <v>0</v>
      </c>
      <c r="C271" s="70" t="str">
        <f>IF(VLOOKUP(B271,'x Malzemeler ve Özellikleri'!$B$2:$M$136,12,0)="ALÜMİNYUM",'1PROJE'!$H$13,"")</f>
        <v/>
      </c>
      <c r="D271" s="67">
        <f t="shared" si="46"/>
        <v>0</v>
      </c>
      <c r="E271" s="69" t="e">
        <f>HLOOKUP(B271,xHesaplama!$AH$26:$FH$66,28,0)</f>
        <v>#N/A</v>
      </c>
      <c r="F271" s="76">
        <f t="shared" si="42"/>
        <v>0</v>
      </c>
      <c r="G271" s="70">
        <f t="shared" si="47"/>
        <v>0</v>
      </c>
      <c r="H271" s="69" t="str">
        <f t="shared" si="43"/>
        <v/>
      </c>
      <c r="I271" s="145">
        <v>0</v>
      </c>
      <c r="J271" s="619"/>
      <c r="K271" s="81">
        <f>IFERROR(VLOOKUP(B271,'x Malzemeler ve Özellikleri'!$O$1:$Q$181,3,0)*F271,0)</f>
        <v>0</v>
      </c>
    </row>
    <row r="272" spans="1:11" ht="19.5">
      <c r="A272" s="67">
        <f t="shared" si="44"/>
        <v>0</v>
      </c>
      <c r="B272" s="67">
        <f t="shared" si="45"/>
        <v>0</v>
      </c>
      <c r="C272" s="70" t="str">
        <f>IF(VLOOKUP(B272,'x Malzemeler ve Özellikleri'!$B$2:$M$136,12,0)="ALÜMİNYUM",'1PROJE'!$H$13,"")</f>
        <v/>
      </c>
      <c r="D272" s="67">
        <f t="shared" si="46"/>
        <v>0</v>
      </c>
      <c r="E272" s="69" t="e">
        <f>HLOOKUP(B272,xHesaplama!$AH$26:$FH$66,28,0)</f>
        <v>#N/A</v>
      </c>
      <c r="F272" s="76">
        <f t="shared" si="42"/>
        <v>0</v>
      </c>
      <c r="G272" s="70">
        <f t="shared" si="47"/>
        <v>0</v>
      </c>
      <c r="H272" s="69" t="str">
        <f t="shared" si="43"/>
        <v/>
      </c>
      <c r="I272" s="145">
        <v>0</v>
      </c>
      <c r="J272" s="619"/>
      <c r="K272" s="81">
        <f>IFERROR(VLOOKUP(B272,'x Malzemeler ve Özellikleri'!$O$1:$Q$181,3,0)*F272,0)</f>
        <v>0</v>
      </c>
    </row>
    <row r="273" spans="1:36" ht="19.5">
      <c r="A273" s="67">
        <f t="shared" si="44"/>
        <v>0</v>
      </c>
      <c r="B273" s="67">
        <f t="shared" si="45"/>
        <v>0</v>
      </c>
      <c r="C273" s="70" t="str">
        <f>IF(VLOOKUP(B273,'x Malzemeler ve Özellikleri'!$B$2:$M$136,12,0)="ALÜMİNYUM",'1PROJE'!$H$13,"")</f>
        <v/>
      </c>
      <c r="D273" s="67">
        <f t="shared" si="46"/>
        <v>0</v>
      </c>
      <c r="E273" s="69" t="e">
        <f>HLOOKUP(B273,xHesaplama!$AH$26:$FH$66,28,0)</f>
        <v>#N/A</v>
      </c>
      <c r="F273" s="76">
        <f t="shared" si="42"/>
        <v>0</v>
      </c>
      <c r="G273" s="70">
        <f t="shared" si="47"/>
        <v>0</v>
      </c>
      <c r="H273" s="69" t="str">
        <f t="shared" si="43"/>
        <v/>
      </c>
      <c r="I273" s="145">
        <v>0</v>
      </c>
      <c r="J273" s="619"/>
      <c r="K273" s="81">
        <f>IFERROR(VLOOKUP(B273,'x Malzemeler ve Özellikleri'!$O$1:$Q$181,3,0)*F273,0)</f>
        <v>0</v>
      </c>
    </row>
    <row r="274" spans="1:36" ht="19.5">
      <c r="A274" s="67">
        <f t="shared" si="44"/>
        <v>0</v>
      </c>
      <c r="B274" s="67">
        <f t="shared" si="45"/>
        <v>0</v>
      </c>
      <c r="C274" s="70" t="str">
        <f>IF(VLOOKUP(B274,'x Malzemeler ve Özellikleri'!$B$2:$M$136,12,0)="ALÜMİNYUM",'1PROJE'!$H$13,"")</f>
        <v/>
      </c>
      <c r="D274" s="67">
        <f t="shared" si="46"/>
        <v>0</v>
      </c>
      <c r="E274" s="69" t="e">
        <f>HLOOKUP(B274,xHesaplama!$AH$26:$FH$66,28,0)</f>
        <v>#N/A</v>
      </c>
      <c r="F274" s="76">
        <f t="shared" si="42"/>
        <v>0</v>
      </c>
      <c r="G274" s="70">
        <f t="shared" si="47"/>
        <v>0</v>
      </c>
      <c r="H274" s="69" t="str">
        <f t="shared" si="43"/>
        <v/>
      </c>
      <c r="I274" s="145">
        <v>0</v>
      </c>
      <c r="J274" s="619"/>
      <c r="K274" s="81">
        <f>IFERROR(VLOOKUP(B274,'x Malzemeler ve Özellikleri'!$O$1:$Q$181,3,0)*F274,0)</f>
        <v>0</v>
      </c>
    </row>
    <row r="275" spans="1:36" ht="19.5">
      <c r="A275" s="67">
        <f t="shared" si="44"/>
        <v>0</v>
      </c>
      <c r="B275" s="67">
        <f t="shared" si="45"/>
        <v>0</v>
      </c>
      <c r="C275" s="70" t="str">
        <f>IF(VLOOKUP(B275,'x Malzemeler ve Özellikleri'!$B$2:$M$136,12,0)="ALÜMİNYUM",'1PROJE'!$H$13,"")</f>
        <v/>
      </c>
      <c r="D275" s="67">
        <f t="shared" si="46"/>
        <v>0</v>
      </c>
      <c r="E275" s="69" t="e">
        <f>HLOOKUP(B275,xHesaplama!$AH$26:$FH$66,28,0)</f>
        <v>#N/A</v>
      </c>
      <c r="F275" s="76">
        <f t="shared" si="42"/>
        <v>0</v>
      </c>
      <c r="G275" s="70">
        <f t="shared" si="47"/>
        <v>0</v>
      </c>
      <c r="H275" s="69" t="str">
        <f t="shared" si="43"/>
        <v/>
      </c>
      <c r="I275" s="145">
        <v>0</v>
      </c>
      <c r="J275" s="619"/>
      <c r="K275" s="81">
        <f>IFERROR(VLOOKUP(B275,'x Malzemeler ve Özellikleri'!$O$1:$Q$181,3,0)*F275,0)</f>
        <v>0</v>
      </c>
    </row>
    <row r="276" spans="1:36" ht="19.5">
      <c r="A276" s="67">
        <f t="shared" si="44"/>
        <v>0</v>
      </c>
      <c r="B276" s="67">
        <f t="shared" si="45"/>
        <v>0</v>
      </c>
      <c r="C276" s="70" t="str">
        <f>IF(VLOOKUP(B276,'x Malzemeler ve Özellikleri'!$B$2:$M$136,12,0)="ALÜMİNYUM",'1PROJE'!$H$13,"")</f>
        <v/>
      </c>
      <c r="D276" s="67">
        <f t="shared" si="46"/>
        <v>0</v>
      </c>
      <c r="E276" s="69" t="e">
        <f>HLOOKUP(B276,xHesaplama!$AH$26:$FH$66,28,0)</f>
        <v>#N/A</v>
      </c>
      <c r="F276" s="76">
        <f t="shared" si="42"/>
        <v>0</v>
      </c>
      <c r="G276" s="70">
        <f t="shared" si="47"/>
        <v>0</v>
      </c>
      <c r="H276" s="69" t="str">
        <f t="shared" si="43"/>
        <v/>
      </c>
      <c r="I276" s="145">
        <v>0</v>
      </c>
      <c r="J276" s="619"/>
      <c r="K276" s="81">
        <f>IFERROR(VLOOKUP(B276,'x Malzemeler ve Özellikleri'!$O$1:$Q$181,3,0)*F276,0)</f>
        <v>0</v>
      </c>
    </row>
    <row r="277" spans="1:36" ht="19.5">
      <c r="A277" s="67">
        <f t="shared" si="44"/>
        <v>0</v>
      </c>
      <c r="B277" s="67">
        <f t="shared" si="45"/>
        <v>0</v>
      </c>
      <c r="C277" s="70" t="str">
        <f>IF(VLOOKUP(B277,'x Malzemeler ve Özellikleri'!$B$2:$M$136,12,0)="ALÜMİNYUM",'1PROJE'!$H$13,"")</f>
        <v/>
      </c>
      <c r="D277" s="67">
        <f t="shared" si="46"/>
        <v>0</v>
      </c>
      <c r="E277" s="69" t="e">
        <f>HLOOKUP(B277,xHesaplama!$AH$26:$FH$66,28,0)</f>
        <v>#N/A</v>
      </c>
      <c r="F277" s="76">
        <f t="shared" si="42"/>
        <v>0</v>
      </c>
      <c r="G277" s="70">
        <f t="shared" si="47"/>
        <v>0</v>
      </c>
      <c r="H277" s="69" t="str">
        <f t="shared" si="43"/>
        <v/>
      </c>
      <c r="I277" s="145">
        <v>0</v>
      </c>
      <c r="J277" s="619"/>
      <c r="K277" s="81">
        <f>IFERROR(VLOOKUP(B277,'x Malzemeler ve Özellikleri'!$O$1:$Q$181,3,0)*F277,0)</f>
        <v>0</v>
      </c>
    </row>
    <row r="278" spans="1:36" ht="19.5">
      <c r="A278" s="67">
        <f t="shared" si="44"/>
        <v>0</v>
      </c>
      <c r="B278" s="67">
        <f t="shared" si="45"/>
        <v>0</v>
      </c>
      <c r="C278" s="70" t="str">
        <f>IF(VLOOKUP(B278,'x Malzemeler ve Özellikleri'!$B$2:$M$136,12,0)="ALÜMİNYUM",'1PROJE'!$H$13,"")</f>
        <v/>
      </c>
      <c r="D278" s="67">
        <f t="shared" si="46"/>
        <v>0</v>
      </c>
      <c r="E278" s="69" t="e">
        <f>HLOOKUP(B278,xHesaplama!$AH$26:$FH$66,28,0)</f>
        <v>#N/A</v>
      </c>
      <c r="F278" s="76">
        <f t="shared" si="42"/>
        <v>0</v>
      </c>
      <c r="G278" s="70">
        <f t="shared" si="47"/>
        <v>0</v>
      </c>
      <c r="H278" s="69" t="str">
        <f t="shared" si="43"/>
        <v/>
      </c>
      <c r="I278" s="145">
        <v>0</v>
      </c>
      <c r="J278" s="619"/>
      <c r="K278" s="81">
        <f>IFERROR(VLOOKUP(B278,'x Malzemeler ve Özellikleri'!$O$1:$Q$181,3,0)*F278,0)</f>
        <v>0</v>
      </c>
    </row>
    <row r="279" spans="1:36" ht="19.5">
      <c r="A279" s="67">
        <f t="shared" si="44"/>
        <v>0</v>
      </c>
      <c r="B279" s="67">
        <f t="shared" si="45"/>
        <v>0</v>
      </c>
      <c r="C279" s="70" t="str">
        <f>IF(VLOOKUP(B279,'x Malzemeler ve Özellikleri'!$B$2:$M$136,12,0)="ALÜMİNYUM",'1PROJE'!$H$13,"")</f>
        <v/>
      </c>
      <c r="D279" s="67">
        <f t="shared" si="46"/>
        <v>0</v>
      </c>
      <c r="E279" s="69" t="e">
        <f>HLOOKUP(B279,xHesaplama!$AH$26:$FH$66,28,0)</f>
        <v>#N/A</v>
      </c>
      <c r="F279" s="76">
        <f t="shared" si="42"/>
        <v>0</v>
      </c>
      <c r="G279" s="70">
        <f t="shared" si="47"/>
        <v>0</v>
      </c>
      <c r="H279" s="69" t="str">
        <f t="shared" si="43"/>
        <v/>
      </c>
      <c r="I279" s="145">
        <v>0</v>
      </c>
      <c r="J279" s="619"/>
      <c r="K279" s="81">
        <f>IFERROR(VLOOKUP(B279,'x Malzemeler ve Özellikleri'!$O$1:$Q$181,3,0)*F279,0)</f>
        <v>0</v>
      </c>
    </row>
    <row r="280" spans="1:36" ht="19.5">
      <c r="A280" s="67">
        <f t="shared" si="44"/>
        <v>0</v>
      </c>
      <c r="B280" s="67">
        <f t="shared" si="45"/>
        <v>0</v>
      </c>
      <c r="C280" s="70" t="str">
        <f>IF(VLOOKUP(B280,'x Malzemeler ve Özellikleri'!$B$2:$M$136,12,0)="ALÜMİNYUM",'1PROJE'!$H$13,"")</f>
        <v/>
      </c>
      <c r="D280" s="67">
        <f t="shared" si="46"/>
        <v>0</v>
      </c>
      <c r="E280" s="69" t="e">
        <f>HLOOKUP(B280,xHesaplama!$AH$26:$FH$66,28,0)</f>
        <v>#N/A</v>
      </c>
      <c r="F280" s="76">
        <f t="shared" si="42"/>
        <v>0</v>
      </c>
      <c r="G280" s="70">
        <f t="shared" si="47"/>
        <v>0</v>
      </c>
      <c r="H280" s="69" t="str">
        <f t="shared" si="43"/>
        <v/>
      </c>
      <c r="I280" s="145">
        <v>0</v>
      </c>
      <c r="J280" s="619"/>
      <c r="K280" s="81">
        <f>IFERROR(VLOOKUP(B280,'x Malzemeler ve Özellikleri'!$O$1:$Q$181,3,0)*F280,0)</f>
        <v>0</v>
      </c>
    </row>
    <row r="281" spans="1:36" ht="19.5">
      <c r="A281" s="67">
        <f t="shared" si="44"/>
        <v>0</v>
      </c>
      <c r="B281" s="67">
        <f t="shared" si="45"/>
        <v>0</v>
      </c>
      <c r="C281" s="70" t="str">
        <f>IF(VLOOKUP(B281,'x Malzemeler ve Özellikleri'!$B$2:$M$136,12,0)="ALÜMİNYUM",'1PROJE'!$H$13,"")</f>
        <v/>
      </c>
      <c r="D281" s="67">
        <f t="shared" si="46"/>
        <v>0</v>
      </c>
      <c r="E281" s="69" t="e">
        <f>HLOOKUP(B281,xHesaplama!$AH$26:$FH$66,28,0)</f>
        <v>#N/A</v>
      </c>
      <c r="F281" s="76">
        <f t="shared" si="42"/>
        <v>0</v>
      </c>
      <c r="G281" s="70">
        <f t="shared" si="47"/>
        <v>0</v>
      </c>
      <c r="H281" s="69" t="str">
        <f t="shared" si="43"/>
        <v/>
      </c>
      <c r="I281" s="145">
        <v>0</v>
      </c>
      <c r="J281" s="619"/>
      <c r="K281" s="81">
        <f>IFERROR(VLOOKUP(B281,'x Malzemeler ve Özellikleri'!$O$1:$Q$181,3,0)*F281,0)</f>
        <v>0</v>
      </c>
    </row>
    <row r="282" spans="1:36" ht="19.5">
      <c r="A282" s="67">
        <f t="shared" si="44"/>
        <v>0</v>
      </c>
      <c r="B282" s="67">
        <f t="shared" si="45"/>
        <v>0</v>
      </c>
      <c r="C282" s="70" t="str">
        <f>IF(VLOOKUP(B282,'x Malzemeler ve Özellikleri'!$B$2:$M$136,12,0)="ALÜMİNYUM",'1PROJE'!$H$13,"")</f>
        <v/>
      </c>
      <c r="D282" s="67">
        <f t="shared" si="46"/>
        <v>0</v>
      </c>
      <c r="E282" s="69" t="e">
        <f>HLOOKUP(B282,xHesaplama!$AH$26:$FH$66,28,0)</f>
        <v>#N/A</v>
      </c>
      <c r="F282" s="76">
        <f t="shared" si="42"/>
        <v>0</v>
      </c>
      <c r="G282" s="70">
        <f t="shared" si="47"/>
        <v>0</v>
      </c>
      <c r="H282" s="69" t="str">
        <f t="shared" si="43"/>
        <v/>
      </c>
      <c r="I282" s="145">
        <v>0</v>
      </c>
      <c r="J282" s="619"/>
      <c r="K282" s="81">
        <f>IFERROR(VLOOKUP(B282,'x Malzemeler ve Özellikleri'!$O$1:$Q$181,3,0)*F282,0)</f>
        <v>0</v>
      </c>
    </row>
    <row r="283" spans="1:36" ht="19.5">
      <c r="A283" s="67">
        <f t="shared" si="44"/>
        <v>0</v>
      </c>
      <c r="B283" s="67">
        <f t="shared" si="45"/>
        <v>0</v>
      </c>
      <c r="C283" s="70" t="str">
        <f>IF(VLOOKUP(B283,'x Malzemeler ve Özellikleri'!$B$2:$M$136,12,0)="ALÜMİNYUM",'1PROJE'!$H$13,"")</f>
        <v/>
      </c>
      <c r="D283" s="67">
        <f t="shared" si="46"/>
        <v>0</v>
      </c>
      <c r="E283" s="69" t="e">
        <f>HLOOKUP(B283,xHesaplama!$AH$26:$FH$66,28,0)</f>
        <v>#N/A</v>
      </c>
      <c r="F283" s="76">
        <f t="shared" si="42"/>
        <v>0</v>
      </c>
      <c r="G283" s="70">
        <f t="shared" si="47"/>
        <v>0</v>
      </c>
      <c r="H283" s="69" t="str">
        <f t="shared" si="43"/>
        <v/>
      </c>
      <c r="I283" s="145">
        <v>0</v>
      </c>
      <c r="J283" s="619"/>
      <c r="K283" s="81">
        <f>IFERROR(VLOOKUP(B283,'x Malzemeler ve Özellikleri'!$O$1:$Q$181,3,0)*F283,0)</f>
        <v>0</v>
      </c>
    </row>
    <row r="284" spans="1:36" ht="19.5">
      <c r="A284" s="67">
        <f t="shared" si="44"/>
        <v>0</v>
      </c>
      <c r="B284" s="67">
        <f t="shared" si="45"/>
        <v>0</v>
      </c>
      <c r="C284" s="70" t="str">
        <f>IF(VLOOKUP(B284,'x Malzemeler ve Özellikleri'!$B$2:$M$136,12,0)="ALÜMİNYUM",'1PROJE'!$H$13,"")</f>
        <v/>
      </c>
      <c r="D284" s="67">
        <f t="shared" si="46"/>
        <v>0</v>
      </c>
      <c r="E284" s="69" t="e">
        <f>HLOOKUP(B284,xHesaplama!$AH$26:$FH$66,28,0)</f>
        <v>#N/A</v>
      </c>
      <c r="F284" s="76">
        <f t="shared" si="42"/>
        <v>0</v>
      </c>
      <c r="G284" s="70">
        <f t="shared" si="47"/>
        <v>0</v>
      </c>
      <c r="H284" s="69" t="str">
        <f t="shared" si="43"/>
        <v/>
      </c>
      <c r="I284" s="145">
        <v>0</v>
      </c>
      <c r="J284" s="619"/>
      <c r="K284" s="81">
        <f>IFERROR(VLOOKUP(B284,'x Malzemeler ve Özellikleri'!$O$1:$Q$181,3,0)*F284,0)</f>
        <v>0</v>
      </c>
    </row>
    <row r="285" spans="1:36" ht="19.5">
      <c r="A285" s="67">
        <f t="shared" si="44"/>
        <v>0</v>
      </c>
      <c r="B285" s="67">
        <f t="shared" si="45"/>
        <v>0</v>
      </c>
      <c r="C285" s="70" t="str">
        <f>IF(VLOOKUP(B285,'x Malzemeler ve Özellikleri'!$B$2:$M$136,12,0)="ALÜMİNYUM",'1PROJE'!$H$13,"")</f>
        <v/>
      </c>
      <c r="D285" s="67">
        <f t="shared" si="46"/>
        <v>0</v>
      </c>
      <c r="E285" s="69" t="e">
        <f>HLOOKUP(B285,xHesaplama!$AH$26:$FH$66,28,0)</f>
        <v>#N/A</v>
      </c>
      <c r="F285" s="76">
        <f t="shared" si="42"/>
        <v>0</v>
      </c>
      <c r="G285" s="70">
        <f t="shared" si="47"/>
        <v>0</v>
      </c>
      <c r="H285" s="69" t="str">
        <f t="shared" si="43"/>
        <v/>
      </c>
      <c r="I285" s="145">
        <v>0</v>
      </c>
      <c r="J285" s="619"/>
      <c r="K285" s="81">
        <f>IFERROR(VLOOKUP(B285,'x Malzemeler ve Özellikleri'!$O$1:$Q$181,3,0)*F285,0)</f>
        <v>0</v>
      </c>
    </row>
    <row r="286" spans="1:36" ht="19.5">
      <c r="A286" s="67">
        <f t="shared" si="44"/>
        <v>0</v>
      </c>
      <c r="B286" s="67">
        <f t="shared" si="45"/>
        <v>0</v>
      </c>
      <c r="C286" s="70" t="str">
        <f>IF(VLOOKUP(B286,'x Malzemeler ve Özellikleri'!$B$2:$M$136,12,0)="ALÜMİNYUM",'1PROJE'!$H$13,"")</f>
        <v/>
      </c>
      <c r="D286" s="67">
        <f t="shared" si="46"/>
        <v>0</v>
      </c>
      <c r="E286" s="69" t="e">
        <f>HLOOKUP(B286,xHesaplama!$AH$26:$FH$66,28,0)</f>
        <v>#N/A</v>
      </c>
      <c r="F286" s="76">
        <f t="shared" si="42"/>
        <v>0</v>
      </c>
      <c r="G286" s="70">
        <f t="shared" si="47"/>
        <v>0</v>
      </c>
      <c r="H286" s="69" t="str">
        <f t="shared" si="43"/>
        <v/>
      </c>
      <c r="I286" s="145">
        <v>0</v>
      </c>
      <c r="J286" s="619"/>
      <c r="K286" s="81">
        <f>IFERROR(VLOOKUP(B286,'x Malzemeler ve Özellikleri'!$O$1:$Q$181,3,0)*F286,0)</f>
        <v>0</v>
      </c>
    </row>
    <row r="287" spans="1:36" ht="20.25" thickBot="1">
      <c r="A287" s="67">
        <f t="shared" si="44"/>
        <v>0</v>
      </c>
      <c r="B287" s="67">
        <f t="shared" si="45"/>
        <v>0</v>
      </c>
      <c r="C287" s="70" t="str">
        <f>IF(VLOOKUP(B287,'x Malzemeler ve Özellikleri'!$B$2:$M$136,12,0)="ALÜMİNYUM",'1PROJE'!$H$13,"")</f>
        <v/>
      </c>
      <c r="D287" s="67">
        <f t="shared" si="46"/>
        <v>0</v>
      </c>
      <c r="E287" s="69" t="e">
        <f>HLOOKUP(B287,xHesaplama!$AH$26:$FH$66,28,0)</f>
        <v>#N/A</v>
      </c>
      <c r="F287" s="76">
        <f t="shared" si="42"/>
        <v>0</v>
      </c>
      <c r="G287" s="70">
        <f t="shared" si="47"/>
        <v>0</v>
      </c>
      <c r="H287" s="69" t="str">
        <f t="shared" si="43"/>
        <v/>
      </c>
      <c r="I287" s="145">
        <v>0</v>
      </c>
      <c r="J287" s="620"/>
      <c r="K287" s="81">
        <f>IFERROR(VLOOKUP(B287,'x Malzemeler ve Özellikleri'!$O$1:$Q$181,3,0)*F287,0)</f>
        <v>0</v>
      </c>
    </row>
    <row r="288" spans="1:36" ht="30" thickBot="1">
      <c r="A288" s="64" t="str">
        <f>"POZ"&amp;" "&amp;J289</f>
        <v>POZ 8</v>
      </c>
      <c r="C288" s="243">
        <f>xHesaplama!C34</f>
        <v>0</v>
      </c>
      <c r="D288" s="64" t="s">
        <v>357</v>
      </c>
      <c r="F288" s="74"/>
      <c r="G288" s="72" t="s">
        <v>786</v>
      </c>
      <c r="H288" s="65"/>
      <c r="I288" s="71">
        <f>SUM(H290:H328)</f>
        <v>0</v>
      </c>
      <c r="L288" t="str" cm="1">
        <f t="array" ref="L288:AJ288">_xlfn._xlws.FILTER(REÇETE!$D$11:$AB$142,REÇETE!$P$11:$P$142&lt;&gt;"","")</f>
        <v>EXCEL KODU</v>
      </c>
      <c r="M288" t="str">
        <v>PARÇA BİRİM</v>
      </c>
      <c r="N288" t="str">
        <v>PARÇA ADI</v>
      </c>
      <c r="O288" t="str">
        <v>MALZEME KODU</v>
      </c>
      <c r="P288" t="str">
        <v>BİRİM FİYAT</v>
      </c>
      <c r="Q288" t="str">
        <v>POZ 1</v>
      </c>
      <c r="R288" t="str">
        <v>POZ 2</v>
      </c>
      <c r="S288" t="str">
        <v>POZ 3</v>
      </c>
      <c r="T288" t="str">
        <v>POZ 4</v>
      </c>
      <c r="U288" t="str">
        <v>POZ 5</v>
      </c>
      <c r="V288" t="str">
        <v>POZ 6</v>
      </c>
      <c r="W288" t="str">
        <v>POZ 7</v>
      </c>
      <c r="X288" t="str">
        <v>POZ 8</v>
      </c>
      <c r="Y288" t="str">
        <v>POZ 9</v>
      </c>
      <c r="Z288" t="str">
        <v>POZ 10</v>
      </c>
      <c r="AA288" t="str">
        <v>POZ 11</v>
      </c>
      <c r="AB288" t="str">
        <v>POZ 12</v>
      </c>
      <c r="AC288" t="str">
        <v>POZ 13</v>
      </c>
      <c r="AD288" t="str">
        <v>POZ 14</v>
      </c>
      <c r="AE288" t="str">
        <v>POZ 15</v>
      </c>
      <c r="AF288" t="str">
        <v>POZ 16</v>
      </c>
      <c r="AG288" t="str">
        <v>POZ 17</v>
      </c>
      <c r="AH288" t="str">
        <v>POZ 18</v>
      </c>
      <c r="AI288" t="str">
        <v>POZ 19</v>
      </c>
      <c r="AJ288" t="str">
        <v>POZ 20</v>
      </c>
    </row>
    <row r="289" spans="1:40">
      <c r="A289" s="66" t="s">
        <v>782</v>
      </c>
      <c r="B289" s="66" t="s">
        <v>409</v>
      </c>
      <c r="C289" s="68"/>
      <c r="D289" s="66" t="s">
        <v>15</v>
      </c>
      <c r="E289" s="68" t="s">
        <v>808</v>
      </c>
      <c r="F289" s="75" t="s">
        <v>785</v>
      </c>
      <c r="G289" s="68" t="s">
        <v>650</v>
      </c>
      <c r="H289" s="68" t="s">
        <v>355</v>
      </c>
      <c r="J289" s="618">
        <v>8</v>
      </c>
      <c r="K289" s="221">
        <f>SUM(K290:K328)</f>
        <v>0</v>
      </c>
    </row>
    <row r="290" spans="1:40" ht="19.5">
      <c r="A290" s="67">
        <f>xHesaplama!H34</f>
        <v>0</v>
      </c>
      <c r="B290" s="67"/>
      <c r="C290" s="70">
        <f>xHesaplama!I34</f>
        <v>0</v>
      </c>
      <c r="D290" s="67">
        <f>xHesaplama!I34</f>
        <v>0</v>
      </c>
      <c r="E290" s="69" t="e">
        <f>xHesaplama!AC34</f>
        <v>#N/A</v>
      </c>
      <c r="F290" s="76">
        <f>xHesaplama!AD34*C288</f>
        <v>0</v>
      </c>
      <c r="G290" s="70" t="s">
        <v>817</v>
      </c>
      <c r="H290" s="69">
        <f t="shared" ref="H290:H291" si="48">IFERROR(E290*F290,0)</f>
        <v>0</v>
      </c>
      <c r="I290" s="145">
        <v>0</v>
      </c>
      <c r="J290" s="619"/>
      <c r="K290" s="81">
        <f>IFERROR(VLOOKUP(A290,'x Malzemeler ve Özellikleri'!$N$1:$Q$181,4,0)*F290,0)</f>
        <v>0</v>
      </c>
      <c r="AN290" s="84" cm="1">
        <f t="array" ref="AN290">_xlfn._xlws.FILTER(A290:I328,I290:I328,0)</f>
        <v>0</v>
      </c>
    </row>
    <row r="291" spans="1:40" ht="19.5">
      <c r="A291" s="67" t="s">
        <v>105</v>
      </c>
      <c r="B291" s="67"/>
      <c r="C291" s="70"/>
      <c r="D291" s="67">
        <f>xHesaplama!J34</f>
        <v>0</v>
      </c>
      <c r="E291" s="69" t="e">
        <f>xHesaplama!AB34</f>
        <v>#N/A</v>
      </c>
      <c r="F291" s="76">
        <f>C288</f>
        <v>0</v>
      </c>
      <c r="G291" s="70" t="s">
        <v>357</v>
      </c>
      <c r="H291" s="69">
        <f t="shared" si="48"/>
        <v>0</v>
      </c>
      <c r="I291" s="145">
        <v>0</v>
      </c>
      <c r="J291" s="619"/>
      <c r="K291" s="81">
        <f>IFERROR(VLOOKUP(D291,'x Malzemeler ve Özellikleri'!$N$1:$Q$181,4,0)*F291,0)</f>
        <v>0</v>
      </c>
    </row>
    <row r="292" spans="1:40" ht="19.5">
      <c r="A292" s="67">
        <f>N289</f>
        <v>0</v>
      </c>
      <c r="B292" s="67">
        <f>L289</f>
        <v>0</v>
      </c>
      <c r="C292" s="70" t="str">
        <f>IF(VLOOKUP(B292,'x Malzemeler ve Özellikleri'!$B$2:$M$136,12,0)="ALÜMİNYUM",'1PROJE'!$H$14,"")</f>
        <v/>
      </c>
      <c r="D292" s="67">
        <f>O289</f>
        <v>0</v>
      </c>
      <c r="E292" s="69" t="e">
        <f>HLOOKUP(B292,xHesaplama!$AH$26:$FH$66,29,0)</f>
        <v>#N/A</v>
      </c>
      <c r="F292" s="76">
        <f t="shared" ref="F292:F328" si="49">X289*$C$288</f>
        <v>0</v>
      </c>
      <c r="G292" s="70">
        <f>M289</f>
        <v>0</v>
      </c>
      <c r="H292" s="69" t="str">
        <f t="shared" ref="H292:H328" si="50">IFERROR(E292*$C$288,"")</f>
        <v/>
      </c>
      <c r="I292" s="145">
        <v>0</v>
      </c>
      <c r="J292" s="619"/>
      <c r="K292" s="81">
        <f>IFERROR(VLOOKUP(B292,'x Malzemeler ve Özellikleri'!$O$1:$Q$181,3,0)*F292,0)</f>
        <v>0</v>
      </c>
    </row>
    <row r="293" spans="1:40" ht="19.5">
      <c r="A293" s="67">
        <f t="shared" ref="A293:A328" si="51">N290</f>
        <v>0</v>
      </c>
      <c r="B293" s="67">
        <f t="shared" ref="B293:B328" si="52">L290</f>
        <v>0</v>
      </c>
      <c r="C293" s="70" t="str">
        <f>IF(VLOOKUP(B293,'x Malzemeler ve Özellikleri'!$B$2:$M$136,12,0)="ALÜMİNYUM",'1PROJE'!$H$14,"")</f>
        <v/>
      </c>
      <c r="D293" s="67">
        <f t="shared" ref="D293:D328" si="53">O290</f>
        <v>0</v>
      </c>
      <c r="E293" s="69" t="e">
        <f>HLOOKUP(B293,xHesaplama!$AH$26:$FH$66,29,0)</f>
        <v>#N/A</v>
      </c>
      <c r="F293" s="76">
        <f t="shared" si="49"/>
        <v>0</v>
      </c>
      <c r="G293" s="70">
        <f t="shared" ref="G293:G328" si="54">M290</f>
        <v>0</v>
      </c>
      <c r="H293" s="69" t="str">
        <f t="shared" si="50"/>
        <v/>
      </c>
      <c r="I293" s="145">
        <v>0</v>
      </c>
      <c r="J293" s="619"/>
      <c r="K293" s="81">
        <f>IFERROR(VLOOKUP(B293,'x Malzemeler ve Özellikleri'!$O$1:$Q$181,3,0)*F293,0)</f>
        <v>0</v>
      </c>
    </row>
    <row r="294" spans="1:40" ht="19.5">
      <c r="A294" s="67">
        <f t="shared" si="51"/>
        <v>0</v>
      </c>
      <c r="B294" s="67">
        <f t="shared" si="52"/>
        <v>0</v>
      </c>
      <c r="C294" s="70" t="str">
        <f>IF(VLOOKUP(B294,'x Malzemeler ve Özellikleri'!$B$2:$M$136,12,0)="ALÜMİNYUM",'1PROJE'!$H$14,"")</f>
        <v/>
      </c>
      <c r="D294" s="67">
        <f t="shared" si="53"/>
        <v>0</v>
      </c>
      <c r="E294" s="69" t="e">
        <f>HLOOKUP(B294,xHesaplama!$AH$26:$FH$66,29,0)</f>
        <v>#N/A</v>
      </c>
      <c r="F294" s="76">
        <f t="shared" si="49"/>
        <v>0</v>
      </c>
      <c r="G294" s="70">
        <f t="shared" si="54"/>
        <v>0</v>
      </c>
      <c r="H294" s="69" t="str">
        <f t="shared" si="50"/>
        <v/>
      </c>
      <c r="I294" s="145">
        <v>0</v>
      </c>
      <c r="J294" s="619"/>
      <c r="K294" s="81">
        <f>IFERROR(VLOOKUP(B294,'x Malzemeler ve Özellikleri'!$O$1:$Q$181,3,0)*F294,0)</f>
        <v>0</v>
      </c>
    </row>
    <row r="295" spans="1:40" ht="19.5">
      <c r="A295" s="67">
        <f t="shared" si="51"/>
        <v>0</v>
      </c>
      <c r="B295" s="67">
        <f t="shared" si="52"/>
        <v>0</v>
      </c>
      <c r="C295" s="70" t="str">
        <f>IF(VLOOKUP(B295,'x Malzemeler ve Özellikleri'!$B$2:$M$136,12,0)="ALÜMİNYUM",'1PROJE'!$H$14,"")</f>
        <v/>
      </c>
      <c r="D295" s="67">
        <f t="shared" si="53"/>
        <v>0</v>
      </c>
      <c r="E295" s="69" t="e">
        <f>HLOOKUP(B295,xHesaplama!$AH$26:$FH$66,29,0)</f>
        <v>#N/A</v>
      </c>
      <c r="F295" s="76">
        <f t="shared" si="49"/>
        <v>0</v>
      </c>
      <c r="G295" s="70">
        <f t="shared" si="54"/>
        <v>0</v>
      </c>
      <c r="H295" s="69" t="str">
        <f t="shared" si="50"/>
        <v/>
      </c>
      <c r="I295" s="145">
        <v>0</v>
      </c>
      <c r="J295" s="619"/>
      <c r="K295" s="81">
        <f>IFERROR(VLOOKUP(B295,'x Malzemeler ve Özellikleri'!$O$1:$Q$181,3,0)*F295,0)</f>
        <v>0</v>
      </c>
    </row>
    <row r="296" spans="1:40" ht="19.5">
      <c r="A296" s="67">
        <f t="shared" si="51"/>
        <v>0</v>
      </c>
      <c r="B296" s="67">
        <f t="shared" si="52"/>
        <v>0</v>
      </c>
      <c r="C296" s="70" t="str">
        <f>IF(VLOOKUP(B296,'x Malzemeler ve Özellikleri'!$B$2:$M$136,12,0)="ALÜMİNYUM",'1PROJE'!$H$14,"")</f>
        <v/>
      </c>
      <c r="D296" s="67">
        <f t="shared" si="53"/>
        <v>0</v>
      </c>
      <c r="E296" s="69" t="e">
        <f>HLOOKUP(B296,xHesaplama!$AH$26:$FH$66,29,0)</f>
        <v>#N/A</v>
      </c>
      <c r="F296" s="76">
        <f t="shared" si="49"/>
        <v>0</v>
      </c>
      <c r="G296" s="70">
        <f t="shared" si="54"/>
        <v>0</v>
      </c>
      <c r="H296" s="69" t="str">
        <f t="shared" si="50"/>
        <v/>
      </c>
      <c r="I296" s="145">
        <v>0</v>
      </c>
      <c r="J296" s="619"/>
      <c r="K296" s="81">
        <f>IFERROR(VLOOKUP(B296,'x Malzemeler ve Özellikleri'!$O$1:$Q$181,3,0)*F296,0)</f>
        <v>0</v>
      </c>
    </row>
    <row r="297" spans="1:40" ht="19.5">
      <c r="A297" s="67">
        <f t="shared" si="51"/>
        <v>0</v>
      </c>
      <c r="B297" s="67">
        <f t="shared" si="52"/>
        <v>0</v>
      </c>
      <c r="C297" s="70" t="str">
        <f>IF(VLOOKUP(B297,'x Malzemeler ve Özellikleri'!$B$2:$M$136,12,0)="ALÜMİNYUM",'1PROJE'!$H$14,"")</f>
        <v/>
      </c>
      <c r="D297" s="67">
        <f t="shared" si="53"/>
        <v>0</v>
      </c>
      <c r="E297" s="69" t="e">
        <f>HLOOKUP(B297,xHesaplama!$AH$26:$FH$66,29,0)</f>
        <v>#N/A</v>
      </c>
      <c r="F297" s="76">
        <f t="shared" si="49"/>
        <v>0</v>
      </c>
      <c r="G297" s="70">
        <f t="shared" si="54"/>
        <v>0</v>
      </c>
      <c r="H297" s="69" t="str">
        <f t="shared" si="50"/>
        <v/>
      </c>
      <c r="I297" s="145">
        <v>0</v>
      </c>
      <c r="J297" s="619"/>
      <c r="K297" s="81">
        <f>IFERROR(VLOOKUP(B297,'x Malzemeler ve Özellikleri'!$O$1:$Q$181,3,0)*F297,0)</f>
        <v>0</v>
      </c>
    </row>
    <row r="298" spans="1:40" ht="19.5">
      <c r="A298" s="67">
        <f t="shared" si="51"/>
        <v>0</v>
      </c>
      <c r="B298" s="67">
        <f t="shared" si="52"/>
        <v>0</v>
      </c>
      <c r="C298" s="70" t="str">
        <f>IF(VLOOKUP(B298,'x Malzemeler ve Özellikleri'!$B$2:$M$136,12,0)="ALÜMİNYUM",'1PROJE'!$H$14,"")</f>
        <v/>
      </c>
      <c r="D298" s="67">
        <f t="shared" si="53"/>
        <v>0</v>
      </c>
      <c r="E298" s="69" t="e">
        <f>HLOOKUP(B298,xHesaplama!$AH$26:$FH$66,29,0)</f>
        <v>#N/A</v>
      </c>
      <c r="F298" s="76">
        <f t="shared" si="49"/>
        <v>0</v>
      </c>
      <c r="G298" s="70">
        <f t="shared" si="54"/>
        <v>0</v>
      </c>
      <c r="H298" s="69" t="str">
        <f t="shared" si="50"/>
        <v/>
      </c>
      <c r="I298" s="145">
        <v>0</v>
      </c>
      <c r="J298" s="619"/>
      <c r="K298" s="81">
        <f>IFERROR(VLOOKUP(B298,'x Malzemeler ve Özellikleri'!$O$1:$Q$181,3,0)*F298,0)</f>
        <v>0</v>
      </c>
    </row>
    <row r="299" spans="1:40" ht="19.5">
      <c r="A299" s="67">
        <f t="shared" si="51"/>
        <v>0</v>
      </c>
      <c r="B299" s="67">
        <f t="shared" si="52"/>
        <v>0</v>
      </c>
      <c r="C299" s="70" t="str">
        <f>IF(VLOOKUP(B299,'x Malzemeler ve Özellikleri'!$B$2:$M$136,12,0)="ALÜMİNYUM",'1PROJE'!$H$14,"")</f>
        <v/>
      </c>
      <c r="D299" s="67">
        <f t="shared" si="53"/>
        <v>0</v>
      </c>
      <c r="E299" s="69" t="e">
        <f>HLOOKUP(B299,xHesaplama!$AH$26:$FH$66,29,0)</f>
        <v>#N/A</v>
      </c>
      <c r="F299" s="76">
        <f t="shared" si="49"/>
        <v>0</v>
      </c>
      <c r="G299" s="70">
        <f t="shared" si="54"/>
        <v>0</v>
      </c>
      <c r="H299" s="69" t="str">
        <f t="shared" si="50"/>
        <v/>
      </c>
      <c r="I299" s="145">
        <v>0</v>
      </c>
      <c r="J299" s="619"/>
      <c r="K299" s="81">
        <f>IFERROR(VLOOKUP(B299,'x Malzemeler ve Özellikleri'!$O$1:$Q$181,3,0)*F299,0)</f>
        <v>0</v>
      </c>
    </row>
    <row r="300" spans="1:40" ht="19.5">
      <c r="A300" s="67">
        <f t="shared" si="51"/>
        <v>0</v>
      </c>
      <c r="B300" s="67">
        <f t="shared" si="52"/>
        <v>0</v>
      </c>
      <c r="C300" s="70" t="str">
        <f>IF(VLOOKUP(B300,'x Malzemeler ve Özellikleri'!$B$2:$M$136,12,0)="ALÜMİNYUM",'1PROJE'!$H$14,"")</f>
        <v/>
      </c>
      <c r="D300" s="67">
        <f t="shared" si="53"/>
        <v>0</v>
      </c>
      <c r="E300" s="69" t="e">
        <f>HLOOKUP(B300,xHesaplama!$AH$26:$FH$66,29,0)</f>
        <v>#N/A</v>
      </c>
      <c r="F300" s="76">
        <f t="shared" si="49"/>
        <v>0</v>
      </c>
      <c r="G300" s="70">
        <f t="shared" si="54"/>
        <v>0</v>
      </c>
      <c r="H300" s="69" t="str">
        <f t="shared" si="50"/>
        <v/>
      </c>
      <c r="I300" s="145">
        <v>0</v>
      </c>
      <c r="J300" s="619"/>
      <c r="K300" s="81">
        <f>IFERROR(VLOOKUP(B300,'x Malzemeler ve Özellikleri'!$O$1:$Q$181,3,0)*F300,0)</f>
        <v>0</v>
      </c>
    </row>
    <row r="301" spans="1:40" ht="19.5">
      <c r="A301" s="67">
        <f t="shared" si="51"/>
        <v>0</v>
      </c>
      <c r="B301" s="67">
        <f t="shared" si="52"/>
        <v>0</v>
      </c>
      <c r="C301" s="70" t="str">
        <f>IF(VLOOKUP(B301,'x Malzemeler ve Özellikleri'!$B$2:$M$136,12,0)="ALÜMİNYUM",'1PROJE'!$H$14,"")</f>
        <v/>
      </c>
      <c r="D301" s="67">
        <f t="shared" si="53"/>
        <v>0</v>
      </c>
      <c r="E301" s="69" t="e">
        <f>HLOOKUP(B301,xHesaplama!$AH$26:$FH$66,29,0)</f>
        <v>#N/A</v>
      </c>
      <c r="F301" s="76">
        <f t="shared" si="49"/>
        <v>0</v>
      </c>
      <c r="G301" s="70">
        <f t="shared" si="54"/>
        <v>0</v>
      </c>
      <c r="H301" s="69" t="str">
        <f t="shared" si="50"/>
        <v/>
      </c>
      <c r="I301" s="145">
        <v>0</v>
      </c>
      <c r="J301" s="619"/>
      <c r="K301" s="81">
        <f>IFERROR(VLOOKUP(B301,'x Malzemeler ve Özellikleri'!$O$1:$Q$181,3,0)*F301,0)</f>
        <v>0</v>
      </c>
    </row>
    <row r="302" spans="1:40" ht="19.5">
      <c r="A302" s="67">
        <f t="shared" si="51"/>
        <v>0</v>
      </c>
      <c r="B302" s="67">
        <f t="shared" si="52"/>
        <v>0</v>
      </c>
      <c r="C302" s="70" t="str">
        <f>IF(VLOOKUP(B302,'x Malzemeler ve Özellikleri'!$B$2:$M$136,12,0)="ALÜMİNYUM",'1PROJE'!$H$14,"")</f>
        <v/>
      </c>
      <c r="D302" s="67">
        <f t="shared" si="53"/>
        <v>0</v>
      </c>
      <c r="E302" s="69" t="e">
        <f>HLOOKUP(B302,xHesaplama!$AH$26:$FH$66,29,0)</f>
        <v>#N/A</v>
      </c>
      <c r="F302" s="76">
        <f t="shared" si="49"/>
        <v>0</v>
      </c>
      <c r="G302" s="70">
        <f t="shared" si="54"/>
        <v>0</v>
      </c>
      <c r="H302" s="69" t="str">
        <f t="shared" si="50"/>
        <v/>
      </c>
      <c r="I302" s="145">
        <v>0</v>
      </c>
      <c r="J302" s="619"/>
      <c r="K302" s="81">
        <f>IFERROR(VLOOKUP(B302,'x Malzemeler ve Özellikleri'!$O$1:$Q$181,3,0)*F302,0)</f>
        <v>0</v>
      </c>
    </row>
    <row r="303" spans="1:40" ht="19.5">
      <c r="A303" s="67">
        <f t="shared" si="51"/>
        <v>0</v>
      </c>
      <c r="B303" s="67">
        <f t="shared" si="52"/>
        <v>0</v>
      </c>
      <c r="C303" s="70" t="str">
        <f>IF(VLOOKUP(B303,'x Malzemeler ve Özellikleri'!$B$2:$M$136,12,0)="ALÜMİNYUM",'1PROJE'!$H$14,"")</f>
        <v/>
      </c>
      <c r="D303" s="67">
        <f t="shared" si="53"/>
        <v>0</v>
      </c>
      <c r="E303" s="69" t="e">
        <f>HLOOKUP(B303,xHesaplama!$AH$26:$FH$66,29,0)</f>
        <v>#N/A</v>
      </c>
      <c r="F303" s="76">
        <f t="shared" si="49"/>
        <v>0</v>
      </c>
      <c r="G303" s="70">
        <f t="shared" si="54"/>
        <v>0</v>
      </c>
      <c r="H303" s="69" t="str">
        <f t="shared" si="50"/>
        <v/>
      </c>
      <c r="I303" s="145">
        <v>0</v>
      </c>
      <c r="J303" s="619"/>
      <c r="K303" s="81">
        <f>IFERROR(VLOOKUP(B303,'x Malzemeler ve Özellikleri'!$O$1:$Q$181,3,0)*F303,0)</f>
        <v>0</v>
      </c>
    </row>
    <row r="304" spans="1:40" ht="19.5">
      <c r="A304" s="67">
        <f t="shared" si="51"/>
        <v>0</v>
      </c>
      <c r="B304" s="67">
        <f t="shared" si="52"/>
        <v>0</v>
      </c>
      <c r="C304" s="70" t="str">
        <f>IF(VLOOKUP(B304,'x Malzemeler ve Özellikleri'!$B$2:$M$136,12,0)="ALÜMİNYUM",'1PROJE'!$H$14,"")</f>
        <v/>
      </c>
      <c r="D304" s="67">
        <f t="shared" si="53"/>
        <v>0</v>
      </c>
      <c r="E304" s="69" t="e">
        <f>HLOOKUP(B304,xHesaplama!$AH$26:$FH$66,29,0)</f>
        <v>#N/A</v>
      </c>
      <c r="F304" s="76">
        <f t="shared" si="49"/>
        <v>0</v>
      </c>
      <c r="G304" s="70">
        <f t="shared" si="54"/>
        <v>0</v>
      </c>
      <c r="H304" s="69" t="str">
        <f t="shared" si="50"/>
        <v/>
      </c>
      <c r="I304" s="145">
        <v>0</v>
      </c>
      <c r="J304" s="619"/>
      <c r="K304" s="81">
        <f>IFERROR(VLOOKUP(B304,'x Malzemeler ve Özellikleri'!$O$1:$Q$181,3,0)*F304,0)</f>
        <v>0</v>
      </c>
    </row>
    <row r="305" spans="1:11" ht="19.5">
      <c r="A305" s="67">
        <f t="shared" si="51"/>
        <v>0</v>
      </c>
      <c r="B305" s="67">
        <f t="shared" si="52"/>
        <v>0</v>
      </c>
      <c r="C305" s="70" t="str">
        <f>IF(VLOOKUP(B305,'x Malzemeler ve Özellikleri'!$B$2:$M$136,12,0)="ALÜMİNYUM",'1PROJE'!$H$14,"")</f>
        <v/>
      </c>
      <c r="D305" s="67">
        <f t="shared" si="53"/>
        <v>0</v>
      </c>
      <c r="E305" s="69" t="e">
        <f>HLOOKUP(B305,xHesaplama!$AH$26:$FH$66,29,0)</f>
        <v>#N/A</v>
      </c>
      <c r="F305" s="76">
        <f t="shared" si="49"/>
        <v>0</v>
      </c>
      <c r="G305" s="70">
        <f t="shared" si="54"/>
        <v>0</v>
      </c>
      <c r="H305" s="69" t="str">
        <f t="shared" si="50"/>
        <v/>
      </c>
      <c r="I305" s="145">
        <v>0</v>
      </c>
      <c r="J305" s="619"/>
      <c r="K305" s="81">
        <f>IFERROR(VLOOKUP(B305,'x Malzemeler ve Özellikleri'!$O$1:$Q$181,3,0)*F305,0)</f>
        <v>0</v>
      </c>
    </row>
    <row r="306" spans="1:11" ht="19.5">
      <c r="A306" s="67">
        <f t="shared" si="51"/>
        <v>0</v>
      </c>
      <c r="B306" s="67">
        <f t="shared" si="52"/>
        <v>0</v>
      </c>
      <c r="C306" s="70" t="str">
        <f>IF(VLOOKUP(B306,'x Malzemeler ve Özellikleri'!$B$2:$M$136,12,0)="ALÜMİNYUM",'1PROJE'!$H$14,"")</f>
        <v/>
      </c>
      <c r="D306" s="67">
        <f t="shared" si="53"/>
        <v>0</v>
      </c>
      <c r="E306" s="69" t="e">
        <f>HLOOKUP(B306,xHesaplama!$AH$26:$FH$66,29,0)</f>
        <v>#N/A</v>
      </c>
      <c r="F306" s="76">
        <f t="shared" si="49"/>
        <v>0</v>
      </c>
      <c r="G306" s="70">
        <f t="shared" si="54"/>
        <v>0</v>
      </c>
      <c r="H306" s="69" t="str">
        <f t="shared" si="50"/>
        <v/>
      </c>
      <c r="I306" s="145">
        <v>0</v>
      </c>
      <c r="J306" s="619"/>
      <c r="K306" s="81">
        <f>IFERROR(VLOOKUP(B306,'x Malzemeler ve Özellikleri'!$O$1:$Q$181,3,0)*F306,0)</f>
        <v>0</v>
      </c>
    </row>
    <row r="307" spans="1:11" ht="19.5">
      <c r="A307" s="67">
        <f t="shared" si="51"/>
        <v>0</v>
      </c>
      <c r="B307" s="67">
        <f t="shared" si="52"/>
        <v>0</v>
      </c>
      <c r="C307" s="70" t="str">
        <f>IF(VLOOKUP(B307,'x Malzemeler ve Özellikleri'!$B$2:$M$136,12,0)="ALÜMİNYUM",'1PROJE'!$H$14,"")</f>
        <v/>
      </c>
      <c r="D307" s="67">
        <f t="shared" si="53"/>
        <v>0</v>
      </c>
      <c r="E307" s="69" t="e">
        <f>HLOOKUP(B307,xHesaplama!$AH$26:$FH$66,29,0)</f>
        <v>#N/A</v>
      </c>
      <c r="F307" s="76">
        <f t="shared" si="49"/>
        <v>0</v>
      </c>
      <c r="G307" s="70">
        <f t="shared" si="54"/>
        <v>0</v>
      </c>
      <c r="H307" s="69" t="str">
        <f t="shared" si="50"/>
        <v/>
      </c>
      <c r="I307" s="145">
        <v>0</v>
      </c>
      <c r="J307" s="619"/>
      <c r="K307" s="81">
        <f>IFERROR(VLOOKUP(B307,'x Malzemeler ve Özellikleri'!$O$1:$Q$181,3,0)*F307,0)</f>
        <v>0</v>
      </c>
    </row>
    <row r="308" spans="1:11" ht="19.5">
      <c r="A308" s="67">
        <f t="shared" si="51"/>
        <v>0</v>
      </c>
      <c r="B308" s="67">
        <f t="shared" si="52"/>
        <v>0</v>
      </c>
      <c r="C308" s="70" t="str">
        <f>IF(VLOOKUP(B308,'x Malzemeler ve Özellikleri'!$B$2:$M$136,12,0)="ALÜMİNYUM",'1PROJE'!$H$14,"")</f>
        <v/>
      </c>
      <c r="D308" s="67">
        <f t="shared" si="53"/>
        <v>0</v>
      </c>
      <c r="E308" s="69" t="e">
        <f>HLOOKUP(B308,xHesaplama!$AH$26:$FH$66,29,0)</f>
        <v>#N/A</v>
      </c>
      <c r="F308" s="76">
        <f t="shared" si="49"/>
        <v>0</v>
      </c>
      <c r="G308" s="70">
        <f t="shared" si="54"/>
        <v>0</v>
      </c>
      <c r="H308" s="69" t="str">
        <f t="shared" si="50"/>
        <v/>
      </c>
      <c r="I308" s="145">
        <v>0</v>
      </c>
      <c r="J308" s="619"/>
      <c r="K308" s="81">
        <f>IFERROR(VLOOKUP(B308,'x Malzemeler ve Özellikleri'!$O$1:$Q$181,3,0)*F308,0)</f>
        <v>0</v>
      </c>
    </row>
    <row r="309" spans="1:11" ht="19.5">
      <c r="A309" s="67">
        <f t="shared" si="51"/>
        <v>0</v>
      </c>
      <c r="B309" s="67">
        <f t="shared" si="52"/>
        <v>0</v>
      </c>
      <c r="C309" s="70" t="str">
        <f>IF(VLOOKUP(B309,'x Malzemeler ve Özellikleri'!$B$2:$M$136,12,0)="ALÜMİNYUM",'1PROJE'!$H$14,"")</f>
        <v/>
      </c>
      <c r="D309" s="67">
        <f t="shared" si="53"/>
        <v>0</v>
      </c>
      <c r="E309" s="69" t="e">
        <f>HLOOKUP(B309,xHesaplama!$AH$26:$FH$66,29,0)</f>
        <v>#N/A</v>
      </c>
      <c r="F309" s="76">
        <f t="shared" si="49"/>
        <v>0</v>
      </c>
      <c r="G309" s="70">
        <f t="shared" si="54"/>
        <v>0</v>
      </c>
      <c r="H309" s="69" t="str">
        <f t="shared" si="50"/>
        <v/>
      </c>
      <c r="I309" s="145">
        <v>0</v>
      </c>
      <c r="J309" s="619"/>
      <c r="K309" s="81">
        <f>IFERROR(VLOOKUP(B309,'x Malzemeler ve Özellikleri'!$O$1:$Q$181,3,0)*F309,0)</f>
        <v>0</v>
      </c>
    </row>
    <row r="310" spans="1:11" ht="19.5">
      <c r="A310" s="67">
        <f t="shared" si="51"/>
        <v>0</v>
      </c>
      <c r="B310" s="67">
        <f t="shared" si="52"/>
        <v>0</v>
      </c>
      <c r="C310" s="70" t="str">
        <f>IF(VLOOKUP(B310,'x Malzemeler ve Özellikleri'!$B$2:$M$136,12,0)="ALÜMİNYUM",'1PROJE'!$H$14,"")</f>
        <v/>
      </c>
      <c r="D310" s="67">
        <f t="shared" si="53"/>
        <v>0</v>
      </c>
      <c r="E310" s="69" t="e">
        <f>HLOOKUP(B310,xHesaplama!$AH$26:$FH$66,29,0)</f>
        <v>#N/A</v>
      </c>
      <c r="F310" s="76">
        <f t="shared" si="49"/>
        <v>0</v>
      </c>
      <c r="G310" s="70">
        <f t="shared" si="54"/>
        <v>0</v>
      </c>
      <c r="H310" s="69" t="str">
        <f t="shared" si="50"/>
        <v/>
      </c>
      <c r="I310" s="145">
        <v>0</v>
      </c>
      <c r="J310" s="619"/>
      <c r="K310" s="81">
        <f>IFERROR(VLOOKUP(B310,'x Malzemeler ve Özellikleri'!$O$1:$Q$181,3,0)*F310,0)</f>
        <v>0</v>
      </c>
    </row>
    <row r="311" spans="1:11" ht="19.5">
      <c r="A311" s="67">
        <f t="shared" si="51"/>
        <v>0</v>
      </c>
      <c r="B311" s="67">
        <f t="shared" si="52"/>
        <v>0</v>
      </c>
      <c r="C311" s="70" t="str">
        <f>IF(VLOOKUP(B311,'x Malzemeler ve Özellikleri'!$B$2:$M$136,12,0)="ALÜMİNYUM",'1PROJE'!$H$14,"")</f>
        <v/>
      </c>
      <c r="D311" s="67">
        <f t="shared" si="53"/>
        <v>0</v>
      </c>
      <c r="E311" s="69" t="e">
        <f>HLOOKUP(B311,xHesaplama!$AH$26:$FH$66,29,0)</f>
        <v>#N/A</v>
      </c>
      <c r="F311" s="76">
        <f t="shared" si="49"/>
        <v>0</v>
      </c>
      <c r="G311" s="70">
        <f t="shared" si="54"/>
        <v>0</v>
      </c>
      <c r="H311" s="69" t="str">
        <f t="shared" si="50"/>
        <v/>
      </c>
      <c r="I311" s="145">
        <v>0</v>
      </c>
      <c r="J311" s="619"/>
      <c r="K311" s="81">
        <f>IFERROR(VLOOKUP(B311,'x Malzemeler ve Özellikleri'!$O$1:$Q$181,3,0)*F311,0)</f>
        <v>0</v>
      </c>
    </row>
    <row r="312" spans="1:11" ht="19.5">
      <c r="A312" s="67">
        <f t="shared" si="51"/>
        <v>0</v>
      </c>
      <c r="B312" s="67">
        <f t="shared" si="52"/>
        <v>0</v>
      </c>
      <c r="C312" s="70" t="str">
        <f>IF(VLOOKUP(B312,'x Malzemeler ve Özellikleri'!$B$2:$M$136,12,0)="ALÜMİNYUM",'1PROJE'!$H$14,"")</f>
        <v/>
      </c>
      <c r="D312" s="67">
        <f t="shared" si="53"/>
        <v>0</v>
      </c>
      <c r="E312" s="69" t="e">
        <f>HLOOKUP(B312,xHesaplama!$AH$26:$FH$66,29,0)</f>
        <v>#N/A</v>
      </c>
      <c r="F312" s="76">
        <f t="shared" si="49"/>
        <v>0</v>
      </c>
      <c r="G312" s="70">
        <f t="shared" si="54"/>
        <v>0</v>
      </c>
      <c r="H312" s="69" t="str">
        <f t="shared" si="50"/>
        <v/>
      </c>
      <c r="I312" s="145">
        <v>0</v>
      </c>
      <c r="J312" s="619"/>
      <c r="K312" s="81">
        <f>IFERROR(VLOOKUP(B312,'x Malzemeler ve Özellikleri'!$O$1:$Q$181,3,0)*F312,0)</f>
        <v>0</v>
      </c>
    </row>
    <row r="313" spans="1:11" ht="19.5">
      <c r="A313" s="67">
        <f t="shared" si="51"/>
        <v>0</v>
      </c>
      <c r="B313" s="67">
        <f t="shared" si="52"/>
        <v>0</v>
      </c>
      <c r="C313" s="70" t="str">
        <f>IF(VLOOKUP(B313,'x Malzemeler ve Özellikleri'!$B$2:$M$136,12,0)="ALÜMİNYUM",'1PROJE'!$H$14,"")</f>
        <v/>
      </c>
      <c r="D313" s="67">
        <f t="shared" si="53"/>
        <v>0</v>
      </c>
      <c r="E313" s="69" t="e">
        <f>HLOOKUP(B313,xHesaplama!$AH$26:$FH$66,29,0)</f>
        <v>#N/A</v>
      </c>
      <c r="F313" s="76">
        <f t="shared" si="49"/>
        <v>0</v>
      </c>
      <c r="G313" s="70">
        <f t="shared" si="54"/>
        <v>0</v>
      </c>
      <c r="H313" s="69" t="str">
        <f t="shared" si="50"/>
        <v/>
      </c>
      <c r="I313" s="145">
        <v>0</v>
      </c>
      <c r="J313" s="619"/>
      <c r="K313" s="81">
        <f>IFERROR(VLOOKUP(B313,'x Malzemeler ve Özellikleri'!$O$1:$Q$181,3,0)*F313,0)</f>
        <v>0</v>
      </c>
    </row>
    <row r="314" spans="1:11" ht="19.5">
      <c r="A314" s="67">
        <f t="shared" si="51"/>
        <v>0</v>
      </c>
      <c r="B314" s="67">
        <f t="shared" si="52"/>
        <v>0</v>
      </c>
      <c r="C314" s="70" t="str">
        <f>IF(VLOOKUP(B314,'x Malzemeler ve Özellikleri'!$B$2:$M$136,12,0)="ALÜMİNYUM",'1PROJE'!$H$14,"")</f>
        <v/>
      </c>
      <c r="D314" s="67">
        <f t="shared" si="53"/>
        <v>0</v>
      </c>
      <c r="E314" s="69" t="e">
        <f>HLOOKUP(B314,xHesaplama!$AH$26:$FH$66,29,0)</f>
        <v>#N/A</v>
      </c>
      <c r="F314" s="76">
        <f t="shared" si="49"/>
        <v>0</v>
      </c>
      <c r="G314" s="70">
        <f t="shared" si="54"/>
        <v>0</v>
      </c>
      <c r="H314" s="69" t="str">
        <f t="shared" si="50"/>
        <v/>
      </c>
      <c r="I314" s="145">
        <v>0</v>
      </c>
      <c r="J314" s="619"/>
      <c r="K314" s="81">
        <f>IFERROR(VLOOKUP(B314,'x Malzemeler ve Özellikleri'!$O$1:$Q$181,3,0)*F314,0)</f>
        <v>0</v>
      </c>
    </row>
    <row r="315" spans="1:11" ht="19.5">
      <c r="A315" s="67">
        <f t="shared" si="51"/>
        <v>0</v>
      </c>
      <c r="B315" s="67">
        <f t="shared" si="52"/>
        <v>0</v>
      </c>
      <c r="C315" s="70" t="str">
        <f>IF(VLOOKUP(B315,'x Malzemeler ve Özellikleri'!$B$2:$M$136,12,0)="ALÜMİNYUM",'1PROJE'!$H$14,"")</f>
        <v/>
      </c>
      <c r="D315" s="67">
        <f t="shared" si="53"/>
        <v>0</v>
      </c>
      <c r="E315" s="69" t="e">
        <f>HLOOKUP(B315,xHesaplama!$AH$26:$FH$66,29,0)</f>
        <v>#N/A</v>
      </c>
      <c r="F315" s="76">
        <f t="shared" si="49"/>
        <v>0</v>
      </c>
      <c r="G315" s="70">
        <f t="shared" si="54"/>
        <v>0</v>
      </c>
      <c r="H315" s="69" t="str">
        <f t="shared" si="50"/>
        <v/>
      </c>
      <c r="I315" s="145">
        <v>0</v>
      </c>
      <c r="J315" s="619"/>
      <c r="K315" s="81">
        <f>IFERROR(VLOOKUP(B315,'x Malzemeler ve Özellikleri'!$O$1:$Q$181,3,0)*F315,0)</f>
        <v>0</v>
      </c>
    </row>
    <row r="316" spans="1:11" ht="19.5">
      <c r="A316" s="67">
        <f t="shared" si="51"/>
        <v>0</v>
      </c>
      <c r="B316" s="67">
        <f t="shared" si="52"/>
        <v>0</v>
      </c>
      <c r="C316" s="70" t="str">
        <f>IF(VLOOKUP(B316,'x Malzemeler ve Özellikleri'!$B$2:$M$136,12,0)="ALÜMİNYUM",'1PROJE'!$H$14,"")</f>
        <v/>
      </c>
      <c r="D316" s="67">
        <f t="shared" si="53"/>
        <v>0</v>
      </c>
      <c r="E316" s="69" t="e">
        <f>HLOOKUP(B316,xHesaplama!$AH$26:$FH$66,29,0)</f>
        <v>#N/A</v>
      </c>
      <c r="F316" s="76">
        <f t="shared" si="49"/>
        <v>0</v>
      </c>
      <c r="G316" s="70">
        <f t="shared" si="54"/>
        <v>0</v>
      </c>
      <c r="H316" s="69" t="str">
        <f t="shared" si="50"/>
        <v/>
      </c>
      <c r="I316" s="145">
        <v>0</v>
      </c>
      <c r="J316" s="619"/>
      <c r="K316" s="81">
        <f>IFERROR(VLOOKUP(B316,'x Malzemeler ve Özellikleri'!$O$1:$Q$181,3,0)*F316,0)</f>
        <v>0</v>
      </c>
    </row>
    <row r="317" spans="1:11" ht="19.5">
      <c r="A317" s="67">
        <f t="shared" si="51"/>
        <v>0</v>
      </c>
      <c r="B317" s="67">
        <f t="shared" si="52"/>
        <v>0</v>
      </c>
      <c r="C317" s="70" t="str">
        <f>IF(VLOOKUP(B317,'x Malzemeler ve Özellikleri'!$B$2:$M$136,12,0)="ALÜMİNYUM",'1PROJE'!$H$14,"")</f>
        <v/>
      </c>
      <c r="D317" s="67">
        <f t="shared" si="53"/>
        <v>0</v>
      </c>
      <c r="E317" s="69" t="e">
        <f>HLOOKUP(B317,xHesaplama!$AH$26:$FH$66,29,0)</f>
        <v>#N/A</v>
      </c>
      <c r="F317" s="76">
        <f t="shared" si="49"/>
        <v>0</v>
      </c>
      <c r="G317" s="70">
        <f t="shared" si="54"/>
        <v>0</v>
      </c>
      <c r="H317" s="69" t="str">
        <f t="shared" si="50"/>
        <v/>
      </c>
      <c r="I317" s="145">
        <v>0</v>
      </c>
      <c r="J317" s="619"/>
      <c r="K317" s="81">
        <f>IFERROR(VLOOKUP(B317,'x Malzemeler ve Özellikleri'!$O$1:$Q$181,3,0)*F317,0)</f>
        <v>0</v>
      </c>
    </row>
    <row r="318" spans="1:11" ht="19.5">
      <c r="A318" s="67">
        <f t="shared" si="51"/>
        <v>0</v>
      </c>
      <c r="B318" s="67">
        <f t="shared" si="52"/>
        <v>0</v>
      </c>
      <c r="C318" s="70" t="str">
        <f>IF(VLOOKUP(B318,'x Malzemeler ve Özellikleri'!$B$2:$M$136,12,0)="ALÜMİNYUM",'1PROJE'!$H$14,"")</f>
        <v/>
      </c>
      <c r="D318" s="67">
        <f t="shared" si="53"/>
        <v>0</v>
      </c>
      <c r="E318" s="69" t="e">
        <f>HLOOKUP(B318,xHesaplama!$AH$26:$FH$66,29,0)</f>
        <v>#N/A</v>
      </c>
      <c r="F318" s="76">
        <f t="shared" si="49"/>
        <v>0</v>
      </c>
      <c r="G318" s="70">
        <f t="shared" si="54"/>
        <v>0</v>
      </c>
      <c r="H318" s="69" t="str">
        <f t="shared" si="50"/>
        <v/>
      </c>
      <c r="I318" s="145">
        <v>0</v>
      </c>
      <c r="J318" s="619"/>
      <c r="K318" s="81">
        <f>IFERROR(VLOOKUP(B318,'x Malzemeler ve Özellikleri'!$O$1:$Q$181,3,0)*F318,0)</f>
        <v>0</v>
      </c>
    </row>
    <row r="319" spans="1:11" ht="19.5">
      <c r="A319" s="67">
        <f t="shared" si="51"/>
        <v>0</v>
      </c>
      <c r="B319" s="67">
        <f t="shared" si="52"/>
        <v>0</v>
      </c>
      <c r="C319" s="70" t="str">
        <f>IF(VLOOKUP(B319,'x Malzemeler ve Özellikleri'!$B$2:$M$136,12,0)="ALÜMİNYUM",'1PROJE'!$H$14,"")</f>
        <v/>
      </c>
      <c r="D319" s="67">
        <f t="shared" si="53"/>
        <v>0</v>
      </c>
      <c r="E319" s="69" t="e">
        <f>HLOOKUP(B319,xHesaplama!$AH$26:$FH$66,29,0)</f>
        <v>#N/A</v>
      </c>
      <c r="F319" s="76">
        <f t="shared" si="49"/>
        <v>0</v>
      </c>
      <c r="G319" s="70">
        <f t="shared" si="54"/>
        <v>0</v>
      </c>
      <c r="H319" s="69" t="str">
        <f t="shared" si="50"/>
        <v/>
      </c>
      <c r="I319" s="145">
        <v>0</v>
      </c>
      <c r="J319" s="619"/>
      <c r="K319" s="81">
        <f>IFERROR(VLOOKUP(B319,'x Malzemeler ve Özellikleri'!$O$1:$Q$181,3,0)*F319,0)</f>
        <v>0</v>
      </c>
    </row>
    <row r="320" spans="1:11" ht="19.5">
      <c r="A320" s="67">
        <f t="shared" si="51"/>
        <v>0</v>
      </c>
      <c r="B320" s="67">
        <f t="shared" si="52"/>
        <v>0</v>
      </c>
      <c r="C320" s="70" t="str">
        <f>IF(VLOOKUP(B320,'x Malzemeler ve Özellikleri'!$B$2:$M$136,12,0)="ALÜMİNYUM",'1PROJE'!$H$14,"")</f>
        <v/>
      </c>
      <c r="D320" s="67">
        <f t="shared" si="53"/>
        <v>0</v>
      </c>
      <c r="E320" s="69" t="e">
        <f>HLOOKUP(B320,xHesaplama!$AH$26:$FH$66,29,0)</f>
        <v>#N/A</v>
      </c>
      <c r="F320" s="76">
        <f t="shared" si="49"/>
        <v>0</v>
      </c>
      <c r="G320" s="70">
        <f t="shared" si="54"/>
        <v>0</v>
      </c>
      <c r="H320" s="69" t="str">
        <f t="shared" si="50"/>
        <v/>
      </c>
      <c r="I320" s="145">
        <v>0</v>
      </c>
      <c r="J320" s="619"/>
      <c r="K320" s="81">
        <f>IFERROR(VLOOKUP(B320,'x Malzemeler ve Özellikleri'!$O$1:$Q$181,3,0)*F320,0)</f>
        <v>0</v>
      </c>
    </row>
    <row r="321" spans="1:40" ht="19.5">
      <c r="A321" s="67">
        <f t="shared" si="51"/>
        <v>0</v>
      </c>
      <c r="B321" s="67">
        <f t="shared" si="52"/>
        <v>0</v>
      </c>
      <c r="C321" s="70" t="str">
        <f>IF(VLOOKUP(B321,'x Malzemeler ve Özellikleri'!$B$2:$M$136,12,0)="ALÜMİNYUM",'1PROJE'!$H$14,"")</f>
        <v/>
      </c>
      <c r="D321" s="67">
        <f t="shared" si="53"/>
        <v>0</v>
      </c>
      <c r="E321" s="69" t="e">
        <f>HLOOKUP(B321,xHesaplama!$AH$26:$FH$66,29,0)</f>
        <v>#N/A</v>
      </c>
      <c r="F321" s="76">
        <f t="shared" si="49"/>
        <v>0</v>
      </c>
      <c r="G321" s="70">
        <f t="shared" si="54"/>
        <v>0</v>
      </c>
      <c r="H321" s="69" t="str">
        <f t="shared" si="50"/>
        <v/>
      </c>
      <c r="I321" s="145">
        <v>0</v>
      </c>
      <c r="J321" s="619"/>
      <c r="K321" s="81">
        <f>IFERROR(VLOOKUP(B321,'x Malzemeler ve Özellikleri'!$O$1:$Q$181,3,0)*F321,0)</f>
        <v>0</v>
      </c>
    </row>
    <row r="322" spans="1:40" ht="19.5">
      <c r="A322" s="67">
        <f t="shared" si="51"/>
        <v>0</v>
      </c>
      <c r="B322" s="67">
        <f t="shared" si="52"/>
        <v>0</v>
      </c>
      <c r="C322" s="70" t="str">
        <f>IF(VLOOKUP(B322,'x Malzemeler ve Özellikleri'!$B$2:$M$136,12,0)="ALÜMİNYUM",'1PROJE'!$H$14,"")</f>
        <v/>
      </c>
      <c r="D322" s="67">
        <f t="shared" si="53"/>
        <v>0</v>
      </c>
      <c r="E322" s="69" t="e">
        <f>HLOOKUP(B322,xHesaplama!$AH$26:$FH$66,29,0)</f>
        <v>#N/A</v>
      </c>
      <c r="F322" s="76">
        <f t="shared" si="49"/>
        <v>0</v>
      </c>
      <c r="G322" s="70">
        <f t="shared" si="54"/>
        <v>0</v>
      </c>
      <c r="H322" s="69" t="str">
        <f t="shared" si="50"/>
        <v/>
      </c>
      <c r="I322" s="145">
        <v>0</v>
      </c>
      <c r="J322" s="619"/>
      <c r="K322" s="81">
        <f>IFERROR(VLOOKUP(B322,'x Malzemeler ve Özellikleri'!$O$1:$Q$181,3,0)*F322,0)</f>
        <v>0</v>
      </c>
    </row>
    <row r="323" spans="1:40" ht="19.5">
      <c r="A323" s="67">
        <f t="shared" si="51"/>
        <v>0</v>
      </c>
      <c r="B323" s="67">
        <f t="shared" si="52"/>
        <v>0</v>
      </c>
      <c r="C323" s="70" t="str">
        <f>IF(VLOOKUP(B323,'x Malzemeler ve Özellikleri'!$B$2:$M$136,12,0)="ALÜMİNYUM",'1PROJE'!$H$14,"")</f>
        <v/>
      </c>
      <c r="D323" s="67">
        <f t="shared" si="53"/>
        <v>0</v>
      </c>
      <c r="E323" s="69" t="e">
        <f>HLOOKUP(B323,xHesaplama!$AH$26:$FH$66,29,0)</f>
        <v>#N/A</v>
      </c>
      <c r="F323" s="76">
        <f t="shared" si="49"/>
        <v>0</v>
      </c>
      <c r="G323" s="70">
        <f t="shared" si="54"/>
        <v>0</v>
      </c>
      <c r="H323" s="69" t="str">
        <f t="shared" si="50"/>
        <v/>
      </c>
      <c r="I323" s="145">
        <v>0</v>
      </c>
      <c r="J323" s="619"/>
      <c r="K323" s="81">
        <f>IFERROR(VLOOKUP(B323,'x Malzemeler ve Özellikleri'!$O$1:$Q$181,3,0)*F323,0)</f>
        <v>0</v>
      </c>
    </row>
    <row r="324" spans="1:40" ht="19.5">
      <c r="A324" s="67">
        <f t="shared" si="51"/>
        <v>0</v>
      </c>
      <c r="B324" s="67">
        <f t="shared" si="52"/>
        <v>0</v>
      </c>
      <c r="C324" s="70" t="str">
        <f>IF(VLOOKUP(B324,'x Malzemeler ve Özellikleri'!$B$2:$M$136,12,0)="ALÜMİNYUM",'1PROJE'!$H$14,"")</f>
        <v/>
      </c>
      <c r="D324" s="67">
        <f t="shared" si="53"/>
        <v>0</v>
      </c>
      <c r="E324" s="69" t="e">
        <f>HLOOKUP(B324,xHesaplama!$AH$26:$FH$66,29,0)</f>
        <v>#N/A</v>
      </c>
      <c r="F324" s="76">
        <f t="shared" si="49"/>
        <v>0</v>
      </c>
      <c r="G324" s="70">
        <f t="shared" si="54"/>
        <v>0</v>
      </c>
      <c r="H324" s="69" t="str">
        <f t="shared" si="50"/>
        <v/>
      </c>
      <c r="I324" s="145">
        <v>0</v>
      </c>
      <c r="J324" s="619"/>
      <c r="K324" s="81">
        <f>IFERROR(VLOOKUP(B324,'x Malzemeler ve Özellikleri'!$O$1:$Q$181,3,0)*F324,0)</f>
        <v>0</v>
      </c>
    </row>
    <row r="325" spans="1:40" ht="19.5">
      <c r="A325" s="67">
        <f t="shared" si="51"/>
        <v>0</v>
      </c>
      <c r="B325" s="67">
        <f t="shared" si="52"/>
        <v>0</v>
      </c>
      <c r="C325" s="70" t="str">
        <f>IF(VLOOKUP(B325,'x Malzemeler ve Özellikleri'!$B$2:$M$136,12,0)="ALÜMİNYUM",'1PROJE'!$H$14,"")</f>
        <v/>
      </c>
      <c r="D325" s="67">
        <f t="shared" si="53"/>
        <v>0</v>
      </c>
      <c r="E325" s="69" t="e">
        <f>HLOOKUP(B325,xHesaplama!$AH$26:$FH$66,29,0)</f>
        <v>#N/A</v>
      </c>
      <c r="F325" s="76">
        <f t="shared" si="49"/>
        <v>0</v>
      </c>
      <c r="G325" s="70">
        <f t="shared" si="54"/>
        <v>0</v>
      </c>
      <c r="H325" s="69" t="str">
        <f t="shared" si="50"/>
        <v/>
      </c>
      <c r="I325" s="145">
        <v>0</v>
      </c>
      <c r="J325" s="619"/>
      <c r="K325" s="81">
        <f>IFERROR(VLOOKUP(B325,'x Malzemeler ve Özellikleri'!$O$1:$Q$181,3,0)*F325,0)</f>
        <v>0</v>
      </c>
    </row>
    <row r="326" spans="1:40" ht="19.5">
      <c r="A326" s="67">
        <f t="shared" si="51"/>
        <v>0</v>
      </c>
      <c r="B326" s="67">
        <f t="shared" si="52"/>
        <v>0</v>
      </c>
      <c r="C326" s="70" t="str">
        <f>IF(VLOOKUP(B326,'x Malzemeler ve Özellikleri'!$B$2:$M$136,12,0)="ALÜMİNYUM",'1PROJE'!$H$14,"")</f>
        <v/>
      </c>
      <c r="D326" s="67">
        <f t="shared" si="53"/>
        <v>0</v>
      </c>
      <c r="E326" s="69" t="e">
        <f>HLOOKUP(B326,xHesaplama!$AH$26:$FH$66,29,0)</f>
        <v>#N/A</v>
      </c>
      <c r="F326" s="76">
        <f t="shared" si="49"/>
        <v>0</v>
      </c>
      <c r="G326" s="70">
        <f t="shared" si="54"/>
        <v>0</v>
      </c>
      <c r="H326" s="69" t="str">
        <f t="shared" si="50"/>
        <v/>
      </c>
      <c r="I326" s="145">
        <v>0</v>
      </c>
      <c r="J326" s="619"/>
      <c r="K326" s="81">
        <f>IFERROR(VLOOKUP(B326,'x Malzemeler ve Özellikleri'!$O$1:$Q$181,3,0)*F326,0)</f>
        <v>0</v>
      </c>
    </row>
    <row r="327" spans="1:40" ht="19.5">
      <c r="A327" s="67">
        <f t="shared" si="51"/>
        <v>0</v>
      </c>
      <c r="B327" s="67">
        <f t="shared" si="52"/>
        <v>0</v>
      </c>
      <c r="C327" s="70" t="str">
        <f>IF(VLOOKUP(B327,'x Malzemeler ve Özellikleri'!$B$2:$M$136,12,0)="ALÜMİNYUM",'1PROJE'!$H$14,"")</f>
        <v/>
      </c>
      <c r="D327" s="67">
        <f t="shared" si="53"/>
        <v>0</v>
      </c>
      <c r="E327" s="69" t="e">
        <f>HLOOKUP(B327,xHesaplama!$AH$26:$FH$66,29,0)</f>
        <v>#N/A</v>
      </c>
      <c r="F327" s="76">
        <f t="shared" si="49"/>
        <v>0</v>
      </c>
      <c r="G327" s="70">
        <f t="shared" si="54"/>
        <v>0</v>
      </c>
      <c r="H327" s="69" t="str">
        <f t="shared" si="50"/>
        <v/>
      </c>
      <c r="I327" s="145">
        <v>0</v>
      </c>
      <c r="J327" s="619"/>
      <c r="K327" s="81">
        <f>IFERROR(VLOOKUP(B327,'x Malzemeler ve Özellikleri'!$O$1:$Q$181,3,0)*F327,0)</f>
        <v>0</v>
      </c>
    </row>
    <row r="328" spans="1:40" ht="20.25" thickBot="1">
      <c r="A328" s="67">
        <f t="shared" si="51"/>
        <v>0</v>
      </c>
      <c r="B328" s="67">
        <f t="shared" si="52"/>
        <v>0</v>
      </c>
      <c r="C328" s="70" t="str">
        <f>IF(VLOOKUP(B328,'x Malzemeler ve Özellikleri'!$B$2:$M$136,12,0)="ALÜMİNYUM",'1PROJE'!$H$14,"")</f>
        <v/>
      </c>
      <c r="D328" s="67">
        <f t="shared" si="53"/>
        <v>0</v>
      </c>
      <c r="E328" s="69" t="e">
        <f>HLOOKUP(B328,xHesaplama!$AH$26:$FH$66,29,0)</f>
        <v>#N/A</v>
      </c>
      <c r="F328" s="76">
        <f t="shared" si="49"/>
        <v>0</v>
      </c>
      <c r="G328" s="70">
        <f t="shared" si="54"/>
        <v>0</v>
      </c>
      <c r="H328" s="69" t="str">
        <f t="shared" si="50"/>
        <v/>
      </c>
      <c r="I328" s="145">
        <v>0</v>
      </c>
      <c r="J328" s="620"/>
      <c r="K328" s="81">
        <f>IFERROR(VLOOKUP(B328,'x Malzemeler ve Özellikleri'!$O$1:$Q$181,3,0)*F328,0)</f>
        <v>0</v>
      </c>
    </row>
    <row r="329" spans="1:40" ht="30" thickBot="1">
      <c r="A329" s="64" t="str">
        <f>"POZ"&amp;" "&amp;J330</f>
        <v>POZ 9</v>
      </c>
      <c r="C329" s="243">
        <f>xHesaplama!C35</f>
        <v>0</v>
      </c>
      <c r="D329" s="64" t="s">
        <v>357</v>
      </c>
      <c r="F329" s="74"/>
      <c r="G329" s="72" t="s">
        <v>786</v>
      </c>
      <c r="H329" s="65"/>
      <c r="I329" s="71">
        <f>SUM(H331:H369)</f>
        <v>0</v>
      </c>
      <c r="L329" t="str" cm="1">
        <f t="array" ref="L329:AJ329">_xlfn._xlws.FILTER(REÇETE!$D$11:$AB$142,REÇETE!$Q$11:$Q$142&lt;&gt;"","")</f>
        <v>EXCEL KODU</v>
      </c>
      <c r="M329" t="str">
        <v>PARÇA BİRİM</v>
      </c>
      <c r="N329" t="str">
        <v>PARÇA ADI</v>
      </c>
      <c r="O329" t="str">
        <v>MALZEME KODU</v>
      </c>
      <c r="P329" t="str">
        <v>BİRİM FİYAT</v>
      </c>
      <c r="Q329" t="str">
        <v>POZ 1</v>
      </c>
      <c r="R329" t="str">
        <v>POZ 2</v>
      </c>
      <c r="S329" t="str">
        <v>POZ 3</v>
      </c>
      <c r="T329" t="str">
        <v>POZ 4</v>
      </c>
      <c r="U329" t="str">
        <v>POZ 5</v>
      </c>
      <c r="V329" t="str">
        <v>POZ 6</v>
      </c>
      <c r="W329" t="str">
        <v>POZ 7</v>
      </c>
      <c r="X329" t="str">
        <v>POZ 8</v>
      </c>
      <c r="Y329" t="str">
        <v>POZ 9</v>
      </c>
      <c r="Z329" t="str">
        <v>POZ 10</v>
      </c>
      <c r="AA329" t="str">
        <v>POZ 11</v>
      </c>
      <c r="AB329" t="str">
        <v>POZ 12</v>
      </c>
      <c r="AC329" t="str">
        <v>POZ 13</v>
      </c>
      <c r="AD329" t="str">
        <v>POZ 14</v>
      </c>
      <c r="AE329" t="str">
        <v>POZ 15</v>
      </c>
      <c r="AF329" t="str">
        <v>POZ 16</v>
      </c>
      <c r="AG329" t="str">
        <v>POZ 17</v>
      </c>
      <c r="AH329" t="str">
        <v>POZ 18</v>
      </c>
      <c r="AI329" t="str">
        <v>POZ 19</v>
      </c>
      <c r="AJ329" t="str">
        <v>POZ 20</v>
      </c>
    </row>
    <row r="330" spans="1:40">
      <c r="A330" s="66" t="s">
        <v>782</v>
      </c>
      <c r="B330" s="66" t="s">
        <v>409</v>
      </c>
      <c r="C330" s="68"/>
      <c r="D330" s="66" t="s">
        <v>15</v>
      </c>
      <c r="E330" s="68" t="s">
        <v>808</v>
      </c>
      <c r="F330" s="75" t="s">
        <v>785</v>
      </c>
      <c r="G330" s="68" t="s">
        <v>650</v>
      </c>
      <c r="H330" s="68" t="s">
        <v>355</v>
      </c>
      <c r="J330" s="618">
        <v>9</v>
      </c>
      <c r="K330" s="221">
        <f>SUM(K331:K369)</f>
        <v>0</v>
      </c>
    </row>
    <row r="331" spans="1:40" ht="19.5">
      <c r="A331" s="67">
        <f>xHesaplama!H35</f>
        <v>0</v>
      </c>
      <c r="B331" s="67"/>
      <c r="C331" s="70">
        <f>xHesaplama!I35</f>
        <v>0</v>
      </c>
      <c r="D331" s="67">
        <f>xHesaplama!I35</f>
        <v>0</v>
      </c>
      <c r="E331" s="69" t="e">
        <f>xHesaplama!AC35</f>
        <v>#N/A</v>
      </c>
      <c r="F331" s="76">
        <f>xHesaplama!AD35*C329</f>
        <v>0</v>
      </c>
      <c r="G331" s="70" t="s">
        <v>817</v>
      </c>
      <c r="H331" s="69">
        <f t="shared" ref="H331:H332" si="55">IFERROR(E331*F331,0)</f>
        <v>0</v>
      </c>
      <c r="I331" s="145">
        <v>0</v>
      </c>
      <c r="J331" s="619"/>
      <c r="K331" s="81">
        <f>IFERROR(VLOOKUP(A331,'x Malzemeler ve Özellikleri'!$N$1:$Q$181,4,0)*F331,0)</f>
        <v>0</v>
      </c>
      <c r="AN331" s="84" cm="1">
        <f t="array" ref="AN331">_xlfn._xlws.FILTER(A331:I369,I331:I369,0)</f>
        <v>0</v>
      </c>
    </row>
    <row r="332" spans="1:40" ht="19.5">
      <c r="A332" s="67" t="s">
        <v>105</v>
      </c>
      <c r="B332" s="67"/>
      <c r="C332" s="70"/>
      <c r="D332" s="67">
        <f>xHesaplama!J35</f>
        <v>0</v>
      </c>
      <c r="E332" s="69" t="e">
        <f>xHesaplama!AB35</f>
        <v>#N/A</v>
      </c>
      <c r="F332" s="76">
        <f>C329</f>
        <v>0</v>
      </c>
      <c r="G332" s="70" t="s">
        <v>357</v>
      </c>
      <c r="H332" s="69">
        <f t="shared" si="55"/>
        <v>0</v>
      </c>
      <c r="I332" s="145">
        <v>0</v>
      </c>
      <c r="J332" s="619"/>
      <c r="K332" s="81">
        <f>IFERROR(VLOOKUP(D332,'x Malzemeler ve Özellikleri'!$N$1:$Q$181,4,0)*F332,0)</f>
        <v>0</v>
      </c>
    </row>
    <row r="333" spans="1:40" ht="19.5">
      <c r="A333" s="67">
        <f>N330</f>
        <v>0</v>
      </c>
      <c r="B333" s="67">
        <f>L330</f>
        <v>0</v>
      </c>
      <c r="C333" s="70" t="str">
        <f>IF(VLOOKUP(B333,'x Malzemeler ve Özellikleri'!$B$2:$M$136,12,0)="ALÜMİNYUM",'1PROJE'!$H$15,"")</f>
        <v/>
      </c>
      <c r="D333" s="67">
        <f>O330</f>
        <v>0</v>
      </c>
      <c r="E333" s="69" t="e">
        <f>HLOOKUP(B333,xHesaplama!$AH$26:$FH$66,30,0)</f>
        <v>#N/A</v>
      </c>
      <c r="F333" s="76">
        <f t="shared" ref="F333:F369" si="56">Y330*$C$329</f>
        <v>0</v>
      </c>
      <c r="G333" s="70">
        <f>M330</f>
        <v>0</v>
      </c>
      <c r="H333" s="69" t="str">
        <f t="shared" ref="H333:H369" si="57">IFERROR(E333*$C$329,"")</f>
        <v/>
      </c>
      <c r="I333" s="145">
        <v>0</v>
      </c>
      <c r="J333" s="619"/>
      <c r="K333" s="81">
        <f>IFERROR(VLOOKUP(B333,'x Malzemeler ve Özellikleri'!$O$1:$Q$181,3,0)*F333,0)</f>
        <v>0</v>
      </c>
    </row>
    <row r="334" spans="1:40" ht="19.5">
      <c r="A334" s="67">
        <f t="shared" ref="A334:A369" si="58">N331</f>
        <v>0</v>
      </c>
      <c r="B334" s="67">
        <f t="shared" ref="B334:B369" si="59">L331</f>
        <v>0</v>
      </c>
      <c r="C334" s="70" t="str">
        <f>IF(VLOOKUP(B334,'x Malzemeler ve Özellikleri'!$B$2:$M$136,12,0)="ALÜMİNYUM",'1PROJE'!$H$15,"")</f>
        <v/>
      </c>
      <c r="D334" s="67">
        <f t="shared" ref="D334:D369" si="60">O331</f>
        <v>0</v>
      </c>
      <c r="E334" s="69" t="e">
        <f>HLOOKUP(B334,xHesaplama!$AH$26:$FH$66,30,0)</f>
        <v>#N/A</v>
      </c>
      <c r="F334" s="76">
        <f t="shared" si="56"/>
        <v>0</v>
      </c>
      <c r="G334" s="70">
        <f t="shared" ref="G334:G369" si="61">M331</f>
        <v>0</v>
      </c>
      <c r="H334" s="69" t="str">
        <f t="shared" si="57"/>
        <v/>
      </c>
      <c r="I334" s="145">
        <v>0</v>
      </c>
      <c r="J334" s="619"/>
      <c r="K334" s="81">
        <f>IFERROR(VLOOKUP(B334,'x Malzemeler ve Özellikleri'!$O$1:$Q$181,3,0)*F334,0)</f>
        <v>0</v>
      </c>
    </row>
    <row r="335" spans="1:40" ht="19.5">
      <c r="A335" s="67">
        <f t="shared" si="58"/>
        <v>0</v>
      </c>
      <c r="B335" s="67">
        <f t="shared" si="59"/>
        <v>0</v>
      </c>
      <c r="C335" s="70" t="str">
        <f>IF(VLOOKUP(B335,'x Malzemeler ve Özellikleri'!$B$2:$M$136,12,0)="ALÜMİNYUM",'1PROJE'!$H$15,"")</f>
        <v/>
      </c>
      <c r="D335" s="67">
        <f t="shared" si="60"/>
        <v>0</v>
      </c>
      <c r="E335" s="69" t="e">
        <f>HLOOKUP(B335,xHesaplama!$AH$26:$FH$66,30,0)</f>
        <v>#N/A</v>
      </c>
      <c r="F335" s="76">
        <f t="shared" si="56"/>
        <v>0</v>
      </c>
      <c r="G335" s="70">
        <f t="shared" si="61"/>
        <v>0</v>
      </c>
      <c r="H335" s="69" t="str">
        <f t="shared" si="57"/>
        <v/>
      </c>
      <c r="I335" s="145">
        <v>0</v>
      </c>
      <c r="J335" s="619"/>
      <c r="K335" s="81">
        <f>IFERROR(VLOOKUP(B335,'x Malzemeler ve Özellikleri'!$O$1:$Q$181,3,0)*F335,0)</f>
        <v>0</v>
      </c>
    </row>
    <row r="336" spans="1:40" ht="19.5">
      <c r="A336" s="67">
        <f t="shared" si="58"/>
        <v>0</v>
      </c>
      <c r="B336" s="67">
        <f t="shared" si="59"/>
        <v>0</v>
      </c>
      <c r="C336" s="70" t="str">
        <f>IF(VLOOKUP(B336,'x Malzemeler ve Özellikleri'!$B$2:$M$136,12,0)="ALÜMİNYUM",'1PROJE'!$H$15,"")</f>
        <v/>
      </c>
      <c r="D336" s="67">
        <f t="shared" si="60"/>
        <v>0</v>
      </c>
      <c r="E336" s="69" t="e">
        <f>HLOOKUP(B336,xHesaplama!$AH$26:$FH$66,30,0)</f>
        <v>#N/A</v>
      </c>
      <c r="F336" s="76">
        <f t="shared" si="56"/>
        <v>0</v>
      </c>
      <c r="G336" s="70">
        <f t="shared" si="61"/>
        <v>0</v>
      </c>
      <c r="H336" s="69" t="str">
        <f t="shared" si="57"/>
        <v/>
      </c>
      <c r="I336" s="145">
        <v>0</v>
      </c>
      <c r="J336" s="619"/>
      <c r="K336" s="81">
        <f>IFERROR(VLOOKUP(B336,'x Malzemeler ve Özellikleri'!$O$1:$Q$181,3,0)*F336,0)</f>
        <v>0</v>
      </c>
    </row>
    <row r="337" spans="1:11" ht="19.5">
      <c r="A337" s="67">
        <f t="shared" si="58"/>
        <v>0</v>
      </c>
      <c r="B337" s="67">
        <f t="shared" si="59"/>
        <v>0</v>
      </c>
      <c r="C337" s="70" t="str">
        <f>IF(VLOOKUP(B337,'x Malzemeler ve Özellikleri'!$B$2:$M$136,12,0)="ALÜMİNYUM",'1PROJE'!$H$15,"")</f>
        <v/>
      </c>
      <c r="D337" s="67">
        <f t="shared" si="60"/>
        <v>0</v>
      </c>
      <c r="E337" s="69" t="e">
        <f>HLOOKUP(B337,xHesaplama!$AH$26:$FH$66,30,0)</f>
        <v>#N/A</v>
      </c>
      <c r="F337" s="76">
        <f t="shared" si="56"/>
        <v>0</v>
      </c>
      <c r="G337" s="70">
        <f t="shared" si="61"/>
        <v>0</v>
      </c>
      <c r="H337" s="69" t="str">
        <f t="shared" si="57"/>
        <v/>
      </c>
      <c r="I337" s="145">
        <v>0</v>
      </c>
      <c r="J337" s="619"/>
      <c r="K337" s="81">
        <f>IFERROR(VLOOKUP(B337,'x Malzemeler ve Özellikleri'!$O$1:$Q$181,3,0)*F337,0)</f>
        <v>0</v>
      </c>
    </row>
    <row r="338" spans="1:11" ht="19.5">
      <c r="A338" s="67">
        <f t="shared" si="58"/>
        <v>0</v>
      </c>
      <c r="B338" s="67">
        <f t="shared" si="59"/>
        <v>0</v>
      </c>
      <c r="C338" s="70" t="str">
        <f>IF(VLOOKUP(B338,'x Malzemeler ve Özellikleri'!$B$2:$M$136,12,0)="ALÜMİNYUM",'1PROJE'!$H$15,"")</f>
        <v/>
      </c>
      <c r="D338" s="67">
        <f t="shared" si="60"/>
        <v>0</v>
      </c>
      <c r="E338" s="69" t="e">
        <f>HLOOKUP(B338,xHesaplama!$AH$26:$FH$66,30,0)</f>
        <v>#N/A</v>
      </c>
      <c r="F338" s="76">
        <f t="shared" si="56"/>
        <v>0</v>
      </c>
      <c r="G338" s="70">
        <f t="shared" si="61"/>
        <v>0</v>
      </c>
      <c r="H338" s="69" t="str">
        <f t="shared" si="57"/>
        <v/>
      </c>
      <c r="I338" s="145">
        <v>0</v>
      </c>
      <c r="J338" s="619"/>
      <c r="K338" s="81">
        <f>IFERROR(VLOOKUP(B338,'x Malzemeler ve Özellikleri'!$O$1:$Q$181,3,0)*F338,0)</f>
        <v>0</v>
      </c>
    </row>
    <row r="339" spans="1:11" ht="19.5">
      <c r="A339" s="67">
        <f t="shared" si="58"/>
        <v>0</v>
      </c>
      <c r="B339" s="67">
        <f t="shared" si="59"/>
        <v>0</v>
      </c>
      <c r="C339" s="70" t="str">
        <f>IF(VLOOKUP(B339,'x Malzemeler ve Özellikleri'!$B$2:$M$136,12,0)="ALÜMİNYUM",'1PROJE'!$H$15,"")</f>
        <v/>
      </c>
      <c r="D339" s="67">
        <f t="shared" si="60"/>
        <v>0</v>
      </c>
      <c r="E339" s="69" t="e">
        <f>HLOOKUP(B339,xHesaplama!$AH$26:$FH$66,30,0)</f>
        <v>#N/A</v>
      </c>
      <c r="F339" s="76">
        <f t="shared" si="56"/>
        <v>0</v>
      </c>
      <c r="G339" s="70">
        <f t="shared" si="61"/>
        <v>0</v>
      </c>
      <c r="H339" s="69" t="str">
        <f t="shared" si="57"/>
        <v/>
      </c>
      <c r="I339" s="145">
        <v>0</v>
      </c>
      <c r="J339" s="619"/>
      <c r="K339" s="81">
        <f>IFERROR(VLOOKUP(B339,'x Malzemeler ve Özellikleri'!$O$1:$Q$181,3,0)*F339,0)</f>
        <v>0</v>
      </c>
    </row>
    <row r="340" spans="1:11" ht="19.5">
      <c r="A340" s="67">
        <f t="shared" si="58"/>
        <v>0</v>
      </c>
      <c r="B340" s="67">
        <f t="shared" si="59"/>
        <v>0</v>
      </c>
      <c r="C340" s="70" t="str">
        <f>IF(VLOOKUP(B340,'x Malzemeler ve Özellikleri'!$B$2:$M$136,12,0)="ALÜMİNYUM",'1PROJE'!$H$15,"")</f>
        <v/>
      </c>
      <c r="D340" s="67">
        <f t="shared" si="60"/>
        <v>0</v>
      </c>
      <c r="E340" s="69" t="e">
        <f>HLOOKUP(B340,xHesaplama!$AH$26:$FH$66,30,0)</f>
        <v>#N/A</v>
      </c>
      <c r="F340" s="76">
        <f t="shared" si="56"/>
        <v>0</v>
      </c>
      <c r="G340" s="70">
        <f t="shared" si="61"/>
        <v>0</v>
      </c>
      <c r="H340" s="69" t="str">
        <f t="shared" si="57"/>
        <v/>
      </c>
      <c r="I340" s="145">
        <v>0</v>
      </c>
      <c r="J340" s="619"/>
      <c r="K340" s="81">
        <f>IFERROR(VLOOKUP(B340,'x Malzemeler ve Özellikleri'!$O$1:$Q$181,3,0)*F340,0)</f>
        <v>0</v>
      </c>
    </row>
    <row r="341" spans="1:11" ht="19.5">
      <c r="A341" s="67">
        <f t="shared" si="58"/>
        <v>0</v>
      </c>
      <c r="B341" s="67">
        <f t="shared" si="59"/>
        <v>0</v>
      </c>
      <c r="C341" s="70" t="str">
        <f>IF(VLOOKUP(B341,'x Malzemeler ve Özellikleri'!$B$2:$M$136,12,0)="ALÜMİNYUM",'1PROJE'!$H$15,"")</f>
        <v/>
      </c>
      <c r="D341" s="67">
        <f t="shared" si="60"/>
        <v>0</v>
      </c>
      <c r="E341" s="69" t="e">
        <f>HLOOKUP(B341,xHesaplama!$AH$26:$FH$66,30,0)</f>
        <v>#N/A</v>
      </c>
      <c r="F341" s="76">
        <f t="shared" si="56"/>
        <v>0</v>
      </c>
      <c r="G341" s="70">
        <f t="shared" si="61"/>
        <v>0</v>
      </c>
      <c r="H341" s="69" t="str">
        <f t="shared" si="57"/>
        <v/>
      </c>
      <c r="I341" s="145">
        <v>0</v>
      </c>
      <c r="J341" s="619"/>
      <c r="K341" s="81">
        <f>IFERROR(VLOOKUP(B341,'x Malzemeler ve Özellikleri'!$O$1:$Q$181,3,0)*F341,0)</f>
        <v>0</v>
      </c>
    </row>
    <row r="342" spans="1:11" ht="19.5">
      <c r="A342" s="67">
        <f t="shared" si="58"/>
        <v>0</v>
      </c>
      <c r="B342" s="67">
        <f t="shared" si="59"/>
        <v>0</v>
      </c>
      <c r="C342" s="70" t="str">
        <f>IF(VLOOKUP(B342,'x Malzemeler ve Özellikleri'!$B$2:$M$136,12,0)="ALÜMİNYUM",'1PROJE'!$H$15,"")</f>
        <v/>
      </c>
      <c r="D342" s="67">
        <f t="shared" si="60"/>
        <v>0</v>
      </c>
      <c r="E342" s="69" t="e">
        <f>HLOOKUP(B342,xHesaplama!$AH$26:$FH$66,30,0)</f>
        <v>#N/A</v>
      </c>
      <c r="F342" s="76">
        <f t="shared" si="56"/>
        <v>0</v>
      </c>
      <c r="G342" s="70">
        <f t="shared" si="61"/>
        <v>0</v>
      </c>
      <c r="H342" s="69" t="str">
        <f t="shared" si="57"/>
        <v/>
      </c>
      <c r="I342" s="145">
        <v>0</v>
      </c>
      <c r="J342" s="619"/>
      <c r="K342" s="81">
        <f>IFERROR(VLOOKUP(B342,'x Malzemeler ve Özellikleri'!$O$1:$Q$181,3,0)*F342,0)</f>
        <v>0</v>
      </c>
    </row>
    <row r="343" spans="1:11" ht="19.5">
      <c r="A343" s="67">
        <f t="shared" si="58"/>
        <v>0</v>
      </c>
      <c r="B343" s="67">
        <f t="shared" si="59"/>
        <v>0</v>
      </c>
      <c r="C343" s="70" t="str">
        <f>IF(VLOOKUP(B343,'x Malzemeler ve Özellikleri'!$B$2:$M$136,12,0)="ALÜMİNYUM",'1PROJE'!$H$15,"")</f>
        <v/>
      </c>
      <c r="D343" s="67">
        <f t="shared" si="60"/>
        <v>0</v>
      </c>
      <c r="E343" s="69" t="e">
        <f>HLOOKUP(B343,xHesaplama!$AH$26:$FH$66,30,0)</f>
        <v>#N/A</v>
      </c>
      <c r="F343" s="76">
        <f t="shared" si="56"/>
        <v>0</v>
      </c>
      <c r="G343" s="70">
        <f t="shared" si="61"/>
        <v>0</v>
      </c>
      <c r="H343" s="69" t="str">
        <f t="shared" si="57"/>
        <v/>
      </c>
      <c r="I343" s="145">
        <v>0</v>
      </c>
      <c r="J343" s="619"/>
      <c r="K343" s="81">
        <f>IFERROR(VLOOKUP(B343,'x Malzemeler ve Özellikleri'!$O$1:$Q$181,3,0)*F343,0)</f>
        <v>0</v>
      </c>
    </row>
    <row r="344" spans="1:11" ht="19.5">
      <c r="A344" s="67">
        <f t="shared" si="58"/>
        <v>0</v>
      </c>
      <c r="B344" s="67">
        <f t="shared" si="59"/>
        <v>0</v>
      </c>
      <c r="C344" s="70" t="str">
        <f>IF(VLOOKUP(B344,'x Malzemeler ve Özellikleri'!$B$2:$M$136,12,0)="ALÜMİNYUM",'1PROJE'!$H$15,"")</f>
        <v/>
      </c>
      <c r="D344" s="67">
        <f t="shared" si="60"/>
        <v>0</v>
      </c>
      <c r="E344" s="69" t="e">
        <f>HLOOKUP(B344,xHesaplama!$AH$26:$FH$66,30,0)</f>
        <v>#N/A</v>
      </c>
      <c r="F344" s="76">
        <f t="shared" si="56"/>
        <v>0</v>
      </c>
      <c r="G344" s="70">
        <f t="shared" si="61"/>
        <v>0</v>
      </c>
      <c r="H344" s="69" t="str">
        <f t="shared" si="57"/>
        <v/>
      </c>
      <c r="I344" s="145">
        <v>0</v>
      </c>
      <c r="J344" s="619"/>
      <c r="K344" s="81">
        <f>IFERROR(VLOOKUP(B344,'x Malzemeler ve Özellikleri'!$O$1:$Q$181,3,0)*F344,0)</f>
        <v>0</v>
      </c>
    </row>
    <row r="345" spans="1:11" ht="19.5">
      <c r="A345" s="67">
        <f t="shared" si="58"/>
        <v>0</v>
      </c>
      <c r="B345" s="67">
        <f t="shared" si="59"/>
        <v>0</v>
      </c>
      <c r="C345" s="70" t="str">
        <f>IF(VLOOKUP(B345,'x Malzemeler ve Özellikleri'!$B$2:$M$136,12,0)="ALÜMİNYUM",'1PROJE'!$H$15,"")</f>
        <v/>
      </c>
      <c r="D345" s="67">
        <f t="shared" si="60"/>
        <v>0</v>
      </c>
      <c r="E345" s="69" t="e">
        <f>HLOOKUP(B345,xHesaplama!$AH$26:$FH$66,30,0)</f>
        <v>#N/A</v>
      </c>
      <c r="F345" s="76">
        <f t="shared" si="56"/>
        <v>0</v>
      </c>
      <c r="G345" s="70">
        <f t="shared" si="61"/>
        <v>0</v>
      </c>
      <c r="H345" s="69" t="str">
        <f t="shared" si="57"/>
        <v/>
      </c>
      <c r="I345" s="145">
        <v>0</v>
      </c>
      <c r="J345" s="619"/>
      <c r="K345" s="81">
        <f>IFERROR(VLOOKUP(B345,'x Malzemeler ve Özellikleri'!$O$1:$Q$181,3,0)*F345,0)</f>
        <v>0</v>
      </c>
    </row>
    <row r="346" spans="1:11" ht="19.5">
      <c r="A346" s="67">
        <f t="shared" si="58"/>
        <v>0</v>
      </c>
      <c r="B346" s="67">
        <f t="shared" si="59"/>
        <v>0</v>
      </c>
      <c r="C346" s="70" t="str">
        <f>IF(VLOOKUP(B346,'x Malzemeler ve Özellikleri'!$B$2:$M$136,12,0)="ALÜMİNYUM",'1PROJE'!$H$15,"")</f>
        <v/>
      </c>
      <c r="D346" s="67">
        <f t="shared" si="60"/>
        <v>0</v>
      </c>
      <c r="E346" s="69" t="e">
        <f>HLOOKUP(B346,xHesaplama!$AH$26:$FH$66,30,0)</f>
        <v>#N/A</v>
      </c>
      <c r="F346" s="76">
        <f t="shared" si="56"/>
        <v>0</v>
      </c>
      <c r="G346" s="70">
        <f t="shared" si="61"/>
        <v>0</v>
      </c>
      <c r="H346" s="69" t="str">
        <f t="shared" si="57"/>
        <v/>
      </c>
      <c r="I346" s="145">
        <v>0</v>
      </c>
      <c r="J346" s="619"/>
      <c r="K346" s="81">
        <f>IFERROR(VLOOKUP(B346,'x Malzemeler ve Özellikleri'!$O$1:$Q$181,3,0)*F346,0)</f>
        <v>0</v>
      </c>
    </row>
    <row r="347" spans="1:11" ht="19.5">
      <c r="A347" s="67">
        <f t="shared" si="58"/>
        <v>0</v>
      </c>
      <c r="B347" s="67">
        <f t="shared" si="59"/>
        <v>0</v>
      </c>
      <c r="C347" s="70" t="str">
        <f>IF(VLOOKUP(B347,'x Malzemeler ve Özellikleri'!$B$2:$M$136,12,0)="ALÜMİNYUM",'1PROJE'!$H$15,"")</f>
        <v/>
      </c>
      <c r="D347" s="67">
        <f t="shared" si="60"/>
        <v>0</v>
      </c>
      <c r="E347" s="69" t="e">
        <f>HLOOKUP(B347,xHesaplama!$AH$26:$FH$66,30,0)</f>
        <v>#N/A</v>
      </c>
      <c r="F347" s="76">
        <f t="shared" si="56"/>
        <v>0</v>
      </c>
      <c r="G347" s="70">
        <f t="shared" si="61"/>
        <v>0</v>
      </c>
      <c r="H347" s="69" t="str">
        <f t="shared" si="57"/>
        <v/>
      </c>
      <c r="I347" s="145">
        <v>0</v>
      </c>
      <c r="J347" s="619"/>
      <c r="K347" s="81">
        <f>IFERROR(VLOOKUP(B347,'x Malzemeler ve Özellikleri'!$O$1:$Q$181,3,0)*F347,0)</f>
        <v>0</v>
      </c>
    </row>
    <row r="348" spans="1:11" ht="19.5">
      <c r="A348" s="67">
        <f t="shared" si="58"/>
        <v>0</v>
      </c>
      <c r="B348" s="67">
        <f t="shared" si="59"/>
        <v>0</v>
      </c>
      <c r="C348" s="70" t="str">
        <f>IF(VLOOKUP(B348,'x Malzemeler ve Özellikleri'!$B$2:$M$136,12,0)="ALÜMİNYUM",'1PROJE'!$H$15,"")</f>
        <v/>
      </c>
      <c r="D348" s="67">
        <f t="shared" si="60"/>
        <v>0</v>
      </c>
      <c r="E348" s="69" t="e">
        <f>HLOOKUP(B348,xHesaplama!$AH$26:$FH$66,30,0)</f>
        <v>#N/A</v>
      </c>
      <c r="F348" s="76">
        <f t="shared" si="56"/>
        <v>0</v>
      </c>
      <c r="G348" s="70">
        <f t="shared" si="61"/>
        <v>0</v>
      </c>
      <c r="H348" s="69" t="str">
        <f t="shared" si="57"/>
        <v/>
      </c>
      <c r="I348" s="145">
        <v>0</v>
      </c>
      <c r="J348" s="619"/>
      <c r="K348" s="81">
        <f>IFERROR(VLOOKUP(B348,'x Malzemeler ve Özellikleri'!$O$1:$Q$181,3,0)*F348,0)</f>
        <v>0</v>
      </c>
    </row>
    <row r="349" spans="1:11" ht="19.5">
      <c r="A349" s="67">
        <f t="shared" si="58"/>
        <v>0</v>
      </c>
      <c r="B349" s="67">
        <f t="shared" si="59"/>
        <v>0</v>
      </c>
      <c r="C349" s="70" t="str">
        <f>IF(VLOOKUP(B349,'x Malzemeler ve Özellikleri'!$B$2:$M$136,12,0)="ALÜMİNYUM",'1PROJE'!$H$15,"")</f>
        <v/>
      </c>
      <c r="D349" s="67">
        <f t="shared" si="60"/>
        <v>0</v>
      </c>
      <c r="E349" s="69" t="e">
        <f>HLOOKUP(B349,xHesaplama!$AH$26:$FH$66,30,0)</f>
        <v>#N/A</v>
      </c>
      <c r="F349" s="76">
        <f t="shared" si="56"/>
        <v>0</v>
      </c>
      <c r="G349" s="70">
        <f t="shared" si="61"/>
        <v>0</v>
      </c>
      <c r="H349" s="69" t="str">
        <f t="shared" si="57"/>
        <v/>
      </c>
      <c r="I349" s="145">
        <v>0</v>
      </c>
      <c r="J349" s="619"/>
      <c r="K349" s="81">
        <f>IFERROR(VLOOKUP(B349,'x Malzemeler ve Özellikleri'!$O$1:$Q$181,3,0)*F349,0)</f>
        <v>0</v>
      </c>
    </row>
    <row r="350" spans="1:11" ht="19.5">
      <c r="A350" s="67">
        <f t="shared" si="58"/>
        <v>0</v>
      </c>
      <c r="B350" s="67">
        <f t="shared" si="59"/>
        <v>0</v>
      </c>
      <c r="C350" s="70" t="str">
        <f>IF(VLOOKUP(B350,'x Malzemeler ve Özellikleri'!$B$2:$M$136,12,0)="ALÜMİNYUM",'1PROJE'!$H$15,"")</f>
        <v/>
      </c>
      <c r="D350" s="67">
        <f t="shared" si="60"/>
        <v>0</v>
      </c>
      <c r="E350" s="69" t="e">
        <f>HLOOKUP(B350,xHesaplama!$AH$26:$FH$66,30,0)</f>
        <v>#N/A</v>
      </c>
      <c r="F350" s="76">
        <f t="shared" si="56"/>
        <v>0</v>
      </c>
      <c r="G350" s="70">
        <f t="shared" si="61"/>
        <v>0</v>
      </c>
      <c r="H350" s="69" t="str">
        <f t="shared" si="57"/>
        <v/>
      </c>
      <c r="I350" s="145">
        <v>0</v>
      </c>
      <c r="J350" s="619"/>
      <c r="K350" s="81">
        <f>IFERROR(VLOOKUP(B350,'x Malzemeler ve Özellikleri'!$O$1:$Q$181,3,0)*F350,0)</f>
        <v>0</v>
      </c>
    </row>
    <row r="351" spans="1:11" ht="19.5">
      <c r="A351" s="67">
        <f t="shared" si="58"/>
        <v>0</v>
      </c>
      <c r="B351" s="67">
        <f t="shared" si="59"/>
        <v>0</v>
      </c>
      <c r="C351" s="70" t="str">
        <f>IF(VLOOKUP(B351,'x Malzemeler ve Özellikleri'!$B$2:$M$136,12,0)="ALÜMİNYUM",'1PROJE'!$H$15,"")</f>
        <v/>
      </c>
      <c r="D351" s="67">
        <f t="shared" si="60"/>
        <v>0</v>
      </c>
      <c r="E351" s="69" t="e">
        <f>HLOOKUP(B351,xHesaplama!$AH$26:$FH$66,30,0)</f>
        <v>#N/A</v>
      </c>
      <c r="F351" s="76">
        <f t="shared" si="56"/>
        <v>0</v>
      </c>
      <c r="G351" s="70">
        <f t="shared" si="61"/>
        <v>0</v>
      </c>
      <c r="H351" s="69" t="str">
        <f t="shared" si="57"/>
        <v/>
      </c>
      <c r="I351" s="145">
        <v>0</v>
      </c>
      <c r="J351" s="619"/>
      <c r="K351" s="81">
        <f>IFERROR(VLOOKUP(B351,'x Malzemeler ve Özellikleri'!$O$1:$Q$181,3,0)*F351,0)</f>
        <v>0</v>
      </c>
    </row>
    <row r="352" spans="1:11" ht="19.5">
      <c r="A352" s="67">
        <f t="shared" si="58"/>
        <v>0</v>
      </c>
      <c r="B352" s="67">
        <f t="shared" si="59"/>
        <v>0</v>
      </c>
      <c r="C352" s="70" t="str">
        <f>IF(VLOOKUP(B352,'x Malzemeler ve Özellikleri'!$B$2:$M$136,12,0)="ALÜMİNYUM",'1PROJE'!$H$15,"")</f>
        <v/>
      </c>
      <c r="D352" s="67">
        <f t="shared" si="60"/>
        <v>0</v>
      </c>
      <c r="E352" s="69" t="e">
        <f>HLOOKUP(B352,xHesaplama!$AH$26:$FH$66,30,0)</f>
        <v>#N/A</v>
      </c>
      <c r="F352" s="76">
        <f t="shared" si="56"/>
        <v>0</v>
      </c>
      <c r="G352" s="70">
        <f t="shared" si="61"/>
        <v>0</v>
      </c>
      <c r="H352" s="69" t="str">
        <f t="shared" si="57"/>
        <v/>
      </c>
      <c r="I352" s="145">
        <v>0</v>
      </c>
      <c r="J352" s="619"/>
      <c r="K352" s="81">
        <f>IFERROR(VLOOKUP(B352,'x Malzemeler ve Özellikleri'!$O$1:$Q$181,3,0)*F352,0)</f>
        <v>0</v>
      </c>
    </row>
    <row r="353" spans="1:11" ht="19.5">
      <c r="A353" s="67">
        <f t="shared" si="58"/>
        <v>0</v>
      </c>
      <c r="B353" s="67">
        <f t="shared" si="59"/>
        <v>0</v>
      </c>
      <c r="C353" s="70" t="str">
        <f>IF(VLOOKUP(B353,'x Malzemeler ve Özellikleri'!$B$2:$M$136,12,0)="ALÜMİNYUM",'1PROJE'!$H$15,"")</f>
        <v/>
      </c>
      <c r="D353" s="67">
        <f t="shared" si="60"/>
        <v>0</v>
      </c>
      <c r="E353" s="69" t="e">
        <f>HLOOKUP(B353,xHesaplama!$AH$26:$FH$66,30,0)</f>
        <v>#N/A</v>
      </c>
      <c r="F353" s="76">
        <f t="shared" si="56"/>
        <v>0</v>
      </c>
      <c r="G353" s="70">
        <f t="shared" si="61"/>
        <v>0</v>
      </c>
      <c r="H353" s="69" t="str">
        <f t="shared" si="57"/>
        <v/>
      </c>
      <c r="I353" s="145">
        <v>0</v>
      </c>
      <c r="J353" s="619"/>
      <c r="K353" s="81">
        <f>IFERROR(VLOOKUP(B353,'x Malzemeler ve Özellikleri'!$O$1:$Q$181,3,0)*F353,0)</f>
        <v>0</v>
      </c>
    </row>
    <row r="354" spans="1:11" ht="19.5">
      <c r="A354" s="67">
        <f t="shared" si="58"/>
        <v>0</v>
      </c>
      <c r="B354" s="67">
        <f t="shared" si="59"/>
        <v>0</v>
      </c>
      <c r="C354" s="70" t="str">
        <f>IF(VLOOKUP(B354,'x Malzemeler ve Özellikleri'!$B$2:$M$136,12,0)="ALÜMİNYUM",'1PROJE'!$H$15,"")</f>
        <v/>
      </c>
      <c r="D354" s="67">
        <f t="shared" si="60"/>
        <v>0</v>
      </c>
      <c r="E354" s="69" t="e">
        <f>HLOOKUP(B354,xHesaplama!$AH$26:$FH$66,30,0)</f>
        <v>#N/A</v>
      </c>
      <c r="F354" s="76">
        <f t="shared" si="56"/>
        <v>0</v>
      </c>
      <c r="G354" s="70">
        <f t="shared" si="61"/>
        <v>0</v>
      </c>
      <c r="H354" s="69" t="str">
        <f t="shared" si="57"/>
        <v/>
      </c>
      <c r="I354" s="145">
        <v>0</v>
      </c>
      <c r="J354" s="619"/>
      <c r="K354" s="81">
        <f>IFERROR(VLOOKUP(B354,'x Malzemeler ve Özellikleri'!$O$1:$Q$181,3,0)*F354,0)</f>
        <v>0</v>
      </c>
    </row>
    <row r="355" spans="1:11" ht="19.5">
      <c r="A355" s="67">
        <f t="shared" si="58"/>
        <v>0</v>
      </c>
      <c r="B355" s="67">
        <f t="shared" si="59"/>
        <v>0</v>
      </c>
      <c r="C355" s="70" t="str">
        <f>IF(VLOOKUP(B355,'x Malzemeler ve Özellikleri'!$B$2:$M$136,12,0)="ALÜMİNYUM",'1PROJE'!$H$15,"")</f>
        <v/>
      </c>
      <c r="D355" s="67">
        <f t="shared" si="60"/>
        <v>0</v>
      </c>
      <c r="E355" s="69" t="e">
        <f>HLOOKUP(B355,xHesaplama!$AH$26:$FH$66,30,0)</f>
        <v>#N/A</v>
      </c>
      <c r="F355" s="76">
        <f t="shared" si="56"/>
        <v>0</v>
      </c>
      <c r="G355" s="70">
        <f t="shared" si="61"/>
        <v>0</v>
      </c>
      <c r="H355" s="69" t="str">
        <f t="shared" si="57"/>
        <v/>
      </c>
      <c r="I355" s="145">
        <v>0</v>
      </c>
      <c r="J355" s="619"/>
      <c r="K355" s="81">
        <f>IFERROR(VLOOKUP(B355,'x Malzemeler ve Özellikleri'!$O$1:$Q$181,3,0)*F355,0)</f>
        <v>0</v>
      </c>
    </row>
    <row r="356" spans="1:11" ht="19.5">
      <c r="A356" s="67">
        <f t="shared" si="58"/>
        <v>0</v>
      </c>
      <c r="B356" s="67">
        <f t="shared" si="59"/>
        <v>0</v>
      </c>
      <c r="C356" s="70" t="str">
        <f>IF(VLOOKUP(B356,'x Malzemeler ve Özellikleri'!$B$2:$M$136,12,0)="ALÜMİNYUM",'1PROJE'!$H$15,"")</f>
        <v/>
      </c>
      <c r="D356" s="67">
        <f t="shared" si="60"/>
        <v>0</v>
      </c>
      <c r="E356" s="69" t="e">
        <f>HLOOKUP(B356,xHesaplama!$AH$26:$FH$66,30,0)</f>
        <v>#N/A</v>
      </c>
      <c r="F356" s="76">
        <f t="shared" si="56"/>
        <v>0</v>
      </c>
      <c r="G356" s="70">
        <f t="shared" si="61"/>
        <v>0</v>
      </c>
      <c r="H356" s="69" t="str">
        <f t="shared" si="57"/>
        <v/>
      </c>
      <c r="I356" s="145">
        <v>0</v>
      </c>
      <c r="J356" s="619"/>
      <c r="K356" s="81">
        <f>IFERROR(VLOOKUP(B356,'x Malzemeler ve Özellikleri'!$O$1:$Q$181,3,0)*F356,0)</f>
        <v>0</v>
      </c>
    </row>
    <row r="357" spans="1:11" ht="19.5">
      <c r="A357" s="67">
        <f t="shared" si="58"/>
        <v>0</v>
      </c>
      <c r="B357" s="67">
        <f t="shared" si="59"/>
        <v>0</v>
      </c>
      <c r="C357" s="70" t="str">
        <f>IF(VLOOKUP(B357,'x Malzemeler ve Özellikleri'!$B$2:$M$136,12,0)="ALÜMİNYUM",'1PROJE'!$H$15,"")</f>
        <v/>
      </c>
      <c r="D357" s="67">
        <f t="shared" si="60"/>
        <v>0</v>
      </c>
      <c r="E357" s="69" t="e">
        <f>HLOOKUP(B357,xHesaplama!$AH$26:$FH$66,30,0)</f>
        <v>#N/A</v>
      </c>
      <c r="F357" s="76">
        <f t="shared" si="56"/>
        <v>0</v>
      </c>
      <c r="G357" s="70">
        <f t="shared" si="61"/>
        <v>0</v>
      </c>
      <c r="H357" s="69" t="str">
        <f t="shared" si="57"/>
        <v/>
      </c>
      <c r="I357" s="145">
        <v>0</v>
      </c>
      <c r="J357" s="619"/>
      <c r="K357" s="81">
        <f>IFERROR(VLOOKUP(B357,'x Malzemeler ve Özellikleri'!$O$1:$Q$181,3,0)*F357,0)</f>
        <v>0</v>
      </c>
    </row>
    <row r="358" spans="1:11" ht="19.5">
      <c r="A358" s="67">
        <f t="shared" si="58"/>
        <v>0</v>
      </c>
      <c r="B358" s="67">
        <f t="shared" si="59"/>
        <v>0</v>
      </c>
      <c r="C358" s="70" t="str">
        <f>IF(VLOOKUP(B358,'x Malzemeler ve Özellikleri'!$B$2:$M$136,12,0)="ALÜMİNYUM",'1PROJE'!$H$15,"")</f>
        <v/>
      </c>
      <c r="D358" s="67">
        <f t="shared" si="60"/>
        <v>0</v>
      </c>
      <c r="E358" s="69" t="e">
        <f>HLOOKUP(B358,xHesaplama!$AH$26:$FH$66,30,0)</f>
        <v>#N/A</v>
      </c>
      <c r="F358" s="76">
        <f t="shared" si="56"/>
        <v>0</v>
      </c>
      <c r="G358" s="70">
        <f t="shared" si="61"/>
        <v>0</v>
      </c>
      <c r="H358" s="69" t="str">
        <f t="shared" si="57"/>
        <v/>
      </c>
      <c r="I358" s="145">
        <v>0</v>
      </c>
      <c r="J358" s="619"/>
      <c r="K358" s="81">
        <f>IFERROR(VLOOKUP(B358,'x Malzemeler ve Özellikleri'!$O$1:$Q$181,3,0)*F358,0)</f>
        <v>0</v>
      </c>
    </row>
    <row r="359" spans="1:11" ht="19.5">
      <c r="A359" s="67">
        <f t="shared" si="58"/>
        <v>0</v>
      </c>
      <c r="B359" s="67">
        <f t="shared" si="59"/>
        <v>0</v>
      </c>
      <c r="C359" s="70" t="str">
        <f>IF(VLOOKUP(B359,'x Malzemeler ve Özellikleri'!$B$2:$M$136,12,0)="ALÜMİNYUM",'1PROJE'!$H$15,"")</f>
        <v/>
      </c>
      <c r="D359" s="67">
        <f t="shared" si="60"/>
        <v>0</v>
      </c>
      <c r="E359" s="69" t="e">
        <f>HLOOKUP(B359,xHesaplama!$AH$26:$FH$66,30,0)</f>
        <v>#N/A</v>
      </c>
      <c r="F359" s="76">
        <f t="shared" si="56"/>
        <v>0</v>
      </c>
      <c r="G359" s="70">
        <f t="shared" si="61"/>
        <v>0</v>
      </c>
      <c r="H359" s="69" t="str">
        <f t="shared" si="57"/>
        <v/>
      </c>
      <c r="I359" s="145">
        <v>0</v>
      </c>
      <c r="J359" s="619"/>
      <c r="K359" s="81">
        <f>IFERROR(VLOOKUP(B359,'x Malzemeler ve Özellikleri'!$O$1:$Q$181,3,0)*F359,0)</f>
        <v>0</v>
      </c>
    </row>
    <row r="360" spans="1:11" ht="19.5">
      <c r="A360" s="67">
        <f t="shared" si="58"/>
        <v>0</v>
      </c>
      <c r="B360" s="67">
        <f t="shared" si="59"/>
        <v>0</v>
      </c>
      <c r="C360" s="70" t="str">
        <f>IF(VLOOKUP(B360,'x Malzemeler ve Özellikleri'!$B$2:$M$136,12,0)="ALÜMİNYUM",'1PROJE'!$H$15,"")</f>
        <v/>
      </c>
      <c r="D360" s="67">
        <f t="shared" si="60"/>
        <v>0</v>
      </c>
      <c r="E360" s="69" t="e">
        <f>HLOOKUP(B360,xHesaplama!$AH$26:$FH$66,30,0)</f>
        <v>#N/A</v>
      </c>
      <c r="F360" s="76">
        <f t="shared" si="56"/>
        <v>0</v>
      </c>
      <c r="G360" s="70">
        <f t="shared" si="61"/>
        <v>0</v>
      </c>
      <c r="H360" s="69" t="str">
        <f t="shared" si="57"/>
        <v/>
      </c>
      <c r="I360" s="145">
        <v>0</v>
      </c>
      <c r="J360" s="619"/>
      <c r="K360" s="81">
        <f>IFERROR(VLOOKUP(B360,'x Malzemeler ve Özellikleri'!$O$1:$Q$181,3,0)*F360,0)</f>
        <v>0</v>
      </c>
    </row>
    <row r="361" spans="1:11" ht="19.5">
      <c r="A361" s="67">
        <f t="shared" si="58"/>
        <v>0</v>
      </c>
      <c r="B361" s="67">
        <f t="shared" si="59"/>
        <v>0</v>
      </c>
      <c r="C361" s="70" t="str">
        <f>IF(VLOOKUP(B361,'x Malzemeler ve Özellikleri'!$B$2:$M$136,12,0)="ALÜMİNYUM",'1PROJE'!$H$15,"")</f>
        <v/>
      </c>
      <c r="D361" s="67">
        <f t="shared" si="60"/>
        <v>0</v>
      </c>
      <c r="E361" s="69" t="e">
        <f>HLOOKUP(B361,xHesaplama!$AH$26:$FH$66,30,0)</f>
        <v>#N/A</v>
      </c>
      <c r="F361" s="76">
        <f t="shared" si="56"/>
        <v>0</v>
      </c>
      <c r="G361" s="70">
        <f t="shared" si="61"/>
        <v>0</v>
      </c>
      <c r="H361" s="69" t="str">
        <f t="shared" si="57"/>
        <v/>
      </c>
      <c r="I361" s="145">
        <v>0</v>
      </c>
      <c r="J361" s="619"/>
      <c r="K361" s="81">
        <f>IFERROR(VLOOKUP(B361,'x Malzemeler ve Özellikleri'!$O$1:$Q$181,3,0)*F361,0)</f>
        <v>0</v>
      </c>
    </row>
    <row r="362" spans="1:11" ht="19.5">
      <c r="A362" s="67">
        <f t="shared" si="58"/>
        <v>0</v>
      </c>
      <c r="B362" s="67">
        <f t="shared" si="59"/>
        <v>0</v>
      </c>
      <c r="C362" s="70" t="str">
        <f>IF(VLOOKUP(B362,'x Malzemeler ve Özellikleri'!$B$2:$M$136,12,0)="ALÜMİNYUM",'1PROJE'!$H$15,"")</f>
        <v/>
      </c>
      <c r="D362" s="67">
        <f t="shared" si="60"/>
        <v>0</v>
      </c>
      <c r="E362" s="69" t="e">
        <f>HLOOKUP(B362,xHesaplama!$AH$26:$FH$66,30,0)</f>
        <v>#N/A</v>
      </c>
      <c r="F362" s="76">
        <f t="shared" si="56"/>
        <v>0</v>
      </c>
      <c r="G362" s="70">
        <f t="shared" si="61"/>
        <v>0</v>
      </c>
      <c r="H362" s="69" t="str">
        <f t="shared" si="57"/>
        <v/>
      </c>
      <c r="I362" s="145">
        <v>0</v>
      </c>
      <c r="J362" s="619"/>
      <c r="K362" s="81">
        <f>IFERROR(VLOOKUP(B362,'x Malzemeler ve Özellikleri'!$O$1:$Q$181,3,0)*F362,0)</f>
        <v>0</v>
      </c>
    </row>
    <row r="363" spans="1:11" ht="19.5">
      <c r="A363" s="67">
        <f t="shared" si="58"/>
        <v>0</v>
      </c>
      <c r="B363" s="67">
        <f t="shared" si="59"/>
        <v>0</v>
      </c>
      <c r="C363" s="70" t="str">
        <f>IF(VLOOKUP(B363,'x Malzemeler ve Özellikleri'!$B$2:$M$136,12,0)="ALÜMİNYUM",'1PROJE'!$H$15,"")</f>
        <v/>
      </c>
      <c r="D363" s="67">
        <f t="shared" si="60"/>
        <v>0</v>
      </c>
      <c r="E363" s="69" t="e">
        <f>HLOOKUP(B363,xHesaplama!$AH$26:$FH$66,30,0)</f>
        <v>#N/A</v>
      </c>
      <c r="F363" s="76">
        <f t="shared" si="56"/>
        <v>0</v>
      </c>
      <c r="G363" s="70">
        <f t="shared" si="61"/>
        <v>0</v>
      </c>
      <c r="H363" s="69" t="str">
        <f t="shared" si="57"/>
        <v/>
      </c>
      <c r="I363" s="145">
        <v>0</v>
      </c>
      <c r="J363" s="619"/>
      <c r="K363" s="81">
        <f>IFERROR(VLOOKUP(B363,'x Malzemeler ve Özellikleri'!$O$1:$Q$181,3,0)*F363,0)</f>
        <v>0</v>
      </c>
    </row>
    <row r="364" spans="1:11" ht="19.5">
      <c r="A364" s="67">
        <f t="shared" si="58"/>
        <v>0</v>
      </c>
      <c r="B364" s="67">
        <f t="shared" si="59"/>
        <v>0</v>
      </c>
      <c r="C364" s="70" t="str">
        <f>IF(VLOOKUP(B364,'x Malzemeler ve Özellikleri'!$B$2:$M$136,12,0)="ALÜMİNYUM",'1PROJE'!$H$15,"")</f>
        <v/>
      </c>
      <c r="D364" s="67">
        <f t="shared" si="60"/>
        <v>0</v>
      </c>
      <c r="E364" s="69" t="e">
        <f>HLOOKUP(B364,xHesaplama!$AH$26:$FH$66,30,0)</f>
        <v>#N/A</v>
      </c>
      <c r="F364" s="76">
        <f t="shared" si="56"/>
        <v>0</v>
      </c>
      <c r="G364" s="70">
        <f t="shared" si="61"/>
        <v>0</v>
      </c>
      <c r="H364" s="69" t="str">
        <f t="shared" si="57"/>
        <v/>
      </c>
      <c r="I364" s="145">
        <v>0</v>
      </c>
      <c r="J364" s="619"/>
      <c r="K364" s="81">
        <f>IFERROR(VLOOKUP(B364,'x Malzemeler ve Özellikleri'!$O$1:$Q$181,3,0)*F364,0)</f>
        <v>0</v>
      </c>
    </row>
    <row r="365" spans="1:11" ht="19.5">
      <c r="A365" s="67">
        <f t="shared" si="58"/>
        <v>0</v>
      </c>
      <c r="B365" s="67">
        <f t="shared" si="59"/>
        <v>0</v>
      </c>
      <c r="C365" s="70" t="str">
        <f>IF(VLOOKUP(B365,'x Malzemeler ve Özellikleri'!$B$2:$M$136,12,0)="ALÜMİNYUM",'1PROJE'!$H$15,"")</f>
        <v/>
      </c>
      <c r="D365" s="67">
        <f t="shared" si="60"/>
        <v>0</v>
      </c>
      <c r="E365" s="69" t="e">
        <f>HLOOKUP(B365,xHesaplama!$AH$26:$FH$66,30,0)</f>
        <v>#N/A</v>
      </c>
      <c r="F365" s="76">
        <f t="shared" si="56"/>
        <v>0</v>
      </c>
      <c r="G365" s="70">
        <f t="shared" si="61"/>
        <v>0</v>
      </c>
      <c r="H365" s="69" t="str">
        <f t="shared" si="57"/>
        <v/>
      </c>
      <c r="I365" s="145">
        <v>0</v>
      </c>
      <c r="J365" s="619"/>
      <c r="K365" s="81">
        <f>IFERROR(VLOOKUP(B365,'x Malzemeler ve Özellikleri'!$O$1:$Q$181,3,0)*F365,0)</f>
        <v>0</v>
      </c>
    </row>
    <row r="366" spans="1:11" ht="19.5">
      <c r="A366" s="67">
        <f t="shared" si="58"/>
        <v>0</v>
      </c>
      <c r="B366" s="67">
        <f t="shared" si="59"/>
        <v>0</v>
      </c>
      <c r="C366" s="70" t="str">
        <f>IF(VLOOKUP(B366,'x Malzemeler ve Özellikleri'!$B$2:$M$136,12,0)="ALÜMİNYUM",'1PROJE'!$H$15,"")</f>
        <v/>
      </c>
      <c r="D366" s="67">
        <f t="shared" si="60"/>
        <v>0</v>
      </c>
      <c r="E366" s="69" t="e">
        <f>HLOOKUP(B366,xHesaplama!$AH$26:$FH$66,30,0)</f>
        <v>#N/A</v>
      </c>
      <c r="F366" s="76">
        <f t="shared" si="56"/>
        <v>0</v>
      </c>
      <c r="G366" s="70">
        <f t="shared" si="61"/>
        <v>0</v>
      </c>
      <c r="H366" s="69" t="str">
        <f t="shared" si="57"/>
        <v/>
      </c>
      <c r="I366" s="145">
        <v>0</v>
      </c>
      <c r="J366" s="619"/>
      <c r="K366" s="81">
        <f>IFERROR(VLOOKUP(B366,'x Malzemeler ve Özellikleri'!$O$1:$Q$181,3,0)*F366,0)</f>
        <v>0</v>
      </c>
    </row>
    <row r="367" spans="1:11" ht="19.5">
      <c r="A367" s="67">
        <f t="shared" si="58"/>
        <v>0</v>
      </c>
      <c r="B367" s="67">
        <f t="shared" si="59"/>
        <v>0</v>
      </c>
      <c r="C367" s="70" t="str">
        <f>IF(VLOOKUP(B367,'x Malzemeler ve Özellikleri'!$B$2:$M$136,12,0)="ALÜMİNYUM",'1PROJE'!$H$15,"")</f>
        <v/>
      </c>
      <c r="D367" s="67">
        <f t="shared" si="60"/>
        <v>0</v>
      </c>
      <c r="E367" s="69" t="e">
        <f>HLOOKUP(B367,xHesaplama!$AH$26:$FH$66,30,0)</f>
        <v>#N/A</v>
      </c>
      <c r="F367" s="76">
        <f t="shared" si="56"/>
        <v>0</v>
      </c>
      <c r="G367" s="70">
        <f t="shared" si="61"/>
        <v>0</v>
      </c>
      <c r="H367" s="69" t="str">
        <f t="shared" si="57"/>
        <v/>
      </c>
      <c r="I367" s="145">
        <v>0</v>
      </c>
      <c r="J367" s="619"/>
      <c r="K367" s="81">
        <f>IFERROR(VLOOKUP(B367,'x Malzemeler ve Özellikleri'!$O$1:$Q$181,3,0)*F367,0)</f>
        <v>0</v>
      </c>
    </row>
    <row r="368" spans="1:11" ht="19.5">
      <c r="A368" s="67">
        <f t="shared" si="58"/>
        <v>0</v>
      </c>
      <c r="B368" s="67">
        <f t="shared" si="59"/>
        <v>0</v>
      </c>
      <c r="C368" s="70" t="str">
        <f>IF(VLOOKUP(B368,'x Malzemeler ve Özellikleri'!$B$2:$M$136,12,0)="ALÜMİNYUM",'1PROJE'!$H$15,"")</f>
        <v/>
      </c>
      <c r="D368" s="67">
        <f t="shared" si="60"/>
        <v>0</v>
      </c>
      <c r="E368" s="69" t="e">
        <f>HLOOKUP(B368,xHesaplama!$AH$26:$FH$66,30,0)</f>
        <v>#N/A</v>
      </c>
      <c r="F368" s="76">
        <f t="shared" si="56"/>
        <v>0</v>
      </c>
      <c r="G368" s="70">
        <f t="shared" si="61"/>
        <v>0</v>
      </c>
      <c r="H368" s="69" t="str">
        <f t="shared" si="57"/>
        <v/>
      </c>
      <c r="I368" s="145">
        <v>0</v>
      </c>
      <c r="J368" s="619"/>
      <c r="K368" s="81">
        <f>IFERROR(VLOOKUP(B368,'x Malzemeler ve Özellikleri'!$O$1:$Q$181,3,0)*F368,0)</f>
        <v>0</v>
      </c>
    </row>
    <row r="369" spans="1:40" ht="20.25" thickBot="1">
      <c r="A369" s="67">
        <f t="shared" si="58"/>
        <v>0</v>
      </c>
      <c r="B369" s="67">
        <f t="shared" si="59"/>
        <v>0</v>
      </c>
      <c r="C369" s="70" t="str">
        <f>IF(VLOOKUP(B369,'x Malzemeler ve Özellikleri'!$B$2:$M$136,12,0)="ALÜMİNYUM",'1PROJE'!$H$15,"")</f>
        <v/>
      </c>
      <c r="D369" s="67">
        <f t="shared" si="60"/>
        <v>0</v>
      </c>
      <c r="E369" s="69" t="e">
        <f>HLOOKUP(B369,xHesaplama!$AH$26:$FH$66,30,0)</f>
        <v>#N/A</v>
      </c>
      <c r="F369" s="76">
        <f t="shared" si="56"/>
        <v>0</v>
      </c>
      <c r="G369" s="70">
        <f t="shared" si="61"/>
        <v>0</v>
      </c>
      <c r="H369" s="69" t="str">
        <f t="shared" si="57"/>
        <v/>
      </c>
      <c r="I369" s="145">
        <v>0</v>
      </c>
      <c r="J369" s="620"/>
      <c r="K369" s="81">
        <f>IFERROR(VLOOKUP(B369,'x Malzemeler ve Özellikleri'!$O$1:$Q$181,3,0)*F369,0)</f>
        <v>0</v>
      </c>
    </row>
    <row r="370" spans="1:40" ht="30" thickBot="1">
      <c r="A370" s="64" t="str">
        <f>"POZ"&amp;" "&amp;J371</f>
        <v>POZ 10</v>
      </c>
      <c r="C370" s="243">
        <f>xHesaplama!C36</f>
        <v>0</v>
      </c>
      <c r="D370" s="64" t="s">
        <v>357</v>
      </c>
      <c r="F370" s="74"/>
      <c r="G370" s="72" t="s">
        <v>786</v>
      </c>
      <c r="H370" s="65"/>
      <c r="I370" s="71">
        <f>SUM(H372:H410)</f>
        <v>0</v>
      </c>
      <c r="L370" t="str" cm="1">
        <f t="array" ref="L370:AJ370">_xlfn._xlws.FILTER(REÇETE!$D$11:$AB$142,REÇETE!$R$11:$R$142&lt;&gt;"","")</f>
        <v>EXCEL KODU</v>
      </c>
      <c r="M370" t="str">
        <v>PARÇA BİRİM</v>
      </c>
      <c r="N370" t="str">
        <v>PARÇA ADI</v>
      </c>
      <c r="O370" t="str">
        <v>MALZEME KODU</v>
      </c>
      <c r="P370" t="str">
        <v>BİRİM FİYAT</v>
      </c>
      <c r="Q370" t="str">
        <v>POZ 1</v>
      </c>
      <c r="R370" t="str">
        <v>POZ 2</v>
      </c>
      <c r="S370" t="str">
        <v>POZ 3</v>
      </c>
      <c r="T370" t="str">
        <v>POZ 4</v>
      </c>
      <c r="U370" t="str">
        <v>POZ 5</v>
      </c>
      <c r="V370" t="str">
        <v>POZ 6</v>
      </c>
      <c r="W370" t="str">
        <v>POZ 7</v>
      </c>
      <c r="X370" t="str">
        <v>POZ 8</v>
      </c>
      <c r="Y370" t="str">
        <v>POZ 9</v>
      </c>
      <c r="Z370" t="str">
        <v>POZ 10</v>
      </c>
      <c r="AA370" t="str">
        <v>POZ 11</v>
      </c>
      <c r="AB370" t="str">
        <v>POZ 12</v>
      </c>
      <c r="AC370" t="str">
        <v>POZ 13</v>
      </c>
      <c r="AD370" t="str">
        <v>POZ 14</v>
      </c>
      <c r="AE370" t="str">
        <v>POZ 15</v>
      </c>
      <c r="AF370" t="str">
        <v>POZ 16</v>
      </c>
      <c r="AG370" t="str">
        <v>POZ 17</v>
      </c>
      <c r="AH370" t="str">
        <v>POZ 18</v>
      </c>
      <c r="AI370" t="str">
        <v>POZ 19</v>
      </c>
      <c r="AJ370" t="str">
        <v>POZ 20</v>
      </c>
    </row>
    <row r="371" spans="1:40">
      <c r="A371" s="66" t="s">
        <v>782</v>
      </c>
      <c r="B371" s="66" t="s">
        <v>409</v>
      </c>
      <c r="C371" s="68"/>
      <c r="D371" s="66" t="s">
        <v>15</v>
      </c>
      <c r="E371" s="68" t="s">
        <v>808</v>
      </c>
      <c r="F371" s="75" t="s">
        <v>785</v>
      </c>
      <c r="G371" s="68" t="s">
        <v>650</v>
      </c>
      <c r="H371" s="68" t="s">
        <v>355</v>
      </c>
      <c r="J371" s="618">
        <v>10</v>
      </c>
      <c r="K371" s="221">
        <f>SUM(K372:K410)</f>
        <v>0</v>
      </c>
    </row>
    <row r="372" spans="1:40" ht="19.5">
      <c r="A372" s="67">
        <f>xHesaplama!H36</f>
        <v>0</v>
      </c>
      <c r="B372" s="67"/>
      <c r="C372" s="70">
        <f>xHesaplama!I36</f>
        <v>0</v>
      </c>
      <c r="D372" s="67">
        <f>xHesaplama!I36</f>
        <v>0</v>
      </c>
      <c r="E372" s="69" t="e">
        <f>xHesaplama!AC36</f>
        <v>#N/A</v>
      </c>
      <c r="F372" s="76">
        <f>xHesaplama!AD36*C370</f>
        <v>0</v>
      </c>
      <c r="G372" s="70" t="s">
        <v>817</v>
      </c>
      <c r="H372" s="69">
        <f t="shared" ref="H372:H373" si="62">IFERROR(E372*F372,0)</f>
        <v>0</v>
      </c>
      <c r="I372" s="145">
        <v>0</v>
      </c>
      <c r="J372" s="619"/>
      <c r="K372" s="81">
        <f>IFERROR(VLOOKUP(A372,'x Malzemeler ve Özellikleri'!$N$1:$Q$181,4,0)*F372,0)</f>
        <v>0</v>
      </c>
      <c r="AN372" s="84" cm="1">
        <f t="array" ref="AN372">_xlfn._xlws.FILTER(A372:I410,I372:I410,0)</f>
        <v>0</v>
      </c>
    </row>
    <row r="373" spans="1:40" ht="19.5">
      <c r="A373" s="67" t="s">
        <v>105</v>
      </c>
      <c r="B373" s="67"/>
      <c r="C373" s="70"/>
      <c r="D373" s="67">
        <f>xHesaplama!J36</f>
        <v>0</v>
      </c>
      <c r="E373" s="69" t="e">
        <f>xHesaplama!AB36</f>
        <v>#N/A</v>
      </c>
      <c r="F373" s="76">
        <f>C370</f>
        <v>0</v>
      </c>
      <c r="G373" s="70" t="s">
        <v>357</v>
      </c>
      <c r="H373" s="69">
        <f t="shared" si="62"/>
        <v>0</v>
      </c>
      <c r="I373" s="145">
        <v>0</v>
      </c>
      <c r="J373" s="619"/>
      <c r="K373" s="81">
        <f>IFERROR(VLOOKUP(D373,'x Malzemeler ve Özellikleri'!$N$1:$Q$181,4,0)*F373,0)</f>
        <v>0</v>
      </c>
    </row>
    <row r="374" spans="1:40" ht="19.5">
      <c r="A374" s="67">
        <f>N371</f>
        <v>0</v>
      </c>
      <c r="B374" s="67">
        <f>L371</f>
        <v>0</v>
      </c>
      <c r="C374" s="70" t="str">
        <f>IF(VLOOKUP(B374,'x Malzemeler ve Özellikleri'!$B$2:$M$136,12,0)="ALÜMİNYUM",'1PROJE'!$H$16,"")</f>
        <v/>
      </c>
      <c r="D374" s="67">
        <f>O371</f>
        <v>0</v>
      </c>
      <c r="E374" s="69" t="e">
        <f>HLOOKUP(B374,xHesaplama!$AH$26:$FH$66,31,0)</f>
        <v>#N/A</v>
      </c>
      <c r="F374" s="76">
        <f t="shared" ref="F374:F410" si="63">Z371*$C$370</f>
        <v>0</v>
      </c>
      <c r="G374" s="70">
        <f>M371</f>
        <v>0</v>
      </c>
      <c r="H374" s="69" t="str">
        <f t="shared" ref="H374:H410" si="64">IFERROR(E374*$C$370,"")</f>
        <v/>
      </c>
      <c r="I374" s="145">
        <v>0</v>
      </c>
      <c r="J374" s="619"/>
      <c r="K374" s="81">
        <f>IFERROR(VLOOKUP(B374,'x Malzemeler ve Özellikleri'!$O$1:$Q$181,3,0)*F374,0)</f>
        <v>0</v>
      </c>
    </row>
    <row r="375" spans="1:40" ht="19.5">
      <c r="A375" s="67">
        <f t="shared" ref="A375:A410" si="65">N372</f>
        <v>0</v>
      </c>
      <c r="B375" s="67">
        <f t="shared" ref="B375:B410" si="66">L372</f>
        <v>0</v>
      </c>
      <c r="C375" s="70" t="str">
        <f>IF(VLOOKUP(B375,'x Malzemeler ve Özellikleri'!$B$2:$M$136,12,0)="ALÜMİNYUM",'1PROJE'!$H$16,"")</f>
        <v/>
      </c>
      <c r="D375" s="67">
        <f t="shared" ref="D375:D410" si="67">O372</f>
        <v>0</v>
      </c>
      <c r="E375" s="69" t="e">
        <f>HLOOKUP(B375,xHesaplama!$AH$26:$FH$66,31,0)</f>
        <v>#N/A</v>
      </c>
      <c r="F375" s="76">
        <f t="shared" si="63"/>
        <v>0</v>
      </c>
      <c r="G375" s="70">
        <f t="shared" ref="G375:G410" si="68">M372</f>
        <v>0</v>
      </c>
      <c r="H375" s="69" t="str">
        <f t="shared" si="64"/>
        <v/>
      </c>
      <c r="I375" s="145">
        <v>0</v>
      </c>
      <c r="J375" s="619"/>
      <c r="K375" s="81">
        <f>IFERROR(VLOOKUP(B375,'x Malzemeler ve Özellikleri'!$O$1:$Q$181,3,0)*F375,0)</f>
        <v>0</v>
      </c>
    </row>
    <row r="376" spans="1:40" ht="19.5">
      <c r="A376" s="67">
        <f t="shared" si="65"/>
        <v>0</v>
      </c>
      <c r="B376" s="67">
        <f t="shared" si="66"/>
        <v>0</v>
      </c>
      <c r="C376" s="70" t="str">
        <f>IF(VLOOKUP(B376,'x Malzemeler ve Özellikleri'!$B$2:$M$136,12,0)="ALÜMİNYUM",'1PROJE'!$H$16,"")</f>
        <v/>
      </c>
      <c r="D376" s="67">
        <f t="shared" si="67"/>
        <v>0</v>
      </c>
      <c r="E376" s="69" t="e">
        <f>HLOOKUP(B376,xHesaplama!$AH$26:$FH$66,31,0)</f>
        <v>#N/A</v>
      </c>
      <c r="F376" s="76">
        <f t="shared" si="63"/>
        <v>0</v>
      </c>
      <c r="G376" s="70">
        <f t="shared" si="68"/>
        <v>0</v>
      </c>
      <c r="H376" s="69" t="str">
        <f t="shared" si="64"/>
        <v/>
      </c>
      <c r="I376" s="145">
        <v>0</v>
      </c>
      <c r="J376" s="619"/>
      <c r="K376" s="81">
        <f>IFERROR(VLOOKUP(B376,'x Malzemeler ve Özellikleri'!$O$1:$Q$181,3,0)*F376,0)</f>
        <v>0</v>
      </c>
    </row>
    <row r="377" spans="1:40" ht="19.5">
      <c r="A377" s="67">
        <f t="shared" si="65"/>
        <v>0</v>
      </c>
      <c r="B377" s="67">
        <f t="shared" si="66"/>
        <v>0</v>
      </c>
      <c r="C377" s="70" t="str">
        <f>IF(VLOOKUP(B377,'x Malzemeler ve Özellikleri'!$B$2:$M$136,12,0)="ALÜMİNYUM",'1PROJE'!$H$16,"")</f>
        <v/>
      </c>
      <c r="D377" s="67">
        <f t="shared" si="67"/>
        <v>0</v>
      </c>
      <c r="E377" s="69" t="e">
        <f>HLOOKUP(B377,xHesaplama!$AH$26:$FH$66,31,0)</f>
        <v>#N/A</v>
      </c>
      <c r="F377" s="76">
        <f t="shared" si="63"/>
        <v>0</v>
      </c>
      <c r="G377" s="70">
        <f t="shared" si="68"/>
        <v>0</v>
      </c>
      <c r="H377" s="69" t="str">
        <f t="shared" si="64"/>
        <v/>
      </c>
      <c r="I377" s="145">
        <v>0</v>
      </c>
      <c r="J377" s="619"/>
      <c r="K377" s="81">
        <f>IFERROR(VLOOKUP(B377,'x Malzemeler ve Özellikleri'!$O$1:$Q$181,3,0)*F377,0)</f>
        <v>0</v>
      </c>
    </row>
    <row r="378" spans="1:40" ht="19.5">
      <c r="A378" s="67">
        <f t="shared" si="65"/>
        <v>0</v>
      </c>
      <c r="B378" s="67">
        <f t="shared" si="66"/>
        <v>0</v>
      </c>
      <c r="C378" s="70" t="str">
        <f>IF(VLOOKUP(B378,'x Malzemeler ve Özellikleri'!$B$2:$M$136,12,0)="ALÜMİNYUM",'1PROJE'!$H$16,"")</f>
        <v/>
      </c>
      <c r="D378" s="67">
        <f t="shared" si="67"/>
        <v>0</v>
      </c>
      <c r="E378" s="69" t="e">
        <f>HLOOKUP(B378,xHesaplama!$AH$26:$FH$66,31,0)</f>
        <v>#N/A</v>
      </c>
      <c r="F378" s="76">
        <f t="shared" si="63"/>
        <v>0</v>
      </c>
      <c r="G378" s="70">
        <f t="shared" si="68"/>
        <v>0</v>
      </c>
      <c r="H378" s="69" t="str">
        <f t="shared" si="64"/>
        <v/>
      </c>
      <c r="I378" s="145">
        <v>0</v>
      </c>
      <c r="J378" s="619"/>
      <c r="K378" s="81">
        <f>IFERROR(VLOOKUP(B378,'x Malzemeler ve Özellikleri'!$O$1:$Q$181,3,0)*F378,0)</f>
        <v>0</v>
      </c>
    </row>
    <row r="379" spans="1:40" ht="19.5">
      <c r="A379" s="67">
        <f t="shared" si="65"/>
        <v>0</v>
      </c>
      <c r="B379" s="67">
        <f t="shared" si="66"/>
        <v>0</v>
      </c>
      <c r="C379" s="70" t="str">
        <f>IF(VLOOKUP(B379,'x Malzemeler ve Özellikleri'!$B$2:$M$136,12,0)="ALÜMİNYUM",'1PROJE'!$H$16,"")</f>
        <v/>
      </c>
      <c r="D379" s="67">
        <f t="shared" si="67"/>
        <v>0</v>
      </c>
      <c r="E379" s="69" t="e">
        <f>HLOOKUP(B379,xHesaplama!$AH$26:$FH$66,31,0)</f>
        <v>#N/A</v>
      </c>
      <c r="F379" s="76">
        <f t="shared" si="63"/>
        <v>0</v>
      </c>
      <c r="G379" s="70">
        <f t="shared" si="68"/>
        <v>0</v>
      </c>
      <c r="H379" s="69" t="str">
        <f t="shared" si="64"/>
        <v/>
      </c>
      <c r="I379" s="145">
        <v>0</v>
      </c>
      <c r="J379" s="619"/>
      <c r="K379" s="81">
        <f>IFERROR(VLOOKUP(B379,'x Malzemeler ve Özellikleri'!$O$1:$Q$181,3,0)*F379,0)</f>
        <v>0</v>
      </c>
    </row>
    <row r="380" spans="1:40" ht="19.5">
      <c r="A380" s="67">
        <f t="shared" si="65"/>
        <v>0</v>
      </c>
      <c r="B380" s="67">
        <f t="shared" si="66"/>
        <v>0</v>
      </c>
      <c r="C380" s="70" t="str">
        <f>IF(VLOOKUP(B380,'x Malzemeler ve Özellikleri'!$B$2:$M$136,12,0)="ALÜMİNYUM",'1PROJE'!$H$16,"")</f>
        <v/>
      </c>
      <c r="D380" s="67">
        <f t="shared" si="67"/>
        <v>0</v>
      </c>
      <c r="E380" s="69" t="e">
        <f>HLOOKUP(B380,xHesaplama!$AH$26:$FH$66,31,0)</f>
        <v>#N/A</v>
      </c>
      <c r="F380" s="76">
        <f t="shared" si="63"/>
        <v>0</v>
      </c>
      <c r="G380" s="70">
        <f t="shared" si="68"/>
        <v>0</v>
      </c>
      <c r="H380" s="69" t="str">
        <f t="shared" si="64"/>
        <v/>
      </c>
      <c r="I380" s="145">
        <v>0</v>
      </c>
      <c r="J380" s="619"/>
      <c r="K380" s="81">
        <f>IFERROR(VLOOKUP(B380,'x Malzemeler ve Özellikleri'!$O$1:$Q$181,3,0)*F380,0)</f>
        <v>0</v>
      </c>
    </row>
    <row r="381" spans="1:40" ht="19.5">
      <c r="A381" s="67">
        <f t="shared" si="65"/>
        <v>0</v>
      </c>
      <c r="B381" s="67">
        <f t="shared" si="66"/>
        <v>0</v>
      </c>
      <c r="C381" s="70" t="str">
        <f>IF(VLOOKUP(B381,'x Malzemeler ve Özellikleri'!$B$2:$M$136,12,0)="ALÜMİNYUM",'1PROJE'!$H$16,"")</f>
        <v/>
      </c>
      <c r="D381" s="67">
        <f t="shared" si="67"/>
        <v>0</v>
      </c>
      <c r="E381" s="69" t="e">
        <f>HLOOKUP(B381,xHesaplama!$AH$26:$FH$66,31,0)</f>
        <v>#N/A</v>
      </c>
      <c r="F381" s="76">
        <f t="shared" si="63"/>
        <v>0</v>
      </c>
      <c r="G381" s="70">
        <f t="shared" si="68"/>
        <v>0</v>
      </c>
      <c r="H381" s="69" t="str">
        <f t="shared" si="64"/>
        <v/>
      </c>
      <c r="I381" s="145">
        <v>0</v>
      </c>
      <c r="J381" s="619"/>
      <c r="K381" s="81">
        <f>IFERROR(VLOOKUP(B381,'x Malzemeler ve Özellikleri'!$O$1:$Q$181,3,0)*F381,0)</f>
        <v>0</v>
      </c>
    </row>
    <row r="382" spans="1:40" ht="19.5">
      <c r="A382" s="67">
        <f t="shared" si="65"/>
        <v>0</v>
      </c>
      <c r="B382" s="67">
        <f t="shared" si="66"/>
        <v>0</v>
      </c>
      <c r="C382" s="70" t="str">
        <f>IF(VLOOKUP(B382,'x Malzemeler ve Özellikleri'!$B$2:$M$136,12,0)="ALÜMİNYUM",'1PROJE'!$H$16,"")</f>
        <v/>
      </c>
      <c r="D382" s="67">
        <f t="shared" si="67"/>
        <v>0</v>
      </c>
      <c r="E382" s="69" t="e">
        <f>HLOOKUP(B382,xHesaplama!$AH$26:$FH$66,31,0)</f>
        <v>#N/A</v>
      </c>
      <c r="F382" s="76">
        <f t="shared" si="63"/>
        <v>0</v>
      </c>
      <c r="G382" s="70">
        <f t="shared" si="68"/>
        <v>0</v>
      </c>
      <c r="H382" s="69" t="str">
        <f t="shared" si="64"/>
        <v/>
      </c>
      <c r="I382" s="145">
        <v>0</v>
      </c>
      <c r="J382" s="619"/>
      <c r="K382" s="81">
        <f>IFERROR(VLOOKUP(B382,'x Malzemeler ve Özellikleri'!$O$1:$Q$181,3,0)*F382,0)</f>
        <v>0</v>
      </c>
    </row>
    <row r="383" spans="1:40" ht="19.5">
      <c r="A383" s="67">
        <f t="shared" si="65"/>
        <v>0</v>
      </c>
      <c r="B383" s="67">
        <f t="shared" si="66"/>
        <v>0</v>
      </c>
      <c r="C383" s="70" t="str">
        <f>IF(VLOOKUP(B383,'x Malzemeler ve Özellikleri'!$B$2:$M$136,12,0)="ALÜMİNYUM",'1PROJE'!$H$16,"")</f>
        <v/>
      </c>
      <c r="D383" s="67">
        <f t="shared" si="67"/>
        <v>0</v>
      </c>
      <c r="E383" s="69" t="e">
        <f>HLOOKUP(B383,xHesaplama!$AH$26:$FH$66,31,0)</f>
        <v>#N/A</v>
      </c>
      <c r="F383" s="76">
        <f t="shared" si="63"/>
        <v>0</v>
      </c>
      <c r="G383" s="70">
        <f t="shared" si="68"/>
        <v>0</v>
      </c>
      <c r="H383" s="69" t="str">
        <f t="shared" si="64"/>
        <v/>
      </c>
      <c r="I383" s="145">
        <v>0</v>
      </c>
      <c r="J383" s="619"/>
      <c r="K383" s="81">
        <f>IFERROR(VLOOKUP(B383,'x Malzemeler ve Özellikleri'!$O$1:$Q$181,3,0)*F383,0)</f>
        <v>0</v>
      </c>
    </row>
    <row r="384" spans="1:40" ht="19.5">
      <c r="A384" s="67">
        <f t="shared" si="65"/>
        <v>0</v>
      </c>
      <c r="B384" s="67">
        <f t="shared" si="66"/>
        <v>0</v>
      </c>
      <c r="C384" s="70" t="str">
        <f>IF(VLOOKUP(B384,'x Malzemeler ve Özellikleri'!$B$2:$M$136,12,0)="ALÜMİNYUM",'1PROJE'!$H$16,"")</f>
        <v/>
      </c>
      <c r="D384" s="67">
        <f t="shared" si="67"/>
        <v>0</v>
      </c>
      <c r="E384" s="69" t="e">
        <f>HLOOKUP(B384,xHesaplama!$AH$26:$FH$66,31,0)</f>
        <v>#N/A</v>
      </c>
      <c r="F384" s="76">
        <f t="shared" si="63"/>
        <v>0</v>
      </c>
      <c r="G384" s="70">
        <f t="shared" si="68"/>
        <v>0</v>
      </c>
      <c r="H384" s="69" t="str">
        <f t="shared" si="64"/>
        <v/>
      </c>
      <c r="I384" s="145">
        <v>0</v>
      </c>
      <c r="J384" s="619"/>
      <c r="K384" s="81">
        <f>IFERROR(VLOOKUP(B384,'x Malzemeler ve Özellikleri'!$O$1:$Q$181,3,0)*F384,0)</f>
        <v>0</v>
      </c>
    </row>
    <row r="385" spans="1:11" ht="19.5">
      <c r="A385" s="67">
        <f t="shared" si="65"/>
        <v>0</v>
      </c>
      <c r="B385" s="67">
        <f t="shared" si="66"/>
        <v>0</v>
      </c>
      <c r="C385" s="70" t="str">
        <f>IF(VLOOKUP(B385,'x Malzemeler ve Özellikleri'!$B$2:$M$136,12,0)="ALÜMİNYUM",'1PROJE'!$H$16,"")</f>
        <v/>
      </c>
      <c r="D385" s="67">
        <f t="shared" si="67"/>
        <v>0</v>
      </c>
      <c r="E385" s="69" t="e">
        <f>HLOOKUP(B385,xHesaplama!$AH$26:$FH$66,31,0)</f>
        <v>#N/A</v>
      </c>
      <c r="F385" s="76">
        <f t="shared" si="63"/>
        <v>0</v>
      </c>
      <c r="G385" s="70">
        <f t="shared" si="68"/>
        <v>0</v>
      </c>
      <c r="H385" s="69" t="str">
        <f t="shared" si="64"/>
        <v/>
      </c>
      <c r="I385" s="145">
        <v>0</v>
      </c>
      <c r="J385" s="619"/>
      <c r="K385" s="81">
        <f>IFERROR(VLOOKUP(B385,'x Malzemeler ve Özellikleri'!$O$1:$Q$181,3,0)*F385,0)</f>
        <v>0</v>
      </c>
    </row>
    <row r="386" spans="1:11" ht="19.5">
      <c r="A386" s="67">
        <f t="shared" si="65"/>
        <v>0</v>
      </c>
      <c r="B386" s="67">
        <f t="shared" si="66"/>
        <v>0</v>
      </c>
      <c r="C386" s="70" t="str">
        <f>IF(VLOOKUP(B386,'x Malzemeler ve Özellikleri'!$B$2:$M$136,12,0)="ALÜMİNYUM",'1PROJE'!$H$16,"")</f>
        <v/>
      </c>
      <c r="D386" s="67">
        <f t="shared" si="67"/>
        <v>0</v>
      </c>
      <c r="E386" s="69" t="e">
        <f>HLOOKUP(B386,xHesaplama!$AH$26:$FH$66,31,0)</f>
        <v>#N/A</v>
      </c>
      <c r="F386" s="76">
        <f t="shared" si="63"/>
        <v>0</v>
      </c>
      <c r="G386" s="70">
        <f t="shared" si="68"/>
        <v>0</v>
      </c>
      <c r="H386" s="69" t="str">
        <f t="shared" si="64"/>
        <v/>
      </c>
      <c r="I386" s="145">
        <v>0</v>
      </c>
      <c r="J386" s="619"/>
      <c r="K386" s="81">
        <f>IFERROR(VLOOKUP(B386,'x Malzemeler ve Özellikleri'!$O$1:$Q$181,3,0)*F386,0)</f>
        <v>0</v>
      </c>
    </row>
    <row r="387" spans="1:11" ht="19.5">
      <c r="A387" s="67">
        <f t="shared" si="65"/>
        <v>0</v>
      </c>
      <c r="B387" s="67">
        <f t="shared" si="66"/>
        <v>0</v>
      </c>
      <c r="C387" s="70" t="str">
        <f>IF(VLOOKUP(B387,'x Malzemeler ve Özellikleri'!$B$2:$M$136,12,0)="ALÜMİNYUM",'1PROJE'!$H$16,"")</f>
        <v/>
      </c>
      <c r="D387" s="67">
        <f t="shared" si="67"/>
        <v>0</v>
      </c>
      <c r="E387" s="69" t="e">
        <f>HLOOKUP(B387,xHesaplama!$AH$26:$FH$66,31,0)</f>
        <v>#N/A</v>
      </c>
      <c r="F387" s="76">
        <f t="shared" si="63"/>
        <v>0</v>
      </c>
      <c r="G387" s="70">
        <f t="shared" si="68"/>
        <v>0</v>
      </c>
      <c r="H387" s="69" t="str">
        <f t="shared" si="64"/>
        <v/>
      </c>
      <c r="I387" s="145">
        <v>0</v>
      </c>
      <c r="J387" s="619"/>
      <c r="K387" s="81">
        <f>IFERROR(VLOOKUP(B387,'x Malzemeler ve Özellikleri'!$O$1:$Q$181,3,0)*F387,0)</f>
        <v>0</v>
      </c>
    </row>
    <row r="388" spans="1:11" ht="19.5">
      <c r="A388" s="67">
        <f t="shared" si="65"/>
        <v>0</v>
      </c>
      <c r="B388" s="67">
        <f t="shared" si="66"/>
        <v>0</v>
      </c>
      <c r="C388" s="70" t="str">
        <f>IF(VLOOKUP(B388,'x Malzemeler ve Özellikleri'!$B$2:$M$136,12,0)="ALÜMİNYUM",'1PROJE'!$H$16,"")</f>
        <v/>
      </c>
      <c r="D388" s="67">
        <f t="shared" si="67"/>
        <v>0</v>
      </c>
      <c r="E388" s="69" t="e">
        <f>HLOOKUP(B388,xHesaplama!$AH$26:$FH$66,31,0)</f>
        <v>#N/A</v>
      </c>
      <c r="F388" s="76">
        <f t="shared" si="63"/>
        <v>0</v>
      </c>
      <c r="G388" s="70">
        <f t="shared" si="68"/>
        <v>0</v>
      </c>
      <c r="H388" s="69" t="str">
        <f t="shared" si="64"/>
        <v/>
      </c>
      <c r="I388" s="145">
        <v>0</v>
      </c>
      <c r="J388" s="619"/>
      <c r="K388" s="81">
        <f>IFERROR(VLOOKUP(B388,'x Malzemeler ve Özellikleri'!$O$1:$Q$181,3,0)*F388,0)</f>
        <v>0</v>
      </c>
    </row>
    <row r="389" spans="1:11" ht="19.5">
      <c r="A389" s="67">
        <f t="shared" si="65"/>
        <v>0</v>
      </c>
      <c r="B389" s="67">
        <f t="shared" si="66"/>
        <v>0</v>
      </c>
      <c r="C389" s="70" t="str">
        <f>IF(VLOOKUP(B389,'x Malzemeler ve Özellikleri'!$B$2:$M$136,12,0)="ALÜMİNYUM",'1PROJE'!$H$16,"")</f>
        <v/>
      </c>
      <c r="D389" s="67">
        <f t="shared" si="67"/>
        <v>0</v>
      </c>
      <c r="E389" s="69" t="e">
        <f>HLOOKUP(B389,xHesaplama!$AH$26:$FH$66,31,0)</f>
        <v>#N/A</v>
      </c>
      <c r="F389" s="76">
        <f t="shared" si="63"/>
        <v>0</v>
      </c>
      <c r="G389" s="70">
        <f t="shared" si="68"/>
        <v>0</v>
      </c>
      <c r="H389" s="69" t="str">
        <f t="shared" si="64"/>
        <v/>
      </c>
      <c r="I389" s="145">
        <v>0</v>
      </c>
      <c r="J389" s="619"/>
      <c r="K389" s="81">
        <f>IFERROR(VLOOKUP(B389,'x Malzemeler ve Özellikleri'!$O$1:$Q$181,3,0)*F389,0)</f>
        <v>0</v>
      </c>
    </row>
    <row r="390" spans="1:11" ht="19.5">
      <c r="A390" s="67">
        <f t="shared" si="65"/>
        <v>0</v>
      </c>
      <c r="B390" s="67">
        <f t="shared" si="66"/>
        <v>0</v>
      </c>
      <c r="C390" s="70" t="str">
        <f>IF(VLOOKUP(B390,'x Malzemeler ve Özellikleri'!$B$2:$M$136,12,0)="ALÜMİNYUM",'1PROJE'!$H$16,"")</f>
        <v/>
      </c>
      <c r="D390" s="67">
        <f t="shared" si="67"/>
        <v>0</v>
      </c>
      <c r="E390" s="69" t="e">
        <f>HLOOKUP(B390,xHesaplama!$AH$26:$FH$66,31,0)</f>
        <v>#N/A</v>
      </c>
      <c r="F390" s="76">
        <f t="shared" si="63"/>
        <v>0</v>
      </c>
      <c r="G390" s="70">
        <f t="shared" si="68"/>
        <v>0</v>
      </c>
      <c r="H390" s="69" t="str">
        <f t="shared" si="64"/>
        <v/>
      </c>
      <c r="I390" s="145">
        <v>0</v>
      </c>
      <c r="J390" s="619"/>
      <c r="K390" s="81">
        <f>IFERROR(VLOOKUP(B390,'x Malzemeler ve Özellikleri'!$O$1:$Q$181,3,0)*F390,0)</f>
        <v>0</v>
      </c>
    </row>
    <row r="391" spans="1:11" ht="19.5">
      <c r="A391" s="67">
        <f t="shared" si="65"/>
        <v>0</v>
      </c>
      <c r="B391" s="67">
        <f t="shared" si="66"/>
        <v>0</v>
      </c>
      <c r="C391" s="70" t="str">
        <f>IF(VLOOKUP(B391,'x Malzemeler ve Özellikleri'!$B$2:$M$136,12,0)="ALÜMİNYUM",'1PROJE'!$H$16,"")</f>
        <v/>
      </c>
      <c r="D391" s="67">
        <f t="shared" si="67"/>
        <v>0</v>
      </c>
      <c r="E391" s="69" t="e">
        <f>HLOOKUP(B391,xHesaplama!$AH$26:$FH$66,31,0)</f>
        <v>#N/A</v>
      </c>
      <c r="F391" s="76">
        <f t="shared" si="63"/>
        <v>0</v>
      </c>
      <c r="G391" s="70">
        <f t="shared" si="68"/>
        <v>0</v>
      </c>
      <c r="H391" s="69" t="str">
        <f t="shared" si="64"/>
        <v/>
      </c>
      <c r="I391" s="145">
        <v>0</v>
      </c>
      <c r="J391" s="619"/>
      <c r="K391" s="81">
        <f>IFERROR(VLOOKUP(B391,'x Malzemeler ve Özellikleri'!$O$1:$Q$181,3,0)*F391,0)</f>
        <v>0</v>
      </c>
    </row>
    <row r="392" spans="1:11" ht="19.5">
      <c r="A392" s="67">
        <f t="shared" si="65"/>
        <v>0</v>
      </c>
      <c r="B392" s="67">
        <f t="shared" si="66"/>
        <v>0</v>
      </c>
      <c r="C392" s="70" t="str">
        <f>IF(VLOOKUP(B392,'x Malzemeler ve Özellikleri'!$B$2:$M$136,12,0)="ALÜMİNYUM",'1PROJE'!$H$16,"")</f>
        <v/>
      </c>
      <c r="D392" s="67">
        <f t="shared" si="67"/>
        <v>0</v>
      </c>
      <c r="E392" s="69" t="e">
        <f>HLOOKUP(B392,xHesaplama!$AH$26:$FH$66,31,0)</f>
        <v>#N/A</v>
      </c>
      <c r="F392" s="76">
        <f t="shared" si="63"/>
        <v>0</v>
      </c>
      <c r="G392" s="70">
        <f t="shared" si="68"/>
        <v>0</v>
      </c>
      <c r="H392" s="69" t="str">
        <f t="shared" si="64"/>
        <v/>
      </c>
      <c r="I392" s="145">
        <v>0</v>
      </c>
      <c r="J392" s="619"/>
      <c r="K392" s="81">
        <f>IFERROR(VLOOKUP(B392,'x Malzemeler ve Özellikleri'!$O$1:$Q$181,3,0)*F392,0)</f>
        <v>0</v>
      </c>
    </row>
    <row r="393" spans="1:11" ht="19.5">
      <c r="A393" s="67">
        <f t="shared" si="65"/>
        <v>0</v>
      </c>
      <c r="B393" s="67">
        <f t="shared" si="66"/>
        <v>0</v>
      </c>
      <c r="C393" s="70" t="str">
        <f>IF(VLOOKUP(B393,'x Malzemeler ve Özellikleri'!$B$2:$M$136,12,0)="ALÜMİNYUM",'1PROJE'!$H$16,"")</f>
        <v/>
      </c>
      <c r="D393" s="67">
        <f t="shared" si="67"/>
        <v>0</v>
      </c>
      <c r="E393" s="69" t="e">
        <f>HLOOKUP(B393,xHesaplama!$AH$26:$FH$66,31,0)</f>
        <v>#N/A</v>
      </c>
      <c r="F393" s="76">
        <f t="shared" si="63"/>
        <v>0</v>
      </c>
      <c r="G393" s="70">
        <f t="shared" si="68"/>
        <v>0</v>
      </c>
      <c r="H393" s="69" t="str">
        <f t="shared" si="64"/>
        <v/>
      </c>
      <c r="I393" s="145">
        <v>0</v>
      </c>
      <c r="J393" s="619"/>
      <c r="K393" s="81">
        <f>IFERROR(VLOOKUP(B393,'x Malzemeler ve Özellikleri'!$O$1:$Q$181,3,0)*F393,0)</f>
        <v>0</v>
      </c>
    </row>
    <row r="394" spans="1:11" ht="19.5">
      <c r="A394" s="67">
        <f t="shared" si="65"/>
        <v>0</v>
      </c>
      <c r="B394" s="67">
        <f t="shared" si="66"/>
        <v>0</v>
      </c>
      <c r="C394" s="70" t="str">
        <f>IF(VLOOKUP(B394,'x Malzemeler ve Özellikleri'!$B$2:$M$136,12,0)="ALÜMİNYUM",'1PROJE'!$H$16,"")</f>
        <v/>
      </c>
      <c r="D394" s="67">
        <f t="shared" si="67"/>
        <v>0</v>
      </c>
      <c r="E394" s="69" t="e">
        <f>HLOOKUP(B394,xHesaplama!$AH$26:$FH$66,31,0)</f>
        <v>#N/A</v>
      </c>
      <c r="F394" s="76">
        <f t="shared" si="63"/>
        <v>0</v>
      </c>
      <c r="G394" s="70">
        <f t="shared" si="68"/>
        <v>0</v>
      </c>
      <c r="H394" s="69" t="str">
        <f t="shared" si="64"/>
        <v/>
      </c>
      <c r="I394" s="145">
        <v>0</v>
      </c>
      <c r="J394" s="619"/>
      <c r="K394" s="81">
        <f>IFERROR(VLOOKUP(B394,'x Malzemeler ve Özellikleri'!$O$1:$Q$181,3,0)*F394,0)</f>
        <v>0</v>
      </c>
    </row>
    <row r="395" spans="1:11" ht="19.5">
      <c r="A395" s="67">
        <f t="shared" si="65"/>
        <v>0</v>
      </c>
      <c r="B395" s="67">
        <f t="shared" si="66"/>
        <v>0</v>
      </c>
      <c r="C395" s="70" t="str">
        <f>IF(VLOOKUP(B395,'x Malzemeler ve Özellikleri'!$B$2:$M$136,12,0)="ALÜMİNYUM",'1PROJE'!$H$16,"")</f>
        <v/>
      </c>
      <c r="D395" s="67">
        <f t="shared" si="67"/>
        <v>0</v>
      </c>
      <c r="E395" s="69" t="e">
        <f>HLOOKUP(B395,xHesaplama!$AH$26:$FH$66,31,0)</f>
        <v>#N/A</v>
      </c>
      <c r="F395" s="76">
        <f t="shared" si="63"/>
        <v>0</v>
      </c>
      <c r="G395" s="70">
        <f t="shared" si="68"/>
        <v>0</v>
      </c>
      <c r="H395" s="69" t="str">
        <f t="shared" si="64"/>
        <v/>
      </c>
      <c r="I395" s="145">
        <v>0</v>
      </c>
      <c r="J395" s="619"/>
      <c r="K395" s="81">
        <f>IFERROR(VLOOKUP(B395,'x Malzemeler ve Özellikleri'!$O$1:$Q$181,3,0)*F395,0)</f>
        <v>0</v>
      </c>
    </row>
    <row r="396" spans="1:11" ht="19.5">
      <c r="A396" s="67">
        <f t="shared" si="65"/>
        <v>0</v>
      </c>
      <c r="B396" s="67">
        <f t="shared" si="66"/>
        <v>0</v>
      </c>
      <c r="C396" s="70" t="str">
        <f>IF(VLOOKUP(B396,'x Malzemeler ve Özellikleri'!$B$2:$M$136,12,0)="ALÜMİNYUM",'1PROJE'!$H$16,"")</f>
        <v/>
      </c>
      <c r="D396" s="67">
        <f t="shared" si="67"/>
        <v>0</v>
      </c>
      <c r="E396" s="69" t="e">
        <f>HLOOKUP(B396,xHesaplama!$AH$26:$FH$66,31,0)</f>
        <v>#N/A</v>
      </c>
      <c r="F396" s="76">
        <f t="shared" si="63"/>
        <v>0</v>
      </c>
      <c r="G396" s="70">
        <f t="shared" si="68"/>
        <v>0</v>
      </c>
      <c r="H396" s="69" t="str">
        <f t="shared" si="64"/>
        <v/>
      </c>
      <c r="I396" s="145">
        <v>0</v>
      </c>
      <c r="J396" s="619"/>
      <c r="K396" s="81">
        <f>IFERROR(VLOOKUP(B396,'x Malzemeler ve Özellikleri'!$O$1:$Q$181,3,0)*F396,0)</f>
        <v>0</v>
      </c>
    </row>
    <row r="397" spans="1:11" ht="19.5">
      <c r="A397" s="67">
        <f t="shared" si="65"/>
        <v>0</v>
      </c>
      <c r="B397" s="67">
        <f t="shared" si="66"/>
        <v>0</v>
      </c>
      <c r="C397" s="70" t="str">
        <f>IF(VLOOKUP(B397,'x Malzemeler ve Özellikleri'!$B$2:$M$136,12,0)="ALÜMİNYUM",'1PROJE'!$H$16,"")</f>
        <v/>
      </c>
      <c r="D397" s="67">
        <f t="shared" si="67"/>
        <v>0</v>
      </c>
      <c r="E397" s="69" t="e">
        <f>HLOOKUP(B397,xHesaplama!$AH$26:$FH$66,31,0)</f>
        <v>#N/A</v>
      </c>
      <c r="F397" s="76">
        <f t="shared" si="63"/>
        <v>0</v>
      </c>
      <c r="G397" s="70">
        <f t="shared" si="68"/>
        <v>0</v>
      </c>
      <c r="H397" s="69" t="str">
        <f t="shared" si="64"/>
        <v/>
      </c>
      <c r="I397" s="145">
        <v>0</v>
      </c>
      <c r="J397" s="619"/>
      <c r="K397" s="81">
        <f>IFERROR(VLOOKUP(B397,'x Malzemeler ve Özellikleri'!$O$1:$Q$181,3,0)*F397,0)</f>
        <v>0</v>
      </c>
    </row>
    <row r="398" spans="1:11" ht="19.5">
      <c r="A398" s="67">
        <f t="shared" si="65"/>
        <v>0</v>
      </c>
      <c r="B398" s="67">
        <f t="shared" si="66"/>
        <v>0</v>
      </c>
      <c r="C398" s="70" t="str">
        <f>IF(VLOOKUP(B398,'x Malzemeler ve Özellikleri'!$B$2:$M$136,12,0)="ALÜMİNYUM",'1PROJE'!$H$16,"")</f>
        <v/>
      </c>
      <c r="D398" s="67">
        <f t="shared" si="67"/>
        <v>0</v>
      </c>
      <c r="E398" s="69" t="e">
        <f>HLOOKUP(B398,xHesaplama!$AH$26:$FH$66,31,0)</f>
        <v>#N/A</v>
      </c>
      <c r="F398" s="76">
        <f t="shared" si="63"/>
        <v>0</v>
      </c>
      <c r="G398" s="70">
        <f t="shared" si="68"/>
        <v>0</v>
      </c>
      <c r="H398" s="69" t="str">
        <f t="shared" si="64"/>
        <v/>
      </c>
      <c r="I398" s="145">
        <v>0</v>
      </c>
      <c r="J398" s="619"/>
      <c r="K398" s="81">
        <f>IFERROR(VLOOKUP(B398,'x Malzemeler ve Özellikleri'!$O$1:$Q$181,3,0)*F398,0)</f>
        <v>0</v>
      </c>
    </row>
    <row r="399" spans="1:11" ht="19.5">
      <c r="A399" s="67">
        <f t="shared" si="65"/>
        <v>0</v>
      </c>
      <c r="B399" s="67">
        <f t="shared" si="66"/>
        <v>0</v>
      </c>
      <c r="C399" s="70" t="str">
        <f>IF(VLOOKUP(B399,'x Malzemeler ve Özellikleri'!$B$2:$M$136,12,0)="ALÜMİNYUM",'1PROJE'!$H$16,"")</f>
        <v/>
      </c>
      <c r="D399" s="67">
        <f t="shared" si="67"/>
        <v>0</v>
      </c>
      <c r="E399" s="69" t="e">
        <f>HLOOKUP(B399,xHesaplama!$AH$26:$FH$66,31,0)</f>
        <v>#N/A</v>
      </c>
      <c r="F399" s="76">
        <f t="shared" si="63"/>
        <v>0</v>
      </c>
      <c r="G399" s="70">
        <f t="shared" si="68"/>
        <v>0</v>
      </c>
      <c r="H399" s="69" t="str">
        <f t="shared" si="64"/>
        <v/>
      </c>
      <c r="I399" s="145">
        <v>0</v>
      </c>
      <c r="J399" s="619"/>
      <c r="K399" s="81">
        <f>IFERROR(VLOOKUP(B399,'x Malzemeler ve Özellikleri'!$O$1:$Q$181,3,0)*F399,0)</f>
        <v>0</v>
      </c>
    </row>
    <row r="400" spans="1:11" ht="19.5">
      <c r="A400" s="67">
        <f t="shared" si="65"/>
        <v>0</v>
      </c>
      <c r="B400" s="67">
        <f t="shared" si="66"/>
        <v>0</v>
      </c>
      <c r="C400" s="70" t="str">
        <f>IF(VLOOKUP(B400,'x Malzemeler ve Özellikleri'!$B$2:$M$136,12,0)="ALÜMİNYUM",'1PROJE'!$H$16,"")</f>
        <v/>
      </c>
      <c r="D400" s="67">
        <f t="shared" si="67"/>
        <v>0</v>
      </c>
      <c r="E400" s="69" t="e">
        <f>HLOOKUP(B400,xHesaplama!$AH$26:$FH$66,31,0)</f>
        <v>#N/A</v>
      </c>
      <c r="F400" s="76">
        <f t="shared" si="63"/>
        <v>0</v>
      </c>
      <c r="G400" s="70">
        <f t="shared" si="68"/>
        <v>0</v>
      </c>
      <c r="H400" s="69" t="str">
        <f t="shared" si="64"/>
        <v/>
      </c>
      <c r="I400" s="145">
        <v>0</v>
      </c>
      <c r="J400" s="619"/>
      <c r="K400" s="81">
        <f>IFERROR(VLOOKUP(B400,'x Malzemeler ve Özellikleri'!$O$1:$Q$181,3,0)*F400,0)</f>
        <v>0</v>
      </c>
    </row>
    <row r="401" spans="1:40" ht="19.5">
      <c r="A401" s="67">
        <f t="shared" si="65"/>
        <v>0</v>
      </c>
      <c r="B401" s="67">
        <f t="shared" si="66"/>
        <v>0</v>
      </c>
      <c r="C401" s="70" t="str">
        <f>IF(VLOOKUP(B401,'x Malzemeler ve Özellikleri'!$B$2:$M$136,12,0)="ALÜMİNYUM",'1PROJE'!$H$16,"")</f>
        <v/>
      </c>
      <c r="D401" s="67">
        <f t="shared" si="67"/>
        <v>0</v>
      </c>
      <c r="E401" s="69" t="e">
        <f>HLOOKUP(B401,xHesaplama!$AH$26:$FH$66,31,0)</f>
        <v>#N/A</v>
      </c>
      <c r="F401" s="76">
        <f t="shared" si="63"/>
        <v>0</v>
      </c>
      <c r="G401" s="70">
        <f t="shared" si="68"/>
        <v>0</v>
      </c>
      <c r="H401" s="69" t="str">
        <f t="shared" si="64"/>
        <v/>
      </c>
      <c r="I401" s="145">
        <v>0</v>
      </c>
      <c r="J401" s="619"/>
      <c r="K401" s="81">
        <f>IFERROR(VLOOKUP(B401,'x Malzemeler ve Özellikleri'!$O$1:$Q$181,3,0)*F401,0)</f>
        <v>0</v>
      </c>
    </row>
    <row r="402" spans="1:40" ht="19.5">
      <c r="A402" s="67">
        <f t="shared" si="65"/>
        <v>0</v>
      </c>
      <c r="B402" s="67">
        <f t="shared" si="66"/>
        <v>0</v>
      </c>
      <c r="C402" s="70" t="str">
        <f>IF(VLOOKUP(B402,'x Malzemeler ve Özellikleri'!$B$2:$M$136,12,0)="ALÜMİNYUM",'1PROJE'!$H$16,"")</f>
        <v/>
      </c>
      <c r="D402" s="67">
        <f t="shared" si="67"/>
        <v>0</v>
      </c>
      <c r="E402" s="69" t="e">
        <f>HLOOKUP(B402,xHesaplama!$AH$26:$FH$66,31,0)</f>
        <v>#N/A</v>
      </c>
      <c r="F402" s="76">
        <f t="shared" si="63"/>
        <v>0</v>
      </c>
      <c r="G402" s="70">
        <f t="shared" si="68"/>
        <v>0</v>
      </c>
      <c r="H402" s="69" t="str">
        <f t="shared" si="64"/>
        <v/>
      </c>
      <c r="I402" s="145">
        <v>0</v>
      </c>
      <c r="J402" s="619"/>
      <c r="K402" s="81">
        <f>IFERROR(VLOOKUP(B402,'x Malzemeler ve Özellikleri'!$O$1:$Q$181,3,0)*F402,0)</f>
        <v>0</v>
      </c>
    </row>
    <row r="403" spans="1:40" ht="19.5">
      <c r="A403" s="67">
        <f t="shared" si="65"/>
        <v>0</v>
      </c>
      <c r="B403" s="67">
        <f t="shared" si="66"/>
        <v>0</v>
      </c>
      <c r="C403" s="70" t="str">
        <f>IF(VLOOKUP(B403,'x Malzemeler ve Özellikleri'!$B$2:$M$136,12,0)="ALÜMİNYUM",'1PROJE'!$H$16,"")</f>
        <v/>
      </c>
      <c r="D403" s="67">
        <f t="shared" si="67"/>
        <v>0</v>
      </c>
      <c r="E403" s="69" t="e">
        <f>HLOOKUP(B403,xHesaplama!$AH$26:$FH$66,31,0)</f>
        <v>#N/A</v>
      </c>
      <c r="F403" s="76">
        <f t="shared" si="63"/>
        <v>0</v>
      </c>
      <c r="G403" s="70">
        <f t="shared" si="68"/>
        <v>0</v>
      </c>
      <c r="H403" s="69" t="str">
        <f t="shared" si="64"/>
        <v/>
      </c>
      <c r="I403" s="145">
        <v>0</v>
      </c>
      <c r="J403" s="619"/>
      <c r="K403" s="81">
        <f>IFERROR(VLOOKUP(B403,'x Malzemeler ve Özellikleri'!$O$1:$Q$181,3,0)*F403,0)</f>
        <v>0</v>
      </c>
    </row>
    <row r="404" spans="1:40" ht="19.5">
      <c r="A404" s="67">
        <f t="shared" si="65"/>
        <v>0</v>
      </c>
      <c r="B404" s="67">
        <f t="shared" si="66"/>
        <v>0</v>
      </c>
      <c r="C404" s="70" t="str">
        <f>IF(VLOOKUP(B404,'x Malzemeler ve Özellikleri'!$B$2:$M$136,12,0)="ALÜMİNYUM",'1PROJE'!$H$16,"")</f>
        <v/>
      </c>
      <c r="D404" s="67">
        <f t="shared" si="67"/>
        <v>0</v>
      </c>
      <c r="E404" s="69" t="e">
        <f>HLOOKUP(B404,xHesaplama!$AH$26:$FH$66,31,0)</f>
        <v>#N/A</v>
      </c>
      <c r="F404" s="76">
        <f t="shared" si="63"/>
        <v>0</v>
      </c>
      <c r="G404" s="70">
        <f t="shared" si="68"/>
        <v>0</v>
      </c>
      <c r="H404" s="69" t="str">
        <f t="shared" si="64"/>
        <v/>
      </c>
      <c r="I404" s="145">
        <v>0</v>
      </c>
      <c r="J404" s="619"/>
      <c r="K404" s="81">
        <f>IFERROR(VLOOKUP(B404,'x Malzemeler ve Özellikleri'!$O$1:$Q$181,3,0)*F404,0)</f>
        <v>0</v>
      </c>
    </row>
    <row r="405" spans="1:40" ht="19.5">
      <c r="A405" s="67">
        <f t="shared" si="65"/>
        <v>0</v>
      </c>
      <c r="B405" s="67">
        <f t="shared" si="66"/>
        <v>0</v>
      </c>
      <c r="C405" s="70" t="str">
        <f>IF(VLOOKUP(B405,'x Malzemeler ve Özellikleri'!$B$2:$M$136,12,0)="ALÜMİNYUM",'1PROJE'!$H$16,"")</f>
        <v/>
      </c>
      <c r="D405" s="67">
        <f t="shared" si="67"/>
        <v>0</v>
      </c>
      <c r="E405" s="69" t="e">
        <f>HLOOKUP(B405,xHesaplama!$AH$26:$FH$66,31,0)</f>
        <v>#N/A</v>
      </c>
      <c r="F405" s="76">
        <f t="shared" si="63"/>
        <v>0</v>
      </c>
      <c r="G405" s="70">
        <f t="shared" si="68"/>
        <v>0</v>
      </c>
      <c r="H405" s="69" t="str">
        <f t="shared" si="64"/>
        <v/>
      </c>
      <c r="I405" s="145">
        <v>0</v>
      </c>
      <c r="J405" s="619"/>
      <c r="K405" s="81">
        <f>IFERROR(VLOOKUP(B405,'x Malzemeler ve Özellikleri'!$O$1:$Q$181,3,0)*F405,0)</f>
        <v>0</v>
      </c>
    </row>
    <row r="406" spans="1:40" ht="19.5">
      <c r="A406" s="67">
        <f t="shared" si="65"/>
        <v>0</v>
      </c>
      <c r="B406" s="67">
        <f t="shared" si="66"/>
        <v>0</v>
      </c>
      <c r="C406" s="70" t="str">
        <f>IF(VLOOKUP(B406,'x Malzemeler ve Özellikleri'!$B$2:$M$136,12,0)="ALÜMİNYUM",'1PROJE'!$H$16,"")</f>
        <v/>
      </c>
      <c r="D406" s="67">
        <f t="shared" si="67"/>
        <v>0</v>
      </c>
      <c r="E406" s="69" t="e">
        <f>HLOOKUP(B406,xHesaplama!$AH$26:$FH$66,31,0)</f>
        <v>#N/A</v>
      </c>
      <c r="F406" s="76">
        <f t="shared" si="63"/>
        <v>0</v>
      </c>
      <c r="G406" s="70">
        <f t="shared" si="68"/>
        <v>0</v>
      </c>
      <c r="H406" s="69" t="str">
        <f t="shared" si="64"/>
        <v/>
      </c>
      <c r="I406" s="145">
        <v>0</v>
      </c>
      <c r="J406" s="619"/>
      <c r="K406" s="81">
        <f>IFERROR(VLOOKUP(B406,'x Malzemeler ve Özellikleri'!$O$1:$Q$181,3,0)*F406,0)</f>
        <v>0</v>
      </c>
    </row>
    <row r="407" spans="1:40" ht="19.5">
      <c r="A407" s="67">
        <f t="shared" si="65"/>
        <v>0</v>
      </c>
      <c r="B407" s="67">
        <f t="shared" si="66"/>
        <v>0</v>
      </c>
      <c r="C407" s="70" t="str">
        <f>IF(VLOOKUP(B407,'x Malzemeler ve Özellikleri'!$B$2:$M$136,12,0)="ALÜMİNYUM",'1PROJE'!$H$16,"")</f>
        <v/>
      </c>
      <c r="D407" s="67">
        <f t="shared" si="67"/>
        <v>0</v>
      </c>
      <c r="E407" s="69" t="e">
        <f>HLOOKUP(B407,xHesaplama!$AH$26:$FH$66,31,0)</f>
        <v>#N/A</v>
      </c>
      <c r="F407" s="76">
        <f t="shared" si="63"/>
        <v>0</v>
      </c>
      <c r="G407" s="70">
        <f t="shared" si="68"/>
        <v>0</v>
      </c>
      <c r="H407" s="69" t="str">
        <f t="shared" si="64"/>
        <v/>
      </c>
      <c r="I407" s="145">
        <v>0</v>
      </c>
      <c r="J407" s="619"/>
      <c r="K407" s="81">
        <f>IFERROR(VLOOKUP(B407,'x Malzemeler ve Özellikleri'!$O$1:$Q$181,3,0)*F407,0)</f>
        <v>0</v>
      </c>
    </row>
    <row r="408" spans="1:40" ht="19.5">
      <c r="A408" s="67">
        <f t="shared" si="65"/>
        <v>0</v>
      </c>
      <c r="B408" s="67">
        <f t="shared" si="66"/>
        <v>0</v>
      </c>
      <c r="C408" s="70" t="str">
        <f>IF(VLOOKUP(B408,'x Malzemeler ve Özellikleri'!$B$2:$M$136,12,0)="ALÜMİNYUM",'1PROJE'!$H$16,"")</f>
        <v/>
      </c>
      <c r="D408" s="67">
        <f t="shared" si="67"/>
        <v>0</v>
      </c>
      <c r="E408" s="69" t="e">
        <f>HLOOKUP(B408,xHesaplama!$AH$26:$FH$66,31,0)</f>
        <v>#N/A</v>
      </c>
      <c r="F408" s="76">
        <f t="shared" si="63"/>
        <v>0</v>
      </c>
      <c r="G408" s="70">
        <f t="shared" si="68"/>
        <v>0</v>
      </c>
      <c r="H408" s="69" t="str">
        <f t="shared" si="64"/>
        <v/>
      </c>
      <c r="I408" s="145">
        <v>0</v>
      </c>
      <c r="J408" s="619"/>
      <c r="K408" s="81">
        <f>IFERROR(VLOOKUP(B408,'x Malzemeler ve Özellikleri'!$O$1:$Q$181,3,0)*F408,0)</f>
        <v>0</v>
      </c>
    </row>
    <row r="409" spans="1:40" ht="19.5">
      <c r="A409" s="67">
        <f t="shared" si="65"/>
        <v>0</v>
      </c>
      <c r="B409" s="67">
        <f t="shared" si="66"/>
        <v>0</v>
      </c>
      <c r="C409" s="70" t="str">
        <f>IF(VLOOKUP(B409,'x Malzemeler ve Özellikleri'!$B$2:$M$136,12,0)="ALÜMİNYUM",'1PROJE'!$H$16,"")</f>
        <v/>
      </c>
      <c r="D409" s="67">
        <f t="shared" si="67"/>
        <v>0</v>
      </c>
      <c r="E409" s="69" t="e">
        <f>HLOOKUP(B409,xHesaplama!$AH$26:$FH$66,31,0)</f>
        <v>#N/A</v>
      </c>
      <c r="F409" s="76">
        <f t="shared" si="63"/>
        <v>0</v>
      </c>
      <c r="G409" s="70">
        <f t="shared" si="68"/>
        <v>0</v>
      </c>
      <c r="H409" s="69" t="str">
        <f t="shared" si="64"/>
        <v/>
      </c>
      <c r="I409" s="145">
        <v>0</v>
      </c>
      <c r="J409" s="619"/>
      <c r="K409" s="81">
        <f>IFERROR(VLOOKUP(B409,'x Malzemeler ve Özellikleri'!$O$1:$Q$181,3,0)*F409,0)</f>
        <v>0</v>
      </c>
    </row>
    <row r="410" spans="1:40" ht="20.25" thickBot="1">
      <c r="A410" s="67">
        <f t="shared" si="65"/>
        <v>0</v>
      </c>
      <c r="B410" s="67">
        <f t="shared" si="66"/>
        <v>0</v>
      </c>
      <c r="C410" s="70" t="str">
        <f>IF(VLOOKUP(B410,'x Malzemeler ve Özellikleri'!$B$2:$M$136,12,0)="ALÜMİNYUM",'1PROJE'!$H$16,"")</f>
        <v/>
      </c>
      <c r="D410" s="67">
        <f t="shared" si="67"/>
        <v>0</v>
      </c>
      <c r="E410" s="69" t="e">
        <f>HLOOKUP(B410,xHesaplama!$AH$26:$FH$66,31,0)</f>
        <v>#N/A</v>
      </c>
      <c r="F410" s="76">
        <f t="shared" si="63"/>
        <v>0</v>
      </c>
      <c r="G410" s="70">
        <f t="shared" si="68"/>
        <v>0</v>
      </c>
      <c r="H410" s="69" t="str">
        <f t="shared" si="64"/>
        <v/>
      </c>
      <c r="I410" s="145">
        <v>0</v>
      </c>
      <c r="J410" s="620"/>
      <c r="K410" s="81">
        <f>IFERROR(VLOOKUP(B410,'x Malzemeler ve Özellikleri'!$O$1:$Q$181,3,0)*F410,0)</f>
        <v>0</v>
      </c>
    </row>
    <row r="411" spans="1:40" ht="30" thickBot="1">
      <c r="A411" s="64" t="str">
        <f>"POZ"&amp;" "&amp;J412</f>
        <v>POZ 11</v>
      </c>
      <c r="C411" s="243">
        <f>xHesaplama!C37</f>
        <v>0</v>
      </c>
      <c r="D411" s="64" t="s">
        <v>357</v>
      </c>
      <c r="F411" s="74"/>
      <c r="G411" s="72" t="s">
        <v>786</v>
      </c>
      <c r="H411" s="65"/>
      <c r="I411" s="71">
        <f>SUM(H413:H451)</f>
        <v>0</v>
      </c>
      <c r="L411" t="str" cm="1">
        <f t="array" ref="L411:AJ411">_xlfn._xlws.FILTER(REÇETE!$D$11:$AB$142,REÇETE!$S$11:$S$142&lt;&gt;"","")</f>
        <v>EXCEL KODU</v>
      </c>
      <c r="M411" t="str">
        <v>PARÇA BİRİM</v>
      </c>
      <c r="N411" t="str">
        <v>PARÇA ADI</v>
      </c>
      <c r="O411" t="str">
        <v>MALZEME KODU</v>
      </c>
      <c r="P411" t="str">
        <v>BİRİM FİYAT</v>
      </c>
      <c r="Q411" t="str">
        <v>POZ 1</v>
      </c>
      <c r="R411" t="str">
        <v>POZ 2</v>
      </c>
      <c r="S411" t="str">
        <v>POZ 3</v>
      </c>
      <c r="T411" t="str">
        <v>POZ 4</v>
      </c>
      <c r="U411" t="str">
        <v>POZ 5</v>
      </c>
      <c r="V411" t="str">
        <v>POZ 6</v>
      </c>
      <c r="W411" t="str">
        <v>POZ 7</v>
      </c>
      <c r="X411" t="str">
        <v>POZ 8</v>
      </c>
      <c r="Y411" t="str">
        <v>POZ 9</v>
      </c>
      <c r="Z411" t="str">
        <v>POZ 10</v>
      </c>
      <c r="AA411" t="str">
        <v>POZ 11</v>
      </c>
      <c r="AB411" t="str">
        <v>POZ 12</v>
      </c>
      <c r="AC411" t="str">
        <v>POZ 13</v>
      </c>
      <c r="AD411" t="str">
        <v>POZ 14</v>
      </c>
      <c r="AE411" t="str">
        <v>POZ 15</v>
      </c>
      <c r="AF411" t="str">
        <v>POZ 16</v>
      </c>
      <c r="AG411" t="str">
        <v>POZ 17</v>
      </c>
      <c r="AH411" t="str">
        <v>POZ 18</v>
      </c>
      <c r="AI411" t="str">
        <v>POZ 19</v>
      </c>
      <c r="AJ411" t="str">
        <v>POZ 20</v>
      </c>
    </row>
    <row r="412" spans="1:40">
      <c r="A412" s="66" t="s">
        <v>782</v>
      </c>
      <c r="B412" s="66" t="s">
        <v>409</v>
      </c>
      <c r="C412" s="68"/>
      <c r="D412" s="66" t="s">
        <v>15</v>
      </c>
      <c r="E412" s="68" t="s">
        <v>808</v>
      </c>
      <c r="F412" s="75" t="s">
        <v>785</v>
      </c>
      <c r="G412" s="68" t="s">
        <v>650</v>
      </c>
      <c r="H412" s="68" t="s">
        <v>355</v>
      </c>
      <c r="J412" s="618">
        <v>11</v>
      </c>
      <c r="K412" s="221">
        <f>SUM(K413:K451)</f>
        <v>0</v>
      </c>
    </row>
    <row r="413" spans="1:40" ht="19.5">
      <c r="A413" s="67">
        <f>xHesaplama!H37</f>
        <v>0</v>
      </c>
      <c r="B413" s="67"/>
      <c r="C413" s="70">
        <f>xHesaplama!I37</f>
        <v>0</v>
      </c>
      <c r="D413" s="67">
        <f>xHesaplama!I37</f>
        <v>0</v>
      </c>
      <c r="E413" s="69" t="e">
        <f>xHesaplama!AC37</f>
        <v>#N/A</v>
      </c>
      <c r="F413" s="76">
        <f>xHesaplama!AD37*C411</f>
        <v>0</v>
      </c>
      <c r="G413" s="70" t="s">
        <v>817</v>
      </c>
      <c r="H413" s="69">
        <f t="shared" ref="H413:H414" si="69">IFERROR(E413*F413,0)</f>
        <v>0</v>
      </c>
      <c r="I413" s="145">
        <v>0</v>
      </c>
      <c r="J413" s="619"/>
      <c r="K413" s="81">
        <f>IFERROR(VLOOKUP(A413,'x Malzemeler ve Özellikleri'!$N$1:$Q$181,4,0)*F413,0)</f>
        <v>0</v>
      </c>
      <c r="AN413" s="84" cm="1">
        <f t="array" ref="AN413">_xlfn._xlws.FILTER(A413:I451,I413:I451,0)</f>
        <v>0</v>
      </c>
    </row>
    <row r="414" spans="1:40" ht="19.5">
      <c r="A414" s="67" t="s">
        <v>105</v>
      </c>
      <c r="B414" s="67"/>
      <c r="C414" s="70"/>
      <c r="D414" s="67">
        <f>xHesaplama!J37</f>
        <v>0</v>
      </c>
      <c r="E414" s="69" t="e">
        <f>xHesaplama!AB37</f>
        <v>#N/A</v>
      </c>
      <c r="F414" s="76">
        <f>C411</f>
        <v>0</v>
      </c>
      <c r="G414" s="70" t="s">
        <v>357</v>
      </c>
      <c r="H414" s="69">
        <f t="shared" si="69"/>
        <v>0</v>
      </c>
      <c r="I414" s="145">
        <v>0</v>
      </c>
      <c r="J414" s="619"/>
      <c r="K414" s="81">
        <f>IFERROR(VLOOKUP(D414,'x Malzemeler ve Özellikleri'!$N$1:$Q$181,4,0)*F414,0)</f>
        <v>0</v>
      </c>
    </row>
    <row r="415" spans="1:40" ht="19.5">
      <c r="A415" s="67">
        <f>N412</f>
        <v>0</v>
      </c>
      <c r="B415" s="67">
        <f>L412</f>
        <v>0</v>
      </c>
      <c r="C415" s="70" t="str">
        <f>IF(VLOOKUP(B415,'x Malzemeler ve Özellikleri'!$B$2:$M$136,12,0)="ALÜMİNYUM",'1PROJE'!$H$17,"")</f>
        <v/>
      </c>
      <c r="D415" s="67">
        <f>O412</f>
        <v>0</v>
      </c>
      <c r="E415" s="69" t="e">
        <f>HLOOKUP(B415,xHesaplama!$AH$26:$FH$66,32,0)</f>
        <v>#N/A</v>
      </c>
      <c r="F415" s="76">
        <f t="shared" ref="F415:F451" si="70">AA412*$C$411</f>
        <v>0</v>
      </c>
      <c r="G415" s="70">
        <f>M412</f>
        <v>0</v>
      </c>
      <c r="H415" s="69" t="str">
        <f t="shared" ref="H415:H451" si="71">IFERROR(E415*$C$411,"")</f>
        <v/>
      </c>
      <c r="I415" s="145">
        <v>0</v>
      </c>
      <c r="J415" s="619"/>
      <c r="K415" s="81">
        <f>IFERROR(VLOOKUP(B415,'x Malzemeler ve Özellikleri'!$O$1:$Q$181,3,0)*F415,0)</f>
        <v>0</v>
      </c>
    </row>
    <row r="416" spans="1:40" ht="19.5">
      <c r="A416" s="67">
        <f t="shared" ref="A416:A451" si="72">N413</f>
        <v>0</v>
      </c>
      <c r="B416" s="67">
        <f t="shared" ref="B416:B451" si="73">L413</f>
        <v>0</v>
      </c>
      <c r="C416" s="70" t="str">
        <f>IF(VLOOKUP(B416,'x Malzemeler ve Özellikleri'!$B$2:$M$136,12,0)="ALÜMİNYUM",'1PROJE'!$H$17,"")</f>
        <v/>
      </c>
      <c r="D416" s="67">
        <f t="shared" ref="D416:D451" si="74">O413</f>
        <v>0</v>
      </c>
      <c r="E416" s="69" t="e">
        <f>HLOOKUP(B416,xHesaplama!$AH$26:$FH$66,32,0)</f>
        <v>#N/A</v>
      </c>
      <c r="F416" s="76">
        <f t="shared" si="70"/>
        <v>0</v>
      </c>
      <c r="G416" s="70">
        <f t="shared" ref="G416:G451" si="75">M413</f>
        <v>0</v>
      </c>
      <c r="H416" s="69" t="str">
        <f t="shared" si="71"/>
        <v/>
      </c>
      <c r="I416" s="145">
        <v>0</v>
      </c>
      <c r="J416" s="619"/>
      <c r="K416" s="81">
        <f>IFERROR(VLOOKUP(B416,'x Malzemeler ve Özellikleri'!$O$1:$Q$181,3,0)*F416,0)</f>
        <v>0</v>
      </c>
    </row>
    <row r="417" spans="1:11" ht="19.5">
      <c r="A417" s="67">
        <f t="shared" si="72"/>
        <v>0</v>
      </c>
      <c r="B417" s="67">
        <f t="shared" si="73"/>
        <v>0</v>
      </c>
      <c r="C417" s="70" t="str">
        <f>IF(VLOOKUP(B417,'x Malzemeler ve Özellikleri'!$B$2:$M$136,12,0)="ALÜMİNYUM",'1PROJE'!$H$17,"")</f>
        <v/>
      </c>
      <c r="D417" s="67">
        <f t="shared" si="74"/>
        <v>0</v>
      </c>
      <c r="E417" s="69" t="e">
        <f>HLOOKUP(B417,xHesaplama!$AH$26:$FH$66,32,0)</f>
        <v>#N/A</v>
      </c>
      <c r="F417" s="76">
        <f t="shared" si="70"/>
        <v>0</v>
      </c>
      <c r="G417" s="70">
        <f t="shared" si="75"/>
        <v>0</v>
      </c>
      <c r="H417" s="69" t="str">
        <f t="shared" si="71"/>
        <v/>
      </c>
      <c r="I417" s="145">
        <v>0</v>
      </c>
      <c r="J417" s="619"/>
      <c r="K417" s="81">
        <f>IFERROR(VLOOKUP(B417,'x Malzemeler ve Özellikleri'!$O$1:$Q$181,3,0)*F417,0)</f>
        <v>0</v>
      </c>
    </row>
    <row r="418" spans="1:11" ht="19.5">
      <c r="A418" s="67">
        <f t="shared" si="72"/>
        <v>0</v>
      </c>
      <c r="B418" s="67">
        <f t="shared" si="73"/>
        <v>0</v>
      </c>
      <c r="C418" s="70" t="str">
        <f>IF(VLOOKUP(B418,'x Malzemeler ve Özellikleri'!$B$2:$M$136,12,0)="ALÜMİNYUM",'1PROJE'!$H$17,"")</f>
        <v/>
      </c>
      <c r="D418" s="67">
        <f t="shared" si="74"/>
        <v>0</v>
      </c>
      <c r="E418" s="69" t="e">
        <f>HLOOKUP(B418,xHesaplama!$AH$26:$FH$66,32,0)</f>
        <v>#N/A</v>
      </c>
      <c r="F418" s="76">
        <f t="shared" si="70"/>
        <v>0</v>
      </c>
      <c r="G418" s="70">
        <f t="shared" si="75"/>
        <v>0</v>
      </c>
      <c r="H418" s="69" t="str">
        <f t="shared" si="71"/>
        <v/>
      </c>
      <c r="I418" s="145">
        <v>0</v>
      </c>
      <c r="J418" s="619"/>
      <c r="K418" s="81">
        <f>IFERROR(VLOOKUP(B418,'x Malzemeler ve Özellikleri'!$O$1:$Q$181,3,0)*F418,0)</f>
        <v>0</v>
      </c>
    </row>
    <row r="419" spans="1:11" ht="19.5">
      <c r="A419" s="67">
        <f t="shared" si="72"/>
        <v>0</v>
      </c>
      <c r="B419" s="67">
        <f t="shared" si="73"/>
        <v>0</v>
      </c>
      <c r="C419" s="70" t="str">
        <f>IF(VLOOKUP(B419,'x Malzemeler ve Özellikleri'!$B$2:$M$136,12,0)="ALÜMİNYUM",'1PROJE'!$H$17,"")</f>
        <v/>
      </c>
      <c r="D419" s="67">
        <f t="shared" si="74"/>
        <v>0</v>
      </c>
      <c r="E419" s="69" t="e">
        <f>HLOOKUP(B419,xHesaplama!$AH$26:$FH$66,32,0)</f>
        <v>#N/A</v>
      </c>
      <c r="F419" s="76">
        <f t="shared" si="70"/>
        <v>0</v>
      </c>
      <c r="G419" s="70">
        <f t="shared" si="75"/>
        <v>0</v>
      </c>
      <c r="H419" s="69" t="str">
        <f t="shared" si="71"/>
        <v/>
      </c>
      <c r="I419" s="145">
        <v>0</v>
      </c>
      <c r="J419" s="619"/>
      <c r="K419" s="81">
        <f>IFERROR(VLOOKUP(B419,'x Malzemeler ve Özellikleri'!$O$1:$Q$181,3,0)*F419,0)</f>
        <v>0</v>
      </c>
    </row>
    <row r="420" spans="1:11" ht="19.5">
      <c r="A420" s="67">
        <f t="shared" si="72"/>
        <v>0</v>
      </c>
      <c r="B420" s="67">
        <f t="shared" si="73"/>
        <v>0</v>
      </c>
      <c r="C420" s="70" t="str">
        <f>IF(VLOOKUP(B420,'x Malzemeler ve Özellikleri'!$B$2:$M$136,12,0)="ALÜMİNYUM",'1PROJE'!$H$17,"")</f>
        <v/>
      </c>
      <c r="D420" s="67">
        <f t="shared" si="74"/>
        <v>0</v>
      </c>
      <c r="E420" s="69" t="e">
        <f>HLOOKUP(B420,xHesaplama!$AH$26:$FH$66,32,0)</f>
        <v>#N/A</v>
      </c>
      <c r="F420" s="76">
        <f t="shared" si="70"/>
        <v>0</v>
      </c>
      <c r="G420" s="70">
        <f t="shared" si="75"/>
        <v>0</v>
      </c>
      <c r="H420" s="69" t="str">
        <f t="shared" si="71"/>
        <v/>
      </c>
      <c r="I420" s="145">
        <v>0</v>
      </c>
      <c r="J420" s="619"/>
      <c r="K420" s="81">
        <f>IFERROR(VLOOKUP(B420,'x Malzemeler ve Özellikleri'!$O$1:$Q$181,3,0)*F420,0)</f>
        <v>0</v>
      </c>
    </row>
    <row r="421" spans="1:11" ht="19.5">
      <c r="A421" s="67">
        <f t="shared" si="72"/>
        <v>0</v>
      </c>
      <c r="B421" s="67">
        <f t="shared" si="73"/>
        <v>0</v>
      </c>
      <c r="C421" s="70" t="str">
        <f>IF(VLOOKUP(B421,'x Malzemeler ve Özellikleri'!$B$2:$M$136,12,0)="ALÜMİNYUM",'1PROJE'!$H$17,"")</f>
        <v/>
      </c>
      <c r="D421" s="67">
        <f t="shared" si="74"/>
        <v>0</v>
      </c>
      <c r="E421" s="69" t="e">
        <f>HLOOKUP(B421,xHesaplama!$AH$26:$FH$66,32,0)</f>
        <v>#N/A</v>
      </c>
      <c r="F421" s="76">
        <f t="shared" si="70"/>
        <v>0</v>
      </c>
      <c r="G421" s="70">
        <f t="shared" si="75"/>
        <v>0</v>
      </c>
      <c r="H421" s="69" t="str">
        <f t="shared" si="71"/>
        <v/>
      </c>
      <c r="I421" s="145">
        <v>0</v>
      </c>
      <c r="J421" s="619"/>
      <c r="K421" s="81">
        <f>IFERROR(VLOOKUP(B421,'x Malzemeler ve Özellikleri'!$O$1:$Q$181,3,0)*F421,0)</f>
        <v>0</v>
      </c>
    </row>
    <row r="422" spans="1:11" ht="19.5">
      <c r="A422" s="67">
        <f t="shared" si="72"/>
        <v>0</v>
      </c>
      <c r="B422" s="67">
        <f t="shared" si="73"/>
        <v>0</v>
      </c>
      <c r="C422" s="70" t="str">
        <f>IF(VLOOKUP(B422,'x Malzemeler ve Özellikleri'!$B$2:$M$136,12,0)="ALÜMİNYUM",'1PROJE'!$H$17,"")</f>
        <v/>
      </c>
      <c r="D422" s="67">
        <f t="shared" si="74"/>
        <v>0</v>
      </c>
      <c r="E422" s="69" t="e">
        <f>HLOOKUP(B422,xHesaplama!$AH$26:$FH$66,32,0)</f>
        <v>#N/A</v>
      </c>
      <c r="F422" s="76">
        <f t="shared" si="70"/>
        <v>0</v>
      </c>
      <c r="G422" s="70">
        <f t="shared" si="75"/>
        <v>0</v>
      </c>
      <c r="H422" s="69" t="str">
        <f t="shared" si="71"/>
        <v/>
      </c>
      <c r="I422" s="145">
        <v>0</v>
      </c>
      <c r="J422" s="619"/>
      <c r="K422" s="81">
        <f>IFERROR(VLOOKUP(B422,'x Malzemeler ve Özellikleri'!$O$1:$Q$181,3,0)*F422,0)</f>
        <v>0</v>
      </c>
    </row>
    <row r="423" spans="1:11" ht="19.5">
      <c r="A423" s="67">
        <f t="shared" si="72"/>
        <v>0</v>
      </c>
      <c r="B423" s="67">
        <f t="shared" si="73"/>
        <v>0</v>
      </c>
      <c r="C423" s="70" t="str">
        <f>IF(VLOOKUP(B423,'x Malzemeler ve Özellikleri'!$B$2:$M$136,12,0)="ALÜMİNYUM",'1PROJE'!$H$17,"")</f>
        <v/>
      </c>
      <c r="D423" s="67">
        <f t="shared" si="74"/>
        <v>0</v>
      </c>
      <c r="E423" s="69" t="e">
        <f>HLOOKUP(B423,xHesaplama!$AH$26:$FH$66,32,0)</f>
        <v>#N/A</v>
      </c>
      <c r="F423" s="76">
        <f t="shared" si="70"/>
        <v>0</v>
      </c>
      <c r="G423" s="70">
        <f t="shared" si="75"/>
        <v>0</v>
      </c>
      <c r="H423" s="69" t="str">
        <f t="shared" si="71"/>
        <v/>
      </c>
      <c r="I423" s="145">
        <v>0</v>
      </c>
      <c r="J423" s="619"/>
      <c r="K423" s="81">
        <f>IFERROR(VLOOKUP(B423,'x Malzemeler ve Özellikleri'!$O$1:$Q$181,3,0)*F423,0)</f>
        <v>0</v>
      </c>
    </row>
    <row r="424" spans="1:11" ht="19.5">
      <c r="A424" s="67">
        <f t="shared" si="72"/>
        <v>0</v>
      </c>
      <c r="B424" s="67">
        <f t="shared" si="73"/>
        <v>0</v>
      </c>
      <c r="C424" s="70" t="str">
        <f>IF(VLOOKUP(B424,'x Malzemeler ve Özellikleri'!$B$2:$M$136,12,0)="ALÜMİNYUM",'1PROJE'!$H$17,"")</f>
        <v/>
      </c>
      <c r="D424" s="67">
        <f t="shared" si="74"/>
        <v>0</v>
      </c>
      <c r="E424" s="69" t="e">
        <f>HLOOKUP(B424,xHesaplama!$AH$26:$FH$66,32,0)</f>
        <v>#N/A</v>
      </c>
      <c r="F424" s="76">
        <f t="shared" si="70"/>
        <v>0</v>
      </c>
      <c r="G424" s="70">
        <f t="shared" si="75"/>
        <v>0</v>
      </c>
      <c r="H424" s="69" t="str">
        <f t="shared" si="71"/>
        <v/>
      </c>
      <c r="I424" s="145">
        <v>0</v>
      </c>
      <c r="J424" s="619"/>
      <c r="K424" s="81">
        <f>IFERROR(VLOOKUP(B424,'x Malzemeler ve Özellikleri'!$O$1:$Q$181,3,0)*F424,0)</f>
        <v>0</v>
      </c>
    </row>
    <row r="425" spans="1:11" ht="19.5">
      <c r="A425" s="67">
        <f t="shared" si="72"/>
        <v>0</v>
      </c>
      <c r="B425" s="67">
        <f t="shared" si="73"/>
        <v>0</v>
      </c>
      <c r="C425" s="70" t="str">
        <f>IF(VLOOKUP(B425,'x Malzemeler ve Özellikleri'!$B$2:$M$136,12,0)="ALÜMİNYUM",'1PROJE'!$H$17,"")</f>
        <v/>
      </c>
      <c r="D425" s="67">
        <f t="shared" si="74"/>
        <v>0</v>
      </c>
      <c r="E425" s="69" t="e">
        <f>HLOOKUP(B425,xHesaplama!$AH$26:$FH$66,32,0)</f>
        <v>#N/A</v>
      </c>
      <c r="F425" s="76">
        <f t="shared" si="70"/>
        <v>0</v>
      </c>
      <c r="G425" s="70">
        <f t="shared" si="75"/>
        <v>0</v>
      </c>
      <c r="H425" s="69" t="str">
        <f t="shared" si="71"/>
        <v/>
      </c>
      <c r="I425" s="145">
        <v>0</v>
      </c>
      <c r="J425" s="619"/>
      <c r="K425" s="81">
        <f>IFERROR(VLOOKUP(B425,'x Malzemeler ve Özellikleri'!$O$1:$Q$181,3,0)*F425,0)</f>
        <v>0</v>
      </c>
    </row>
    <row r="426" spans="1:11" ht="19.5">
      <c r="A426" s="67">
        <f t="shared" si="72"/>
        <v>0</v>
      </c>
      <c r="B426" s="67">
        <f t="shared" si="73"/>
        <v>0</v>
      </c>
      <c r="C426" s="70" t="str">
        <f>IF(VLOOKUP(B426,'x Malzemeler ve Özellikleri'!$B$2:$M$136,12,0)="ALÜMİNYUM",'1PROJE'!$H$17,"")</f>
        <v/>
      </c>
      <c r="D426" s="67">
        <f t="shared" si="74"/>
        <v>0</v>
      </c>
      <c r="E426" s="69" t="e">
        <f>HLOOKUP(B426,xHesaplama!$AH$26:$FH$66,32,0)</f>
        <v>#N/A</v>
      </c>
      <c r="F426" s="76">
        <f t="shared" si="70"/>
        <v>0</v>
      </c>
      <c r="G426" s="70">
        <f t="shared" si="75"/>
        <v>0</v>
      </c>
      <c r="H426" s="69" t="str">
        <f t="shared" si="71"/>
        <v/>
      </c>
      <c r="I426" s="145">
        <v>0</v>
      </c>
      <c r="J426" s="619"/>
      <c r="K426" s="81">
        <f>IFERROR(VLOOKUP(B426,'x Malzemeler ve Özellikleri'!$O$1:$Q$181,3,0)*F426,0)</f>
        <v>0</v>
      </c>
    </row>
    <row r="427" spans="1:11" ht="19.5">
      <c r="A427" s="67">
        <f t="shared" si="72"/>
        <v>0</v>
      </c>
      <c r="B427" s="67">
        <f t="shared" si="73"/>
        <v>0</v>
      </c>
      <c r="C427" s="70" t="str">
        <f>IF(VLOOKUP(B427,'x Malzemeler ve Özellikleri'!$B$2:$M$136,12,0)="ALÜMİNYUM",'1PROJE'!$H$17,"")</f>
        <v/>
      </c>
      <c r="D427" s="67">
        <f t="shared" si="74"/>
        <v>0</v>
      </c>
      <c r="E427" s="69" t="e">
        <f>HLOOKUP(B427,xHesaplama!$AH$26:$FH$66,32,0)</f>
        <v>#N/A</v>
      </c>
      <c r="F427" s="76">
        <f t="shared" si="70"/>
        <v>0</v>
      </c>
      <c r="G427" s="70">
        <f t="shared" si="75"/>
        <v>0</v>
      </c>
      <c r="H427" s="69" t="str">
        <f t="shared" si="71"/>
        <v/>
      </c>
      <c r="I427" s="145">
        <v>0</v>
      </c>
      <c r="J427" s="619"/>
      <c r="K427" s="81">
        <f>IFERROR(VLOOKUP(B427,'x Malzemeler ve Özellikleri'!$O$1:$Q$181,3,0)*F427,0)</f>
        <v>0</v>
      </c>
    </row>
    <row r="428" spans="1:11" ht="19.5">
      <c r="A428" s="67">
        <f t="shared" si="72"/>
        <v>0</v>
      </c>
      <c r="B428" s="67">
        <f t="shared" si="73"/>
        <v>0</v>
      </c>
      <c r="C428" s="70" t="str">
        <f>IF(VLOOKUP(B428,'x Malzemeler ve Özellikleri'!$B$2:$M$136,12,0)="ALÜMİNYUM",'1PROJE'!$H$17,"")</f>
        <v/>
      </c>
      <c r="D428" s="67">
        <f t="shared" si="74"/>
        <v>0</v>
      </c>
      <c r="E428" s="69" t="e">
        <f>HLOOKUP(B428,xHesaplama!$AH$26:$FH$66,32,0)</f>
        <v>#N/A</v>
      </c>
      <c r="F428" s="76">
        <f t="shared" si="70"/>
        <v>0</v>
      </c>
      <c r="G428" s="70">
        <f t="shared" si="75"/>
        <v>0</v>
      </c>
      <c r="H428" s="69" t="str">
        <f t="shared" si="71"/>
        <v/>
      </c>
      <c r="I428" s="145">
        <v>0</v>
      </c>
      <c r="J428" s="619"/>
      <c r="K428" s="81">
        <f>IFERROR(VLOOKUP(B428,'x Malzemeler ve Özellikleri'!$O$1:$Q$181,3,0)*F428,0)</f>
        <v>0</v>
      </c>
    </row>
    <row r="429" spans="1:11" ht="19.5">
      <c r="A429" s="67">
        <f t="shared" si="72"/>
        <v>0</v>
      </c>
      <c r="B429" s="67">
        <f t="shared" si="73"/>
        <v>0</v>
      </c>
      <c r="C429" s="70" t="str">
        <f>IF(VLOOKUP(B429,'x Malzemeler ve Özellikleri'!$B$2:$M$136,12,0)="ALÜMİNYUM",'1PROJE'!$H$17,"")</f>
        <v/>
      </c>
      <c r="D429" s="67">
        <f t="shared" si="74"/>
        <v>0</v>
      </c>
      <c r="E429" s="69" t="e">
        <f>HLOOKUP(B429,xHesaplama!$AH$26:$FH$66,32,0)</f>
        <v>#N/A</v>
      </c>
      <c r="F429" s="76">
        <f t="shared" si="70"/>
        <v>0</v>
      </c>
      <c r="G429" s="70">
        <f t="shared" si="75"/>
        <v>0</v>
      </c>
      <c r="H429" s="69" t="str">
        <f t="shared" si="71"/>
        <v/>
      </c>
      <c r="I429" s="145">
        <v>0</v>
      </c>
      <c r="J429" s="619"/>
      <c r="K429" s="81">
        <f>IFERROR(VLOOKUP(B429,'x Malzemeler ve Özellikleri'!$O$1:$Q$181,3,0)*F429,0)</f>
        <v>0</v>
      </c>
    </row>
    <row r="430" spans="1:11" ht="19.5">
      <c r="A430" s="67">
        <f t="shared" si="72"/>
        <v>0</v>
      </c>
      <c r="B430" s="67">
        <f t="shared" si="73"/>
        <v>0</v>
      </c>
      <c r="C430" s="70" t="str">
        <f>IF(VLOOKUP(B430,'x Malzemeler ve Özellikleri'!$B$2:$M$136,12,0)="ALÜMİNYUM",'1PROJE'!$H$17,"")</f>
        <v/>
      </c>
      <c r="D430" s="67">
        <f t="shared" si="74"/>
        <v>0</v>
      </c>
      <c r="E430" s="69" t="e">
        <f>HLOOKUP(B430,xHesaplama!$AH$26:$FH$66,32,0)</f>
        <v>#N/A</v>
      </c>
      <c r="F430" s="76">
        <f t="shared" si="70"/>
        <v>0</v>
      </c>
      <c r="G430" s="70">
        <f t="shared" si="75"/>
        <v>0</v>
      </c>
      <c r="H430" s="69" t="str">
        <f t="shared" si="71"/>
        <v/>
      </c>
      <c r="I430" s="145">
        <v>0</v>
      </c>
      <c r="J430" s="619"/>
      <c r="K430" s="81">
        <f>IFERROR(VLOOKUP(B430,'x Malzemeler ve Özellikleri'!$O$1:$Q$181,3,0)*F430,0)</f>
        <v>0</v>
      </c>
    </row>
    <row r="431" spans="1:11" ht="19.5">
      <c r="A431" s="67">
        <f t="shared" si="72"/>
        <v>0</v>
      </c>
      <c r="B431" s="67">
        <f t="shared" si="73"/>
        <v>0</v>
      </c>
      <c r="C431" s="70" t="str">
        <f>IF(VLOOKUP(B431,'x Malzemeler ve Özellikleri'!$B$2:$M$136,12,0)="ALÜMİNYUM",'1PROJE'!$H$17,"")</f>
        <v/>
      </c>
      <c r="D431" s="67">
        <f t="shared" si="74"/>
        <v>0</v>
      </c>
      <c r="E431" s="69" t="e">
        <f>HLOOKUP(B431,xHesaplama!$AH$26:$FH$66,32,0)</f>
        <v>#N/A</v>
      </c>
      <c r="F431" s="76">
        <f t="shared" si="70"/>
        <v>0</v>
      </c>
      <c r="G431" s="70">
        <f t="shared" si="75"/>
        <v>0</v>
      </c>
      <c r="H431" s="69" t="str">
        <f t="shared" si="71"/>
        <v/>
      </c>
      <c r="I431" s="145">
        <v>0</v>
      </c>
      <c r="J431" s="619"/>
      <c r="K431" s="81">
        <f>IFERROR(VLOOKUP(B431,'x Malzemeler ve Özellikleri'!$O$1:$Q$181,3,0)*F431,0)</f>
        <v>0</v>
      </c>
    </row>
    <row r="432" spans="1:11" ht="19.5">
      <c r="A432" s="67">
        <f t="shared" si="72"/>
        <v>0</v>
      </c>
      <c r="B432" s="67">
        <f t="shared" si="73"/>
        <v>0</v>
      </c>
      <c r="C432" s="70" t="str">
        <f>IF(VLOOKUP(B432,'x Malzemeler ve Özellikleri'!$B$2:$M$136,12,0)="ALÜMİNYUM",'1PROJE'!$H$17,"")</f>
        <v/>
      </c>
      <c r="D432" s="67">
        <f t="shared" si="74"/>
        <v>0</v>
      </c>
      <c r="E432" s="69" t="e">
        <f>HLOOKUP(B432,xHesaplama!$AH$26:$FH$66,32,0)</f>
        <v>#N/A</v>
      </c>
      <c r="F432" s="76">
        <f t="shared" si="70"/>
        <v>0</v>
      </c>
      <c r="G432" s="70">
        <f t="shared" si="75"/>
        <v>0</v>
      </c>
      <c r="H432" s="69" t="str">
        <f t="shared" si="71"/>
        <v/>
      </c>
      <c r="I432" s="145">
        <v>0</v>
      </c>
      <c r="J432" s="619"/>
      <c r="K432" s="81">
        <f>IFERROR(VLOOKUP(B432,'x Malzemeler ve Özellikleri'!$O$1:$Q$181,3,0)*F432,0)</f>
        <v>0</v>
      </c>
    </row>
    <row r="433" spans="1:11" ht="19.5">
      <c r="A433" s="67">
        <f t="shared" si="72"/>
        <v>0</v>
      </c>
      <c r="B433" s="67">
        <f t="shared" si="73"/>
        <v>0</v>
      </c>
      <c r="C433" s="70" t="str">
        <f>IF(VLOOKUP(B433,'x Malzemeler ve Özellikleri'!$B$2:$M$136,12,0)="ALÜMİNYUM",'1PROJE'!$H$17,"")</f>
        <v/>
      </c>
      <c r="D433" s="67">
        <f t="shared" si="74"/>
        <v>0</v>
      </c>
      <c r="E433" s="69" t="e">
        <f>HLOOKUP(B433,xHesaplama!$AH$26:$FH$66,32,0)</f>
        <v>#N/A</v>
      </c>
      <c r="F433" s="76">
        <f t="shared" si="70"/>
        <v>0</v>
      </c>
      <c r="G433" s="70">
        <f t="shared" si="75"/>
        <v>0</v>
      </c>
      <c r="H433" s="69" t="str">
        <f t="shared" si="71"/>
        <v/>
      </c>
      <c r="I433" s="145">
        <v>0</v>
      </c>
      <c r="J433" s="619"/>
      <c r="K433" s="81">
        <f>IFERROR(VLOOKUP(B433,'x Malzemeler ve Özellikleri'!$O$1:$Q$181,3,0)*F433,0)</f>
        <v>0</v>
      </c>
    </row>
    <row r="434" spans="1:11" ht="19.5">
      <c r="A434" s="67">
        <f t="shared" si="72"/>
        <v>0</v>
      </c>
      <c r="B434" s="67">
        <f t="shared" si="73"/>
        <v>0</v>
      </c>
      <c r="C434" s="70" t="str">
        <f>IF(VLOOKUP(B434,'x Malzemeler ve Özellikleri'!$B$2:$M$136,12,0)="ALÜMİNYUM",'1PROJE'!$H$17,"")</f>
        <v/>
      </c>
      <c r="D434" s="67">
        <f t="shared" si="74"/>
        <v>0</v>
      </c>
      <c r="E434" s="69" t="e">
        <f>HLOOKUP(B434,xHesaplama!$AH$26:$FH$66,32,0)</f>
        <v>#N/A</v>
      </c>
      <c r="F434" s="76">
        <f t="shared" si="70"/>
        <v>0</v>
      </c>
      <c r="G434" s="70">
        <f t="shared" si="75"/>
        <v>0</v>
      </c>
      <c r="H434" s="69" t="str">
        <f t="shared" si="71"/>
        <v/>
      </c>
      <c r="I434" s="145">
        <v>0</v>
      </c>
      <c r="J434" s="619"/>
      <c r="K434" s="81">
        <f>IFERROR(VLOOKUP(B434,'x Malzemeler ve Özellikleri'!$O$1:$Q$181,3,0)*F434,0)</f>
        <v>0</v>
      </c>
    </row>
    <row r="435" spans="1:11" ht="19.5">
      <c r="A435" s="67">
        <f t="shared" si="72"/>
        <v>0</v>
      </c>
      <c r="B435" s="67">
        <f t="shared" si="73"/>
        <v>0</v>
      </c>
      <c r="C435" s="70" t="str">
        <f>IF(VLOOKUP(B435,'x Malzemeler ve Özellikleri'!$B$2:$M$136,12,0)="ALÜMİNYUM",'1PROJE'!$H$17,"")</f>
        <v/>
      </c>
      <c r="D435" s="67">
        <f t="shared" si="74"/>
        <v>0</v>
      </c>
      <c r="E435" s="69" t="e">
        <f>HLOOKUP(B435,xHesaplama!$AH$26:$FH$66,32,0)</f>
        <v>#N/A</v>
      </c>
      <c r="F435" s="76">
        <f t="shared" si="70"/>
        <v>0</v>
      </c>
      <c r="G435" s="70">
        <f t="shared" si="75"/>
        <v>0</v>
      </c>
      <c r="H435" s="69" t="str">
        <f t="shared" si="71"/>
        <v/>
      </c>
      <c r="I435" s="145">
        <v>0</v>
      </c>
      <c r="J435" s="619"/>
      <c r="K435" s="81">
        <f>IFERROR(VLOOKUP(B435,'x Malzemeler ve Özellikleri'!$O$1:$Q$181,3,0)*F435,0)</f>
        <v>0</v>
      </c>
    </row>
    <row r="436" spans="1:11" ht="19.5">
      <c r="A436" s="67">
        <f t="shared" si="72"/>
        <v>0</v>
      </c>
      <c r="B436" s="67">
        <f t="shared" si="73"/>
        <v>0</v>
      </c>
      <c r="C436" s="70" t="str">
        <f>IF(VLOOKUP(B436,'x Malzemeler ve Özellikleri'!$B$2:$M$136,12,0)="ALÜMİNYUM",'1PROJE'!$H$17,"")</f>
        <v/>
      </c>
      <c r="D436" s="67">
        <f t="shared" si="74"/>
        <v>0</v>
      </c>
      <c r="E436" s="69" t="e">
        <f>HLOOKUP(B436,xHesaplama!$AH$26:$FH$66,32,0)</f>
        <v>#N/A</v>
      </c>
      <c r="F436" s="76">
        <f t="shared" si="70"/>
        <v>0</v>
      </c>
      <c r="G436" s="70">
        <f t="shared" si="75"/>
        <v>0</v>
      </c>
      <c r="H436" s="69" t="str">
        <f t="shared" si="71"/>
        <v/>
      </c>
      <c r="I436" s="145">
        <v>0</v>
      </c>
      <c r="J436" s="619"/>
      <c r="K436" s="81">
        <f>IFERROR(VLOOKUP(B436,'x Malzemeler ve Özellikleri'!$O$1:$Q$181,3,0)*F436,0)</f>
        <v>0</v>
      </c>
    </row>
    <row r="437" spans="1:11" ht="19.5">
      <c r="A437" s="67">
        <f t="shared" si="72"/>
        <v>0</v>
      </c>
      <c r="B437" s="67">
        <f t="shared" si="73"/>
        <v>0</v>
      </c>
      <c r="C437" s="70" t="str">
        <f>IF(VLOOKUP(B437,'x Malzemeler ve Özellikleri'!$B$2:$M$136,12,0)="ALÜMİNYUM",'1PROJE'!$H$17,"")</f>
        <v/>
      </c>
      <c r="D437" s="67">
        <f t="shared" si="74"/>
        <v>0</v>
      </c>
      <c r="E437" s="69" t="e">
        <f>HLOOKUP(B437,xHesaplama!$AH$26:$FH$66,32,0)</f>
        <v>#N/A</v>
      </c>
      <c r="F437" s="76">
        <f t="shared" si="70"/>
        <v>0</v>
      </c>
      <c r="G437" s="70">
        <f t="shared" si="75"/>
        <v>0</v>
      </c>
      <c r="H437" s="69" t="str">
        <f t="shared" si="71"/>
        <v/>
      </c>
      <c r="I437" s="145">
        <v>0</v>
      </c>
      <c r="J437" s="619"/>
      <c r="K437" s="81">
        <f>IFERROR(VLOOKUP(B437,'x Malzemeler ve Özellikleri'!$O$1:$Q$181,3,0)*F437,0)</f>
        <v>0</v>
      </c>
    </row>
    <row r="438" spans="1:11" ht="19.5">
      <c r="A438" s="67">
        <f t="shared" si="72"/>
        <v>0</v>
      </c>
      <c r="B438" s="67">
        <f t="shared" si="73"/>
        <v>0</v>
      </c>
      <c r="C438" s="70" t="str">
        <f>IF(VLOOKUP(B438,'x Malzemeler ve Özellikleri'!$B$2:$M$136,12,0)="ALÜMİNYUM",'1PROJE'!$H$17,"")</f>
        <v/>
      </c>
      <c r="D438" s="67">
        <f t="shared" si="74"/>
        <v>0</v>
      </c>
      <c r="E438" s="69" t="e">
        <f>HLOOKUP(B438,xHesaplama!$AH$26:$FH$66,32,0)</f>
        <v>#N/A</v>
      </c>
      <c r="F438" s="76">
        <f t="shared" si="70"/>
        <v>0</v>
      </c>
      <c r="G438" s="70">
        <f t="shared" si="75"/>
        <v>0</v>
      </c>
      <c r="H438" s="69" t="str">
        <f t="shared" si="71"/>
        <v/>
      </c>
      <c r="I438" s="145">
        <v>0</v>
      </c>
      <c r="J438" s="619"/>
      <c r="K438" s="81">
        <f>IFERROR(VLOOKUP(B438,'x Malzemeler ve Özellikleri'!$O$1:$Q$181,3,0)*F438,0)</f>
        <v>0</v>
      </c>
    </row>
    <row r="439" spans="1:11" ht="19.5">
      <c r="A439" s="67">
        <f t="shared" si="72"/>
        <v>0</v>
      </c>
      <c r="B439" s="67">
        <f t="shared" si="73"/>
        <v>0</v>
      </c>
      <c r="C439" s="70" t="str">
        <f>IF(VLOOKUP(B439,'x Malzemeler ve Özellikleri'!$B$2:$M$136,12,0)="ALÜMİNYUM",'1PROJE'!$H$17,"")</f>
        <v/>
      </c>
      <c r="D439" s="67">
        <f t="shared" si="74"/>
        <v>0</v>
      </c>
      <c r="E439" s="69" t="e">
        <f>HLOOKUP(B439,xHesaplama!$AH$26:$FH$66,32,0)</f>
        <v>#N/A</v>
      </c>
      <c r="F439" s="76">
        <f t="shared" si="70"/>
        <v>0</v>
      </c>
      <c r="G439" s="70">
        <f t="shared" si="75"/>
        <v>0</v>
      </c>
      <c r="H439" s="69" t="str">
        <f t="shared" si="71"/>
        <v/>
      </c>
      <c r="I439" s="145">
        <v>0</v>
      </c>
      <c r="J439" s="619"/>
      <c r="K439" s="81">
        <f>IFERROR(VLOOKUP(B439,'x Malzemeler ve Özellikleri'!$O$1:$Q$181,3,0)*F439,0)</f>
        <v>0</v>
      </c>
    </row>
    <row r="440" spans="1:11" ht="19.5">
      <c r="A440" s="67">
        <f t="shared" si="72"/>
        <v>0</v>
      </c>
      <c r="B440" s="67">
        <f t="shared" si="73"/>
        <v>0</v>
      </c>
      <c r="C440" s="70" t="str">
        <f>IF(VLOOKUP(B440,'x Malzemeler ve Özellikleri'!$B$2:$M$136,12,0)="ALÜMİNYUM",'1PROJE'!$H$17,"")</f>
        <v/>
      </c>
      <c r="D440" s="67">
        <f t="shared" si="74"/>
        <v>0</v>
      </c>
      <c r="E440" s="69" t="e">
        <f>HLOOKUP(B440,xHesaplama!$AH$26:$FH$66,32,0)</f>
        <v>#N/A</v>
      </c>
      <c r="F440" s="76">
        <f t="shared" si="70"/>
        <v>0</v>
      </c>
      <c r="G440" s="70">
        <f t="shared" si="75"/>
        <v>0</v>
      </c>
      <c r="H440" s="69" t="str">
        <f t="shared" si="71"/>
        <v/>
      </c>
      <c r="I440" s="145">
        <v>0</v>
      </c>
      <c r="J440" s="619"/>
      <c r="K440" s="81">
        <f>IFERROR(VLOOKUP(B440,'x Malzemeler ve Özellikleri'!$O$1:$Q$181,3,0)*F440,0)</f>
        <v>0</v>
      </c>
    </row>
    <row r="441" spans="1:11" ht="19.5">
      <c r="A441" s="67">
        <f t="shared" si="72"/>
        <v>0</v>
      </c>
      <c r="B441" s="67">
        <f t="shared" si="73"/>
        <v>0</v>
      </c>
      <c r="C441" s="70" t="str">
        <f>IF(VLOOKUP(B441,'x Malzemeler ve Özellikleri'!$B$2:$M$136,12,0)="ALÜMİNYUM",'1PROJE'!$H$17,"")</f>
        <v/>
      </c>
      <c r="D441" s="67">
        <f t="shared" si="74"/>
        <v>0</v>
      </c>
      <c r="E441" s="69" t="e">
        <f>HLOOKUP(B441,xHesaplama!$AH$26:$FH$66,32,0)</f>
        <v>#N/A</v>
      </c>
      <c r="F441" s="76">
        <f t="shared" si="70"/>
        <v>0</v>
      </c>
      <c r="G441" s="70">
        <f t="shared" si="75"/>
        <v>0</v>
      </c>
      <c r="H441" s="69" t="str">
        <f t="shared" si="71"/>
        <v/>
      </c>
      <c r="I441" s="145">
        <v>0</v>
      </c>
      <c r="J441" s="619"/>
      <c r="K441" s="81">
        <f>IFERROR(VLOOKUP(B441,'x Malzemeler ve Özellikleri'!$O$1:$Q$181,3,0)*F441,0)</f>
        <v>0</v>
      </c>
    </row>
    <row r="442" spans="1:11" ht="19.5">
      <c r="A442" s="67">
        <f t="shared" si="72"/>
        <v>0</v>
      </c>
      <c r="B442" s="67">
        <f t="shared" si="73"/>
        <v>0</v>
      </c>
      <c r="C442" s="70" t="str">
        <f>IF(VLOOKUP(B442,'x Malzemeler ve Özellikleri'!$B$2:$M$136,12,0)="ALÜMİNYUM",'1PROJE'!$H$17,"")</f>
        <v/>
      </c>
      <c r="D442" s="67">
        <f t="shared" si="74"/>
        <v>0</v>
      </c>
      <c r="E442" s="69" t="e">
        <f>HLOOKUP(B442,xHesaplama!$AH$26:$FH$66,32,0)</f>
        <v>#N/A</v>
      </c>
      <c r="F442" s="76">
        <f t="shared" si="70"/>
        <v>0</v>
      </c>
      <c r="G442" s="70">
        <f t="shared" si="75"/>
        <v>0</v>
      </c>
      <c r="H442" s="69" t="str">
        <f t="shared" si="71"/>
        <v/>
      </c>
      <c r="I442" s="145">
        <v>0</v>
      </c>
      <c r="J442" s="619"/>
      <c r="K442" s="81">
        <f>IFERROR(VLOOKUP(B442,'x Malzemeler ve Özellikleri'!$O$1:$Q$181,3,0)*F442,0)</f>
        <v>0</v>
      </c>
    </row>
    <row r="443" spans="1:11" ht="19.5">
      <c r="A443" s="67">
        <f t="shared" si="72"/>
        <v>0</v>
      </c>
      <c r="B443" s="67">
        <f t="shared" si="73"/>
        <v>0</v>
      </c>
      <c r="C443" s="70" t="str">
        <f>IF(VLOOKUP(B443,'x Malzemeler ve Özellikleri'!$B$2:$M$136,12,0)="ALÜMİNYUM",'1PROJE'!$H$17,"")</f>
        <v/>
      </c>
      <c r="D443" s="67">
        <f t="shared" si="74"/>
        <v>0</v>
      </c>
      <c r="E443" s="69" t="e">
        <f>HLOOKUP(B443,xHesaplama!$AH$26:$FH$66,32,0)</f>
        <v>#N/A</v>
      </c>
      <c r="F443" s="76">
        <f t="shared" si="70"/>
        <v>0</v>
      </c>
      <c r="G443" s="70">
        <f t="shared" si="75"/>
        <v>0</v>
      </c>
      <c r="H443" s="69" t="str">
        <f t="shared" si="71"/>
        <v/>
      </c>
      <c r="I443" s="145">
        <v>0</v>
      </c>
      <c r="J443" s="619"/>
      <c r="K443" s="81">
        <f>IFERROR(VLOOKUP(B443,'x Malzemeler ve Özellikleri'!$O$1:$Q$181,3,0)*F443,0)</f>
        <v>0</v>
      </c>
    </row>
    <row r="444" spans="1:11" ht="19.5">
      <c r="A444" s="67">
        <f t="shared" si="72"/>
        <v>0</v>
      </c>
      <c r="B444" s="67">
        <f t="shared" si="73"/>
        <v>0</v>
      </c>
      <c r="C444" s="70" t="str">
        <f>IF(VLOOKUP(B444,'x Malzemeler ve Özellikleri'!$B$2:$M$136,12,0)="ALÜMİNYUM",'1PROJE'!$H$17,"")</f>
        <v/>
      </c>
      <c r="D444" s="67">
        <f t="shared" si="74"/>
        <v>0</v>
      </c>
      <c r="E444" s="69" t="e">
        <f>HLOOKUP(B444,xHesaplama!$AH$26:$FH$66,32,0)</f>
        <v>#N/A</v>
      </c>
      <c r="F444" s="76">
        <f t="shared" si="70"/>
        <v>0</v>
      </c>
      <c r="G444" s="70">
        <f t="shared" si="75"/>
        <v>0</v>
      </c>
      <c r="H444" s="69" t="str">
        <f t="shared" si="71"/>
        <v/>
      </c>
      <c r="I444" s="145">
        <v>0</v>
      </c>
      <c r="J444" s="619"/>
      <c r="K444" s="81">
        <f>IFERROR(VLOOKUP(B444,'x Malzemeler ve Özellikleri'!$O$1:$Q$181,3,0)*F444,0)</f>
        <v>0</v>
      </c>
    </row>
    <row r="445" spans="1:11" ht="19.5">
      <c r="A445" s="67">
        <f t="shared" si="72"/>
        <v>0</v>
      </c>
      <c r="B445" s="67">
        <f t="shared" si="73"/>
        <v>0</v>
      </c>
      <c r="C445" s="70" t="str">
        <f>IF(VLOOKUP(B445,'x Malzemeler ve Özellikleri'!$B$2:$M$136,12,0)="ALÜMİNYUM",'1PROJE'!$H$17,"")</f>
        <v/>
      </c>
      <c r="D445" s="67">
        <f t="shared" si="74"/>
        <v>0</v>
      </c>
      <c r="E445" s="69" t="e">
        <f>HLOOKUP(B445,xHesaplama!$AH$26:$FH$66,32,0)</f>
        <v>#N/A</v>
      </c>
      <c r="F445" s="76">
        <f t="shared" si="70"/>
        <v>0</v>
      </c>
      <c r="G445" s="70">
        <f t="shared" si="75"/>
        <v>0</v>
      </c>
      <c r="H445" s="69" t="str">
        <f t="shared" si="71"/>
        <v/>
      </c>
      <c r="I445" s="145">
        <v>0</v>
      </c>
      <c r="J445" s="619"/>
      <c r="K445" s="81">
        <f>IFERROR(VLOOKUP(B445,'x Malzemeler ve Özellikleri'!$O$1:$Q$181,3,0)*F445,0)</f>
        <v>0</v>
      </c>
    </row>
    <row r="446" spans="1:11" ht="19.5">
      <c r="A446" s="67">
        <f t="shared" si="72"/>
        <v>0</v>
      </c>
      <c r="B446" s="67">
        <f t="shared" si="73"/>
        <v>0</v>
      </c>
      <c r="C446" s="70" t="str">
        <f>IF(VLOOKUP(B446,'x Malzemeler ve Özellikleri'!$B$2:$M$136,12,0)="ALÜMİNYUM",'1PROJE'!$H$17,"")</f>
        <v/>
      </c>
      <c r="D446" s="67">
        <f t="shared" si="74"/>
        <v>0</v>
      </c>
      <c r="E446" s="69" t="e">
        <f>HLOOKUP(B446,xHesaplama!$AH$26:$FH$66,32,0)</f>
        <v>#N/A</v>
      </c>
      <c r="F446" s="76">
        <f t="shared" si="70"/>
        <v>0</v>
      </c>
      <c r="G446" s="70">
        <f t="shared" si="75"/>
        <v>0</v>
      </c>
      <c r="H446" s="69" t="str">
        <f t="shared" si="71"/>
        <v/>
      </c>
      <c r="I446" s="145">
        <v>0</v>
      </c>
      <c r="J446" s="619"/>
      <c r="K446" s="81">
        <f>IFERROR(VLOOKUP(B446,'x Malzemeler ve Özellikleri'!$O$1:$Q$181,3,0)*F446,0)</f>
        <v>0</v>
      </c>
    </row>
    <row r="447" spans="1:11" ht="19.5">
      <c r="A447" s="67">
        <f t="shared" si="72"/>
        <v>0</v>
      </c>
      <c r="B447" s="67">
        <f t="shared" si="73"/>
        <v>0</v>
      </c>
      <c r="C447" s="70" t="str">
        <f>IF(VLOOKUP(B447,'x Malzemeler ve Özellikleri'!$B$2:$M$136,12,0)="ALÜMİNYUM",'1PROJE'!$H$17,"")</f>
        <v/>
      </c>
      <c r="D447" s="67">
        <f t="shared" si="74"/>
        <v>0</v>
      </c>
      <c r="E447" s="69" t="e">
        <f>HLOOKUP(B447,xHesaplama!$AH$26:$FH$66,32,0)</f>
        <v>#N/A</v>
      </c>
      <c r="F447" s="76">
        <f t="shared" si="70"/>
        <v>0</v>
      </c>
      <c r="G447" s="70">
        <f t="shared" si="75"/>
        <v>0</v>
      </c>
      <c r="H447" s="69" t="str">
        <f t="shared" si="71"/>
        <v/>
      </c>
      <c r="I447" s="145">
        <v>0</v>
      </c>
      <c r="J447" s="619"/>
      <c r="K447" s="81">
        <f>IFERROR(VLOOKUP(B447,'x Malzemeler ve Özellikleri'!$O$1:$Q$181,3,0)*F447,0)</f>
        <v>0</v>
      </c>
    </row>
    <row r="448" spans="1:11" ht="19.5">
      <c r="A448" s="67">
        <f t="shared" si="72"/>
        <v>0</v>
      </c>
      <c r="B448" s="67">
        <f t="shared" si="73"/>
        <v>0</v>
      </c>
      <c r="C448" s="70" t="str">
        <f>IF(VLOOKUP(B448,'x Malzemeler ve Özellikleri'!$B$2:$M$136,12,0)="ALÜMİNYUM",'1PROJE'!$H$17,"")</f>
        <v/>
      </c>
      <c r="D448" s="67">
        <f t="shared" si="74"/>
        <v>0</v>
      </c>
      <c r="E448" s="69" t="e">
        <f>HLOOKUP(B448,xHesaplama!$AH$26:$FH$66,32,0)</f>
        <v>#N/A</v>
      </c>
      <c r="F448" s="76">
        <f t="shared" si="70"/>
        <v>0</v>
      </c>
      <c r="G448" s="70">
        <f t="shared" si="75"/>
        <v>0</v>
      </c>
      <c r="H448" s="69" t="str">
        <f t="shared" si="71"/>
        <v/>
      </c>
      <c r="I448" s="145">
        <v>0</v>
      </c>
      <c r="J448" s="619"/>
      <c r="K448" s="81">
        <f>IFERROR(VLOOKUP(B448,'x Malzemeler ve Özellikleri'!$O$1:$Q$181,3,0)*F448,0)</f>
        <v>0</v>
      </c>
    </row>
    <row r="449" spans="1:40" ht="19.5">
      <c r="A449" s="67">
        <f t="shared" si="72"/>
        <v>0</v>
      </c>
      <c r="B449" s="67">
        <f t="shared" si="73"/>
        <v>0</v>
      </c>
      <c r="C449" s="70" t="str">
        <f>IF(VLOOKUP(B449,'x Malzemeler ve Özellikleri'!$B$2:$M$136,12,0)="ALÜMİNYUM",'1PROJE'!$H$17,"")</f>
        <v/>
      </c>
      <c r="D449" s="67">
        <f t="shared" si="74"/>
        <v>0</v>
      </c>
      <c r="E449" s="69" t="e">
        <f>HLOOKUP(B449,xHesaplama!$AH$26:$FH$66,32,0)</f>
        <v>#N/A</v>
      </c>
      <c r="F449" s="76">
        <f t="shared" si="70"/>
        <v>0</v>
      </c>
      <c r="G449" s="70">
        <f t="shared" si="75"/>
        <v>0</v>
      </c>
      <c r="H449" s="69" t="str">
        <f t="shared" si="71"/>
        <v/>
      </c>
      <c r="I449" s="145">
        <v>0</v>
      </c>
      <c r="J449" s="619"/>
      <c r="K449" s="81">
        <f>IFERROR(VLOOKUP(B449,'x Malzemeler ve Özellikleri'!$O$1:$Q$181,3,0)*F449,0)</f>
        <v>0</v>
      </c>
    </row>
    <row r="450" spans="1:40" ht="19.5">
      <c r="A450" s="67">
        <f t="shared" si="72"/>
        <v>0</v>
      </c>
      <c r="B450" s="67">
        <f t="shared" si="73"/>
        <v>0</v>
      </c>
      <c r="C450" s="70" t="str">
        <f>IF(VLOOKUP(B450,'x Malzemeler ve Özellikleri'!$B$2:$M$136,12,0)="ALÜMİNYUM",'1PROJE'!$H$17,"")</f>
        <v/>
      </c>
      <c r="D450" s="67">
        <f t="shared" si="74"/>
        <v>0</v>
      </c>
      <c r="E450" s="69" t="e">
        <f>HLOOKUP(B450,xHesaplama!$AH$26:$FH$66,32,0)</f>
        <v>#N/A</v>
      </c>
      <c r="F450" s="76">
        <f t="shared" si="70"/>
        <v>0</v>
      </c>
      <c r="G450" s="70">
        <f t="shared" si="75"/>
        <v>0</v>
      </c>
      <c r="H450" s="69" t="str">
        <f t="shared" si="71"/>
        <v/>
      </c>
      <c r="I450" s="145">
        <v>0</v>
      </c>
      <c r="J450" s="619"/>
      <c r="K450" s="81">
        <f>IFERROR(VLOOKUP(B450,'x Malzemeler ve Özellikleri'!$O$1:$Q$181,3,0)*F450,0)</f>
        <v>0</v>
      </c>
    </row>
    <row r="451" spans="1:40" ht="20.25" thickBot="1">
      <c r="A451" s="67">
        <f t="shared" si="72"/>
        <v>0</v>
      </c>
      <c r="B451" s="67">
        <f t="shared" si="73"/>
        <v>0</v>
      </c>
      <c r="C451" s="70" t="str">
        <f>IF(VLOOKUP(B451,'x Malzemeler ve Özellikleri'!$B$2:$M$136,12,0)="ALÜMİNYUM",'1PROJE'!$H$17,"")</f>
        <v/>
      </c>
      <c r="D451" s="67">
        <f t="shared" si="74"/>
        <v>0</v>
      </c>
      <c r="E451" s="69" t="e">
        <f>HLOOKUP(B451,xHesaplama!$AH$26:$FH$66,32,0)</f>
        <v>#N/A</v>
      </c>
      <c r="F451" s="76">
        <f t="shared" si="70"/>
        <v>0</v>
      </c>
      <c r="G451" s="70">
        <f t="shared" si="75"/>
        <v>0</v>
      </c>
      <c r="H451" s="69" t="str">
        <f t="shared" si="71"/>
        <v/>
      </c>
      <c r="I451" s="145">
        <v>0</v>
      </c>
      <c r="J451" s="620"/>
      <c r="K451" s="81">
        <f>IFERROR(VLOOKUP(B451,'x Malzemeler ve Özellikleri'!$O$1:$Q$181,3,0)*F451,0)</f>
        <v>0</v>
      </c>
    </row>
    <row r="452" spans="1:40" ht="30" thickBot="1">
      <c r="A452" s="64" t="str">
        <f>"POZ"&amp;" "&amp;J453</f>
        <v>POZ 12</v>
      </c>
      <c r="C452" s="243">
        <f>xHesaplama!C38</f>
        <v>0</v>
      </c>
      <c r="D452" s="64" t="s">
        <v>357</v>
      </c>
      <c r="F452" s="74"/>
      <c r="G452" s="72" t="s">
        <v>786</v>
      </c>
      <c r="H452" s="65"/>
      <c r="I452" s="71">
        <f>SUM(H454:H492)</f>
        <v>0</v>
      </c>
      <c r="L452" t="str" cm="1">
        <f t="array" ref="L452:AJ452">_xlfn._xlws.FILTER(REÇETE!$D$11:$AB$142,REÇETE!$T$11:$T$142&lt;&gt;"","")</f>
        <v>EXCEL KODU</v>
      </c>
      <c r="M452" t="str">
        <v>PARÇA BİRİM</v>
      </c>
      <c r="N452" t="str">
        <v>PARÇA ADI</v>
      </c>
      <c r="O452" t="str">
        <v>MALZEME KODU</v>
      </c>
      <c r="P452" t="str">
        <v>BİRİM FİYAT</v>
      </c>
      <c r="Q452" t="str">
        <v>POZ 1</v>
      </c>
      <c r="R452" t="str">
        <v>POZ 2</v>
      </c>
      <c r="S452" t="str">
        <v>POZ 3</v>
      </c>
      <c r="T452" t="str">
        <v>POZ 4</v>
      </c>
      <c r="U452" t="str">
        <v>POZ 5</v>
      </c>
      <c r="V452" t="str">
        <v>POZ 6</v>
      </c>
      <c r="W452" t="str">
        <v>POZ 7</v>
      </c>
      <c r="X452" t="str">
        <v>POZ 8</v>
      </c>
      <c r="Y452" t="str">
        <v>POZ 9</v>
      </c>
      <c r="Z452" t="str">
        <v>POZ 10</v>
      </c>
      <c r="AA452" t="str">
        <v>POZ 11</v>
      </c>
      <c r="AB452" t="str">
        <v>POZ 12</v>
      </c>
      <c r="AC452" t="str">
        <v>POZ 13</v>
      </c>
      <c r="AD452" t="str">
        <v>POZ 14</v>
      </c>
      <c r="AE452" t="str">
        <v>POZ 15</v>
      </c>
      <c r="AF452" t="str">
        <v>POZ 16</v>
      </c>
      <c r="AG452" t="str">
        <v>POZ 17</v>
      </c>
      <c r="AH452" t="str">
        <v>POZ 18</v>
      </c>
      <c r="AI452" t="str">
        <v>POZ 19</v>
      </c>
      <c r="AJ452" t="str">
        <v>POZ 20</v>
      </c>
    </row>
    <row r="453" spans="1:40">
      <c r="A453" s="66" t="s">
        <v>782</v>
      </c>
      <c r="B453" s="66" t="s">
        <v>409</v>
      </c>
      <c r="C453" s="68"/>
      <c r="D453" s="66" t="s">
        <v>15</v>
      </c>
      <c r="E453" s="68" t="s">
        <v>808</v>
      </c>
      <c r="F453" s="75" t="s">
        <v>785</v>
      </c>
      <c r="G453" s="68" t="s">
        <v>650</v>
      </c>
      <c r="H453" s="68" t="s">
        <v>355</v>
      </c>
      <c r="J453" s="618">
        <v>12</v>
      </c>
      <c r="K453" s="221">
        <f>SUM(K454:K492)</f>
        <v>0</v>
      </c>
    </row>
    <row r="454" spans="1:40" ht="19.5">
      <c r="A454" s="67">
        <f>xHesaplama!H38</f>
        <v>0</v>
      </c>
      <c r="B454" s="67"/>
      <c r="C454" s="70">
        <f>xHesaplama!I38</f>
        <v>0</v>
      </c>
      <c r="D454" s="67">
        <f>xHesaplama!I38</f>
        <v>0</v>
      </c>
      <c r="E454" s="69" t="e">
        <f>xHesaplama!AC38</f>
        <v>#N/A</v>
      </c>
      <c r="F454" s="76">
        <f>xHesaplama!AD38*C452</f>
        <v>0</v>
      </c>
      <c r="G454" s="70" t="s">
        <v>817</v>
      </c>
      <c r="H454" s="69">
        <f t="shared" ref="H454:H455" si="76">IFERROR(E454*F454,0)</f>
        <v>0</v>
      </c>
      <c r="I454" s="145">
        <v>0</v>
      </c>
      <c r="J454" s="619"/>
      <c r="K454" s="81">
        <f>IFERROR(VLOOKUP(A454,'x Malzemeler ve Özellikleri'!$N$1:$Q$181,4,0)*F454,0)</f>
        <v>0</v>
      </c>
      <c r="AN454" s="84" cm="1">
        <f t="array" ref="AN454">_xlfn._xlws.FILTER(A454:I492,I454:I492,0)</f>
        <v>0</v>
      </c>
    </row>
    <row r="455" spans="1:40" ht="19.5">
      <c r="A455" s="67" t="s">
        <v>105</v>
      </c>
      <c r="B455" s="67"/>
      <c r="C455" s="70"/>
      <c r="D455" s="67">
        <f>xHesaplama!J38</f>
        <v>0</v>
      </c>
      <c r="E455" s="69" t="e">
        <f>xHesaplama!AB38</f>
        <v>#N/A</v>
      </c>
      <c r="F455" s="76">
        <f>C452</f>
        <v>0</v>
      </c>
      <c r="G455" s="70" t="s">
        <v>357</v>
      </c>
      <c r="H455" s="69">
        <f t="shared" si="76"/>
        <v>0</v>
      </c>
      <c r="I455" s="145">
        <v>0</v>
      </c>
      <c r="J455" s="619"/>
      <c r="K455" s="81">
        <f>IFERROR(VLOOKUP(D455,'x Malzemeler ve Özellikleri'!$N$1:$Q$181,4,0)*F455,0)</f>
        <v>0</v>
      </c>
    </row>
    <row r="456" spans="1:40" ht="19.5">
      <c r="A456" s="67">
        <f>N453</f>
        <v>0</v>
      </c>
      <c r="B456" s="67">
        <f>L453</f>
        <v>0</v>
      </c>
      <c r="C456" s="70" t="str">
        <f>IF(VLOOKUP(B456,'x Malzemeler ve Özellikleri'!$B$2:$M$136,12,0)="ALÜMİNYUM",'1PROJE'!$H$18,"")</f>
        <v/>
      </c>
      <c r="D456" s="67">
        <f>O453</f>
        <v>0</v>
      </c>
      <c r="E456" s="69" t="e">
        <f>HLOOKUP(B456,xHesaplama!$AH$26:$FH$66,33,0)</f>
        <v>#N/A</v>
      </c>
      <c r="F456" s="76">
        <f t="shared" ref="F456:F492" si="77">AB453*$C$452</f>
        <v>0</v>
      </c>
      <c r="G456" s="70">
        <f>M453</f>
        <v>0</v>
      </c>
      <c r="H456" s="69" t="str">
        <f t="shared" ref="H456:H492" si="78">IFERROR(E456*$C$452,"")</f>
        <v/>
      </c>
      <c r="I456" s="145">
        <v>0</v>
      </c>
      <c r="J456" s="619"/>
      <c r="K456" s="81">
        <f>IFERROR(VLOOKUP(B456,'x Malzemeler ve Özellikleri'!$O$1:$Q$181,3,0)*F456,0)</f>
        <v>0</v>
      </c>
    </row>
    <row r="457" spans="1:40" ht="19.5">
      <c r="A457" s="67">
        <f t="shared" ref="A457:A492" si="79">N454</f>
        <v>0</v>
      </c>
      <c r="B457" s="67">
        <f t="shared" ref="B457:B492" si="80">L454</f>
        <v>0</v>
      </c>
      <c r="C457" s="70" t="str">
        <f>IF(VLOOKUP(B457,'x Malzemeler ve Özellikleri'!$B$2:$M$136,12,0)="ALÜMİNYUM",'1PROJE'!$H$18,"")</f>
        <v/>
      </c>
      <c r="D457" s="67">
        <f t="shared" ref="D457:D492" si="81">O454</f>
        <v>0</v>
      </c>
      <c r="E457" s="69" t="e">
        <f>HLOOKUP(B457,xHesaplama!$AH$26:$FH$66,33,0)</f>
        <v>#N/A</v>
      </c>
      <c r="F457" s="76">
        <f t="shared" si="77"/>
        <v>0</v>
      </c>
      <c r="G457" s="70">
        <f t="shared" ref="G457:G492" si="82">M454</f>
        <v>0</v>
      </c>
      <c r="H457" s="69" t="str">
        <f t="shared" si="78"/>
        <v/>
      </c>
      <c r="I457" s="145">
        <v>0</v>
      </c>
      <c r="J457" s="619"/>
      <c r="K457" s="81">
        <f>IFERROR(VLOOKUP(B457,'x Malzemeler ve Özellikleri'!$O$1:$Q$181,3,0)*F457,0)</f>
        <v>0</v>
      </c>
    </row>
    <row r="458" spans="1:40" ht="19.5">
      <c r="A458" s="67">
        <f t="shared" si="79"/>
        <v>0</v>
      </c>
      <c r="B458" s="67">
        <f t="shared" si="80"/>
        <v>0</v>
      </c>
      <c r="C458" s="70" t="str">
        <f>IF(VLOOKUP(B458,'x Malzemeler ve Özellikleri'!$B$2:$M$136,12,0)="ALÜMİNYUM",'1PROJE'!$H$18,"")</f>
        <v/>
      </c>
      <c r="D458" s="67">
        <f t="shared" si="81"/>
        <v>0</v>
      </c>
      <c r="E458" s="69" t="e">
        <f>HLOOKUP(B458,xHesaplama!$AH$26:$FH$66,33,0)</f>
        <v>#N/A</v>
      </c>
      <c r="F458" s="76">
        <f t="shared" si="77"/>
        <v>0</v>
      </c>
      <c r="G458" s="70">
        <f t="shared" si="82"/>
        <v>0</v>
      </c>
      <c r="H458" s="69" t="str">
        <f t="shared" si="78"/>
        <v/>
      </c>
      <c r="I458" s="145">
        <v>0</v>
      </c>
      <c r="J458" s="619"/>
      <c r="K458" s="81">
        <f>IFERROR(VLOOKUP(B458,'x Malzemeler ve Özellikleri'!$O$1:$Q$181,3,0)*F458,0)</f>
        <v>0</v>
      </c>
    </row>
    <row r="459" spans="1:40" ht="19.5">
      <c r="A459" s="67">
        <f t="shared" si="79"/>
        <v>0</v>
      </c>
      <c r="B459" s="67">
        <f t="shared" si="80"/>
        <v>0</v>
      </c>
      <c r="C459" s="70" t="str">
        <f>IF(VLOOKUP(B459,'x Malzemeler ve Özellikleri'!$B$2:$M$136,12,0)="ALÜMİNYUM",'1PROJE'!$H$18,"")</f>
        <v/>
      </c>
      <c r="D459" s="67">
        <f t="shared" si="81"/>
        <v>0</v>
      </c>
      <c r="E459" s="69" t="e">
        <f>HLOOKUP(B459,xHesaplama!$AH$26:$FH$66,33,0)</f>
        <v>#N/A</v>
      </c>
      <c r="F459" s="76">
        <f t="shared" si="77"/>
        <v>0</v>
      </c>
      <c r="G459" s="70">
        <f t="shared" si="82"/>
        <v>0</v>
      </c>
      <c r="H459" s="69" t="str">
        <f t="shared" si="78"/>
        <v/>
      </c>
      <c r="I459" s="145">
        <v>0</v>
      </c>
      <c r="J459" s="619"/>
      <c r="K459" s="81">
        <f>IFERROR(VLOOKUP(B459,'x Malzemeler ve Özellikleri'!$O$1:$Q$181,3,0)*F459,0)</f>
        <v>0</v>
      </c>
    </row>
    <row r="460" spans="1:40" ht="19.5">
      <c r="A460" s="67">
        <f t="shared" si="79"/>
        <v>0</v>
      </c>
      <c r="B460" s="67">
        <f t="shared" si="80"/>
        <v>0</v>
      </c>
      <c r="C460" s="70" t="str">
        <f>IF(VLOOKUP(B460,'x Malzemeler ve Özellikleri'!$B$2:$M$136,12,0)="ALÜMİNYUM",'1PROJE'!$H$18,"")</f>
        <v/>
      </c>
      <c r="D460" s="67">
        <f t="shared" si="81"/>
        <v>0</v>
      </c>
      <c r="E460" s="69" t="e">
        <f>HLOOKUP(B460,xHesaplama!$AH$26:$FH$66,33,0)</f>
        <v>#N/A</v>
      </c>
      <c r="F460" s="76">
        <f t="shared" si="77"/>
        <v>0</v>
      </c>
      <c r="G460" s="70">
        <f t="shared" si="82"/>
        <v>0</v>
      </c>
      <c r="H460" s="69" t="str">
        <f t="shared" si="78"/>
        <v/>
      </c>
      <c r="I460" s="145">
        <v>0</v>
      </c>
      <c r="J460" s="619"/>
      <c r="K460" s="81">
        <f>IFERROR(VLOOKUP(B460,'x Malzemeler ve Özellikleri'!$O$1:$Q$181,3,0)*F460,0)</f>
        <v>0</v>
      </c>
    </row>
    <row r="461" spans="1:40" ht="19.5">
      <c r="A461" s="67">
        <f t="shared" si="79"/>
        <v>0</v>
      </c>
      <c r="B461" s="67">
        <f t="shared" si="80"/>
        <v>0</v>
      </c>
      <c r="C461" s="70" t="str">
        <f>IF(VLOOKUP(B461,'x Malzemeler ve Özellikleri'!$B$2:$M$136,12,0)="ALÜMİNYUM",'1PROJE'!$H$18,"")</f>
        <v/>
      </c>
      <c r="D461" s="67">
        <f t="shared" si="81"/>
        <v>0</v>
      </c>
      <c r="E461" s="69" t="e">
        <f>HLOOKUP(B461,xHesaplama!$AH$26:$FH$66,33,0)</f>
        <v>#N/A</v>
      </c>
      <c r="F461" s="76">
        <f t="shared" si="77"/>
        <v>0</v>
      </c>
      <c r="G461" s="70">
        <f t="shared" si="82"/>
        <v>0</v>
      </c>
      <c r="H461" s="69" t="str">
        <f t="shared" si="78"/>
        <v/>
      </c>
      <c r="I461" s="145">
        <v>0</v>
      </c>
      <c r="J461" s="619"/>
      <c r="K461" s="81">
        <f>IFERROR(VLOOKUP(B461,'x Malzemeler ve Özellikleri'!$O$1:$Q$181,3,0)*F461,0)</f>
        <v>0</v>
      </c>
    </row>
    <row r="462" spans="1:40" ht="19.5">
      <c r="A462" s="67">
        <f t="shared" si="79"/>
        <v>0</v>
      </c>
      <c r="B462" s="67">
        <f t="shared" si="80"/>
        <v>0</v>
      </c>
      <c r="C462" s="70" t="str">
        <f>IF(VLOOKUP(B462,'x Malzemeler ve Özellikleri'!$B$2:$M$136,12,0)="ALÜMİNYUM",'1PROJE'!$H$18,"")</f>
        <v/>
      </c>
      <c r="D462" s="67">
        <f t="shared" si="81"/>
        <v>0</v>
      </c>
      <c r="E462" s="69" t="e">
        <f>HLOOKUP(B462,xHesaplama!$AH$26:$FH$66,33,0)</f>
        <v>#N/A</v>
      </c>
      <c r="F462" s="76">
        <f t="shared" si="77"/>
        <v>0</v>
      </c>
      <c r="G462" s="70">
        <f t="shared" si="82"/>
        <v>0</v>
      </c>
      <c r="H462" s="69" t="str">
        <f t="shared" si="78"/>
        <v/>
      </c>
      <c r="I462" s="145">
        <v>0</v>
      </c>
      <c r="J462" s="619"/>
      <c r="K462" s="81">
        <f>IFERROR(VLOOKUP(B462,'x Malzemeler ve Özellikleri'!$O$1:$Q$181,3,0)*F462,0)</f>
        <v>0</v>
      </c>
    </row>
    <row r="463" spans="1:40" ht="19.5">
      <c r="A463" s="67">
        <f t="shared" si="79"/>
        <v>0</v>
      </c>
      <c r="B463" s="67">
        <f t="shared" si="80"/>
        <v>0</v>
      </c>
      <c r="C463" s="70" t="str">
        <f>IF(VLOOKUP(B463,'x Malzemeler ve Özellikleri'!$B$2:$M$136,12,0)="ALÜMİNYUM",'1PROJE'!$H$18,"")</f>
        <v/>
      </c>
      <c r="D463" s="67">
        <f t="shared" si="81"/>
        <v>0</v>
      </c>
      <c r="E463" s="69" t="e">
        <f>HLOOKUP(B463,xHesaplama!$AH$26:$FH$66,33,0)</f>
        <v>#N/A</v>
      </c>
      <c r="F463" s="76">
        <f t="shared" si="77"/>
        <v>0</v>
      </c>
      <c r="G463" s="70">
        <f t="shared" si="82"/>
        <v>0</v>
      </c>
      <c r="H463" s="69" t="str">
        <f t="shared" si="78"/>
        <v/>
      </c>
      <c r="I463" s="145">
        <v>0</v>
      </c>
      <c r="J463" s="619"/>
      <c r="K463" s="81">
        <f>IFERROR(VLOOKUP(B463,'x Malzemeler ve Özellikleri'!$O$1:$Q$181,3,0)*F463,0)</f>
        <v>0</v>
      </c>
    </row>
    <row r="464" spans="1:40" ht="19.5">
      <c r="A464" s="67">
        <f t="shared" si="79"/>
        <v>0</v>
      </c>
      <c r="B464" s="67">
        <f t="shared" si="80"/>
        <v>0</v>
      </c>
      <c r="C464" s="70" t="str">
        <f>IF(VLOOKUP(B464,'x Malzemeler ve Özellikleri'!$B$2:$M$136,12,0)="ALÜMİNYUM",'1PROJE'!$H$18,"")</f>
        <v/>
      </c>
      <c r="D464" s="67">
        <f t="shared" si="81"/>
        <v>0</v>
      </c>
      <c r="E464" s="69" t="e">
        <f>HLOOKUP(B464,xHesaplama!$AH$26:$FH$66,33,0)</f>
        <v>#N/A</v>
      </c>
      <c r="F464" s="76">
        <f t="shared" si="77"/>
        <v>0</v>
      </c>
      <c r="G464" s="70">
        <f t="shared" si="82"/>
        <v>0</v>
      </c>
      <c r="H464" s="69" t="str">
        <f t="shared" si="78"/>
        <v/>
      </c>
      <c r="I464" s="145">
        <v>0</v>
      </c>
      <c r="J464" s="619"/>
      <c r="K464" s="81">
        <f>IFERROR(VLOOKUP(B464,'x Malzemeler ve Özellikleri'!$O$1:$Q$181,3,0)*F464,0)</f>
        <v>0</v>
      </c>
    </row>
    <row r="465" spans="1:11" ht="19.5">
      <c r="A465" s="67">
        <f t="shared" si="79"/>
        <v>0</v>
      </c>
      <c r="B465" s="67">
        <f t="shared" si="80"/>
        <v>0</v>
      </c>
      <c r="C465" s="70" t="str">
        <f>IF(VLOOKUP(B465,'x Malzemeler ve Özellikleri'!$B$2:$M$136,12,0)="ALÜMİNYUM",'1PROJE'!$H$18,"")</f>
        <v/>
      </c>
      <c r="D465" s="67">
        <f t="shared" si="81"/>
        <v>0</v>
      </c>
      <c r="E465" s="69" t="e">
        <f>HLOOKUP(B465,xHesaplama!$AH$26:$FH$66,33,0)</f>
        <v>#N/A</v>
      </c>
      <c r="F465" s="76">
        <f t="shared" si="77"/>
        <v>0</v>
      </c>
      <c r="G465" s="70">
        <f t="shared" si="82"/>
        <v>0</v>
      </c>
      <c r="H465" s="69" t="str">
        <f t="shared" si="78"/>
        <v/>
      </c>
      <c r="I465" s="145">
        <v>0</v>
      </c>
      <c r="J465" s="619"/>
      <c r="K465" s="81">
        <f>IFERROR(VLOOKUP(B465,'x Malzemeler ve Özellikleri'!$O$1:$Q$181,3,0)*F465,0)</f>
        <v>0</v>
      </c>
    </row>
    <row r="466" spans="1:11" ht="19.5">
      <c r="A466" s="67">
        <f t="shared" si="79"/>
        <v>0</v>
      </c>
      <c r="B466" s="67">
        <f t="shared" si="80"/>
        <v>0</v>
      </c>
      <c r="C466" s="70" t="str">
        <f>IF(VLOOKUP(B466,'x Malzemeler ve Özellikleri'!$B$2:$M$136,12,0)="ALÜMİNYUM",'1PROJE'!$H$18,"")</f>
        <v/>
      </c>
      <c r="D466" s="67">
        <f t="shared" si="81"/>
        <v>0</v>
      </c>
      <c r="E466" s="69" t="e">
        <f>HLOOKUP(B466,xHesaplama!$AH$26:$FH$66,33,0)</f>
        <v>#N/A</v>
      </c>
      <c r="F466" s="76">
        <f t="shared" si="77"/>
        <v>0</v>
      </c>
      <c r="G466" s="70">
        <f t="shared" si="82"/>
        <v>0</v>
      </c>
      <c r="H466" s="69" t="str">
        <f t="shared" si="78"/>
        <v/>
      </c>
      <c r="I466" s="145">
        <v>0</v>
      </c>
      <c r="J466" s="619"/>
      <c r="K466" s="81">
        <f>IFERROR(VLOOKUP(B466,'x Malzemeler ve Özellikleri'!$O$1:$Q$181,3,0)*F466,0)</f>
        <v>0</v>
      </c>
    </row>
    <row r="467" spans="1:11" ht="19.5">
      <c r="A467" s="67">
        <f t="shared" si="79"/>
        <v>0</v>
      </c>
      <c r="B467" s="67">
        <f t="shared" si="80"/>
        <v>0</v>
      </c>
      <c r="C467" s="70" t="str">
        <f>IF(VLOOKUP(B467,'x Malzemeler ve Özellikleri'!$B$2:$M$136,12,0)="ALÜMİNYUM",'1PROJE'!$H$18,"")</f>
        <v/>
      </c>
      <c r="D467" s="67">
        <f t="shared" si="81"/>
        <v>0</v>
      </c>
      <c r="E467" s="69" t="e">
        <f>HLOOKUP(B467,xHesaplama!$AH$26:$FH$66,33,0)</f>
        <v>#N/A</v>
      </c>
      <c r="F467" s="76">
        <f t="shared" si="77"/>
        <v>0</v>
      </c>
      <c r="G467" s="70">
        <f t="shared" si="82"/>
        <v>0</v>
      </c>
      <c r="H467" s="69" t="str">
        <f t="shared" si="78"/>
        <v/>
      </c>
      <c r="I467" s="145">
        <v>0</v>
      </c>
      <c r="J467" s="619"/>
      <c r="K467" s="81">
        <f>IFERROR(VLOOKUP(B467,'x Malzemeler ve Özellikleri'!$O$1:$Q$181,3,0)*F467,0)</f>
        <v>0</v>
      </c>
    </row>
    <row r="468" spans="1:11" ht="19.5">
      <c r="A468" s="67">
        <f t="shared" si="79"/>
        <v>0</v>
      </c>
      <c r="B468" s="67">
        <f t="shared" si="80"/>
        <v>0</v>
      </c>
      <c r="C468" s="70" t="str">
        <f>IF(VLOOKUP(B468,'x Malzemeler ve Özellikleri'!$B$2:$M$136,12,0)="ALÜMİNYUM",'1PROJE'!$H$18,"")</f>
        <v/>
      </c>
      <c r="D468" s="67">
        <f t="shared" si="81"/>
        <v>0</v>
      </c>
      <c r="E468" s="69" t="e">
        <f>HLOOKUP(B468,xHesaplama!$AH$26:$FH$66,33,0)</f>
        <v>#N/A</v>
      </c>
      <c r="F468" s="76">
        <f t="shared" si="77"/>
        <v>0</v>
      </c>
      <c r="G468" s="70">
        <f t="shared" si="82"/>
        <v>0</v>
      </c>
      <c r="H468" s="69" t="str">
        <f t="shared" si="78"/>
        <v/>
      </c>
      <c r="I468" s="145">
        <v>0</v>
      </c>
      <c r="J468" s="619"/>
      <c r="K468" s="81">
        <f>IFERROR(VLOOKUP(B468,'x Malzemeler ve Özellikleri'!$O$1:$Q$181,3,0)*F468,0)</f>
        <v>0</v>
      </c>
    </row>
    <row r="469" spans="1:11" ht="19.5">
      <c r="A469" s="67">
        <f t="shared" si="79"/>
        <v>0</v>
      </c>
      <c r="B469" s="67">
        <f t="shared" si="80"/>
        <v>0</v>
      </c>
      <c r="C469" s="70" t="str">
        <f>IF(VLOOKUP(B469,'x Malzemeler ve Özellikleri'!$B$2:$M$136,12,0)="ALÜMİNYUM",'1PROJE'!$H$18,"")</f>
        <v/>
      </c>
      <c r="D469" s="67">
        <f t="shared" si="81"/>
        <v>0</v>
      </c>
      <c r="E469" s="69" t="e">
        <f>HLOOKUP(B469,xHesaplama!$AH$26:$FH$66,33,0)</f>
        <v>#N/A</v>
      </c>
      <c r="F469" s="76">
        <f t="shared" si="77"/>
        <v>0</v>
      </c>
      <c r="G469" s="70">
        <f t="shared" si="82"/>
        <v>0</v>
      </c>
      <c r="H469" s="69" t="str">
        <f t="shared" si="78"/>
        <v/>
      </c>
      <c r="I469" s="145">
        <v>0</v>
      </c>
      <c r="J469" s="619"/>
      <c r="K469" s="81">
        <f>IFERROR(VLOOKUP(B469,'x Malzemeler ve Özellikleri'!$O$1:$Q$181,3,0)*F469,0)</f>
        <v>0</v>
      </c>
    </row>
    <row r="470" spans="1:11" ht="19.5">
      <c r="A470" s="67">
        <f t="shared" si="79"/>
        <v>0</v>
      </c>
      <c r="B470" s="67">
        <f t="shared" si="80"/>
        <v>0</v>
      </c>
      <c r="C470" s="70" t="str">
        <f>IF(VLOOKUP(B470,'x Malzemeler ve Özellikleri'!$B$2:$M$136,12,0)="ALÜMİNYUM",'1PROJE'!$H$18,"")</f>
        <v/>
      </c>
      <c r="D470" s="67">
        <f t="shared" si="81"/>
        <v>0</v>
      </c>
      <c r="E470" s="69" t="e">
        <f>HLOOKUP(B470,xHesaplama!$AH$26:$FH$66,33,0)</f>
        <v>#N/A</v>
      </c>
      <c r="F470" s="76">
        <f t="shared" si="77"/>
        <v>0</v>
      </c>
      <c r="G470" s="70">
        <f t="shared" si="82"/>
        <v>0</v>
      </c>
      <c r="H470" s="69" t="str">
        <f t="shared" si="78"/>
        <v/>
      </c>
      <c r="I470" s="145">
        <v>0</v>
      </c>
      <c r="J470" s="619"/>
      <c r="K470" s="81">
        <f>IFERROR(VLOOKUP(B470,'x Malzemeler ve Özellikleri'!$O$1:$Q$181,3,0)*F470,0)</f>
        <v>0</v>
      </c>
    </row>
    <row r="471" spans="1:11" ht="19.5">
      <c r="A471" s="67">
        <f t="shared" si="79"/>
        <v>0</v>
      </c>
      <c r="B471" s="67">
        <f t="shared" si="80"/>
        <v>0</v>
      </c>
      <c r="C471" s="70" t="str">
        <f>IF(VLOOKUP(B471,'x Malzemeler ve Özellikleri'!$B$2:$M$136,12,0)="ALÜMİNYUM",'1PROJE'!$H$18,"")</f>
        <v/>
      </c>
      <c r="D471" s="67">
        <f t="shared" si="81"/>
        <v>0</v>
      </c>
      <c r="E471" s="69" t="e">
        <f>HLOOKUP(B471,xHesaplama!$AH$26:$FH$66,33,0)</f>
        <v>#N/A</v>
      </c>
      <c r="F471" s="76">
        <f t="shared" si="77"/>
        <v>0</v>
      </c>
      <c r="G471" s="70">
        <f t="shared" si="82"/>
        <v>0</v>
      </c>
      <c r="H471" s="69" t="str">
        <f t="shared" si="78"/>
        <v/>
      </c>
      <c r="I471" s="145">
        <v>0</v>
      </c>
      <c r="J471" s="619"/>
      <c r="K471" s="81">
        <f>IFERROR(VLOOKUP(B471,'x Malzemeler ve Özellikleri'!$O$1:$Q$181,3,0)*F471,0)</f>
        <v>0</v>
      </c>
    </row>
    <row r="472" spans="1:11" ht="19.5">
      <c r="A472" s="67">
        <f t="shared" si="79"/>
        <v>0</v>
      </c>
      <c r="B472" s="67">
        <f t="shared" si="80"/>
        <v>0</v>
      </c>
      <c r="C472" s="70" t="str">
        <f>IF(VLOOKUP(B472,'x Malzemeler ve Özellikleri'!$B$2:$M$136,12,0)="ALÜMİNYUM",'1PROJE'!$H$18,"")</f>
        <v/>
      </c>
      <c r="D472" s="67">
        <f t="shared" si="81"/>
        <v>0</v>
      </c>
      <c r="E472" s="69" t="e">
        <f>HLOOKUP(B472,xHesaplama!$AH$26:$FH$66,33,0)</f>
        <v>#N/A</v>
      </c>
      <c r="F472" s="76">
        <f t="shared" si="77"/>
        <v>0</v>
      </c>
      <c r="G472" s="70">
        <f t="shared" si="82"/>
        <v>0</v>
      </c>
      <c r="H472" s="69" t="str">
        <f t="shared" si="78"/>
        <v/>
      </c>
      <c r="I472" s="145">
        <v>0</v>
      </c>
      <c r="J472" s="619"/>
      <c r="K472" s="81">
        <f>IFERROR(VLOOKUP(B472,'x Malzemeler ve Özellikleri'!$O$1:$Q$181,3,0)*F472,0)</f>
        <v>0</v>
      </c>
    </row>
    <row r="473" spans="1:11" ht="19.5">
      <c r="A473" s="67">
        <f t="shared" si="79"/>
        <v>0</v>
      </c>
      <c r="B473" s="67">
        <f t="shared" si="80"/>
        <v>0</v>
      </c>
      <c r="C473" s="70" t="str">
        <f>IF(VLOOKUP(B473,'x Malzemeler ve Özellikleri'!$B$2:$M$136,12,0)="ALÜMİNYUM",'1PROJE'!$H$18,"")</f>
        <v/>
      </c>
      <c r="D473" s="67">
        <f t="shared" si="81"/>
        <v>0</v>
      </c>
      <c r="E473" s="69" t="e">
        <f>HLOOKUP(B473,xHesaplama!$AH$26:$FH$66,33,0)</f>
        <v>#N/A</v>
      </c>
      <c r="F473" s="76">
        <f t="shared" si="77"/>
        <v>0</v>
      </c>
      <c r="G473" s="70">
        <f t="shared" si="82"/>
        <v>0</v>
      </c>
      <c r="H473" s="69" t="str">
        <f t="shared" si="78"/>
        <v/>
      </c>
      <c r="I473" s="145">
        <v>0</v>
      </c>
      <c r="J473" s="619"/>
      <c r="K473" s="81">
        <f>IFERROR(VLOOKUP(B473,'x Malzemeler ve Özellikleri'!$O$1:$Q$181,3,0)*F473,0)</f>
        <v>0</v>
      </c>
    </row>
    <row r="474" spans="1:11" ht="19.5">
      <c r="A474" s="67">
        <f t="shared" si="79"/>
        <v>0</v>
      </c>
      <c r="B474" s="67">
        <f t="shared" si="80"/>
        <v>0</v>
      </c>
      <c r="C474" s="70" t="str">
        <f>IF(VLOOKUP(B474,'x Malzemeler ve Özellikleri'!$B$2:$M$136,12,0)="ALÜMİNYUM",'1PROJE'!$H$18,"")</f>
        <v/>
      </c>
      <c r="D474" s="67">
        <f t="shared" si="81"/>
        <v>0</v>
      </c>
      <c r="E474" s="69" t="e">
        <f>HLOOKUP(B474,xHesaplama!$AH$26:$FH$66,33,0)</f>
        <v>#N/A</v>
      </c>
      <c r="F474" s="76">
        <f t="shared" si="77"/>
        <v>0</v>
      </c>
      <c r="G474" s="70">
        <f t="shared" si="82"/>
        <v>0</v>
      </c>
      <c r="H474" s="69" t="str">
        <f t="shared" si="78"/>
        <v/>
      </c>
      <c r="I474" s="145">
        <v>0</v>
      </c>
      <c r="J474" s="619"/>
      <c r="K474" s="81">
        <f>IFERROR(VLOOKUP(B474,'x Malzemeler ve Özellikleri'!$O$1:$Q$181,3,0)*F474,0)</f>
        <v>0</v>
      </c>
    </row>
    <row r="475" spans="1:11" ht="19.5">
      <c r="A475" s="67">
        <f t="shared" si="79"/>
        <v>0</v>
      </c>
      <c r="B475" s="67">
        <f t="shared" si="80"/>
        <v>0</v>
      </c>
      <c r="C475" s="70" t="str">
        <f>IF(VLOOKUP(B475,'x Malzemeler ve Özellikleri'!$B$2:$M$136,12,0)="ALÜMİNYUM",'1PROJE'!$H$18,"")</f>
        <v/>
      </c>
      <c r="D475" s="67">
        <f t="shared" si="81"/>
        <v>0</v>
      </c>
      <c r="E475" s="69" t="e">
        <f>HLOOKUP(B475,xHesaplama!$AH$26:$FH$66,33,0)</f>
        <v>#N/A</v>
      </c>
      <c r="F475" s="76">
        <f t="shared" si="77"/>
        <v>0</v>
      </c>
      <c r="G475" s="70">
        <f t="shared" si="82"/>
        <v>0</v>
      </c>
      <c r="H475" s="69" t="str">
        <f t="shared" si="78"/>
        <v/>
      </c>
      <c r="I475" s="145">
        <v>0</v>
      </c>
      <c r="J475" s="619"/>
      <c r="K475" s="81">
        <f>IFERROR(VLOOKUP(B475,'x Malzemeler ve Özellikleri'!$O$1:$Q$181,3,0)*F475,0)</f>
        <v>0</v>
      </c>
    </row>
    <row r="476" spans="1:11" ht="19.5">
      <c r="A476" s="67">
        <f t="shared" si="79"/>
        <v>0</v>
      </c>
      <c r="B476" s="67">
        <f t="shared" si="80"/>
        <v>0</v>
      </c>
      <c r="C476" s="70" t="str">
        <f>IF(VLOOKUP(B476,'x Malzemeler ve Özellikleri'!$B$2:$M$136,12,0)="ALÜMİNYUM",'1PROJE'!$H$18,"")</f>
        <v/>
      </c>
      <c r="D476" s="67">
        <f t="shared" si="81"/>
        <v>0</v>
      </c>
      <c r="E476" s="69" t="e">
        <f>HLOOKUP(B476,xHesaplama!$AH$26:$FH$66,33,0)</f>
        <v>#N/A</v>
      </c>
      <c r="F476" s="76">
        <f t="shared" si="77"/>
        <v>0</v>
      </c>
      <c r="G476" s="70">
        <f t="shared" si="82"/>
        <v>0</v>
      </c>
      <c r="H476" s="69" t="str">
        <f t="shared" si="78"/>
        <v/>
      </c>
      <c r="I476" s="145">
        <v>0</v>
      </c>
      <c r="J476" s="619"/>
      <c r="K476" s="81">
        <f>IFERROR(VLOOKUP(B476,'x Malzemeler ve Özellikleri'!$O$1:$Q$181,3,0)*F476,0)</f>
        <v>0</v>
      </c>
    </row>
    <row r="477" spans="1:11" ht="19.5">
      <c r="A477" s="67">
        <f t="shared" si="79"/>
        <v>0</v>
      </c>
      <c r="B477" s="67">
        <f t="shared" si="80"/>
        <v>0</v>
      </c>
      <c r="C477" s="70" t="str">
        <f>IF(VLOOKUP(B477,'x Malzemeler ve Özellikleri'!$B$2:$M$136,12,0)="ALÜMİNYUM",'1PROJE'!$H$18,"")</f>
        <v/>
      </c>
      <c r="D477" s="67">
        <f t="shared" si="81"/>
        <v>0</v>
      </c>
      <c r="E477" s="69" t="e">
        <f>HLOOKUP(B477,xHesaplama!$AH$26:$FH$66,33,0)</f>
        <v>#N/A</v>
      </c>
      <c r="F477" s="76">
        <f t="shared" si="77"/>
        <v>0</v>
      </c>
      <c r="G477" s="70">
        <f t="shared" si="82"/>
        <v>0</v>
      </c>
      <c r="H477" s="69" t="str">
        <f t="shared" si="78"/>
        <v/>
      </c>
      <c r="I477" s="145">
        <v>0</v>
      </c>
      <c r="J477" s="619"/>
      <c r="K477" s="81">
        <f>IFERROR(VLOOKUP(B477,'x Malzemeler ve Özellikleri'!$O$1:$Q$181,3,0)*F477,0)</f>
        <v>0</v>
      </c>
    </row>
    <row r="478" spans="1:11" ht="19.5">
      <c r="A478" s="67">
        <f t="shared" si="79"/>
        <v>0</v>
      </c>
      <c r="B478" s="67">
        <f t="shared" si="80"/>
        <v>0</v>
      </c>
      <c r="C478" s="70" t="str">
        <f>IF(VLOOKUP(B478,'x Malzemeler ve Özellikleri'!$B$2:$M$136,12,0)="ALÜMİNYUM",'1PROJE'!$H$18,"")</f>
        <v/>
      </c>
      <c r="D478" s="67">
        <f t="shared" si="81"/>
        <v>0</v>
      </c>
      <c r="E478" s="69" t="e">
        <f>HLOOKUP(B478,xHesaplama!$AH$26:$FH$66,33,0)</f>
        <v>#N/A</v>
      </c>
      <c r="F478" s="76">
        <f t="shared" si="77"/>
        <v>0</v>
      </c>
      <c r="G478" s="70">
        <f t="shared" si="82"/>
        <v>0</v>
      </c>
      <c r="H478" s="69" t="str">
        <f t="shared" si="78"/>
        <v/>
      </c>
      <c r="I478" s="145">
        <v>0</v>
      </c>
      <c r="J478" s="619"/>
      <c r="K478" s="81">
        <f>IFERROR(VLOOKUP(B478,'x Malzemeler ve Özellikleri'!$O$1:$Q$181,3,0)*F478,0)</f>
        <v>0</v>
      </c>
    </row>
    <row r="479" spans="1:11" ht="19.5">
      <c r="A479" s="67">
        <f t="shared" si="79"/>
        <v>0</v>
      </c>
      <c r="B479" s="67">
        <f t="shared" si="80"/>
        <v>0</v>
      </c>
      <c r="C479" s="70" t="str">
        <f>IF(VLOOKUP(B479,'x Malzemeler ve Özellikleri'!$B$2:$M$136,12,0)="ALÜMİNYUM",'1PROJE'!$H$18,"")</f>
        <v/>
      </c>
      <c r="D479" s="67">
        <f t="shared" si="81"/>
        <v>0</v>
      </c>
      <c r="E479" s="69" t="e">
        <f>HLOOKUP(B479,xHesaplama!$AH$26:$FH$66,33,0)</f>
        <v>#N/A</v>
      </c>
      <c r="F479" s="76">
        <f t="shared" si="77"/>
        <v>0</v>
      </c>
      <c r="G479" s="70">
        <f t="shared" si="82"/>
        <v>0</v>
      </c>
      <c r="H479" s="69" t="str">
        <f t="shared" si="78"/>
        <v/>
      </c>
      <c r="I479" s="145">
        <v>0</v>
      </c>
      <c r="J479" s="619"/>
      <c r="K479" s="81">
        <f>IFERROR(VLOOKUP(B479,'x Malzemeler ve Özellikleri'!$O$1:$Q$181,3,0)*F479,0)</f>
        <v>0</v>
      </c>
    </row>
    <row r="480" spans="1:11" ht="19.5">
      <c r="A480" s="67">
        <f t="shared" si="79"/>
        <v>0</v>
      </c>
      <c r="B480" s="67">
        <f t="shared" si="80"/>
        <v>0</v>
      </c>
      <c r="C480" s="70" t="str">
        <f>IF(VLOOKUP(B480,'x Malzemeler ve Özellikleri'!$B$2:$M$136,12,0)="ALÜMİNYUM",'1PROJE'!$H$18,"")</f>
        <v/>
      </c>
      <c r="D480" s="67">
        <f t="shared" si="81"/>
        <v>0</v>
      </c>
      <c r="E480" s="69" t="e">
        <f>HLOOKUP(B480,xHesaplama!$AH$26:$FH$66,33,0)</f>
        <v>#N/A</v>
      </c>
      <c r="F480" s="76">
        <f t="shared" si="77"/>
        <v>0</v>
      </c>
      <c r="G480" s="70">
        <f t="shared" si="82"/>
        <v>0</v>
      </c>
      <c r="H480" s="69" t="str">
        <f t="shared" si="78"/>
        <v/>
      </c>
      <c r="I480" s="145">
        <v>0</v>
      </c>
      <c r="J480" s="619"/>
      <c r="K480" s="81">
        <f>IFERROR(VLOOKUP(B480,'x Malzemeler ve Özellikleri'!$O$1:$Q$181,3,0)*F480,0)</f>
        <v>0</v>
      </c>
    </row>
    <row r="481" spans="1:40" ht="19.5">
      <c r="A481" s="67">
        <f t="shared" si="79"/>
        <v>0</v>
      </c>
      <c r="B481" s="67">
        <f t="shared" si="80"/>
        <v>0</v>
      </c>
      <c r="C481" s="70" t="str">
        <f>IF(VLOOKUP(B481,'x Malzemeler ve Özellikleri'!$B$2:$M$136,12,0)="ALÜMİNYUM",'1PROJE'!$H$18,"")</f>
        <v/>
      </c>
      <c r="D481" s="67">
        <f t="shared" si="81"/>
        <v>0</v>
      </c>
      <c r="E481" s="69" t="e">
        <f>HLOOKUP(B481,xHesaplama!$AH$26:$FH$66,33,0)</f>
        <v>#N/A</v>
      </c>
      <c r="F481" s="76">
        <f t="shared" si="77"/>
        <v>0</v>
      </c>
      <c r="G481" s="70">
        <f t="shared" si="82"/>
        <v>0</v>
      </c>
      <c r="H481" s="69" t="str">
        <f t="shared" si="78"/>
        <v/>
      </c>
      <c r="I481" s="145">
        <v>0</v>
      </c>
      <c r="J481" s="619"/>
      <c r="K481" s="81">
        <f>IFERROR(VLOOKUP(B481,'x Malzemeler ve Özellikleri'!$O$1:$Q$181,3,0)*F481,0)</f>
        <v>0</v>
      </c>
    </row>
    <row r="482" spans="1:40" ht="19.5">
      <c r="A482" s="67">
        <f t="shared" si="79"/>
        <v>0</v>
      </c>
      <c r="B482" s="67">
        <f t="shared" si="80"/>
        <v>0</v>
      </c>
      <c r="C482" s="70" t="str">
        <f>IF(VLOOKUP(B482,'x Malzemeler ve Özellikleri'!$B$2:$M$136,12,0)="ALÜMİNYUM",'1PROJE'!$H$18,"")</f>
        <v/>
      </c>
      <c r="D482" s="67">
        <f t="shared" si="81"/>
        <v>0</v>
      </c>
      <c r="E482" s="69" t="e">
        <f>HLOOKUP(B482,xHesaplama!$AH$26:$FH$66,33,0)</f>
        <v>#N/A</v>
      </c>
      <c r="F482" s="76">
        <f t="shared" si="77"/>
        <v>0</v>
      </c>
      <c r="G482" s="70">
        <f t="shared" si="82"/>
        <v>0</v>
      </c>
      <c r="H482" s="69" t="str">
        <f t="shared" si="78"/>
        <v/>
      </c>
      <c r="I482" s="145">
        <v>0</v>
      </c>
      <c r="J482" s="619"/>
      <c r="K482" s="81">
        <f>IFERROR(VLOOKUP(B482,'x Malzemeler ve Özellikleri'!$O$1:$Q$181,3,0)*F482,0)</f>
        <v>0</v>
      </c>
    </row>
    <row r="483" spans="1:40" ht="19.5">
      <c r="A483" s="67">
        <f t="shared" si="79"/>
        <v>0</v>
      </c>
      <c r="B483" s="67">
        <f t="shared" si="80"/>
        <v>0</v>
      </c>
      <c r="C483" s="70" t="str">
        <f>IF(VLOOKUP(B483,'x Malzemeler ve Özellikleri'!$B$2:$M$136,12,0)="ALÜMİNYUM",'1PROJE'!$H$18,"")</f>
        <v/>
      </c>
      <c r="D483" s="67">
        <f t="shared" si="81"/>
        <v>0</v>
      </c>
      <c r="E483" s="69" t="e">
        <f>HLOOKUP(B483,xHesaplama!$AH$26:$FH$66,33,0)</f>
        <v>#N/A</v>
      </c>
      <c r="F483" s="76">
        <f t="shared" si="77"/>
        <v>0</v>
      </c>
      <c r="G483" s="70">
        <f t="shared" si="82"/>
        <v>0</v>
      </c>
      <c r="H483" s="69" t="str">
        <f t="shared" si="78"/>
        <v/>
      </c>
      <c r="I483" s="145">
        <v>0</v>
      </c>
      <c r="J483" s="619"/>
      <c r="K483" s="81">
        <f>IFERROR(VLOOKUP(B483,'x Malzemeler ve Özellikleri'!$O$1:$Q$181,3,0)*F483,0)</f>
        <v>0</v>
      </c>
    </row>
    <row r="484" spans="1:40" ht="19.5">
      <c r="A484" s="67">
        <f t="shared" si="79"/>
        <v>0</v>
      </c>
      <c r="B484" s="67">
        <f t="shared" si="80"/>
        <v>0</v>
      </c>
      <c r="C484" s="70" t="str">
        <f>IF(VLOOKUP(B484,'x Malzemeler ve Özellikleri'!$B$2:$M$136,12,0)="ALÜMİNYUM",'1PROJE'!$H$18,"")</f>
        <v/>
      </c>
      <c r="D484" s="67">
        <f t="shared" si="81"/>
        <v>0</v>
      </c>
      <c r="E484" s="69" t="e">
        <f>HLOOKUP(B484,xHesaplama!$AH$26:$FH$66,33,0)</f>
        <v>#N/A</v>
      </c>
      <c r="F484" s="76">
        <f t="shared" si="77"/>
        <v>0</v>
      </c>
      <c r="G484" s="70">
        <f t="shared" si="82"/>
        <v>0</v>
      </c>
      <c r="H484" s="69" t="str">
        <f t="shared" si="78"/>
        <v/>
      </c>
      <c r="I484" s="145">
        <v>0</v>
      </c>
      <c r="J484" s="619"/>
      <c r="K484" s="81">
        <f>IFERROR(VLOOKUP(B484,'x Malzemeler ve Özellikleri'!$O$1:$Q$181,3,0)*F484,0)</f>
        <v>0</v>
      </c>
    </row>
    <row r="485" spans="1:40" ht="19.5">
      <c r="A485" s="67">
        <f t="shared" si="79"/>
        <v>0</v>
      </c>
      <c r="B485" s="67">
        <f t="shared" si="80"/>
        <v>0</v>
      </c>
      <c r="C485" s="70" t="str">
        <f>IF(VLOOKUP(B485,'x Malzemeler ve Özellikleri'!$B$2:$M$136,12,0)="ALÜMİNYUM",'1PROJE'!$H$18,"")</f>
        <v/>
      </c>
      <c r="D485" s="67">
        <f t="shared" si="81"/>
        <v>0</v>
      </c>
      <c r="E485" s="69" t="e">
        <f>HLOOKUP(B485,xHesaplama!$AH$26:$FH$66,33,0)</f>
        <v>#N/A</v>
      </c>
      <c r="F485" s="76">
        <f t="shared" si="77"/>
        <v>0</v>
      </c>
      <c r="G485" s="70">
        <f t="shared" si="82"/>
        <v>0</v>
      </c>
      <c r="H485" s="69" t="str">
        <f t="shared" si="78"/>
        <v/>
      </c>
      <c r="I485" s="145">
        <v>0</v>
      </c>
      <c r="J485" s="619"/>
      <c r="K485" s="81">
        <f>IFERROR(VLOOKUP(B485,'x Malzemeler ve Özellikleri'!$O$1:$Q$181,3,0)*F485,0)</f>
        <v>0</v>
      </c>
    </row>
    <row r="486" spans="1:40" ht="19.5">
      <c r="A486" s="67">
        <f t="shared" si="79"/>
        <v>0</v>
      </c>
      <c r="B486" s="67">
        <f t="shared" si="80"/>
        <v>0</v>
      </c>
      <c r="C486" s="70" t="str">
        <f>IF(VLOOKUP(B486,'x Malzemeler ve Özellikleri'!$B$2:$M$136,12,0)="ALÜMİNYUM",'1PROJE'!$H$18,"")</f>
        <v/>
      </c>
      <c r="D486" s="67">
        <f t="shared" si="81"/>
        <v>0</v>
      </c>
      <c r="E486" s="69" t="e">
        <f>HLOOKUP(B486,xHesaplama!$AH$26:$FH$66,33,0)</f>
        <v>#N/A</v>
      </c>
      <c r="F486" s="76">
        <f t="shared" si="77"/>
        <v>0</v>
      </c>
      <c r="G486" s="70">
        <f t="shared" si="82"/>
        <v>0</v>
      </c>
      <c r="H486" s="69" t="str">
        <f t="shared" si="78"/>
        <v/>
      </c>
      <c r="I486" s="145">
        <v>0</v>
      </c>
      <c r="J486" s="619"/>
      <c r="K486" s="81">
        <f>IFERROR(VLOOKUP(B486,'x Malzemeler ve Özellikleri'!$O$1:$Q$181,3,0)*F486,0)</f>
        <v>0</v>
      </c>
    </row>
    <row r="487" spans="1:40" ht="19.5">
      <c r="A487" s="67">
        <f t="shared" si="79"/>
        <v>0</v>
      </c>
      <c r="B487" s="67">
        <f t="shared" si="80"/>
        <v>0</v>
      </c>
      <c r="C487" s="70" t="str">
        <f>IF(VLOOKUP(B487,'x Malzemeler ve Özellikleri'!$B$2:$M$136,12,0)="ALÜMİNYUM",'1PROJE'!$H$18,"")</f>
        <v/>
      </c>
      <c r="D487" s="67">
        <f t="shared" si="81"/>
        <v>0</v>
      </c>
      <c r="E487" s="69" t="e">
        <f>HLOOKUP(B487,xHesaplama!$AH$26:$FH$66,33,0)</f>
        <v>#N/A</v>
      </c>
      <c r="F487" s="76">
        <f t="shared" si="77"/>
        <v>0</v>
      </c>
      <c r="G487" s="70">
        <f t="shared" si="82"/>
        <v>0</v>
      </c>
      <c r="H487" s="69" t="str">
        <f t="shared" si="78"/>
        <v/>
      </c>
      <c r="I487" s="145">
        <v>0</v>
      </c>
      <c r="J487" s="619"/>
      <c r="K487" s="81">
        <f>IFERROR(VLOOKUP(B487,'x Malzemeler ve Özellikleri'!$O$1:$Q$181,3,0)*F487,0)</f>
        <v>0</v>
      </c>
    </row>
    <row r="488" spans="1:40" ht="19.5">
      <c r="A488" s="67">
        <f t="shared" si="79"/>
        <v>0</v>
      </c>
      <c r="B488" s="67">
        <f t="shared" si="80"/>
        <v>0</v>
      </c>
      <c r="C488" s="70" t="str">
        <f>IF(VLOOKUP(B488,'x Malzemeler ve Özellikleri'!$B$2:$M$136,12,0)="ALÜMİNYUM",'1PROJE'!$H$18,"")</f>
        <v/>
      </c>
      <c r="D488" s="67">
        <f t="shared" si="81"/>
        <v>0</v>
      </c>
      <c r="E488" s="69" t="e">
        <f>HLOOKUP(B488,xHesaplama!$AH$26:$FH$66,33,0)</f>
        <v>#N/A</v>
      </c>
      <c r="F488" s="76">
        <f t="shared" si="77"/>
        <v>0</v>
      </c>
      <c r="G488" s="70">
        <f t="shared" si="82"/>
        <v>0</v>
      </c>
      <c r="H488" s="69" t="str">
        <f t="shared" si="78"/>
        <v/>
      </c>
      <c r="I488" s="145">
        <v>0</v>
      </c>
      <c r="J488" s="619"/>
      <c r="K488" s="81">
        <f>IFERROR(VLOOKUP(B488,'x Malzemeler ve Özellikleri'!$O$1:$Q$181,3,0)*F488,0)</f>
        <v>0</v>
      </c>
    </row>
    <row r="489" spans="1:40" ht="19.5">
      <c r="A489" s="67">
        <f t="shared" si="79"/>
        <v>0</v>
      </c>
      <c r="B489" s="67">
        <f t="shared" si="80"/>
        <v>0</v>
      </c>
      <c r="C489" s="70" t="str">
        <f>IF(VLOOKUP(B489,'x Malzemeler ve Özellikleri'!$B$2:$M$136,12,0)="ALÜMİNYUM",'1PROJE'!$H$18,"")</f>
        <v/>
      </c>
      <c r="D489" s="67">
        <f t="shared" si="81"/>
        <v>0</v>
      </c>
      <c r="E489" s="69" t="e">
        <f>HLOOKUP(B489,xHesaplama!$AH$26:$FH$66,33,0)</f>
        <v>#N/A</v>
      </c>
      <c r="F489" s="76">
        <f t="shared" si="77"/>
        <v>0</v>
      </c>
      <c r="G489" s="70">
        <f t="shared" si="82"/>
        <v>0</v>
      </c>
      <c r="H489" s="69" t="str">
        <f t="shared" si="78"/>
        <v/>
      </c>
      <c r="I489" s="145">
        <v>0</v>
      </c>
      <c r="J489" s="619"/>
      <c r="K489" s="81">
        <f>IFERROR(VLOOKUP(B489,'x Malzemeler ve Özellikleri'!$O$1:$Q$181,3,0)*F489,0)</f>
        <v>0</v>
      </c>
    </row>
    <row r="490" spans="1:40" ht="19.5">
      <c r="A490" s="67">
        <f t="shared" si="79"/>
        <v>0</v>
      </c>
      <c r="B490" s="67">
        <f t="shared" si="80"/>
        <v>0</v>
      </c>
      <c r="C490" s="70" t="str">
        <f>IF(VLOOKUP(B490,'x Malzemeler ve Özellikleri'!$B$2:$M$136,12,0)="ALÜMİNYUM",'1PROJE'!$H$18,"")</f>
        <v/>
      </c>
      <c r="D490" s="67">
        <f t="shared" si="81"/>
        <v>0</v>
      </c>
      <c r="E490" s="69" t="e">
        <f>HLOOKUP(B490,xHesaplama!$AH$26:$FH$66,33,0)</f>
        <v>#N/A</v>
      </c>
      <c r="F490" s="76">
        <f t="shared" si="77"/>
        <v>0</v>
      </c>
      <c r="G490" s="70">
        <f t="shared" si="82"/>
        <v>0</v>
      </c>
      <c r="H490" s="69" t="str">
        <f t="shared" si="78"/>
        <v/>
      </c>
      <c r="I490" s="145">
        <v>0</v>
      </c>
      <c r="J490" s="619"/>
      <c r="K490" s="81">
        <f>IFERROR(VLOOKUP(B490,'x Malzemeler ve Özellikleri'!$O$1:$Q$181,3,0)*F490,0)</f>
        <v>0</v>
      </c>
    </row>
    <row r="491" spans="1:40" ht="19.5">
      <c r="A491" s="67">
        <f t="shared" si="79"/>
        <v>0</v>
      </c>
      <c r="B491" s="67">
        <f t="shared" si="80"/>
        <v>0</v>
      </c>
      <c r="C491" s="70" t="str">
        <f>IF(VLOOKUP(B491,'x Malzemeler ve Özellikleri'!$B$2:$M$136,12,0)="ALÜMİNYUM",'1PROJE'!$H$18,"")</f>
        <v/>
      </c>
      <c r="D491" s="67">
        <f t="shared" si="81"/>
        <v>0</v>
      </c>
      <c r="E491" s="69" t="e">
        <f>HLOOKUP(B491,xHesaplama!$AH$26:$FH$66,33,0)</f>
        <v>#N/A</v>
      </c>
      <c r="F491" s="76">
        <f t="shared" si="77"/>
        <v>0</v>
      </c>
      <c r="G491" s="70">
        <f t="shared" si="82"/>
        <v>0</v>
      </c>
      <c r="H491" s="69" t="str">
        <f t="shared" si="78"/>
        <v/>
      </c>
      <c r="I491" s="145">
        <v>0</v>
      </c>
      <c r="J491" s="619"/>
      <c r="K491" s="81">
        <f>IFERROR(VLOOKUP(B491,'x Malzemeler ve Özellikleri'!$O$1:$Q$181,3,0)*F491,0)</f>
        <v>0</v>
      </c>
    </row>
    <row r="492" spans="1:40" ht="20.25" thickBot="1">
      <c r="A492" s="67">
        <f t="shared" si="79"/>
        <v>0</v>
      </c>
      <c r="B492" s="67">
        <f t="shared" si="80"/>
        <v>0</v>
      </c>
      <c r="C492" s="70" t="str">
        <f>IF(VLOOKUP(B492,'x Malzemeler ve Özellikleri'!$B$2:$M$136,12,0)="ALÜMİNYUM",'1PROJE'!$H$18,"")</f>
        <v/>
      </c>
      <c r="D492" s="67">
        <f t="shared" si="81"/>
        <v>0</v>
      </c>
      <c r="E492" s="69" t="e">
        <f>HLOOKUP(B492,xHesaplama!$AH$26:$FH$66,33,0)</f>
        <v>#N/A</v>
      </c>
      <c r="F492" s="76">
        <f t="shared" si="77"/>
        <v>0</v>
      </c>
      <c r="G492" s="70">
        <f t="shared" si="82"/>
        <v>0</v>
      </c>
      <c r="H492" s="69" t="str">
        <f t="shared" si="78"/>
        <v/>
      </c>
      <c r="I492" s="145">
        <v>0</v>
      </c>
      <c r="J492" s="620"/>
      <c r="K492" s="81">
        <f>IFERROR(VLOOKUP(B492,'x Malzemeler ve Özellikleri'!$O$1:$Q$181,3,0)*F492,0)</f>
        <v>0</v>
      </c>
    </row>
    <row r="493" spans="1:40" ht="30" thickBot="1">
      <c r="A493" s="64" t="str">
        <f>"POZ"&amp;" "&amp;J494</f>
        <v>POZ 13</v>
      </c>
      <c r="C493" s="243">
        <f>xHesaplama!C39</f>
        <v>0</v>
      </c>
      <c r="D493" s="64" t="s">
        <v>357</v>
      </c>
      <c r="F493" s="74"/>
      <c r="G493" s="72" t="s">
        <v>786</v>
      </c>
      <c r="H493" s="65"/>
      <c r="I493" s="71">
        <f>SUM(H495:H533)</f>
        <v>0</v>
      </c>
      <c r="L493" t="str" cm="1">
        <f t="array" ref="L493:AJ493">_xlfn._xlws.FILTER(REÇETE!$D$11:$AB$142,REÇETE!$U$11:$U$142&lt;&gt;"","")</f>
        <v>EXCEL KODU</v>
      </c>
      <c r="M493" t="str">
        <v>PARÇA BİRİM</v>
      </c>
      <c r="N493" t="str">
        <v>PARÇA ADI</v>
      </c>
      <c r="O493" t="str">
        <v>MALZEME KODU</v>
      </c>
      <c r="P493" t="str">
        <v>BİRİM FİYAT</v>
      </c>
      <c r="Q493" t="str">
        <v>POZ 1</v>
      </c>
      <c r="R493" t="str">
        <v>POZ 2</v>
      </c>
      <c r="S493" t="str">
        <v>POZ 3</v>
      </c>
      <c r="T493" t="str">
        <v>POZ 4</v>
      </c>
      <c r="U493" t="str">
        <v>POZ 5</v>
      </c>
      <c r="V493" t="str">
        <v>POZ 6</v>
      </c>
      <c r="W493" t="str">
        <v>POZ 7</v>
      </c>
      <c r="X493" t="str">
        <v>POZ 8</v>
      </c>
      <c r="Y493" t="str">
        <v>POZ 9</v>
      </c>
      <c r="Z493" t="str">
        <v>POZ 10</v>
      </c>
      <c r="AA493" t="str">
        <v>POZ 11</v>
      </c>
      <c r="AB493" t="str">
        <v>POZ 12</v>
      </c>
      <c r="AC493" t="str">
        <v>POZ 13</v>
      </c>
      <c r="AD493" t="str">
        <v>POZ 14</v>
      </c>
      <c r="AE493" t="str">
        <v>POZ 15</v>
      </c>
      <c r="AF493" t="str">
        <v>POZ 16</v>
      </c>
      <c r="AG493" t="str">
        <v>POZ 17</v>
      </c>
      <c r="AH493" t="str">
        <v>POZ 18</v>
      </c>
      <c r="AI493" t="str">
        <v>POZ 19</v>
      </c>
      <c r="AJ493" t="str">
        <v>POZ 20</v>
      </c>
    </row>
    <row r="494" spans="1:40">
      <c r="A494" s="66" t="s">
        <v>782</v>
      </c>
      <c r="B494" s="66" t="s">
        <v>409</v>
      </c>
      <c r="C494" s="68"/>
      <c r="D494" s="66" t="s">
        <v>15</v>
      </c>
      <c r="E494" s="68" t="s">
        <v>808</v>
      </c>
      <c r="F494" s="75" t="s">
        <v>785</v>
      </c>
      <c r="G494" s="68" t="s">
        <v>650</v>
      </c>
      <c r="H494" s="68" t="s">
        <v>355</v>
      </c>
      <c r="J494" s="618">
        <v>13</v>
      </c>
      <c r="K494" s="221">
        <f>SUM(K495:K533)</f>
        <v>0</v>
      </c>
    </row>
    <row r="495" spans="1:40" ht="19.5">
      <c r="A495" s="67">
        <f>xHesaplama!H39</f>
        <v>0</v>
      </c>
      <c r="B495" s="67"/>
      <c r="C495" s="70">
        <f>xHesaplama!I39</f>
        <v>0</v>
      </c>
      <c r="D495" s="67">
        <f>xHesaplama!I39</f>
        <v>0</v>
      </c>
      <c r="E495" s="69" t="e">
        <f>xHesaplama!AC39</f>
        <v>#N/A</v>
      </c>
      <c r="F495" s="76">
        <f>xHesaplama!AD39*C493</f>
        <v>0</v>
      </c>
      <c r="G495" s="70" t="s">
        <v>817</v>
      </c>
      <c r="H495" s="69">
        <f t="shared" ref="H495:H496" si="83">IFERROR(E495*F495,0)</f>
        <v>0</v>
      </c>
      <c r="I495" s="145">
        <v>0</v>
      </c>
      <c r="J495" s="619"/>
      <c r="K495" s="81">
        <f>IFERROR(VLOOKUP(A495,'x Malzemeler ve Özellikleri'!$N$1:$Q$181,4,0)*F495,0)</f>
        <v>0</v>
      </c>
      <c r="AN495" s="84" cm="1">
        <f t="array" ref="AN495">_xlfn._xlws.FILTER(A495:I533,I495:I533,0)</f>
        <v>0</v>
      </c>
    </row>
    <row r="496" spans="1:40" ht="19.5">
      <c r="A496" s="67" t="s">
        <v>105</v>
      </c>
      <c r="B496" s="67"/>
      <c r="C496" s="70"/>
      <c r="D496" s="67">
        <f>xHesaplama!J39</f>
        <v>0</v>
      </c>
      <c r="E496" s="69" t="e">
        <f>xHesaplama!AB39</f>
        <v>#N/A</v>
      </c>
      <c r="F496" s="76">
        <f>C493</f>
        <v>0</v>
      </c>
      <c r="G496" s="70" t="s">
        <v>357</v>
      </c>
      <c r="H496" s="69">
        <f t="shared" si="83"/>
        <v>0</v>
      </c>
      <c r="I496" s="145">
        <v>0</v>
      </c>
      <c r="J496" s="619"/>
      <c r="K496" s="81">
        <f>IFERROR(VLOOKUP(D496,'x Malzemeler ve Özellikleri'!$N$1:$Q$181,4,0)*F496,0)</f>
        <v>0</v>
      </c>
    </row>
    <row r="497" spans="1:11" ht="19.5">
      <c r="A497" s="67">
        <f>N494</f>
        <v>0</v>
      </c>
      <c r="B497" s="67">
        <f>L494</f>
        <v>0</v>
      </c>
      <c r="C497" s="70" t="str">
        <f>IF(VLOOKUP(B497,'x Malzemeler ve Özellikleri'!$B$2:$M$136,12,0)="ALÜMİNYUM",'1PROJE'!$H$19,"")</f>
        <v/>
      </c>
      <c r="D497" s="67">
        <f>O494</f>
        <v>0</v>
      </c>
      <c r="E497" s="69" t="e">
        <f>HLOOKUP(B497,xHesaplama!$AH$26:$FH$66,34,0)</f>
        <v>#N/A</v>
      </c>
      <c r="F497" s="76">
        <f t="shared" ref="F497:F533" si="84">AC494*$C$493</f>
        <v>0</v>
      </c>
      <c r="G497" s="70">
        <f>M494</f>
        <v>0</v>
      </c>
      <c r="H497" s="69" t="str">
        <f t="shared" ref="H497:H533" si="85">IFERROR(E497*$C$493,"")</f>
        <v/>
      </c>
      <c r="I497" s="145">
        <v>0</v>
      </c>
      <c r="J497" s="619"/>
      <c r="K497" s="81">
        <f>IFERROR(VLOOKUP(B497,'x Malzemeler ve Özellikleri'!$O$1:$Q$181,3,0)*F497,0)</f>
        <v>0</v>
      </c>
    </row>
    <row r="498" spans="1:11" ht="19.5">
      <c r="A498" s="67">
        <f t="shared" ref="A498:A533" si="86">N495</f>
        <v>0</v>
      </c>
      <c r="B498" s="67">
        <f t="shared" ref="B498:B533" si="87">L495</f>
        <v>0</v>
      </c>
      <c r="C498" s="70" t="str">
        <f>IF(VLOOKUP(B498,'x Malzemeler ve Özellikleri'!$B$2:$M$136,12,0)="ALÜMİNYUM",'1PROJE'!$H$19,"")</f>
        <v/>
      </c>
      <c r="D498" s="67">
        <f t="shared" ref="D498:D533" si="88">O495</f>
        <v>0</v>
      </c>
      <c r="E498" s="69" t="e">
        <f>HLOOKUP(B498,xHesaplama!$AH$26:$FH$66,34,0)</f>
        <v>#N/A</v>
      </c>
      <c r="F498" s="76">
        <f t="shared" si="84"/>
        <v>0</v>
      </c>
      <c r="G498" s="70">
        <f t="shared" ref="G498:G533" si="89">M495</f>
        <v>0</v>
      </c>
      <c r="H498" s="69" t="str">
        <f t="shared" si="85"/>
        <v/>
      </c>
      <c r="I498" s="145">
        <v>0</v>
      </c>
      <c r="J498" s="619"/>
      <c r="K498" s="81">
        <f>IFERROR(VLOOKUP(B498,'x Malzemeler ve Özellikleri'!$O$1:$Q$181,3,0)*F498,0)</f>
        <v>0</v>
      </c>
    </row>
    <row r="499" spans="1:11" ht="19.5">
      <c r="A499" s="67">
        <f t="shared" si="86"/>
        <v>0</v>
      </c>
      <c r="B499" s="67">
        <f t="shared" si="87"/>
        <v>0</v>
      </c>
      <c r="C499" s="70" t="str">
        <f>IF(VLOOKUP(B499,'x Malzemeler ve Özellikleri'!$B$2:$M$136,12,0)="ALÜMİNYUM",'1PROJE'!$H$19,"")</f>
        <v/>
      </c>
      <c r="D499" s="67">
        <f t="shared" si="88"/>
        <v>0</v>
      </c>
      <c r="E499" s="69" t="e">
        <f>HLOOKUP(B499,xHesaplama!$AH$26:$FH$66,34,0)</f>
        <v>#N/A</v>
      </c>
      <c r="F499" s="76">
        <f t="shared" si="84"/>
        <v>0</v>
      </c>
      <c r="G499" s="70">
        <f t="shared" si="89"/>
        <v>0</v>
      </c>
      <c r="H499" s="69" t="str">
        <f t="shared" si="85"/>
        <v/>
      </c>
      <c r="I499" s="145">
        <v>0</v>
      </c>
      <c r="J499" s="619"/>
      <c r="K499" s="81">
        <f>IFERROR(VLOOKUP(B499,'x Malzemeler ve Özellikleri'!$O$1:$Q$181,3,0)*F499,0)</f>
        <v>0</v>
      </c>
    </row>
    <row r="500" spans="1:11" ht="19.5">
      <c r="A500" s="67">
        <f t="shared" si="86"/>
        <v>0</v>
      </c>
      <c r="B500" s="67">
        <f t="shared" si="87"/>
        <v>0</v>
      </c>
      <c r="C500" s="70" t="str">
        <f>IF(VLOOKUP(B500,'x Malzemeler ve Özellikleri'!$B$2:$M$136,12,0)="ALÜMİNYUM",'1PROJE'!$H$19,"")</f>
        <v/>
      </c>
      <c r="D500" s="67">
        <f t="shared" si="88"/>
        <v>0</v>
      </c>
      <c r="E500" s="69" t="e">
        <f>HLOOKUP(B500,xHesaplama!$AH$26:$FH$66,34,0)</f>
        <v>#N/A</v>
      </c>
      <c r="F500" s="76">
        <f t="shared" si="84"/>
        <v>0</v>
      </c>
      <c r="G500" s="70">
        <f t="shared" si="89"/>
        <v>0</v>
      </c>
      <c r="H500" s="69" t="str">
        <f t="shared" si="85"/>
        <v/>
      </c>
      <c r="I500" s="145">
        <v>0</v>
      </c>
      <c r="J500" s="619"/>
      <c r="K500" s="81">
        <f>IFERROR(VLOOKUP(B500,'x Malzemeler ve Özellikleri'!$O$1:$Q$181,3,0)*F500,0)</f>
        <v>0</v>
      </c>
    </row>
    <row r="501" spans="1:11" ht="19.5">
      <c r="A501" s="67">
        <f t="shared" si="86"/>
        <v>0</v>
      </c>
      <c r="B501" s="67">
        <f t="shared" si="87"/>
        <v>0</v>
      </c>
      <c r="C501" s="70" t="str">
        <f>IF(VLOOKUP(B501,'x Malzemeler ve Özellikleri'!$B$2:$M$136,12,0)="ALÜMİNYUM",'1PROJE'!$H$19,"")</f>
        <v/>
      </c>
      <c r="D501" s="67">
        <f t="shared" si="88"/>
        <v>0</v>
      </c>
      <c r="E501" s="69" t="e">
        <f>HLOOKUP(B501,xHesaplama!$AH$26:$FH$66,34,0)</f>
        <v>#N/A</v>
      </c>
      <c r="F501" s="76">
        <f t="shared" si="84"/>
        <v>0</v>
      </c>
      <c r="G501" s="70">
        <f t="shared" si="89"/>
        <v>0</v>
      </c>
      <c r="H501" s="69" t="str">
        <f t="shared" si="85"/>
        <v/>
      </c>
      <c r="I501" s="145">
        <v>0</v>
      </c>
      <c r="J501" s="619"/>
      <c r="K501" s="81">
        <f>IFERROR(VLOOKUP(B501,'x Malzemeler ve Özellikleri'!$O$1:$Q$181,3,0)*F501,0)</f>
        <v>0</v>
      </c>
    </row>
    <row r="502" spans="1:11" ht="19.5">
      <c r="A502" s="67">
        <f t="shared" si="86"/>
        <v>0</v>
      </c>
      <c r="B502" s="67">
        <f t="shared" si="87"/>
        <v>0</v>
      </c>
      <c r="C502" s="70" t="str">
        <f>IF(VLOOKUP(B502,'x Malzemeler ve Özellikleri'!$B$2:$M$136,12,0)="ALÜMİNYUM",'1PROJE'!$H$19,"")</f>
        <v/>
      </c>
      <c r="D502" s="67">
        <f t="shared" si="88"/>
        <v>0</v>
      </c>
      <c r="E502" s="69" t="e">
        <f>HLOOKUP(B502,xHesaplama!$AH$26:$FH$66,34,0)</f>
        <v>#N/A</v>
      </c>
      <c r="F502" s="76">
        <f t="shared" si="84"/>
        <v>0</v>
      </c>
      <c r="G502" s="70">
        <f t="shared" si="89"/>
        <v>0</v>
      </c>
      <c r="H502" s="69" t="str">
        <f t="shared" si="85"/>
        <v/>
      </c>
      <c r="I502" s="145">
        <v>0</v>
      </c>
      <c r="J502" s="619"/>
      <c r="K502" s="81">
        <f>IFERROR(VLOOKUP(B502,'x Malzemeler ve Özellikleri'!$O$1:$Q$181,3,0)*F502,0)</f>
        <v>0</v>
      </c>
    </row>
    <row r="503" spans="1:11" ht="19.5">
      <c r="A503" s="67">
        <f t="shared" si="86"/>
        <v>0</v>
      </c>
      <c r="B503" s="67">
        <f t="shared" si="87"/>
        <v>0</v>
      </c>
      <c r="C503" s="70" t="str">
        <f>IF(VLOOKUP(B503,'x Malzemeler ve Özellikleri'!$B$2:$M$136,12,0)="ALÜMİNYUM",'1PROJE'!$H$19,"")</f>
        <v/>
      </c>
      <c r="D503" s="67">
        <f t="shared" si="88"/>
        <v>0</v>
      </c>
      <c r="E503" s="69" t="e">
        <f>HLOOKUP(B503,xHesaplama!$AH$26:$FH$66,34,0)</f>
        <v>#N/A</v>
      </c>
      <c r="F503" s="76">
        <f t="shared" si="84"/>
        <v>0</v>
      </c>
      <c r="G503" s="70">
        <f t="shared" si="89"/>
        <v>0</v>
      </c>
      <c r="H503" s="69" t="str">
        <f t="shared" si="85"/>
        <v/>
      </c>
      <c r="I503" s="145">
        <v>0</v>
      </c>
      <c r="J503" s="619"/>
      <c r="K503" s="81">
        <f>IFERROR(VLOOKUP(B503,'x Malzemeler ve Özellikleri'!$O$1:$Q$181,3,0)*F503,0)</f>
        <v>0</v>
      </c>
    </row>
    <row r="504" spans="1:11" ht="19.5">
      <c r="A504" s="67">
        <f t="shared" si="86"/>
        <v>0</v>
      </c>
      <c r="B504" s="67">
        <f t="shared" si="87"/>
        <v>0</v>
      </c>
      <c r="C504" s="70" t="str">
        <f>IF(VLOOKUP(B504,'x Malzemeler ve Özellikleri'!$B$2:$M$136,12,0)="ALÜMİNYUM",'1PROJE'!$H$19,"")</f>
        <v/>
      </c>
      <c r="D504" s="67">
        <f t="shared" si="88"/>
        <v>0</v>
      </c>
      <c r="E504" s="69" t="e">
        <f>HLOOKUP(B504,xHesaplama!$AH$26:$FH$66,34,0)</f>
        <v>#N/A</v>
      </c>
      <c r="F504" s="76">
        <f t="shared" si="84"/>
        <v>0</v>
      </c>
      <c r="G504" s="70">
        <f t="shared" si="89"/>
        <v>0</v>
      </c>
      <c r="H504" s="69" t="str">
        <f t="shared" si="85"/>
        <v/>
      </c>
      <c r="I504" s="145">
        <v>0</v>
      </c>
      <c r="J504" s="619"/>
      <c r="K504" s="81">
        <f>IFERROR(VLOOKUP(B504,'x Malzemeler ve Özellikleri'!$O$1:$Q$181,3,0)*F504,0)</f>
        <v>0</v>
      </c>
    </row>
    <row r="505" spans="1:11" ht="19.5">
      <c r="A505" s="67">
        <f t="shared" si="86"/>
        <v>0</v>
      </c>
      <c r="B505" s="67">
        <f t="shared" si="87"/>
        <v>0</v>
      </c>
      <c r="C505" s="70" t="str">
        <f>IF(VLOOKUP(B505,'x Malzemeler ve Özellikleri'!$B$2:$M$136,12,0)="ALÜMİNYUM",'1PROJE'!$H$19,"")</f>
        <v/>
      </c>
      <c r="D505" s="67">
        <f t="shared" si="88"/>
        <v>0</v>
      </c>
      <c r="E505" s="69" t="e">
        <f>HLOOKUP(B505,xHesaplama!$AH$26:$FH$66,34,0)</f>
        <v>#N/A</v>
      </c>
      <c r="F505" s="76">
        <f t="shared" si="84"/>
        <v>0</v>
      </c>
      <c r="G505" s="70">
        <f t="shared" si="89"/>
        <v>0</v>
      </c>
      <c r="H505" s="69" t="str">
        <f t="shared" si="85"/>
        <v/>
      </c>
      <c r="I505" s="145">
        <v>0</v>
      </c>
      <c r="J505" s="619"/>
      <c r="K505" s="81">
        <f>IFERROR(VLOOKUP(B505,'x Malzemeler ve Özellikleri'!$O$1:$Q$181,3,0)*F505,0)</f>
        <v>0</v>
      </c>
    </row>
    <row r="506" spans="1:11" ht="19.5">
      <c r="A506" s="67">
        <f t="shared" si="86"/>
        <v>0</v>
      </c>
      <c r="B506" s="67">
        <f t="shared" si="87"/>
        <v>0</v>
      </c>
      <c r="C506" s="70" t="str">
        <f>IF(VLOOKUP(B506,'x Malzemeler ve Özellikleri'!$B$2:$M$136,12,0)="ALÜMİNYUM",'1PROJE'!$H$19,"")</f>
        <v/>
      </c>
      <c r="D506" s="67">
        <f t="shared" si="88"/>
        <v>0</v>
      </c>
      <c r="E506" s="69" t="e">
        <f>HLOOKUP(B506,xHesaplama!$AH$26:$FH$66,34,0)</f>
        <v>#N/A</v>
      </c>
      <c r="F506" s="76">
        <f t="shared" si="84"/>
        <v>0</v>
      </c>
      <c r="G506" s="70">
        <f t="shared" si="89"/>
        <v>0</v>
      </c>
      <c r="H506" s="69" t="str">
        <f t="shared" si="85"/>
        <v/>
      </c>
      <c r="I506" s="145">
        <v>0</v>
      </c>
      <c r="J506" s="619"/>
      <c r="K506" s="81">
        <f>IFERROR(VLOOKUP(B506,'x Malzemeler ve Özellikleri'!$O$1:$Q$181,3,0)*F506,0)</f>
        <v>0</v>
      </c>
    </row>
    <row r="507" spans="1:11" ht="19.5">
      <c r="A507" s="67">
        <f t="shared" si="86"/>
        <v>0</v>
      </c>
      <c r="B507" s="67">
        <f t="shared" si="87"/>
        <v>0</v>
      </c>
      <c r="C507" s="70" t="str">
        <f>IF(VLOOKUP(B507,'x Malzemeler ve Özellikleri'!$B$2:$M$136,12,0)="ALÜMİNYUM",'1PROJE'!$H$19,"")</f>
        <v/>
      </c>
      <c r="D507" s="67">
        <f t="shared" si="88"/>
        <v>0</v>
      </c>
      <c r="E507" s="69" t="e">
        <f>HLOOKUP(B507,xHesaplama!$AH$26:$FH$66,34,0)</f>
        <v>#N/A</v>
      </c>
      <c r="F507" s="76">
        <f t="shared" si="84"/>
        <v>0</v>
      </c>
      <c r="G507" s="70">
        <f t="shared" si="89"/>
        <v>0</v>
      </c>
      <c r="H507" s="69" t="str">
        <f t="shared" si="85"/>
        <v/>
      </c>
      <c r="I507" s="145">
        <v>0</v>
      </c>
      <c r="J507" s="619"/>
      <c r="K507" s="81">
        <f>IFERROR(VLOOKUP(B507,'x Malzemeler ve Özellikleri'!$O$1:$Q$181,3,0)*F507,0)</f>
        <v>0</v>
      </c>
    </row>
    <row r="508" spans="1:11" ht="19.5">
      <c r="A508" s="67">
        <f t="shared" si="86"/>
        <v>0</v>
      </c>
      <c r="B508" s="67">
        <f t="shared" si="87"/>
        <v>0</v>
      </c>
      <c r="C508" s="70" t="str">
        <f>IF(VLOOKUP(B508,'x Malzemeler ve Özellikleri'!$B$2:$M$136,12,0)="ALÜMİNYUM",'1PROJE'!$H$19,"")</f>
        <v/>
      </c>
      <c r="D508" s="67">
        <f t="shared" si="88"/>
        <v>0</v>
      </c>
      <c r="E508" s="69" t="e">
        <f>HLOOKUP(B508,xHesaplama!$AH$26:$FH$66,34,0)</f>
        <v>#N/A</v>
      </c>
      <c r="F508" s="76">
        <f t="shared" si="84"/>
        <v>0</v>
      </c>
      <c r="G508" s="70">
        <f t="shared" si="89"/>
        <v>0</v>
      </c>
      <c r="H508" s="69" t="str">
        <f t="shared" si="85"/>
        <v/>
      </c>
      <c r="I508" s="145">
        <v>0</v>
      </c>
      <c r="J508" s="619"/>
      <c r="K508" s="81">
        <f>IFERROR(VLOOKUP(B508,'x Malzemeler ve Özellikleri'!$O$1:$Q$181,3,0)*F508,0)</f>
        <v>0</v>
      </c>
    </row>
    <row r="509" spans="1:11" ht="19.5">
      <c r="A509" s="67">
        <f t="shared" si="86"/>
        <v>0</v>
      </c>
      <c r="B509" s="67">
        <f t="shared" si="87"/>
        <v>0</v>
      </c>
      <c r="C509" s="70" t="str">
        <f>IF(VLOOKUP(B509,'x Malzemeler ve Özellikleri'!$B$2:$M$136,12,0)="ALÜMİNYUM",'1PROJE'!$H$19,"")</f>
        <v/>
      </c>
      <c r="D509" s="67">
        <f t="shared" si="88"/>
        <v>0</v>
      </c>
      <c r="E509" s="69" t="e">
        <f>HLOOKUP(B509,xHesaplama!$AH$26:$FH$66,34,0)</f>
        <v>#N/A</v>
      </c>
      <c r="F509" s="76">
        <f t="shared" si="84"/>
        <v>0</v>
      </c>
      <c r="G509" s="70">
        <f t="shared" si="89"/>
        <v>0</v>
      </c>
      <c r="H509" s="69" t="str">
        <f t="shared" si="85"/>
        <v/>
      </c>
      <c r="I509" s="145">
        <v>0</v>
      </c>
      <c r="J509" s="619"/>
      <c r="K509" s="81">
        <f>IFERROR(VLOOKUP(B509,'x Malzemeler ve Özellikleri'!$O$1:$Q$181,3,0)*F509,0)</f>
        <v>0</v>
      </c>
    </row>
    <row r="510" spans="1:11" ht="19.5">
      <c r="A510" s="67">
        <f t="shared" si="86"/>
        <v>0</v>
      </c>
      <c r="B510" s="67">
        <f t="shared" si="87"/>
        <v>0</v>
      </c>
      <c r="C510" s="70" t="str">
        <f>IF(VLOOKUP(B510,'x Malzemeler ve Özellikleri'!$B$2:$M$136,12,0)="ALÜMİNYUM",'1PROJE'!$H$19,"")</f>
        <v/>
      </c>
      <c r="D510" s="67">
        <f t="shared" si="88"/>
        <v>0</v>
      </c>
      <c r="E510" s="69" t="e">
        <f>HLOOKUP(B510,xHesaplama!$AH$26:$FH$66,34,0)</f>
        <v>#N/A</v>
      </c>
      <c r="F510" s="76">
        <f t="shared" si="84"/>
        <v>0</v>
      </c>
      <c r="G510" s="70">
        <f t="shared" si="89"/>
        <v>0</v>
      </c>
      <c r="H510" s="69" t="str">
        <f t="shared" si="85"/>
        <v/>
      </c>
      <c r="I510" s="145">
        <v>0</v>
      </c>
      <c r="J510" s="619"/>
      <c r="K510" s="81">
        <f>IFERROR(VLOOKUP(B510,'x Malzemeler ve Özellikleri'!$O$1:$Q$181,3,0)*F510,0)</f>
        <v>0</v>
      </c>
    </row>
    <row r="511" spans="1:11" ht="19.5">
      <c r="A511" s="67">
        <f t="shared" si="86"/>
        <v>0</v>
      </c>
      <c r="B511" s="67">
        <f t="shared" si="87"/>
        <v>0</v>
      </c>
      <c r="C511" s="70" t="str">
        <f>IF(VLOOKUP(B511,'x Malzemeler ve Özellikleri'!$B$2:$M$136,12,0)="ALÜMİNYUM",'1PROJE'!$H$19,"")</f>
        <v/>
      </c>
      <c r="D511" s="67">
        <f t="shared" si="88"/>
        <v>0</v>
      </c>
      <c r="E511" s="69" t="e">
        <f>HLOOKUP(B511,xHesaplama!$AH$26:$FH$66,34,0)</f>
        <v>#N/A</v>
      </c>
      <c r="F511" s="76">
        <f t="shared" si="84"/>
        <v>0</v>
      </c>
      <c r="G511" s="70">
        <f t="shared" si="89"/>
        <v>0</v>
      </c>
      <c r="H511" s="69" t="str">
        <f t="shared" si="85"/>
        <v/>
      </c>
      <c r="I511" s="145">
        <v>0</v>
      </c>
      <c r="J511" s="619"/>
      <c r="K511" s="81">
        <f>IFERROR(VLOOKUP(B511,'x Malzemeler ve Özellikleri'!$O$1:$Q$181,3,0)*F511,0)</f>
        <v>0</v>
      </c>
    </row>
    <row r="512" spans="1:11" ht="19.5">
      <c r="A512" s="67">
        <f t="shared" si="86"/>
        <v>0</v>
      </c>
      <c r="B512" s="67">
        <f t="shared" si="87"/>
        <v>0</v>
      </c>
      <c r="C512" s="70" t="str">
        <f>IF(VLOOKUP(B512,'x Malzemeler ve Özellikleri'!$B$2:$M$136,12,0)="ALÜMİNYUM",'1PROJE'!$H$19,"")</f>
        <v/>
      </c>
      <c r="D512" s="67">
        <f t="shared" si="88"/>
        <v>0</v>
      </c>
      <c r="E512" s="69" t="e">
        <f>HLOOKUP(B512,xHesaplama!$AH$26:$FH$66,34,0)</f>
        <v>#N/A</v>
      </c>
      <c r="F512" s="76">
        <f t="shared" si="84"/>
        <v>0</v>
      </c>
      <c r="G512" s="70">
        <f t="shared" si="89"/>
        <v>0</v>
      </c>
      <c r="H512" s="69" t="str">
        <f t="shared" si="85"/>
        <v/>
      </c>
      <c r="I512" s="145">
        <v>0</v>
      </c>
      <c r="J512" s="619"/>
      <c r="K512" s="81">
        <f>IFERROR(VLOOKUP(B512,'x Malzemeler ve Özellikleri'!$O$1:$Q$181,3,0)*F512,0)</f>
        <v>0</v>
      </c>
    </row>
    <row r="513" spans="1:11" ht="19.5">
      <c r="A513" s="67">
        <f t="shared" si="86"/>
        <v>0</v>
      </c>
      <c r="B513" s="67">
        <f t="shared" si="87"/>
        <v>0</v>
      </c>
      <c r="C513" s="70" t="str">
        <f>IF(VLOOKUP(B513,'x Malzemeler ve Özellikleri'!$B$2:$M$136,12,0)="ALÜMİNYUM",'1PROJE'!$H$19,"")</f>
        <v/>
      </c>
      <c r="D513" s="67">
        <f t="shared" si="88"/>
        <v>0</v>
      </c>
      <c r="E513" s="69" t="e">
        <f>HLOOKUP(B513,xHesaplama!$AH$26:$FH$66,34,0)</f>
        <v>#N/A</v>
      </c>
      <c r="F513" s="76">
        <f t="shared" si="84"/>
        <v>0</v>
      </c>
      <c r="G513" s="70">
        <f t="shared" si="89"/>
        <v>0</v>
      </c>
      <c r="H513" s="69" t="str">
        <f t="shared" si="85"/>
        <v/>
      </c>
      <c r="I513" s="145">
        <v>0</v>
      </c>
      <c r="J513" s="619"/>
      <c r="K513" s="81">
        <f>IFERROR(VLOOKUP(B513,'x Malzemeler ve Özellikleri'!$O$1:$Q$181,3,0)*F513,0)</f>
        <v>0</v>
      </c>
    </row>
    <row r="514" spans="1:11" ht="19.5">
      <c r="A514" s="67">
        <f t="shared" si="86"/>
        <v>0</v>
      </c>
      <c r="B514" s="67">
        <f t="shared" si="87"/>
        <v>0</v>
      </c>
      <c r="C514" s="70" t="str">
        <f>IF(VLOOKUP(B514,'x Malzemeler ve Özellikleri'!$B$2:$M$136,12,0)="ALÜMİNYUM",'1PROJE'!$H$19,"")</f>
        <v/>
      </c>
      <c r="D514" s="67">
        <f t="shared" si="88"/>
        <v>0</v>
      </c>
      <c r="E514" s="69" t="e">
        <f>HLOOKUP(B514,xHesaplama!$AH$26:$FH$66,34,0)</f>
        <v>#N/A</v>
      </c>
      <c r="F514" s="76">
        <f t="shared" si="84"/>
        <v>0</v>
      </c>
      <c r="G514" s="70">
        <f t="shared" si="89"/>
        <v>0</v>
      </c>
      <c r="H514" s="69" t="str">
        <f t="shared" si="85"/>
        <v/>
      </c>
      <c r="I514" s="145">
        <v>0</v>
      </c>
      <c r="J514" s="619"/>
      <c r="K514" s="81">
        <f>IFERROR(VLOOKUP(B514,'x Malzemeler ve Özellikleri'!$O$1:$Q$181,3,0)*F514,0)</f>
        <v>0</v>
      </c>
    </row>
    <row r="515" spans="1:11" ht="19.5">
      <c r="A515" s="67">
        <f t="shared" si="86"/>
        <v>0</v>
      </c>
      <c r="B515" s="67">
        <f t="shared" si="87"/>
        <v>0</v>
      </c>
      <c r="C515" s="70" t="str">
        <f>IF(VLOOKUP(B515,'x Malzemeler ve Özellikleri'!$B$2:$M$136,12,0)="ALÜMİNYUM",'1PROJE'!$H$19,"")</f>
        <v/>
      </c>
      <c r="D515" s="67">
        <f t="shared" si="88"/>
        <v>0</v>
      </c>
      <c r="E515" s="69" t="e">
        <f>HLOOKUP(B515,xHesaplama!$AH$26:$FH$66,34,0)</f>
        <v>#N/A</v>
      </c>
      <c r="F515" s="76">
        <f t="shared" si="84"/>
        <v>0</v>
      </c>
      <c r="G515" s="70">
        <f t="shared" si="89"/>
        <v>0</v>
      </c>
      <c r="H515" s="69" t="str">
        <f t="shared" si="85"/>
        <v/>
      </c>
      <c r="I515" s="145">
        <v>0</v>
      </c>
      <c r="J515" s="619"/>
      <c r="K515" s="81">
        <f>IFERROR(VLOOKUP(B515,'x Malzemeler ve Özellikleri'!$O$1:$Q$181,3,0)*F515,0)</f>
        <v>0</v>
      </c>
    </row>
    <row r="516" spans="1:11" ht="19.5">
      <c r="A516" s="67">
        <f t="shared" si="86"/>
        <v>0</v>
      </c>
      <c r="B516" s="67">
        <f t="shared" si="87"/>
        <v>0</v>
      </c>
      <c r="C516" s="70" t="str">
        <f>IF(VLOOKUP(B516,'x Malzemeler ve Özellikleri'!$B$2:$M$136,12,0)="ALÜMİNYUM",'1PROJE'!$H$19,"")</f>
        <v/>
      </c>
      <c r="D516" s="67">
        <f t="shared" si="88"/>
        <v>0</v>
      </c>
      <c r="E516" s="69" t="e">
        <f>HLOOKUP(B516,xHesaplama!$AH$26:$FH$66,34,0)</f>
        <v>#N/A</v>
      </c>
      <c r="F516" s="76">
        <f t="shared" si="84"/>
        <v>0</v>
      </c>
      <c r="G516" s="70">
        <f t="shared" si="89"/>
        <v>0</v>
      </c>
      <c r="H516" s="69" t="str">
        <f t="shared" si="85"/>
        <v/>
      </c>
      <c r="I516" s="145">
        <v>0</v>
      </c>
      <c r="J516" s="619"/>
      <c r="K516" s="81">
        <f>IFERROR(VLOOKUP(B516,'x Malzemeler ve Özellikleri'!$O$1:$Q$181,3,0)*F516,0)</f>
        <v>0</v>
      </c>
    </row>
    <row r="517" spans="1:11" ht="19.5">
      <c r="A517" s="67">
        <f t="shared" si="86"/>
        <v>0</v>
      </c>
      <c r="B517" s="67">
        <f t="shared" si="87"/>
        <v>0</v>
      </c>
      <c r="C517" s="70" t="str">
        <f>IF(VLOOKUP(B517,'x Malzemeler ve Özellikleri'!$B$2:$M$136,12,0)="ALÜMİNYUM",'1PROJE'!$H$19,"")</f>
        <v/>
      </c>
      <c r="D517" s="67">
        <f t="shared" si="88"/>
        <v>0</v>
      </c>
      <c r="E517" s="69" t="e">
        <f>HLOOKUP(B517,xHesaplama!$AH$26:$FH$66,34,0)</f>
        <v>#N/A</v>
      </c>
      <c r="F517" s="76">
        <f t="shared" si="84"/>
        <v>0</v>
      </c>
      <c r="G517" s="70">
        <f t="shared" si="89"/>
        <v>0</v>
      </c>
      <c r="H517" s="69" t="str">
        <f t="shared" si="85"/>
        <v/>
      </c>
      <c r="I517" s="145">
        <v>0</v>
      </c>
      <c r="J517" s="619"/>
      <c r="K517" s="81">
        <f>IFERROR(VLOOKUP(B517,'x Malzemeler ve Özellikleri'!$O$1:$Q$181,3,0)*F517,0)</f>
        <v>0</v>
      </c>
    </row>
    <row r="518" spans="1:11" ht="19.5">
      <c r="A518" s="67">
        <f t="shared" si="86"/>
        <v>0</v>
      </c>
      <c r="B518" s="67">
        <f t="shared" si="87"/>
        <v>0</v>
      </c>
      <c r="C518" s="70" t="str">
        <f>IF(VLOOKUP(B518,'x Malzemeler ve Özellikleri'!$B$2:$M$136,12,0)="ALÜMİNYUM",'1PROJE'!$H$19,"")</f>
        <v/>
      </c>
      <c r="D518" s="67">
        <f t="shared" si="88"/>
        <v>0</v>
      </c>
      <c r="E518" s="69" t="e">
        <f>HLOOKUP(B518,xHesaplama!$AH$26:$FH$66,34,0)</f>
        <v>#N/A</v>
      </c>
      <c r="F518" s="76">
        <f t="shared" si="84"/>
        <v>0</v>
      </c>
      <c r="G518" s="70">
        <f t="shared" si="89"/>
        <v>0</v>
      </c>
      <c r="H518" s="69" t="str">
        <f t="shared" si="85"/>
        <v/>
      </c>
      <c r="I518" s="145">
        <v>0</v>
      </c>
      <c r="J518" s="619"/>
      <c r="K518" s="81">
        <f>IFERROR(VLOOKUP(B518,'x Malzemeler ve Özellikleri'!$O$1:$Q$181,3,0)*F518,0)</f>
        <v>0</v>
      </c>
    </row>
    <row r="519" spans="1:11" ht="19.5">
      <c r="A519" s="67">
        <f t="shared" si="86"/>
        <v>0</v>
      </c>
      <c r="B519" s="67">
        <f t="shared" si="87"/>
        <v>0</v>
      </c>
      <c r="C519" s="70" t="str">
        <f>IF(VLOOKUP(B519,'x Malzemeler ve Özellikleri'!$B$2:$M$136,12,0)="ALÜMİNYUM",'1PROJE'!$H$19,"")</f>
        <v/>
      </c>
      <c r="D519" s="67">
        <f t="shared" si="88"/>
        <v>0</v>
      </c>
      <c r="E519" s="69" t="e">
        <f>HLOOKUP(B519,xHesaplama!$AH$26:$FH$66,34,0)</f>
        <v>#N/A</v>
      </c>
      <c r="F519" s="76">
        <f t="shared" si="84"/>
        <v>0</v>
      </c>
      <c r="G519" s="70">
        <f t="shared" si="89"/>
        <v>0</v>
      </c>
      <c r="H519" s="69" t="str">
        <f t="shared" si="85"/>
        <v/>
      </c>
      <c r="I519" s="145">
        <v>0</v>
      </c>
      <c r="J519" s="619"/>
      <c r="K519" s="81">
        <f>IFERROR(VLOOKUP(B519,'x Malzemeler ve Özellikleri'!$O$1:$Q$181,3,0)*F519,0)</f>
        <v>0</v>
      </c>
    </row>
    <row r="520" spans="1:11" ht="19.5">
      <c r="A520" s="67">
        <f t="shared" si="86"/>
        <v>0</v>
      </c>
      <c r="B520" s="67">
        <f t="shared" si="87"/>
        <v>0</v>
      </c>
      <c r="C520" s="70" t="str">
        <f>IF(VLOOKUP(B520,'x Malzemeler ve Özellikleri'!$B$2:$M$136,12,0)="ALÜMİNYUM",'1PROJE'!$H$19,"")</f>
        <v/>
      </c>
      <c r="D520" s="67">
        <f t="shared" si="88"/>
        <v>0</v>
      </c>
      <c r="E520" s="69" t="e">
        <f>HLOOKUP(B520,xHesaplama!$AH$26:$FH$66,34,0)</f>
        <v>#N/A</v>
      </c>
      <c r="F520" s="76">
        <f t="shared" si="84"/>
        <v>0</v>
      </c>
      <c r="G520" s="70">
        <f t="shared" si="89"/>
        <v>0</v>
      </c>
      <c r="H520" s="69" t="str">
        <f t="shared" si="85"/>
        <v/>
      </c>
      <c r="I520" s="145">
        <v>0</v>
      </c>
      <c r="J520" s="619"/>
      <c r="K520" s="81">
        <f>IFERROR(VLOOKUP(B520,'x Malzemeler ve Özellikleri'!$O$1:$Q$181,3,0)*F520,0)</f>
        <v>0</v>
      </c>
    </row>
    <row r="521" spans="1:11" ht="19.5">
      <c r="A521" s="67">
        <f t="shared" si="86"/>
        <v>0</v>
      </c>
      <c r="B521" s="67">
        <f t="shared" si="87"/>
        <v>0</v>
      </c>
      <c r="C521" s="70" t="str">
        <f>IF(VLOOKUP(B521,'x Malzemeler ve Özellikleri'!$B$2:$M$136,12,0)="ALÜMİNYUM",'1PROJE'!$H$19,"")</f>
        <v/>
      </c>
      <c r="D521" s="67">
        <f t="shared" si="88"/>
        <v>0</v>
      </c>
      <c r="E521" s="69" t="e">
        <f>HLOOKUP(B521,xHesaplama!$AH$26:$FH$66,34,0)</f>
        <v>#N/A</v>
      </c>
      <c r="F521" s="76">
        <f t="shared" si="84"/>
        <v>0</v>
      </c>
      <c r="G521" s="70">
        <f t="shared" si="89"/>
        <v>0</v>
      </c>
      <c r="H521" s="69" t="str">
        <f t="shared" si="85"/>
        <v/>
      </c>
      <c r="I521" s="145">
        <v>0</v>
      </c>
      <c r="J521" s="619"/>
      <c r="K521" s="81">
        <f>IFERROR(VLOOKUP(B521,'x Malzemeler ve Özellikleri'!$O$1:$Q$181,3,0)*F521,0)</f>
        <v>0</v>
      </c>
    </row>
    <row r="522" spans="1:11" ht="19.5">
      <c r="A522" s="67">
        <f t="shared" si="86"/>
        <v>0</v>
      </c>
      <c r="B522" s="67">
        <f t="shared" si="87"/>
        <v>0</v>
      </c>
      <c r="C522" s="70" t="str">
        <f>IF(VLOOKUP(B522,'x Malzemeler ve Özellikleri'!$B$2:$M$136,12,0)="ALÜMİNYUM",'1PROJE'!$H$19,"")</f>
        <v/>
      </c>
      <c r="D522" s="67">
        <f t="shared" si="88"/>
        <v>0</v>
      </c>
      <c r="E522" s="69" t="e">
        <f>HLOOKUP(B522,xHesaplama!$AH$26:$FH$66,34,0)</f>
        <v>#N/A</v>
      </c>
      <c r="F522" s="76">
        <f t="shared" si="84"/>
        <v>0</v>
      </c>
      <c r="G522" s="70">
        <f t="shared" si="89"/>
        <v>0</v>
      </c>
      <c r="H522" s="69" t="str">
        <f t="shared" si="85"/>
        <v/>
      </c>
      <c r="I522" s="145">
        <v>0</v>
      </c>
      <c r="J522" s="619"/>
      <c r="K522" s="81">
        <f>IFERROR(VLOOKUP(B522,'x Malzemeler ve Özellikleri'!$O$1:$Q$181,3,0)*F522,0)</f>
        <v>0</v>
      </c>
    </row>
    <row r="523" spans="1:11" ht="19.5">
      <c r="A523" s="67">
        <f t="shared" si="86"/>
        <v>0</v>
      </c>
      <c r="B523" s="67">
        <f t="shared" si="87"/>
        <v>0</v>
      </c>
      <c r="C523" s="70" t="str">
        <f>IF(VLOOKUP(B523,'x Malzemeler ve Özellikleri'!$B$2:$M$136,12,0)="ALÜMİNYUM",'1PROJE'!$H$19,"")</f>
        <v/>
      </c>
      <c r="D523" s="67">
        <f t="shared" si="88"/>
        <v>0</v>
      </c>
      <c r="E523" s="69" t="e">
        <f>HLOOKUP(B523,xHesaplama!$AH$26:$FH$66,34,0)</f>
        <v>#N/A</v>
      </c>
      <c r="F523" s="76">
        <f t="shared" si="84"/>
        <v>0</v>
      </c>
      <c r="G523" s="70">
        <f t="shared" si="89"/>
        <v>0</v>
      </c>
      <c r="H523" s="69" t="str">
        <f t="shared" si="85"/>
        <v/>
      </c>
      <c r="I523" s="145">
        <v>0</v>
      </c>
      <c r="J523" s="619"/>
      <c r="K523" s="81">
        <f>IFERROR(VLOOKUP(B523,'x Malzemeler ve Özellikleri'!$O$1:$Q$181,3,0)*F523,0)</f>
        <v>0</v>
      </c>
    </row>
    <row r="524" spans="1:11" ht="19.5">
      <c r="A524" s="67">
        <f t="shared" si="86"/>
        <v>0</v>
      </c>
      <c r="B524" s="67">
        <f t="shared" si="87"/>
        <v>0</v>
      </c>
      <c r="C524" s="70" t="str">
        <f>IF(VLOOKUP(B524,'x Malzemeler ve Özellikleri'!$B$2:$M$136,12,0)="ALÜMİNYUM",'1PROJE'!$H$19,"")</f>
        <v/>
      </c>
      <c r="D524" s="67">
        <f t="shared" si="88"/>
        <v>0</v>
      </c>
      <c r="E524" s="69" t="e">
        <f>HLOOKUP(B524,xHesaplama!$AH$26:$FH$66,34,0)</f>
        <v>#N/A</v>
      </c>
      <c r="F524" s="76">
        <f t="shared" si="84"/>
        <v>0</v>
      </c>
      <c r="G524" s="70">
        <f t="shared" si="89"/>
        <v>0</v>
      </c>
      <c r="H524" s="69" t="str">
        <f t="shared" si="85"/>
        <v/>
      </c>
      <c r="I524" s="145">
        <v>0</v>
      </c>
      <c r="J524" s="619"/>
      <c r="K524" s="81">
        <f>IFERROR(VLOOKUP(B524,'x Malzemeler ve Özellikleri'!$O$1:$Q$181,3,0)*F524,0)</f>
        <v>0</v>
      </c>
    </row>
    <row r="525" spans="1:11" ht="19.5">
      <c r="A525" s="67">
        <f t="shared" si="86"/>
        <v>0</v>
      </c>
      <c r="B525" s="67">
        <f t="shared" si="87"/>
        <v>0</v>
      </c>
      <c r="C525" s="70" t="str">
        <f>IF(VLOOKUP(B525,'x Malzemeler ve Özellikleri'!$B$2:$M$136,12,0)="ALÜMİNYUM",'1PROJE'!$H$19,"")</f>
        <v/>
      </c>
      <c r="D525" s="67">
        <f t="shared" si="88"/>
        <v>0</v>
      </c>
      <c r="E525" s="69" t="e">
        <f>HLOOKUP(B525,xHesaplama!$AH$26:$FH$66,34,0)</f>
        <v>#N/A</v>
      </c>
      <c r="F525" s="76">
        <f t="shared" si="84"/>
        <v>0</v>
      </c>
      <c r="G525" s="70">
        <f t="shared" si="89"/>
        <v>0</v>
      </c>
      <c r="H525" s="69" t="str">
        <f t="shared" si="85"/>
        <v/>
      </c>
      <c r="I525" s="145">
        <v>0</v>
      </c>
      <c r="J525" s="619"/>
      <c r="K525" s="81">
        <f>IFERROR(VLOOKUP(B525,'x Malzemeler ve Özellikleri'!$O$1:$Q$181,3,0)*F525,0)</f>
        <v>0</v>
      </c>
    </row>
    <row r="526" spans="1:11" ht="19.5">
      <c r="A526" s="67">
        <f t="shared" si="86"/>
        <v>0</v>
      </c>
      <c r="B526" s="67">
        <f t="shared" si="87"/>
        <v>0</v>
      </c>
      <c r="C526" s="70" t="str">
        <f>IF(VLOOKUP(B526,'x Malzemeler ve Özellikleri'!$B$2:$M$136,12,0)="ALÜMİNYUM",'1PROJE'!$H$19,"")</f>
        <v/>
      </c>
      <c r="D526" s="67">
        <f t="shared" si="88"/>
        <v>0</v>
      </c>
      <c r="E526" s="69" t="e">
        <f>HLOOKUP(B526,xHesaplama!$AH$26:$FH$66,34,0)</f>
        <v>#N/A</v>
      </c>
      <c r="F526" s="76">
        <f t="shared" si="84"/>
        <v>0</v>
      </c>
      <c r="G526" s="70">
        <f t="shared" si="89"/>
        <v>0</v>
      </c>
      <c r="H526" s="69" t="str">
        <f t="shared" si="85"/>
        <v/>
      </c>
      <c r="I526" s="145">
        <v>0</v>
      </c>
      <c r="J526" s="619"/>
      <c r="K526" s="81">
        <f>IFERROR(VLOOKUP(B526,'x Malzemeler ve Özellikleri'!$O$1:$Q$181,3,0)*F526,0)</f>
        <v>0</v>
      </c>
    </row>
    <row r="527" spans="1:11" ht="19.5">
      <c r="A527" s="67">
        <f t="shared" si="86"/>
        <v>0</v>
      </c>
      <c r="B527" s="67">
        <f t="shared" si="87"/>
        <v>0</v>
      </c>
      <c r="C527" s="70" t="str">
        <f>IF(VLOOKUP(B527,'x Malzemeler ve Özellikleri'!$B$2:$M$136,12,0)="ALÜMİNYUM",'1PROJE'!$H$19,"")</f>
        <v/>
      </c>
      <c r="D527" s="67">
        <f t="shared" si="88"/>
        <v>0</v>
      </c>
      <c r="E527" s="69" t="e">
        <f>HLOOKUP(B527,xHesaplama!$AH$26:$FH$66,34,0)</f>
        <v>#N/A</v>
      </c>
      <c r="F527" s="76">
        <f t="shared" si="84"/>
        <v>0</v>
      </c>
      <c r="G527" s="70">
        <f t="shared" si="89"/>
        <v>0</v>
      </c>
      <c r="H527" s="69" t="str">
        <f t="shared" si="85"/>
        <v/>
      </c>
      <c r="I527" s="145">
        <v>0</v>
      </c>
      <c r="J527" s="619"/>
      <c r="K527" s="81">
        <f>IFERROR(VLOOKUP(B527,'x Malzemeler ve Özellikleri'!$O$1:$Q$181,3,0)*F527,0)</f>
        <v>0</v>
      </c>
    </row>
    <row r="528" spans="1:11" ht="19.5">
      <c r="A528" s="67">
        <f t="shared" si="86"/>
        <v>0</v>
      </c>
      <c r="B528" s="67">
        <f t="shared" si="87"/>
        <v>0</v>
      </c>
      <c r="C528" s="70" t="str">
        <f>IF(VLOOKUP(B528,'x Malzemeler ve Özellikleri'!$B$2:$M$136,12,0)="ALÜMİNYUM",'1PROJE'!$H$19,"")</f>
        <v/>
      </c>
      <c r="D528" s="67">
        <f t="shared" si="88"/>
        <v>0</v>
      </c>
      <c r="E528" s="69" t="e">
        <f>HLOOKUP(B528,xHesaplama!$AH$26:$FH$66,34,0)</f>
        <v>#N/A</v>
      </c>
      <c r="F528" s="76">
        <f t="shared" si="84"/>
        <v>0</v>
      </c>
      <c r="G528" s="70">
        <f t="shared" si="89"/>
        <v>0</v>
      </c>
      <c r="H528" s="69" t="str">
        <f t="shared" si="85"/>
        <v/>
      </c>
      <c r="I528" s="145">
        <v>0</v>
      </c>
      <c r="J528" s="619"/>
      <c r="K528" s="81">
        <f>IFERROR(VLOOKUP(B528,'x Malzemeler ve Özellikleri'!$O$1:$Q$181,3,0)*F528,0)</f>
        <v>0</v>
      </c>
    </row>
    <row r="529" spans="1:40" ht="19.5">
      <c r="A529" s="67">
        <f t="shared" si="86"/>
        <v>0</v>
      </c>
      <c r="B529" s="67">
        <f t="shared" si="87"/>
        <v>0</v>
      </c>
      <c r="C529" s="70" t="str">
        <f>IF(VLOOKUP(B529,'x Malzemeler ve Özellikleri'!$B$2:$M$136,12,0)="ALÜMİNYUM",'1PROJE'!$H$19,"")</f>
        <v/>
      </c>
      <c r="D529" s="67">
        <f t="shared" si="88"/>
        <v>0</v>
      </c>
      <c r="E529" s="69" t="e">
        <f>HLOOKUP(B529,xHesaplama!$AH$26:$FH$66,34,0)</f>
        <v>#N/A</v>
      </c>
      <c r="F529" s="76">
        <f t="shared" si="84"/>
        <v>0</v>
      </c>
      <c r="G529" s="70">
        <f t="shared" si="89"/>
        <v>0</v>
      </c>
      <c r="H529" s="69" t="str">
        <f t="shared" si="85"/>
        <v/>
      </c>
      <c r="I529" s="145">
        <v>0</v>
      </c>
      <c r="J529" s="619"/>
      <c r="K529" s="81">
        <f>IFERROR(VLOOKUP(B529,'x Malzemeler ve Özellikleri'!$O$1:$Q$181,3,0)*F529,0)</f>
        <v>0</v>
      </c>
    </row>
    <row r="530" spans="1:40" ht="19.5">
      <c r="A530" s="67">
        <f t="shared" si="86"/>
        <v>0</v>
      </c>
      <c r="B530" s="67">
        <f t="shared" si="87"/>
        <v>0</v>
      </c>
      <c r="C530" s="70" t="str">
        <f>IF(VLOOKUP(B530,'x Malzemeler ve Özellikleri'!$B$2:$M$136,12,0)="ALÜMİNYUM",'1PROJE'!$H$19,"")</f>
        <v/>
      </c>
      <c r="D530" s="67">
        <f t="shared" si="88"/>
        <v>0</v>
      </c>
      <c r="E530" s="69" t="e">
        <f>HLOOKUP(B530,xHesaplama!$AH$26:$FH$66,34,0)</f>
        <v>#N/A</v>
      </c>
      <c r="F530" s="76">
        <f t="shared" si="84"/>
        <v>0</v>
      </c>
      <c r="G530" s="70">
        <f t="shared" si="89"/>
        <v>0</v>
      </c>
      <c r="H530" s="69" t="str">
        <f t="shared" si="85"/>
        <v/>
      </c>
      <c r="I530" s="145">
        <v>0</v>
      </c>
      <c r="J530" s="619"/>
      <c r="K530" s="81">
        <f>IFERROR(VLOOKUP(B530,'x Malzemeler ve Özellikleri'!$O$1:$Q$181,3,0)*F530,0)</f>
        <v>0</v>
      </c>
    </row>
    <row r="531" spans="1:40" ht="19.5">
      <c r="A531" s="67">
        <f t="shared" si="86"/>
        <v>0</v>
      </c>
      <c r="B531" s="67">
        <f t="shared" si="87"/>
        <v>0</v>
      </c>
      <c r="C531" s="70" t="str">
        <f>IF(VLOOKUP(B531,'x Malzemeler ve Özellikleri'!$B$2:$M$136,12,0)="ALÜMİNYUM",'1PROJE'!$H$19,"")</f>
        <v/>
      </c>
      <c r="D531" s="67">
        <f t="shared" si="88"/>
        <v>0</v>
      </c>
      <c r="E531" s="69" t="e">
        <f>HLOOKUP(B531,xHesaplama!$AH$26:$FH$66,34,0)</f>
        <v>#N/A</v>
      </c>
      <c r="F531" s="76">
        <f t="shared" si="84"/>
        <v>0</v>
      </c>
      <c r="G531" s="70">
        <f t="shared" si="89"/>
        <v>0</v>
      </c>
      <c r="H531" s="69" t="str">
        <f t="shared" si="85"/>
        <v/>
      </c>
      <c r="I531" s="145">
        <v>0</v>
      </c>
      <c r="J531" s="619"/>
      <c r="K531" s="81">
        <f>IFERROR(VLOOKUP(B531,'x Malzemeler ve Özellikleri'!$O$1:$Q$181,3,0)*F531,0)</f>
        <v>0</v>
      </c>
    </row>
    <row r="532" spans="1:40" ht="19.5">
      <c r="A532" s="67">
        <f t="shared" si="86"/>
        <v>0</v>
      </c>
      <c r="B532" s="67">
        <f t="shared" si="87"/>
        <v>0</v>
      </c>
      <c r="C532" s="70" t="str">
        <f>IF(VLOOKUP(B532,'x Malzemeler ve Özellikleri'!$B$2:$M$136,12,0)="ALÜMİNYUM",'1PROJE'!$H$19,"")</f>
        <v/>
      </c>
      <c r="D532" s="67">
        <f t="shared" si="88"/>
        <v>0</v>
      </c>
      <c r="E532" s="69" t="e">
        <f>HLOOKUP(B532,xHesaplama!$AH$26:$FH$66,34,0)</f>
        <v>#N/A</v>
      </c>
      <c r="F532" s="76">
        <f t="shared" si="84"/>
        <v>0</v>
      </c>
      <c r="G532" s="70">
        <f t="shared" si="89"/>
        <v>0</v>
      </c>
      <c r="H532" s="69" t="str">
        <f t="shared" si="85"/>
        <v/>
      </c>
      <c r="I532" s="145">
        <v>0</v>
      </c>
      <c r="J532" s="619"/>
      <c r="K532" s="81">
        <f>IFERROR(VLOOKUP(B532,'x Malzemeler ve Özellikleri'!$O$1:$Q$181,3,0)*F532,0)</f>
        <v>0</v>
      </c>
    </row>
    <row r="533" spans="1:40" ht="20.25" thickBot="1">
      <c r="A533" s="67">
        <f t="shared" si="86"/>
        <v>0</v>
      </c>
      <c r="B533" s="67">
        <f t="shared" si="87"/>
        <v>0</v>
      </c>
      <c r="C533" s="70" t="str">
        <f>IF(VLOOKUP(B533,'x Malzemeler ve Özellikleri'!$B$2:$M$136,12,0)="ALÜMİNYUM",'1PROJE'!$H$19,"")</f>
        <v/>
      </c>
      <c r="D533" s="67">
        <f t="shared" si="88"/>
        <v>0</v>
      </c>
      <c r="E533" s="69" t="e">
        <f>HLOOKUP(B533,xHesaplama!$AH$26:$FH$66,34,0)</f>
        <v>#N/A</v>
      </c>
      <c r="F533" s="76">
        <f t="shared" si="84"/>
        <v>0</v>
      </c>
      <c r="G533" s="70">
        <f t="shared" si="89"/>
        <v>0</v>
      </c>
      <c r="H533" s="69" t="str">
        <f t="shared" si="85"/>
        <v/>
      </c>
      <c r="I533" s="145">
        <v>0</v>
      </c>
      <c r="J533" s="620"/>
      <c r="K533" s="81">
        <f>IFERROR(VLOOKUP(B533,'x Malzemeler ve Özellikleri'!$O$1:$Q$181,3,0)*F533,0)</f>
        <v>0</v>
      </c>
    </row>
    <row r="534" spans="1:40" ht="30" thickBot="1">
      <c r="A534" s="64" t="str">
        <f>"POZ"&amp;" "&amp;J535</f>
        <v>POZ 14</v>
      </c>
      <c r="C534" s="243">
        <f>xHesaplama!C40</f>
        <v>0</v>
      </c>
      <c r="D534" s="64" t="s">
        <v>357</v>
      </c>
      <c r="F534" s="74"/>
      <c r="G534" s="72" t="s">
        <v>786</v>
      </c>
      <c r="H534" s="65"/>
      <c r="I534" s="71">
        <f>SUM(H536:H574)</f>
        <v>0</v>
      </c>
      <c r="L534" t="str" cm="1">
        <f t="array" ref="L534:AJ534">_xlfn._xlws.FILTER(REÇETE!$D$11:$AB$142,REÇETE!$V$11:$V$142&lt;&gt;"","")</f>
        <v>EXCEL KODU</v>
      </c>
      <c r="M534" t="str">
        <v>PARÇA BİRİM</v>
      </c>
      <c r="N534" t="str">
        <v>PARÇA ADI</v>
      </c>
      <c r="O534" t="str">
        <v>MALZEME KODU</v>
      </c>
      <c r="P534" t="str">
        <v>BİRİM FİYAT</v>
      </c>
      <c r="Q534" t="str">
        <v>POZ 1</v>
      </c>
      <c r="R534" t="str">
        <v>POZ 2</v>
      </c>
      <c r="S534" t="str">
        <v>POZ 3</v>
      </c>
      <c r="T534" t="str">
        <v>POZ 4</v>
      </c>
      <c r="U534" t="str">
        <v>POZ 5</v>
      </c>
      <c r="V534" t="str">
        <v>POZ 6</v>
      </c>
      <c r="W534" t="str">
        <v>POZ 7</v>
      </c>
      <c r="X534" t="str">
        <v>POZ 8</v>
      </c>
      <c r="Y534" t="str">
        <v>POZ 9</v>
      </c>
      <c r="Z534" t="str">
        <v>POZ 10</v>
      </c>
      <c r="AA534" t="str">
        <v>POZ 11</v>
      </c>
      <c r="AB534" t="str">
        <v>POZ 12</v>
      </c>
      <c r="AC534" t="str">
        <v>POZ 13</v>
      </c>
      <c r="AD534" t="str">
        <v>POZ 14</v>
      </c>
      <c r="AE534" t="str">
        <v>POZ 15</v>
      </c>
      <c r="AF534" t="str">
        <v>POZ 16</v>
      </c>
      <c r="AG534" t="str">
        <v>POZ 17</v>
      </c>
      <c r="AH534" t="str">
        <v>POZ 18</v>
      </c>
      <c r="AI534" t="str">
        <v>POZ 19</v>
      </c>
      <c r="AJ534" t="str">
        <v>POZ 20</v>
      </c>
    </row>
    <row r="535" spans="1:40">
      <c r="A535" s="66" t="s">
        <v>782</v>
      </c>
      <c r="B535" s="66" t="s">
        <v>409</v>
      </c>
      <c r="C535" s="68"/>
      <c r="D535" s="66" t="s">
        <v>15</v>
      </c>
      <c r="E535" s="68" t="s">
        <v>808</v>
      </c>
      <c r="F535" s="75" t="s">
        <v>785</v>
      </c>
      <c r="G535" s="68" t="s">
        <v>650</v>
      </c>
      <c r="H535" s="68" t="s">
        <v>355</v>
      </c>
      <c r="J535" s="618">
        <v>14</v>
      </c>
      <c r="K535" s="221">
        <f>SUM(K536:K574)</f>
        <v>0</v>
      </c>
    </row>
    <row r="536" spans="1:40" ht="19.5">
      <c r="A536" s="67">
        <f>xHesaplama!H40</f>
        <v>0</v>
      </c>
      <c r="B536" s="67"/>
      <c r="C536" s="70">
        <f>xHesaplama!I40</f>
        <v>0</v>
      </c>
      <c r="D536" s="67">
        <f>xHesaplama!I40</f>
        <v>0</v>
      </c>
      <c r="E536" s="69" t="e">
        <f>xHesaplama!AC40</f>
        <v>#N/A</v>
      </c>
      <c r="F536" s="76">
        <f>xHesaplama!AD40*C534</f>
        <v>0</v>
      </c>
      <c r="G536" s="70" t="s">
        <v>817</v>
      </c>
      <c r="H536" s="69">
        <f t="shared" ref="H536:H537" si="90">IFERROR(E536*F536,0)</f>
        <v>0</v>
      </c>
      <c r="I536" s="145">
        <v>0</v>
      </c>
      <c r="J536" s="619"/>
      <c r="K536" s="81">
        <f>IFERROR(VLOOKUP(A536,'x Malzemeler ve Özellikleri'!$N$1:$Q$181,4,0)*F536,0)</f>
        <v>0</v>
      </c>
      <c r="AN536" s="84" cm="1">
        <f t="array" ref="AN536">_xlfn._xlws.FILTER(A536:I574,I536:I574,0)</f>
        <v>0</v>
      </c>
    </row>
    <row r="537" spans="1:40" ht="19.5">
      <c r="A537" s="67" t="s">
        <v>105</v>
      </c>
      <c r="B537" s="67"/>
      <c r="C537" s="70"/>
      <c r="D537" s="67">
        <f>xHesaplama!J40</f>
        <v>0</v>
      </c>
      <c r="E537" s="69" t="e">
        <f>xHesaplama!AB40</f>
        <v>#N/A</v>
      </c>
      <c r="F537" s="76">
        <f>C534</f>
        <v>0</v>
      </c>
      <c r="G537" s="70" t="s">
        <v>357</v>
      </c>
      <c r="H537" s="69">
        <f t="shared" si="90"/>
        <v>0</v>
      </c>
      <c r="I537" s="145">
        <v>0</v>
      </c>
      <c r="J537" s="619"/>
      <c r="K537" s="81">
        <f>IFERROR(VLOOKUP(D537,'x Malzemeler ve Özellikleri'!$N$1:$Q$181,4,0)*F537,0)</f>
        <v>0</v>
      </c>
    </row>
    <row r="538" spans="1:40" ht="19.5">
      <c r="A538" s="67">
        <f>N535</f>
        <v>0</v>
      </c>
      <c r="B538" s="67">
        <f>L535</f>
        <v>0</v>
      </c>
      <c r="C538" s="70" t="str">
        <f>IF(VLOOKUP(B538,'x Malzemeler ve Özellikleri'!$B$2:$M$136,12,0)="ALÜMİNYUM",'1PROJE'!$H$20,"")</f>
        <v/>
      </c>
      <c r="D538" s="67">
        <f>O535</f>
        <v>0</v>
      </c>
      <c r="E538" s="69" t="e">
        <f>HLOOKUP(B538,xHesaplama!$AH$26:$FH$66,35,0)</f>
        <v>#N/A</v>
      </c>
      <c r="F538" s="76">
        <f t="shared" ref="F538:F574" si="91">AD535*$C$534</f>
        <v>0</v>
      </c>
      <c r="G538" s="70">
        <f>M535</f>
        <v>0</v>
      </c>
      <c r="H538" s="69" t="str">
        <f t="shared" ref="H538:H574" si="92">IFERROR(E538*$C$534,"")</f>
        <v/>
      </c>
      <c r="I538" s="145">
        <v>0</v>
      </c>
      <c r="J538" s="619"/>
      <c r="K538" s="81">
        <f>IFERROR(VLOOKUP(B538,'x Malzemeler ve Özellikleri'!$O$1:$Q$181,3,0)*F538,0)</f>
        <v>0</v>
      </c>
    </row>
    <row r="539" spans="1:40" ht="19.5">
      <c r="A539" s="67">
        <f t="shared" ref="A539:A574" si="93">N536</f>
        <v>0</v>
      </c>
      <c r="B539" s="67">
        <f t="shared" ref="B539:B574" si="94">L536</f>
        <v>0</v>
      </c>
      <c r="C539" s="70" t="str">
        <f>IF(VLOOKUP(B539,'x Malzemeler ve Özellikleri'!$B$2:$M$136,12,0)="ALÜMİNYUM",'1PROJE'!$H$20,"")</f>
        <v/>
      </c>
      <c r="D539" s="67">
        <f t="shared" ref="D539:D574" si="95">O536</f>
        <v>0</v>
      </c>
      <c r="E539" s="69" t="e">
        <f>HLOOKUP(B539,xHesaplama!$AH$26:$FH$66,35,0)</f>
        <v>#N/A</v>
      </c>
      <c r="F539" s="76">
        <f t="shared" si="91"/>
        <v>0</v>
      </c>
      <c r="G539" s="70">
        <f t="shared" ref="G539:G574" si="96">M536</f>
        <v>0</v>
      </c>
      <c r="H539" s="69" t="str">
        <f t="shared" si="92"/>
        <v/>
      </c>
      <c r="I539" s="145">
        <v>0</v>
      </c>
      <c r="J539" s="619"/>
      <c r="K539" s="81">
        <f>IFERROR(VLOOKUP(B539,'x Malzemeler ve Özellikleri'!$O$1:$Q$181,3,0)*F539,0)</f>
        <v>0</v>
      </c>
    </row>
    <row r="540" spans="1:40" ht="19.5">
      <c r="A540" s="67">
        <f t="shared" si="93"/>
        <v>0</v>
      </c>
      <c r="B540" s="67">
        <f t="shared" si="94"/>
        <v>0</v>
      </c>
      <c r="C540" s="70" t="str">
        <f>IF(VLOOKUP(B540,'x Malzemeler ve Özellikleri'!$B$2:$M$136,12,0)="ALÜMİNYUM",'1PROJE'!$H$20,"")</f>
        <v/>
      </c>
      <c r="D540" s="67">
        <f t="shared" si="95"/>
        <v>0</v>
      </c>
      <c r="E540" s="69" t="e">
        <f>HLOOKUP(B540,xHesaplama!$AH$26:$FH$66,35,0)</f>
        <v>#N/A</v>
      </c>
      <c r="F540" s="76">
        <f t="shared" si="91"/>
        <v>0</v>
      </c>
      <c r="G540" s="70">
        <f t="shared" si="96"/>
        <v>0</v>
      </c>
      <c r="H540" s="69" t="str">
        <f t="shared" si="92"/>
        <v/>
      </c>
      <c r="I540" s="145">
        <v>0</v>
      </c>
      <c r="J540" s="619"/>
      <c r="K540" s="81">
        <f>IFERROR(VLOOKUP(B540,'x Malzemeler ve Özellikleri'!$O$1:$Q$181,3,0)*F540,0)</f>
        <v>0</v>
      </c>
    </row>
    <row r="541" spans="1:40" ht="19.5">
      <c r="A541" s="67">
        <f t="shared" si="93"/>
        <v>0</v>
      </c>
      <c r="B541" s="67">
        <f t="shared" si="94"/>
        <v>0</v>
      </c>
      <c r="C541" s="70" t="str">
        <f>IF(VLOOKUP(B541,'x Malzemeler ve Özellikleri'!$B$2:$M$136,12,0)="ALÜMİNYUM",'1PROJE'!$H$20,"")</f>
        <v/>
      </c>
      <c r="D541" s="67">
        <f t="shared" si="95"/>
        <v>0</v>
      </c>
      <c r="E541" s="69" t="e">
        <f>HLOOKUP(B541,xHesaplama!$AH$26:$FH$66,35,0)</f>
        <v>#N/A</v>
      </c>
      <c r="F541" s="76">
        <f t="shared" si="91"/>
        <v>0</v>
      </c>
      <c r="G541" s="70">
        <f t="shared" si="96"/>
        <v>0</v>
      </c>
      <c r="H541" s="69" t="str">
        <f t="shared" si="92"/>
        <v/>
      </c>
      <c r="I541" s="145">
        <v>0</v>
      </c>
      <c r="J541" s="619"/>
      <c r="K541" s="81">
        <f>IFERROR(VLOOKUP(B541,'x Malzemeler ve Özellikleri'!$O$1:$Q$181,3,0)*F541,0)</f>
        <v>0</v>
      </c>
    </row>
    <row r="542" spans="1:40" ht="19.5">
      <c r="A542" s="67">
        <f t="shared" si="93"/>
        <v>0</v>
      </c>
      <c r="B542" s="67">
        <f t="shared" si="94"/>
        <v>0</v>
      </c>
      <c r="C542" s="70" t="str">
        <f>IF(VLOOKUP(B542,'x Malzemeler ve Özellikleri'!$B$2:$M$136,12,0)="ALÜMİNYUM",'1PROJE'!$H$20,"")</f>
        <v/>
      </c>
      <c r="D542" s="67">
        <f t="shared" si="95"/>
        <v>0</v>
      </c>
      <c r="E542" s="69" t="e">
        <f>HLOOKUP(B542,xHesaplama!$AH$26:$FH$66,35,0)</f>
        <v>#N/A</v>
      </c>
      <c r="F542" s="76">
        <f t="shared" si="91"/>
        <v>0</v>
      </c>
      <c r="G542" s="70">
        <f t="shared" si="96"/>
        <v>0</v>
      </c>
      <c r="H542" s="69" t="str">
        <f t="shared" si="92"/>
        <v/>
      </c>
      <c r="I542" s="145">
        <v>0</v>
      </c>
      <c r="J542" s="619"/>
      <c r="K542" s="81">
        <f>IFERROR(VLOOKUP(B542,'x Malzemeler ve Özellikleri'!$O$1:$Q$181,3,0)*F542,0)</f>
        <v>0</v>
      </c>
    </row>
    <row r="543" spans="1:40" ht="19.5">
      <c r="A543" s="67">
        <f t="shared" si="93"/>
        <v>0</v>
      </c>
      <c r="B543" s="67">
        <f t="shared" si="94"/>
        <v>0</v>
      </c>
      <c r="C543" s="70" t="str">
        <f>IF(VLOOKUP(B543,'x Malzemeler ve Özellikleri'!$B$2:$M$136,12,0)="ALÜMİNYUM",'1PROJE'!$H$20,"")</f>
        <v/>
      </c>
      <c r="D543" s="67">
        <f t="shared" si="95"/>
        <v>0</v>
      </c>
      <c r="E543" s="69" t="e">
        <f>HLOOKUP(B543,xHesaplama!$AH$26:$FH$66,35,0)</f>
        <v>#N/A</v>
      </c>
      <c r="F543" s="76">
        <f t="shared" si="91"/>
        <v>0</v>
      </c>
      <c r="G543" s="70">
        <f t="shared" si="96"/>
        <v>0</v>
      </c>
      <c r="H543" s="69" t="str">
        <f t="shared" si="92"/>
        <v/>
      </c>
      <c r="I543" s="145">
        <v>0</v>
      </c>
      <c r="J543" s="619"/>
      <c r="K543" s="81">
        <f>IFERROR(VLOOKUP(B543,'x Malzemeler ve Özellikleri'!$O$1:$Q$181,3,0)*F543,0)</f>
        <v>0</v>
      </c>
    </row>
    <row r="544" spans="1:40" ht="19.5">
      <c r="A544" s="67">
        <f t="shared" si="93"/>
        <v>0</v>
      </c>
      <c r="B544" s="67">
        <f t="shared" si="94"/>
        <v>0</v>
      </c>
      <c r="C544" s="70" t="str">
        <f>IF(VLOOKUP(B544,'x Malzemeler ve Özellikleri'!$B$2:$M$136,12,0)="ALÜMİNYUM",'1PROJE'!$H$20,"")</f>
        <v/>
      </c>
      <c r="D544" s="67">
        <f t="shared" si="95"/>
        <v>0</v>
      </c>
      <c r="E544" s="69" t="e">
        <f>HLOOKUP(B544,xHesaplama!$AH$26:$FH$66,35,0)</f>
        <v>#N/A</v>
      </c>
      <c r="F544" s="76">
        <f t="shared" si="91"/>
        <v>0</v>
      </c>
      <c r="G544" s="70">
        <f t="shared" si="96"/>
        <v>0</v>
      </c>
      <c r="H544" s="69" t="str">
        <f t="shared" si="92"/>
        <v/>
      </c>
      <c r="I544" s="145">
        <v>0</v>
      </c>
      <c r="J544" s="619"/>
      <c r="K544" s="81">
        <f>IFERROR(VLOOKUP(B544,'x Malzemeler ve Özellikleri'!$O$1:$Q$181,3,0)*F544,0)</f>
        <v>0</v>
      </c>
    </row>
    <row r="545" spans="1:11" ht="19.5">
      <c r="A545" s="67">
        <f t="shared" si="93"/>
        <v>0</v>
      </c>
      <c r="B545" s="67">
        <f t="shared" si="94"/>
        <v>0</v>
      </c>
      <c r="C545" s="70" t="str">
        <f>IF(VLOOKUP(B545,'x Malzemeler ve Özellikleri'!$B$2:$M$136,12,0)="ALÜMİNYUM",'1PROJE'!$H$20,"")</f>
        <v/>
      </c>
      <c r="D545" s="67">
        <f t="shared" si="95"/>
        <v>0</v>
      </c>
      <c r="E545" s="69" t="e">
        <f>HLOOKUP(B545,xHesaplama!$AH$26:$FH$66,35,0)</f>
        <v>#N/A</v>
      </c>
      <c r="F545" s="76">
        <f t="shared" si="91"/>
        <v>0</v>
      </c>
      <c r="G545" s="70">
        <f t="shared" si="96"/>
        <v>0</v>
      </c>
      <c r="H545" s="69" t="str">
        <f t="shared" si="92"/>
        <v/>
      </c>
      <c r="I545" s="145">
        <v>0</v>
      </c>
      <c r="J545" s="619"/>
      <c r="K545" s="81">
        <f>IFERROR(VLOOKUP(B545,'x Malzemeler ve Özellikleri'!$O$1:$Q$181,3,0)*F545,0)</f>
        <v>0</v>
      </c>
    </row>
    <row r="546" spans="1:11" ht="19.5">
      <c r="A546" s="67">
        <f t="shared" si="93"/>
        <v>0</v>
      </c>
      <c r="B546" s="67">
        <f t="shared" si="94"/>
        <v>0</v>
      </c>
      <c r="C546" s="70" t="str">
        <f>IF(VLOOKUP(B546,'x Malzemeler ve Özellikleri'!$B$2:$M$136,12,0)="ALÜMİNYUM",'1PROJE'!$H$20,"")</f>
        <v/>
      </c>
      <c r="D546" s="67">
        <f t="shared" si="95"/>
        <v>0</v>
      </c>
      <c r="E546" s="69" t="e">
        <f>HLOOKUP(B546,xHesaplama!$AH$26:$FH$66,35,0)</f>
        <v>#N/A</v>
      </c>
      <c r="F546" s="76">
        <f t="shared" si="91"/>
        <v>0</v>
      </c>
      <c r="G546" s="70">
        <f t="shared" si="96"/>
        <v>0</v>
      </c>
      <c r="H546" s="69" t="str">
        <f t="shared" si="92"/>
        <v/>
      </c>
      <c r="I546" s="145">
        <v>0</v>
      </c>
      <c r="J546" s="619"/>
      <c r="K546" s="81">
        <f>IFERROR(VLOOKUP(B546,'x Malzemeler ve Özellikleri'!$O$1:$Q$181,3,0)*F546,0)</f>
        <v>0</v>
      </c>
    </row>
    <row r="547" spans="1:11" ht="19.5">
      <c r="A547" s="67">
        <f t="shared" si="93"/>
        <v>0</v>
      </c>
      <c r="B547" s="67">
        <f t="shared" si="94"/>
        <v>0</v>
      </c>
      <c r="C547" s="70" t="str">
        <f>IF(VLOOKUP(B547,'x Malzemeler ve Özellikleri'!$B$2:$M$136,12,0)="ALÜMİNYUM",'1PROJE'!$H$20,"")</f>
        <v/>
      </c>
      <c r="D547" s="67">
        <f t="shared" si="95"/>
        <v>0</v>
      </c>
      <c r="E547" s="69" t="e">
        <f>HLOOKUP(B547,xHesaplama!$AH$26:$FH$66,35,0)</f>
        <v>#N/A</v>
      </c>
      <c r="F547" s="76">
        <f t="shared" si="91"/>
        <v>0</v>
      </c>
      <c r="G547" s="70">
        <f t="shared" si="96"/>
        <v>0</v>
      </c>
      <c r="H547" s="69" t="str">
        <f t="shared" si="92"/>
        <v/>
      </c>
      <c r="I547" s="145">
        <v>0</v>
      </c>
      <c r="J547" s="619"/>
      <c r="K547" s="81">
        <f>IFERROR(VLOOKUP(B547,'x Malzemeler ve Özellikleri'!$O$1:$Q$181,3,0)*F547,0)</f>
        <v>0</v>
      </c>
    </row>
    <row r="548" spans="1:11" ht="19.5">
      <c r="A548" s="67">
        <f t="shared" si="93"/>
        <v>0</v>
      </c>
      <c r="B548" s="67">
        <f t="shared" si="94"/>
        <v>0</v>
      </c>
      <c r="C548" s="70" t="str">
        <f>IF(VLOOKUP(B548,'x Malzemeler ve Özellikleri'!$B$2:$M$136,12,0)="ALÜMİNYUM",'1PROJE'!$H$20,"")</f>
        <v/>
      </c>
      <c r="D548" s="67">
        <f t="shared" si="95"/>
        <v>0</v>
      </c>
      <c r="E548" s="69" t="e">
        <f>HLOOKUP(B548,xHesaplama!$AH$26:$FH$66,35,0)</f>
        <v>#N/A</v>
      </c>
      <c r="F548" s="76">
        <f t="shared" si="91"/>
        <v>0</v>
      </c>
      <c r="G548" s="70">
        <f t="shared" si="96"/>
        <v>0</v>
      </c>
      <c r="H548" s="69" t="str">
        <f t="shared" si="92"/>
        <v/>
      </c>
      <c r="I548" s="145">
        <v>0</v>
      </c>
      <c r="J548" s="619"/>
      <c r="K548" s="81">
        <f>IFERROR(VLOOKUP(B548,'x Malzemeler ve Özellikleri'!$O$1:$Q$181,3,0)*F548,0)</f>
        <v>0</v>
      </c>
    </row>
    <row r="549" spans="1:11" ht="19.5">
      <c r="A549" s="67">
        <f t="shared" si="93"/>
        <v>0</v>
      </c>
      <c r="B549" s="67">
        <f t="shared" si="94"/>
        <v>0</v>
      </c>
      <c r="C549" s="70" t="str">
        <f>IF(VLOOKUP(B549,'x Malzemeler ve Özellikleri'!$B$2:$M$136,12,0)="ALÜMİNYUM",'1PROJE'!$H$20,"")</f>
        <v/>
      </c>
      <c r="D549" s="67">
        <f t="shared" si="95"/>
        <v>0</v>
      </c>
      <c r="E549" s="69" t="e">
        <f>HLOOKUP(B549,xHesaplama!$AH$26:$FH$66,35,0)</f>
        <v>#N/A</v>
      </c>
      <c r="F549" s="76">
        <f t="shared" si="91"/>
        <v>0</v>
      </c>
      <c r="G549" s="70">
        <f t="shared" si="96"/>
        <v>0</v>
      </c>
      <c r="H549" s="69" t="str">
        <f t="shared" si="92"/>
        <v/>
      </c>
      <c r="I549" s="145">
        <v>0</v>
      </c>
      <c r="J549" s="619"/>
      <c r="K549" s="81">
        <f>IFERROR(VLOOKUP(B549,'x Malzemeler ve Özellikleri'!$O$1:$Q$181,3,0)*F549,0)</f>
        <v>0</v>
      </c>
    </row>
    <row r="550" spans="1:11" ht="19.5">
      <c r="A550" s="67">
        <f t="shared" si="93"/>
        <v>0</v>
      </c>
      <c r="B550" s="67">
        <f t="shared" si="94"/>
        <v>0</v>
      </c>
      <c r="C550" s="70" t="str">
        <f>IF(VLOOKUP(B550,'x Malzemeler ve Özellikleri'!$B$2:$M$136,12,0)="ALÜMİNYUM",'1PROJE'!$H$20,"")</f>
        <v/>
      </c>
      <c r="D550" s="67">
        <f t="shared" si="95"/>
        <v>0</v>
      </c>
      <c r="E550" s="69" t="e">
        <f>HLOOKUP(B550,xHesaplama!$AH$26:$FH$66,35,0)</f>
        <v>#N/A</v>
      </c>
      <c r="F550" s="76">
        <f t="shared" si="91"/>
        <v>0</v>
      </c>
      <c r="G550" s="70">
        <f t="shared" si="96"/>
        <v>0</v>
      </c>
      <c r="H550" s="69" t="str">
        <f t="shared" si="92"/>
        <v/>
      </c>
      <c r="I550" s="145">
        <v>0</v>
      </c>
      <c r="J550" s="619"/>
      <c r="K550" s="81">
        <f>IFERROR(VLOOKUP(B550,'x Malzemeler ve Özellikleri'!$O$1:$Q$181,3,0)*F550,0)</f>
        <v>0</v>
      </c>
    </row>
    <row r="551" spans="1:11" ht="19.5">
      <c r="A551" s="67">
        <f t="shared" si="93"/>
        <v>0</v>
      </c>
      <c r="B551" s="67">
        <f t="shared" si="94"/>
        <v>0</v>
      </c>
      <c r="C551" s="70" t="str">
        <f>IF(VLOOKUP(B551,'x Malzemeler ve Özellikleri'!$B$2:$M$136,12,0)="ALÜMİNYUM",'1PROJE'!$H$20,"")</f>
        <v/>
      </c>
      <c r="D551" s="67">
        <f t="shared" si="95"/>
        <v>0</v>
      </c>
      <c r="E551" s="69" t="e">
        <f>HLOOKUP(B551,xHesaplama!$AH$26:$FH$66,35,0)</f>
        <v>#N/A</v>
      </c>
      <c r="F551" s="76">
        <f t="shared" si="91"/>
        <v>0</v>
      </c>
      <c r="G551" s="70">
        <f t="shared" si="96"/>
        <v>0</v>
      </c>
      <c r="H551" s="69" t="str">
        <f t="shared" si="92"/>
        <v/>
      </c>
      <c r="I551" s="145">
        <v>0</v>
      </c>
      <c r="J551" s="619"/>
      <c r="K551" s="81">
        <f>IFERROR(VLOOKUP(B551,'x Malzemeler ve Özellikleri'!$O$1:$Q$181,3,0)*F551,0)</f>
        <v>0</v>
      </c>
    </row>
    <row r="552" spans="1:11" ht="19.5">
      <c r="A552" s="67">
        <f t="shared" si="93"/>
        <v>0</v>
      </c>
      <c r="B552" s="67">
        <f t="shared" si="94"/>
        <v>0</v>
      </c>
      <c r="C552" s="70" t="str">
        <f>IF(VLOOKUP(B552,'x Malzemeler ve Özellikleri'!$B$2:$M$136,12,0)="ALÜMİNYUM",'1PROJE'!$H$20,"")</f>
        <v/>
      </c>
      <c r="D552" s="67">
        <f t="shared" si="95"/>
        <v>0</v>
      </c>
      <c r="E552" s="69" t="e">
        <f>HLOOKUP(B552,xHesaplama!$AH$26:$FH$66,35,0)</f>
        <v>#N/A</v>
      </c>
      <c r="F552" s="76">
        <f t="shared" si="91"/>
        <v>0</v>
      </c>
      <c r="G552" s="70">
        <f t="shared" si="96"/>
        <v>0</v>
      </c>
      <c r="H552" s="69" t="str">
        <f t="shared" si="92"/>
        <v/>
      </c>
      <c r="I552" s="145">
        <v>0</v>
      </c>
      <c r="J552" s="619"/>
      <c r="K552" s="81">
        <f>IFERROR(VLOOKUP(B552,'x Malzemeler ve Özellikleri'!$O$1:$Q$181,3,0)*F552,0)</f>
        <v>0</v>
      </c>
    </row>
    <row r="553" spans="1:11" ht="19.5">
      <c r="A553" s="67">
        <f t="shared" si="93"/>
        <v>0</v>
      </c>
      <c r="B553" s="67">
        <f t="shared" si="94"/>
        <v>0</v>
      </c>
      <c r="C553" s="70" t="str">
        <f>IF(VLOOKUP(B553,'x Malzemeler ve Özellikleri'!$B$2:$M$136,12,0)="ALÜMİNYUM",'1PROJE'!$H$20,"")</f>
        <v/>
      </c>
      <c r="D553" s="67">
        <f t="shared" si="95"/>
        <v>0</v>
      </c>
      <c r="E553" s="69" t="e">
        <f>HLOOKUP(B553,xHesaplama!$AH$26:$FH$66,35,0)</f>
        <v>#N/A</v>
      </c>
      <c r="F553" s="76">
        <f t="shared" si="91"/>
        <v>0</v>
      </c>
      <c r="G553" s="70">
        <f t="shared" si="96"/>
        <v>0</v>
      </c>
      <c r="H553" s="69" t="str">
        <f t="shared" si="92"/>
        <v/>
      </c>
      <c r="I553" s="145">
        <v>0</v>
      </c>
      <c r="J553" s="619"/>
      <c r="K553" s="81">
        <f>IFERROR(VLOOKUP(B553,'x Malzemeler ve Özellikleri'!$O$1:$Q$181,3,0)*F553,0)</f>
        <v>0</v>
      </c>
    </row>
    <row r="554" spans="1:11" ht="19.5">
      <c r="A554" s="67">
        <f t="shared" si="93"/>
        <v>0</v>
      </c>
      <c r="B554" s="67">
        <f t="shared" si="94"/>
        <v>0</v>
      </c>
      <c r="C554" s="70" t="str">
        <f>IF(VLOOKUP(B554,'x Malzemeler ve Özellikleri'!$B$2:$M$136,12,0)="ALÜMİNYUM",'1PROJE'!$H$20,"")</f>
        <v/>
      </c>
      <c r="D554" s="67">
        <f t="shared" si="95"/>
        <v>0</v>
      </c>
      <c r="E554" s="69" t="e">
        <f>HLOOKUP(B554,xHesaplama!$AH$26:$FH$66,35,0)</f>
        <v>#N/A</v>
      </c>
      <c r="F554" s="76">
        <f t="shared" si="91"/>
        <v>0</v>
      </c>
      <c r="G554" s="70">
        <f t="shared" si="96"/>
        <v>0</v>
      </c>
      <c r="H554" s="69" t="str">
        <f t="shared" si="92"/>
        <v/>
      </c>
      <c r="I554" s="145">
        <v>0</v>
      </c>
      <c r="J554" s="619"/>
      <c r="K554" s="81">
        <f>IFERROR(VLOOKUP(B554,'x Malzemeler ve Özellikleri'!$O$1:$Q$181,3,0)*F554,0)</f>
        <v>0</v>
      </c>
    </row>
    <row r="555" spans="1:11" ht="19.5">
      <c r="A555" s="67">
        <f t="shared" si="93"/>
        <v>0</v>
      </c>
      <c r="B555" s="67">
        <f t="shared" si="94"/>
        <v>0</v>
      </c>
      <c r="C555" s="70" t="str">
        <f>IF(VLOOKUP(B555,'x Malzemeler ve Özellikleri'!$B$2:$M$136,12,0)="ALÜMİNYUM",'1PROJE'!$H$20,"")</f>
        <v/>
      </c>
      <c r="D555" s="67">
        <f t="shared" si="95"/>
        <v>0</v>
      </c>
      <c r="E555" s="69" t="e">
        <f>HLOOKUP(B555,xHesaplama!$AH$26:$FH$66,35,0)</f>
        <v>#N/A</v>
      </c>
      <c r="F555" s="76">
        <f t="shared" si="91"/>
        <v>0</v>
      </c>
      <c r="G555" s="70">
        <f t="shared" si="96"/>
        <v>0</v>
      </c>
      <c r="H555" s="69" t="str">
        <f t="shared" si="92"/>
        <v/>
      </c>
      <c r="I555" s="145">
        <v>0</v>
      </c>
      <c r="J555" s="619"/>
      <c r="K555" s="81">
        <f>IFERROR(VLOOKUP(B555,'x Malzemeler ve Özellikleri'!$O$1:$Q$181,3,0)*F555,0)</f>
        <v>0</v>
      </c>
    </row>
    <row r="556" spans="1:11" ht="19.5">
      <c r="A556" s="67">
        <f t="shared" si="93"/>
        <v>0</v>
      </c>
      <c r="B556" s="67">
        <f t="shared" si="94"/>
        <v>0</v>
      </c>
      <c r="C556" s="70" t="str">
        <f>IF(VLOOKUP(B556,'x Malzemeler ve Özellikleri'!$B$2:$M$136,12,0)="ALÜMİNYUM",'1PROJE'!$H$20,"")</f>
        <v/>
      </c>
      <c r="D556" s="67">
        <f t="shared" si="95"/>
        <v>0</v>
      </c>
      <c r="E556" s="69" t="e">
        <f>HLOOKUP(B556,xHesaplama!$AH$26:$FH$66,35,0)</f>
        <v>#N/A</v>
      </c>
      <c r="F556" s="76">
        <f t="shared" si="91"/>
        <v>0</v>
      </c>
      <c r="G556" s="70">
        <f t="shared" si="96"/>
        <v>0</v>
      </c>
      <c r="H556" s="69" t="str">
        <f t="shared" si="92"/>
        <v/>
      </c>
      <c r="I556" s="145">
        <v>0</v>
      </c>
      <c r="J556" s="619"/>
      <c r="K556" s="81">
        <f>IFERROR(VLOOKUP(B556,'x Malzemeler ve Özellikleri'!$O$1:$Q$181,3,0)*F556,0)</f>
        <v>0</v>
      </c>
    </row>
    <row r="557" spans="1:11" ht="19.5">
      <c r="A557" s="67">
        <f t="shared" si="93"/>
        <v>0</v>
      </c>
      <c r="B557" s="67">
        <f t="shared" si="94"/>
        <v>0</v>
      </c>
      <c r="C557" s="70" t="str">
        <f>IF(VLOOKUP(B557,'x Malzemeler ve Özellikleri'!$B$2:$M$136,12,0)="ALÜMİNYUM",'1PROJE'!$H$20,"")</f>
        <v/>
      </c>
      <c r="D557" s="67">
        <f t="shared" si="95"/>
        <v>0</v>
      </c>
      <c r="E557" s="69" t="e">
        <f>HLOOKUP(B557,xHesaplama!$AH$26:$FH$66,35,0)</f>
        <v>#N/A</v>
      </c>
      <c r="F557" s="76">
        <f t="shared" si="91"/>
        <v>0</v>
      </c>
      <c r="G557" s="70">
        <f t="shared" si="96"/>
        <v>0</v>
      </c>
      <c r="H557" s="69" t="str">
        <f t="shared" si="92"/>
        <v/>
      </c>
      <c r="I557" s="145">
        <v>0</v>
      </c>
      <c r="J557" s="619"/>
      <c r="K557" s="81">
        <f>IFERROR(VLOOKUP(B557,'x Malzemeler ve Özellikleri'!$O$1:$Q$181,3,0)*F557,0)</f>
        <v>0</v>
      </c>
    </row>
    <row r="558" spans="1:11" ht="19.5">
      <c r="A558" s="67">
        <f t="shared" si="93"/>
        <v>0</v>
      </c>
      <c r="B558" s="67">
        <f t="shared" si="94"/>
        <v>0</v>
      </c>
      <c r="C558" s="70" t="str">
        <f>IF(VLOOKUP(B558,'x Malzemeler ve Özellikleri'!$B$2:$M$136,12,0)="ALÜMİNYUM",'1PROJE'!$H$20,"")</f>
        <v/>
      </c>
      <c r="D558" s="67">
        <f t="shared" si="95"/>
        <v>0</v>
      </c>
      <c r="E558" s="69" t="e">
        <f>HLOOKUP(B558,xHesaplama!$AH$26:$FH$66,35,0)</f>
        <v>#N/A</v>
      </c>
      <c r="F558" s="76">
        <f t="shared" si="91"/>
        <v>0</v>
      </c>
      <c r="G558" s="70">
        <f t="shared" si="96"/>
        <v>0</v>
      </c>
      <c r="H558" s="69" t="str">
        <f t="shared" si="92"/>
        <v/>
      </c>
      <c r="I558" s="145">
        <v>0</v>
      </c>
      <c r="J558" s="619"/>
      <c r="K558" s="81">
        <f>IFERROR(VLOOKUP(B558,'x Malzemeler ve Özellikleri'!$O$1:$Q$181,3,0)*F558,0)</f>
        <v>0</v>
      </c>
    </row>
    <row r="559" spans="1:11" ht="19.5">
      <c r="A559" s="67">
        <f t="shared" si="93"/>
        <v>0</v>
      </c>
      <c r="B559" s="67">
        <f t="shared" si="94"/>
        <v>0</v>
      </c>
      <c r="C559" s="70" t="str">
        <f>IF(VLOOKUP(B559,'x Malzemeler ve Özellikleri'!$B$2:$M$136,12,0)="ALÜMİNYUM",'1PROJE'!$H$20,"")</f>
        <v/>
      </c>
      <c r="D559" s="67">
        <f t="shared" si="95"/>
        <v>0</v>
      </c>
      <c r="E559" s="69" t="e">
        <f>HLOOKUP(B559,xHesaplama!$AH$26:$FH$66,35,0)</f>
        <v>#N/A</v>
      </c>
      <c r="F559" s="76">
        <f t="shared" si="91"/>
        <v>0</v>
      </c>
      <c r="G559" s="70">
        <f t="shared" si="96"/>
        <v>0</v>
      </c>
      <c r="H559" s="69" t="str">
        <f t="shared" si="92"/>
        <v/>
      </c>
      <c r="I559" s="145">
        <v>0</v>
      </c>
      <c r="J559" s="619"/>
      <c r="K559" s="81">
        <f>IFERROR(VLOOKUP(B559,'x Malzemeler ve Özellikleri'!$O$1:$Q$181,3,0)*F559,0)</f>
        <v>0</v>
      </c>
    </row>
    <row r="560" spans="1:11" ht="19.5">
      <c r="A560" s="67">
        <f t="shared" si="93"/>
        <v>0</v>
      </c>
      <c r="B560" s="67">
        <f t="shared" si="94"/>
        <v>0</v>
      </c>
      <c r="C560" s="70" t="str">
        <f>IF(VLOOKUP(B560,'x Malzemeler ve Özellikleri'!$B$2:$M$136,12,0)="ALÜMİNYUM",'1PROJE'!$H$20,"")</f>
        <v/>
      </c>
      <c r="D560" s="67">
        <f t="shared" si="95"/>
        <v>0</v>
      </c>
      <c r="E560" s="69" t="e">
        <f>HLOOKUP(B560,xHesaplama!$AH$26:$FH$66,35,0)</f>
        <v>#N/A</v>
      </c>
      <c r="F560" s="76">
        <f t="shared" si="91"/>
        <v>0</v>
      </c>
      <c r="G560" s="70">
        <f t="shared" si="96"/>
        <v>0</v>
      </c>
      <c r="H560" s="69" t="str">
        <f t="shared" si="92"/>
        <v/>
      </c>
      <c r="I560" s="145">
        <v>0</v>
      </c>
      <c r="J560" s="619"/>
      <c r="K560" s="81">
        <f>IFERROR(VLOOKUP(B560,'x Malzemeler ve Özellikleri'!$O$1:$Q$181,3,0)*F560,0)</f>
        <v>0</v>
      </c>
    </row>
    <row r="561" spans="1:36" ht="19.5">
      <c r="A561" s="67">
        <f t="shared" si="93"/>
        <v>0</v>
      </c>
      <c r="B561" s="67">
        <f t="shared" si="94"/>
        <v>0</v>
      </c>
      <c r="C561" s="70" t="str">
        <f>IF(VLOOKUP(B561,'x Malzemeler ve Özellikleri'!$B$2:$M$136,12,0)="ALÜMİNYUM",'1PROJE'!$H$20,"")</f>
        <v/>
      </c>
      <c r="D561" s="67">
        <f t="shared" si="95"/>
        <v>0</v>
      </c>
      <c r="E561" s="69" t="e">
        <f>HLOOKUP(B561,xHesaplama!$AH$26:$FH$66,35,0)</f>
        <v>#N/A</v>
      </c>
      <c r="F561" s="76">
        <f t="shared" si="91"/>
        <v>0</v>
      </c>
      <c r="G561" s="70">
        <f t="shared" si="96"/>
        <v>0</v>
      </c>
      <c r="H561" s="69" t="str">
        <f t="shared" si="92"/>
        <v/>
      </c>
      <c r="I561" s="145">
        <v>0</v>
      </c>
      <c r="J561" s="619"/>
      <c r="K561" s="81">
        <f>IFERROR(VLOOKUP(B561,'x Malzemeler ve Özellikleri'!$O$1:$Q$181,3,0)*F561,0)</f>
        <v>0</v>
      </c>
    </row>
    <row r="562" spans="1:36" ht="19.5">
      <c r="A562" s="67">
        <f t="shared" si="93"/>
        <v>0</v>
      </c>
      <c r="B562" s="67">
        <f t="shared" si="94"/>
        <v>0</v>
      </c>
      <c r="C562" s="70" t="str">
        <f>IF(VLOOKUP(B562,'x Malzemeler ve Özellikleri'!$B$2:$M$136,12,0)="ALÜMİNYUM",'1PROJE'!$H$20,"")</f>
        <v/>
      </c>
      <c r="D562" s="67">
        <f t="shared" si="95"/>
        <v>0</v>
      </c>
      <c r="E562" s="69" t="e">
        <f>HLOOKUP(B562,xHesaplama!$AH$26:$FH$66,35,0)</f>
        <v>#N/A</v>
      </c>
      <c r="F562" s="76">
        <f t="shared" si="91"/>
        <v>0</v>
      </c>
      <c r="G562" s="70">
        <f t="shared" si="96"/>
        <v>0</v>
      </c>
      <c r="H562" s="69" t="str">
        <f t="shared" si="92"/>
        <v/>
      </c>
      <c r="I562" s="145">
        <v>0</v>
      </c>
      <c r="J562" s="619"/>
      <c r="K562" s="81">
        <f>IFERROR(VLOOKUP(B562,'x Malzemeler ve Özellikleri'!$O$1:$Q$181,3,0)*F562,0)</f>
        <v>0</v>
      </c>
    </row>
    <row r="563" spans="1:36" ht="19.5">
      <c r="A563" s="67">
        <f t="shared" si="93"/>
        <v>0</v>
      </c>
      <c r="B563" s="67">
        <f t="shared" si="94"/>
        <v>0</v>
      </c>
      <c r="C563" s="70" t="str">
        <f>IF(VLOOKUP(B563,'x Malzemeler ve Özellikleri'!$B$2:$M$136,12,0)="ALÜMİNYUM",'1PROJE'!$H$20,"")</f>
        <v/>
      </c>
      <c r="D563" s="67">
        <f t="shared" si="95"/>
        <v>0</v>
      </c>
      <c r="E563" s="69" t="e">
        <f>HLOOKUP(B563,xHesaplama!$AH$26:$FH$66,35,0)</f>
        <v>#N/A</v>
      </c>
      <c r="F563" s="76">
        <f t="shared" si="91"/>
        <v>0</v>
      </c>
      <c r="G563" s="70">
        <f t="shared" si="96"/>
        <v>0</v>
      </c>
      <c r="H563" s="69" t="str">
        <f t="shared" si="92"/>
        <v/>
      </c>
      <c r="I563" s="145">
        <v>0</v>
      </c>
      <c r="J563" s="619"/>
      <c r="K563" s="81">
        <f>IFERROR(VLOOKUP(B563,'x Malzemeler ve Özellikleri'!$O$1:$Q$181,3,0)*F563,0)</f>
        <v>0</v>
      </c>
    </row>
    <row r="564" spans="1:36" ht="19.5">
      <c r="A564" s="67">
        <f t="shared" si="93"/>
        <v>0</v>
      </c>
      <c r="B564" s="67">
        <f t="shared" si="94"/>
        <v>0</v>
      </c>
      <c r="C564" s="70" t="str">
        <f>IF(VLOOKUP(B564,'x Malzemeler ve Özellikleri'!$B$2:$M$136,12,0)="ALÜMİNYUM",'1PROJE'!$H$20,"")</f>
        <v/>
      </c>
      <c r="D564" s="67">
        <f t="shared" si="95"/>
        <v>0</v>
      </c>
      <c r="E564" s="69" t="e">
        <f>HLOOKUP(B564,xHesaplama!$AH$26:$FH$66,35,0)</f>
        <v>#N/A</v>
      </c>
      <c r="F564" s="76">
        <f t="shared" si="91"/>
        <v>0</v>
      </c>
      <c r="G564" s="70">
        <f t="shared" si="96"/>
        <v>0</v>
      </c>
      <c r="H564" s="69" t="str">
        <f t="shared" si="92"/>
        <v/>
      </c>
      <c r="I564" s="145">
        <v>0</v>
      </c>
      <c r="J564" s="619"/>
      <c r="K564" s="81">
        <f>IFERROR(VLOOKUP(B564,'x Malzemeler ve Özellikleri'!$O$1:$Q$181,3,0)*F564,0)</f>
        <v>0</v>
      </c>
    </row>
    <row r="565" spans="1:36" ht="19.5">
      <c r="A565" s="67">
        <f t="shared" si="93"/>
        <v>0</v>
      </c>
      <c r="B565" s="67">
        <f t="shared" si="94"/>
        <v>0</v>
      </c>
      <c r="C565" s="70" t="str">
        <f>IF(VLOOKUP(B565,'x Malzemeler ve Özellikleri'!$B$2:$M$136,12,0)="ALÜMİNYUM",'1PROJE'!$H$20,"")</f>
        <v/>
      </c>
      <c r="D565" s="67">
        <f t="shared" si="95"/>
        <v>0</v>
      </c>
      <c r="E565" s="69" t="e">
        <f>HLOOKUP(B565,xHesaplama!$AH$26:$FH$66,35,0)</f>
        <v>#N/A</v>
      </c>
      <c r="F565" s="76">
        <f t="shared" si="91"/>
        <v>0</v>
      </c>
      <c r="G565" s="70">
        <f t="shared" si="96"/>
        <v>0</v>
      </c>
      <c r="H565" s="69" t="str">
        <f t="shared" si="92"/>
        <v/>
      </c>
      <c r="I565" s="145">
        <v>0</v>
      </c>
      <c r="J565" s="619"/>
      <c r="K565" s="81">
        <f>IFERROR(VLOOKUP(B565,'x Malzemeler ve Özellikleri'!$O$1:$Q$181,3,0)*F565,0)</f>
        <v>0</v>
      </c>
    </row>
    <row r="566" spans="1:36" ht="19.5">
      <c r="A566" s="67">
        <f t="shared" si="93"/>
        <v>0</v>
      </c>
      <c r="B566" s="67">
        <f t="shared" si="94"/>
        <v>0</v>
      </c>
      <c r="C566" s="70" t="str">
        <f>IF(VLOOKUP(B566,'x Malzemeler ve Özellikleri'!$B$2:$M$136,12,0)="ALÜMİNYUM",'1PROJE'!$H$20,"")</f>
        <v/>
      </c>
      <c r="D566" s="67">
        <f t="shared" si="95"/>
        <v>0</v>
      </c>
      <c r="E566" s="69" t="e">
        <f>HLOOKUP(B566,xHesaplama!$AH$26:$FH$66,35,0)</f>
        <v>#N/A</v>
      </c>
      <c r="F566" s="76">
        <f t="shared" si="91"/>
        <v>0</v>
      </c>
      <c r="G566" s="70">
        <f t="shared" si="96"/>
        <v>0</v>
      </c>
      <c r="H566" s="69" t="str">
        <f t="shared" si="92"/>
        <v/>
      </c>
      <c r="I566" s="145">
        <v>0</v>
      </c>
      <c r="J566" s="619"/>
      <c r="K566" s="81">
        <f>IFERROR(VLOOKUP(B566,'x Malzemeler ve Özellikleri'!$O$1:$Q$181,3,0)*F566,0)</f>
        <v>0</v>
      </c>
    </row>
    <row r="567" spans="1:36" ht="19.5">
      <c r="A567" s="67">
        <f t="shared" si="93"/>
        <v>0</v>
      </c>
      <c r="B567" s="67">
        <f t="shared" si="94"/>
        <v>0</v>
      </c>
      <c r="C567" s="70" t="str">
        <f>IF(VLOOKUP(B567,'x Malzemeler ve Özellikleri'!$B$2:$M$136,12,0)="ALÜMİNYUM",'1PROJE'!$H$20,"")</f>
        <v/>
      </c>
      <c r="D567" s="67">
        <f t="shared" si="95"/>
        <v>0</v>
      </c>
      <c r="E567" s="69" t="e">
        <f>HLOOKUP(B567,xHesaplama!$AH$26:$FH$66,35,0)</f>
        <v>#N/A</v>
      </c>
      <c r="F567" s="76">
        <f t="shared" si="91"/>
        <v>0</v>
      </c>
      <c r="G567" s="70">
        <f t="shared" si="96"/>
        <v>0</v>
      </c>
      <c r="H567" s="69" t="str">
        <f t="shared" si="92"/>
        <v/>
      </c>
      <c r="I567" s="145">
        <v>0</v>
      </c>
      <c r="J567" s="619"/>
      <c r="K567" s="81">
        <f>IFERROR(VLOOKUP(B567,'x Malzemeler ve Özellikleri'!$O$1:$Q$181,3,0)*F567,0)</f>
        <v>0</v>
      </c>
    </row>
    <row r="568" spans="1:36" ht="19.5">
      <c r="A568" s="67">
        <f t="shared" si="93"/>
        <v>0</v>
      </c>
      <c r="B568" s="67">
        <f t="shared" si="94"/>
        <v>0</v>
      </c>
      <c r="C568" s="70" t="str">
        <f>IF(VLOOKUP(B568,'x Malzemeler ve Özellikleri'!$B$2:$M$136,12,0)="ALÜMİNYUM",'1PROJE'!$H$20,"")</f>
        <v/>
      </c>
      <c r="D568" s="67">
        <f t="shared" si="95"/>
        <v>0</v>
      </c>
      <c r="E568" s="69" t="e">
        <f>HLOOKUP(B568,xHesaplama!$AH$26:$FH$66,35,0)</f>
        <v>#N/A</v>
      </c>
      <c r="F568" s="76">
        <f t="shared" si="91"/>
        <v>0</v>
      </c>
      <c r="G568" s="70">
        <f t="shared" si="96"/>
        <v>0</v>
      </c>
      <c r="H568" s="69" t="str">
        <f t="shared" si="92"/>
        <v/>
      </c>
      <c r="I568" s="145">
        <v>0</v>
      </c>
      <c r="J568" s="619"/>
      <c r="K568" s="81">
        <f>IFERROR(VLOOKUP(B568,'x Malzemeler ve Özellikleri'!$O$1:$Q$181,3,0)*F568,0)</f>
        <v>0</v>
      </c>
    </row>
    <row r="569" spans="1:36" ht="19.5">
      <c r="A569" s="67">
        <f t="shared" si="93"/>
        <v>0</v>
      </c>
      <c r="B569" s="67">
        <f t="shared" si="94"/>
        <v>0</v>
      </c>
      <c r="C569" s="70" t="str">
        <f>IF(VLOOKUP(B569,'x Malzemeler ve Özellikleri'!$B$2:$M$136,12,0)="ALÜMİNYUM",'1PROJE'!$H$20,"")</f>
        <v/>
      </c>
      <c r="D569" s="67">
        <f t="shared" si="95"/>
        <v>0</v>
      </c>
      <c r="E569" s="69" t="e">
        <f>HLOOKUP(B569,xHesaplama!$AH$26:$FH$66,35,0)</f>
        <v>#N/A</v>
      </c>
      <c r="F569" s="76">
        <f t="shared" si="91"/>
        <v>0</v>
      </c>
      <c r="G569" s="70">
        <f t="shared" si="96"/>
        <v>0</v>
      </c>
      <c r="H569" s="69" t="str">
        <f t="shared" si="92"/>
        <v/>
      </c>
      <c r="I569" s="145">
        <v>0</v>
      </c>
      <c r="J569" s="619"/>
      <c r="K569" s="81">
        <f>IFERROR(VLOOKUP(B569,'x Malzemeler ve Özellikleri'!$O$1:$Q$181,3,0)*F569,0)</f>
        <v>0</v>
      </c>
    </row>
    <row r="570" spans="1:36" ht="19.5">
      <c r="A570" s="67">
        <f t="shared" si="93"/>
        <v>0</v>
      </c>
      <c r="B570" s="67">
        <f t="shared" si="94"/>
        <v>0</v>
      </c>
      <c r="C570" s="70" t="str">
        <f>IF(VLOOKUP(B570,'x Malzemeler ve Özellikleri'!$B$2:$M$136,12,0)="ALÜMİNYUM",'1PROJE'!$H$20,"")</f>
        <v/>
      </c>
      <c r="D570" s="67">
        <f t="shared" si="95"/>
        <v>0</v>
      </c>
      <c r="E570" s="69" t="e">
        <f>HLOOKUP(B570,xHesaplama!$AH$26:$FH$66,35,0)</f>
        <v>#N/A</v>
      </c>
      <c r="F570" s="76">
        <f t="shared" si="91"/>
        <v>0</v>
      </c>
      <c r="G570" s="70">
        <f t="shared" si="96"/>
        <v>0</v>
      </c>
      <c r="H570" s="69" t="str">
        <f t="shared" si="92"/>
        <v/>
      </c>
      <c r="I570" s="145">
        <v>0</v>
      </c>
      <c r="J570" s="619"/>
      <c r="K570" s="81">
        <f>IFERROR(VLOOKUP(B570,'x Malzemeler ve Özellikleri'!$O$1:$Q$181,3,0)*F570,0)</f>
        <v>0</v>
      </c>
    </row>
    <row r="571" spans="1:36" ht="19.5">
      <c r="A571" s="67">
        <f t="shared" si="93"/>
        <v>0</v>
      </c>
      <c r="B571" s="67">
        <f t="shared" si="94"/>
        <v>0</v>
      </c>
      <c r="C571" s="70" t="str">
        <f>IF(VLOOKUP(B571,'x Malzemeler ve Özellikleri'!$B$2:$M$136,12,0)="ALÜMİNYUM",'1PROJE'!$H$20,"")</f>
        <v/>
      </c>
      <c r="D571" s="67">
        <f t="shared" si="95"/>
        <v>0</v>
      </c>
      <c r="E571" s="69" t="e">
        <f>HLOOKUP(B571,xHesaplama!$AH$26:$FH$66,35,0)</f>
        <v>#N/A</v>
      </c>
      <c r="F571" s="76">
        <f t="shared" si="91"/>
        <v>0</v>
      </c>
      <c r="G571" s="70">
        <f t="shared" si="96"/>
        <v>0</v>
      </c>
      <c r="H571" s="69" t="str">
        <f t="shared" si="92"/>
        <v/>
      </c>
      <c r="I571" s="145">
        <v>0</v>
      </c>
      <c r="J571" s="619"/>
      <c r="K571" s="81">
        <f>IFERROR(VLOOKUP(B571,'x Malzemeler ve Özellikleri'!$O$1:$Q$181,3,0)*F571,0)</f>
        <v>0</v>
      </c>
    </row>
    <row r="572" spans="1:36" ht="19.5">
      <c r="A572" s="67">
        <f t="shared" si="93"/>
        <v>0</v>
      </c>
      <c r="B572" s="67">
        <f t="shared" si="94"/>
        <v>0</v>
      </c>
      <c r="C572" s="70" t="str">
        <f>IF(VLOOKUP(B572,'x Malzemeler ve Özellikleri'!$B$2:$M$136,12,0)="ALÜMİNYUM",'1PROJE'!$H$20,"")</f>
        <v/>
      </c>
      <c r="D572" s="67">
        <f t="shared" si="95"/>
        <v>0</v>
      </c>
      <c r="E572" s="69" t="e">
        <f>HLOOKUP(B572,xHesaplama!$AH$26:$FH$66,35,0)</f>
        <v>#N/A</v>
      </c>
      <c r="F572" s="76">
        <f t="shared" si="91"/>
        <v>0</v>
      </c>
      <c r="G572" s="70">
        <f t="shared" si="96"/>
        <v>0</v>
      </c>
      <c r="H572" s="69" t="str">
        <f t="shared" si="92"/>
        <v/>
      </c>
      <c r="I572" s="145">
        <v>0</v>
      </c>
      <c r="J572" s="619"/>
      <c r="K572" s="81">
        <f>IFERROR(VLOOKUP(B572,'x Malzemeler ve Özellikleri'!$O$1:$Q$181,3,0)*F572,0)</f>
        <v>0</v>
      </c>
    </row>
    <row r="573" spans="1:36" ht="19.5">
      <c r="A573" s="67">
        <f t="shared" si="93"/>
        <v>0</v>
      </c>
      <c r="B573" s="67">
        <f t="shared" si="94"/>
        <v>0</v>
      </c>
      <c r="C573" s="70" t="str">
        <f>IF(VLOOKUP(B573,'x Malzemeler ve Özellikleri'!$B$2:$M$136,12,0)="ALÜMİNYUM",'1PROJE'!$H$20,"")</f>
        <v/>
      </c>
      <c r="D573" s="67">
        <f t="shared" si="95"/>
        <v>0</v>
      </c>
      <c r="E573" s="69" t="e">
        <f>HLOOKUP(B573,xHesaplama!$AH$26:$FH$66,35,0)</f>
        <v>#N/A</v>
      </c>
      <c r="F573" s="76">
        <f t="shared" si="91"/>
        <v>0</v>
      </c>
      <c r="G573" s="70">
        <f t="shared" si="96"/>
        <v>0</v>
      </c>
      <c r="H573" s="69" t="str">
        <f t="shared" si="92"/>
        <v/>
      </c>
      <c r="I573" s="145">
        <v>0</v>
      </c>
      <c r="J573" s="619"/>
      <c r="K573" s="81">
        <f>IFERROR(VLOOKUP(B573,'x Malzemeler ve Özellikleri'!$O$1:$Q$181,3,0)*F573,0)</f>
        <v>0</v>
      </c>
    </row>
    <row r="574" spans="1:36" ht="20.25" thickBot="1">
      <c r="A574" s="67">
        <f t="shared" si="93"/>
        <v>0</v>
      </c>
      <c r="B574" s="67">
        <f t="shared" si="94"/>
        <v>0</v>
      </c>
      <c r="C574" s="70" t="str">
        <f>IF(VLOOKUP(B574,'x Malzemeler ve Özellikleri'!$B$2:$M$136,12,0)="ALÜMİNYUM",'1PROJE'!$H$20,"")</f>
        <v/>
      </c>
      <c r="D574" s="67">
        <f t="shared" si="95"/>
        <v>0</v>
      </c>
      <c r="E574" s="69" t="e">
        <f>HLOOKUP(B574,xHesaplama!$AH$26:$FH$66,35,0)</f>
        <v>#N/A</v>
      </c>
      <c r="F574" s="76">
        <f t="shared" si="91"/>
        <v>0</v>
      </c>
      <c r="G574" s="70">
        <f t="shared" si="96"/>
        <v>0</v>
      </c>
      <c r="H574" s="69" t="str">
        <f t="shared" si="92"/>
        <v/>
      </c>
      <c r="I574" s="145">
        <v>0</v>
      </c>
      <c r="J574" s="620"/>
      <c r="K574" s="81">
        <f>IFERROR(VLOOKUP(B574,'x Malzemeler ve Özellikleri'!$O$1:$Q$181,3,0)*F574,0)</f>
        <v>0</v>
      </c>
    </row>
    <row r="575" spans="1:36" ht="30" thickBot="1">
      <c r="A575" s="64" t="str">
        <f>"POZ"&amp;" "&amp;J576</f>
        <v>POZ 15</v>
      </c>
      <c r="C575" s="243">
        <f>xHesaplama!C41</f>
        <v>0</v>
      </c>
      <c r="D575" s="64" t="s">
        <v>357</v>
      </c>
      <c r="F575" s="74"/>
      <c r="G575" s="72" t="s">
        <v>786</v>
      </c>
      <c r="H575" s="65"/>
      <c r="I575" s="71">
        <f>SUM(H577:H615)</f>
        <v>0</v>
      </c>
      <c r="L575" t="str" cm="1">
        <f t="array" ref="L575:AJ575">_xlfn._xlws.FILTER(REÇETE!$D$11:$AB$142,REÇETE!$W$11:$W$142&lt;&gt;"","")</f>
        <v>EXCEL KODU</v>
      </c>
      <c r="M575" t="str">
        <v>PARÇA BİRİM</v>
      </c>
      <c r="N575" t="str">
        <v>PARÇA ADI</v>
      </c>
      <c r="O575" t="str">
        <v>MALZEME KODU</v>
      </c>
      <c r="P575" t="str">
        <v>BİRİM FİYAT</v>
      </c>
      <c r="Q575" t="str">
        <v>POZ 1</v>
      </c>
      <c r="R575" t="str">
        <v>POZ 2</v>
      </c>
      <c r="S575" t="str">
        <v>POZ 3</v>
      </c>
      <c r="T575" t="str">
        <v>POZ 4</v>
      </c>
      <c r="U575" t="str">
        <v>POZ 5</v>
      </c>
      <c r="V575" t="str">
        <v>POZ 6</v>
      </c>
      <c r="W575" t="str">
        <v>POZ 7</v>
      </c>
      <c r="X575" t="str">
        <v>POZ 8</v>
      </c>
      <c r="Y575" t="str">
        <v>POZ 9</v>
      </c>
      <c r="Z575" t="str">
        <v>POZ 10</v>
      </c>
      <c r="AA575" t="str">
        <v>POZ 11</v>
      </c>
      <c r="AB575" t="str">
        <v>POZ 12</v>
      </c>
      <c r="AC575" t="str">
        <v>POZ 13</v>
      </c>
      <c r="AD575" t="str">
        <v>POZ 14</v>
      </c>
      <c r="AE575" t="str">
        <v>POZ 15</v>
      </c>
      <c r="AF575" t="str">
        <v>POZ 16</v>
      </c>
      <c r="AG575" t="str">
        <v>POZ 17</v>
      </c>
      <c r="AH575" t="str">
        <v>POZ 18</v>
      </c>
      <c r="AI575" t="str">
        <v>POZ 19</v>
      </c>
      <c r="AJ575" t="str">
        <v>POZ 20</v>
      </c>
    </row>
    <row r="576" spans="1:36">
      <c r="A576" s="66" t="s">
        <v>782</v>
      </c>
      <c r="B576" s="66" t="s">
        <v>409</v>
      </c>
      <c r="C576" s="68"/>
      <c r="D576" s="66" t="s">
        <v>15</v>
      </c>
      <c r="E576" s="68" t="s">
        <v>808</v>
      </c>
      <c r="F576" s="75" t="s">
        <v>785</v>
      </c>
      <c r="G576" s="68" t="s">
        <v>650</v>
      </c>
      <c r="H576" s="68" t="s">
        <v>355</v>
      </c>
      <c r="J576" s="618">
        <v>15</v>
      </c>
      <c r="K576" s="221">
        <f>SUM(K577:K615)</f>
        <v>0</v>
      </c>
    </row>
    <row r="577" spans="1:40" ht="19.5">
      <c r="A577" s="67">
        <f>xHesaplama!H41</f>
        <v>0</v>
      </c>
      <c r="B577" s="67"/>
      <c r="C577" s="70">
        <f>xHesaplama!I41</f>
        <v>0</v>
      </c>
      <c r="D577" s="67">
        <f>xHesaplama!I41</f>
        <v>0</v>
      </c>
      <c r="E577" s="69" t="e">
        <f>xHesaplama!AC41</f>
        <v>#N/A</v>
      </c>
      <c r="F577" s="76">
        <f>xHesaplama!AD41*C575</f>
        <v>0</v>
      </c>
      <c r="G577" s="70" t="s">
        <v>817</v>
      </c>
      <c r="H577" s="69">
        <f t="shared" ref="H577:H578" si="97">IFERROR(E577*F577,0)</f>
        <v>0</v>
      </c>
      <c r="I577" s="145">
        <v>0</v>
      </c>
      <c r="J577" s="619"/>
      <c r="K577" s="81">
        <f>IFERROR(VLOOKUP(A577,'x Malzemeler ve Özellikleri'!$N$1:$Q$181,4,0)*F577,0)</f>
        <v>0</v>
      </c>
      <c r="AN577" s="84" cm="1">
        <f t="array" ref="AN577">_xlfn._xlws.FILTER(A577:I615,I577:I615,0)</f>
        <v>0</v>
      </c>
    </row>
    <row r="578" spans="1:40" ht="19.5">
      <c r="A578" s="67" t="s">
        <v>105</v>
      </c>
      <c r="B578" s="67"/>
      <c r="C578" s="70"/>
      <c r="D578" s="67">
        <f>xHesaplama!J41</f>
        <v>0</v>
      </c>
      <c r="E578" s="69" t="e">
        <f>xHesaplama!AB41</f>
        <v>#N/A</v>
      </c>
      <c r="F578" s="76">
        <f>C575</f>
        <v>0</v>
      </c>
      <c r="G578" s="70" t="s">
        <v>357</v>
      </c>
      <c r="H578" s="69">
        <f t="shared" si="97"/>
        <v>0</v>
      </c>
      <c r="I578" s="145">
        <v>0</v>
      </c>
      <c r="J578" s="619"/>
      <c r="K578" s="81">
        <f>IFERROR(VLOOKUP(D578,'x Malzemeler ve Özellikleri'!$N$1:$Q$181,4,0)*F578,0)</f>
        <v>0</v>
      </c>
    </row>
    <row r="579" spans="1:40" ht="19.5">
      <c r="A579" s="67">
        <f>N576</f>
        <v>0</v>
      </c>
      <c r="B579" s="67">
        <f>L576</f>
        <v>0</v>
      </c>
      <c r="C579" s="70" t="str">
        <f>IF(VLOOKUP(B579,'x Malzemeler ve Özellikleri'!$B$2:$M$136,12,0)="ALÜMİNYUM",'1PROJE'!$H$21,"")</f>
        <v/>
      </c>
      <c r="D579" s="67">
        <f>O576</f>
        <v>0</v>
      </c>
      <c r="E579" s="69" t="e">
        <f>HLOOKUP(B579,xHesaplama!$AH$26:$FH$66,36,0)</f>
        <v>#N/A</v>
      </c>
      <c r="F579" s="76">
        <f t="shared" ref="F579:F615" si="98">AE576*$C$575</f>
        <v>0</v>
      </c>
      <c r="G579" s="70">
        <f>M576</f>
        <v>0</v>
      </c>
      <c r="H579" s="69" t="str">
        <f t="shared" ref="H579:H615" si="99">IFERROR(E579*$C$575,"")</f>
        <v/>
      </c>
      <c r="I579" s="145">
        <v>0</v>
      </c>
      <c r="J579" s="619"/>
      <c r="K579" s="81">
        <f>IFERROR(VLOOKUP(B579,'x Malzemeler ve Özellikleri'!$O$1:$Q$181,3,0)*F579,0)</f>
        <v>0</v>
      </c>
    </row>
    <row r="580" spans="1:40" ht="19.5">
      <c r="A580" s="67">
        <f t="shared" ref="A580:A615" si="100">N577</f>
        <v>0</v>
      </c>
      <c r="B580" s="67">
        <f t="shared" ref="B580:B615" si="101">L577</f>
        <v>0</v>
      </c>
      <c r="C580" s="70" t="str">
        <f>IF(VLOOKUP(B580,'x Malzemeler ve Özellikleri'!$B$2:$M$136,12,0)="ALÜMİNYUM",'1PROJE'!$H$21,"")</f>
        <v/>
      </c>
      <c r="D580" s="67">
        <f t="shared" ref="D580:D615" si="102">O577</f>
        <v>0</v>
      </c>
      <c r="E580" s="69" t="e">
        <f>HLOOKUP(B580,xHesaplama!$AH$26:$FH$66,36,0)</f>
        <v>#N/A</v>
      </c>
      <c r="F580" s="76">
        <f t="shared" si="98"/>
        <v>0</v>
      </c>
      <c r="G580" s="70">
        <f t="shared" ref="G580:G615" si="103">M577</f>
        <v>0</v>
      </c>
      <c r="H580" s="69" t="str">
        <f t="shared" si="99"/>
        <v/>
      </c>
      <c r="I580" s="145">
        <v>0</v>
      </c>
      <c r="J580" s="619"/>
      <c r="K580" s="81">
        <f>IFERROR(VLOOKUP(B580,'x Malzemeler ve Özellikleri'!$O$1:$Q$181,3,0)*F580,0)</f>
        <v>0</v>
      </c>
    </row>
    <row r="581" spans="1:40" ht="19.5">
      <c r="A581" s="67">
        <f t="shared" si="100"/>
        <v>0</v>
      </c>
      <c r="B581" s="67">
        <f t="shared" si="101"/>
        <v>0</v>
      </c>
      <c r="C581" s="70" t="str">
        <f>IF(VLOOKUP(B581,'x Malzemeler ve Özellikleri'!$B$2:$M$136,12,0)="ALÜMİNYUM",'1PROJE'!$H$21,"")</f>
        <v/>
      </c>
      <c r="D581" s="67">
        <f t="shared" si="102"/>
        <v>0</v>
      </c>
      <c r="E581" s="69" t="e">
        <f>HLOOKUP(B581,xHesaplama!$AH$26:$FH$66,36,0)</f>
        <v>#N/A</v>
      </c>
      <c r="F581" s="76">
        <f t="shared" si="98"/>
        <v>0</v>
      </c>
      <c r="G581" s="70">
        <f t="shared" si="103"/>
        <v>0</v>
      </c>
      <c r="H581" s="69" t="str">
        <f t="shared" si="99"/>
        <v/>
      </c>
      <c r="I581" s="145">
        <v>0</v>
      </c>
      <c r="J581" s="619"/>
      <c r="K581" s="81">
        <f>IFERROR(VLOOKUP(B581,'x Malzemeler ve Özellikleri'!$O$1:$Q$181,3,0)*F581,0)</f>
        <v>0</v>
      </c>
    </row>
    <row r="582" spans="1:40" ht="19.5">
      <c r="A582" s="67">
        <f t="shared" si="100"/>
        <v>0</v>
      </c>
      <c r="B582" s="67">
        <f t="shared" si="101"/>
        <v>0</v>
      </c>
      <c r="C582" s="70" t="str">
        <f>IF(VLOOKUP(B582,'x Malzemeler ve Özellikleri'!$B$2:$M$136,12,0)="ALÜMİNYUM",'1PROJE'!$H$21,"")</f>
        <v/>
      </c>
      <c r="D582" s="67">
        <f t="shared" si="102"/>
        <v>0</v>
      </c>
      <c r="E582" s="69" t="e">
        <f>HLOOKUP(B582,xHesaplama!$AH$26:$FH$66,36,0)</f>
        <v>#N/A</v>
      </c>
      <c r="F582" s="76">
        <f t="shared" si="98"/>
        <v>0</v>
      </c>
      <c r="G582" s="70">
        <f t="shared" si="103"/>
        <v>0</v>
      </c>
      <c r="H582" s="69" t="str">
        <f t="shared" si="99"/>
        <v/>
      </c>
      <c r="I582" s="145">
        <v>0</v>
      </c>
      <c r="J582" s="619"/>
      <c r="K582" s="81">
        <f>IFERROR(VLOOKUP(B582,'x Malzemeler ve Özellikleri'!$O$1:$Q$181,3,0)*F582,0)</f>
        <v>0</v>
      </c>
    </row>
    <row r="583" spans="1:40" ht="19.5">
      <c r="A583" s="67">
        <f t="shared" si="100"/>
        <v>0</v>
      </c>
      <c r="B583" s="67">
        <f t="shared" si="101"/>
        <v>0</v>
      </c>
      <c r="C583" s="70" t="str">
        <f>IF(VLOOKUP(B583,'x Malzemeler ve Özellikleri'!$B$2:$M$136,12,0)="ALÜMİNYUM",'1PROJE'!$H$21,"")</f>
        <v/>
      </c>
      <c r="D583" s="67">
        <f t="shared" si="102"/>
        <v>0</v>
      </c>
      <c r="E583" s="69" t="e">
        <f>HLOOKUP(B583,xHesaplama!$AH$26:$FH$66,36,0)</f>
        <v>#N/A</v>
      </c>
      <c r="F583" s="76">
        <f t="shared" si="98"/>
        <v>0</v>
      </c>
      <c r="G583" s="70">
        <f t="shared" si="103"/>
        <v>0</v>
      </c>
      <c r="H583" s="69" t="str">
        <f t="shared" si="99"/>
        <v/>
      </c>
      <c r="I583" s="145">
        <v>0</v>
      </c>
      <c r="J583" s="619"/>
      <c r="K583" s="81">
        <f>IFERROR(VLOOKUP(B583,'x Malzemeler ve Özellikleri'!$O$1:$Q$181,3,0)*F583,0)</f>
        <v>0</v>
      </c>
    </row>
    <row r="584" spans="1:40" ht="19.5">
      <c r="A584" s="67">
        <f t="shared" si="100"/>
        <v>0</v>
      </c>
      <c r="B584" s="67">
        <f t="shared" si="101"/>
        <v>0</v>
      </c>
      <c r="C584" s="70" t="str">
        <f>IF(VLOOKUP(B584,'x Malzemeler ve Özellikleri'!$B$2:$M$136,12,0)="ALÜMİNYUM",'1PROJE'!$H$21,"")</f>
        <v/>
      </c>
      <c r="D584" s="67">
        <f t="shared" si="102"/>
        <v>0</v>
      </c>
      <c r="E584" s="69" t="e">
        <f>HLOOKUP(B584,xHesaplama!$AH$26:$FH$66,36,0)</f>
        <v>#N/A</v>
      </c>
      <c r="F584" s="76">
        <f t="shared" si="98"/>
        <v>0</v>
      </c>
      <c r="G584" s="70">
        <f t="shared" si="103"/>
        <v>0</v>
      </c>
      <c r="H584" s="69" t="str">
        <f t="shared" si="99"/>
        <v/>
      </c>
      <c r="I584" s="145">
        <v>0</v>
      </c>
      <c r="J584" s="619"/>
      <c r="K584" s="81">
        <f>IFERROR(VLOOKUP(B584,'x Malzemeler ve Özellikleri'!$O$1:$Q$181,3,0)*F584,0)</f>
        <v>0</v>
      </c>
    </row>
    <row r="585" spans="1:40" ht="19.5">
      <c r="A585" s="67">
        <f t="shared" si="100"/>
        <v>0</v>
      </c>
      <c r="B585" s="67">
        <f t="shared" si="101"/>
        <v>0</v>
      </c>
      <c r="C585" s="70" t="str">
        <f>IF(VLOOKUP(B585,'x Malzemeler ve Özellikleri'!$B$2:$M$136,12,0)="ALÜMİNYUM",'1PROJE'!$H$21,"")</f>
        <v/>
      </c>
      <c r="D585" s="67">
        <f t="shared" si="102"/>
        <v>0</v>
      </c>
      <c r="E585" s="69" t="e">
        <f>HLOOKUP(B585,xHesaplama!$AH$26:$FH$66,36,0)</f>
        <v>#N/A</v>
      </c>
      <c r="F585" s="76">
        <f t="shared" si="98"/>
        <v>0</v>
      </c>
      <c r="G585" s="70">
        <f t="shared" si="103"/>
        <v>0</v>
      </c>
      <c r="H585" s="69" t="str">
        <f t="shared" si="99"/>
        <v/>
      </c>
      <c r="I585" s="145">
        <v>0</v>
      </c>
      <c r="J585" s="619"/>
      <c r="K585" s="81">
        <f>IFERROR(VLOOKUP(B585,'x Malzemeler ve Özellikleri'!$O$1:$Q$181,3,0)*F585,0)</f>
        <v>0</v>
      </c>
    </row>
    <row r="586" spans="1:40" ht="19.5">
      <c r="A586" s="67">
        <f t="shared" si="100"/>
        <v>0</v>
      </c>
      <c r="B586" s="67">
        <f t="shared" si="101"/>
        <v>0</v>
      </c>
      <c r="C586" s="70" t="str">
        <f>IF(VLOOKUP(B586,'x Malzemeler ve Özellikleri'!$B$2:$M$136,12,0)="ALÜMİNYUM",'1PROJE'!$H$21,"")</f>
        <v/>
      </c>
      <c r="D586" s="67">
        <f t="shared" si="102"/>
        <v>0</v>
      </c>
      <c r="E586" s="69" t="e">
        <f>HLOOKUP(B586,xHesaplama!$AH$26:$FH$66,36,0)</f>
        <v>#N/A</v>
      </c>
      <c r="F586" s="76">
        <f t="shared" si="98"/>
        <v>0</v>
      </c>
      <c r="G586" s="70">
        <f t="shared" si="103"/>
        <v>0</v>
      </c>
      <c r="H586" s="69" t="str">
        <f t="shared" si="99"/>
        <v/>
      </c>
      <c r="I586" s="145">
        <v>0</v>
      </c>
      <c r="J586" s="619"/>
      <c r="K586" s="81">
        <f>IFERROR(VLOOKUP(B586,'x Malzemeler ve Özellikleri'!$O$1:$Q$181,3,0)*F586,0)</f>
        <v>0</v>
      </c>
    </row>
    <row r="587" spans="1:40" ht="19.5">
      <c r="A587" s="67">
        <f t="shared" si="100"/>
        <v>0</v>
      </c>
      <c r="B587" s="67">
        <f t="shared" si="101"/>
        <v>0</v>
      </c>
      <c r="C587" s="70" t="str">
        <f>IF(VLOOKUP(B587,'x Malzemeler ve Özellikleri'!$B$2:$M$136,12,0)="ALÜMİNYUM",'1PROJE'!$H$21,"")</f>
        <v/>
      </c>
      <c r="D587" s="67">
        <f t="shared" si="102"/>
        <v>0</v>
      </c>
      <c r="E587" s="69" t="e">
        <f>HLOOKUP(B587,xHesaplama!$AH$26:$FH$66,36,0)</f>
        <v>#N/A</v>
      </c>
      <c r="F587" s="76">
        <f t="shared" si="98"/>
        <v>0</v>
      </c>
      <c r="G587" s="70">
        <f t="shared" si="103"/>
        <v>0</v>
      </c>
      <c r="H587" s="69" t="str">
        <f t="shared" si="99"/>
        <v/>
      </c>
      <c r="I587" s="145">
        <v>0</v>
      </c>
      <c r="J587" s="619"/>
      <c r="K587" s="81">
        <f>IFERROR(VLOOKUP(B587,'x Malzemeler ve Özellikleri'!$O$1:$Q$181,3,0)*F587,0)</f>
        <v>0</v>
      </c>
    </row>
    <row r="588" spans="1:40" ht="19.5">
      <c r="A588" s="67">
        <f t="shared" si="100"/>
        <v>0</v>
      </c>
      <c r="B588" s="67">
        <f t="shared" si="101"/>
        <v>0</v>
      </c>
      <c r="C588" s="70" t="str">
        <f>IF(VLOOKUP(B588,'x Malzemeler ve Özellikleri'!$B$2:$M$136,12,0)="ALÜMİNYUM",'1PROJE'!$H$21,"")</f>
        <v/>
      </c>
      <c r="D588" s="67">
        <f t="shared" si="102"/>
        <v>0</v>
      </c>
      <c r="E588" s="69" t="e">
        <f>HLOOKUP(B588,xHesaplama!$AH$26:$FH$66,36,0)</f>
        <v>#N/A</v>
      </c>
      <c r="F588" s="76">
        <f t="shared" si="98"/>
        <v>0</v>
      </c>
      <c r="G588" s="70">
        <f t="shared" si="103"/>
        <v>0</v>
      </c>
      <c r="H588" s="69" t="str">
        <f t="shared" si="99"/>
        <v/>
      </c>
      <c r="I588" s="145">
        <v>0</v>
      </c>
      <c r="J588" s="619"/>
      <c r="K588" s="81">
        <f>IFERROR(VLOOKUP(B588,'x Malzemeler ve Özellikleri'!$O$1:$Q$181,3,0)*F588,0)</f>
        <v>0</v>
      </c>
    </row>
    <row r="589" spans="1:40" ht="19.5">
      <c r="A589" s="67">
        <f t="shared" si="100"/>
        <v>0</v>
      </c>
      <c r="B589" s="67">
        <f t="shared" si="101"/>
        <v>0</v>
      </c>
      <c r="C589" s="70" t="str">
        <f>IF(VLOOKUP(B589,'x Malzemeler ve Özellikleri'!$B$2:$M$136,12,0)="ALÜMİNYUM",'1PROJE'!$H$21,"")</f>
        <v/>
      </c>
      <c r="D589" s="67">
        <f t="shared" si="102"/>
        <v>0</v>
      </c>
      <c r="E589" s="69" t="e">
        <f>HLOOKUP(B589,xHesaplama!$AH$26:$FH$66,36,0)</f>
        <v>#N/A</v>
      </c>
      <c r="F589" s="76">
        <f t="shared" si="98"/>
        <v>0</v>
      </c>
      <c r="G589" s="70">
        <f t="shared" si="103"/>
        <v>0</v>
      </c>
      <c r="H589" s="69" t="str">
        <f t="shared" si="99"/>
        <v/>
      </c>
      <c r="I589" s="145">
        <v>0</v>
      </c>
      <c r="J589" s="619"/>
      <c r="K589" s="81">
        <f>IFERROR(VLOOKUP(B589,'x Malzemeler ve Özellikleri'!$O$1:$Q$181,3,0)*F589,0)</f>
        <v>0</v>
      </c>
    </row>
    <row r="590" spans="1:40" ht="19.5">
      <c r="A590" s="67">
        <f t="shared" si="100"/>
        <v>0</v>
      </c>
      <c r="B590" s="67">
        <f t="shared" si="101"/>
        <v>0</v>
      </c>
      <c r="C590" s="70" t="str">
        <f>IF(VLOOKUP(B590,'x Malzemeler ve Özellikleri'!$B$2:$M$136,12,0)="ALÜMİNYUM",'1PROJE'!$H$21,"")</f>
        <v/>
      </c>
      <c r="D590" s="67">
        <f t="shared" si="102"/>
        <v>0</v>
      </c>
      <c r="E590" s="69" t="e">
        <f>HLOOKUP(B590,xHesaplama!$AH$26:$FH$66,36,0)</f>
        <v>#N/A</v>
      </c>
      <c r="F590" s="76">
        <f t="shared" si="98"/>
        <v>0</v>
      </c>
      <c r="G590" s="70">
        <f t="shared" si="103"/>
        <v>0</v>
      </c>
      <c r="H590" s="69" t="str">
        <f t="shared" si="99"/>
        <v/>
      </c>
      <c r="I590" s="145">
        <v>0</v>
      </c>
      <c r="J590" s="619"/>
      <c r="K590" s="81">
        <f>IFERROR(VLOOKUP(B590,'x Malzemeler ve Özellikleri'!$O$1:$Q$181,3,0)*F590,0)</f>
        <v>0</v>
      </c>
    </row>
    <row r="591" spans="1:40" ht="19.5">
      <c r="A591" s="67">
        <f t="shared" si="100"/>
        <v>0</v>
      </c>
      <c r="B591" s="67">
        <f t="shared" si="101"/>
        <v>0</v>
      </c>
      <c r="C591" s="70" t="str">
        <f>IF(VLOOKUP(B591,'x Malzemeler ve Özellikleri'!$B$2:$M$136,12,0)="ALÜMİNYUM",'1PROJE'!$H$21,"")</f>
        <v/>
      </c>
      <c r="D591" s="67">
        <f t="shared" si="102"/>
        <v>0</v>
      </c>
      <c r="E591" s="69" t="e">
        <f>HLOOKUP(B591,xHesaplama!$AH$26:$FH$66,36,0)</f>
        <v>#N/A</v>
      </c>
      <c r="F591" s="76">
        <f t="shared" si="98"/>
        <v>0</v>
      </c>
      <c r="G591" s="70">
        <f t="shared" si="103"/>
        <v>0</v>
      </c>
      <c r="H591" s="69" t="str">
        <f t="shared" si="99"/>
        <v/>
      </c>
      <c r="I591" s="145">
        <v>0</v>
      </c>
      <c r="J591" s="619"/>
      <c r="K591" s="81">
        <f>IFERROR(VLOOKUP(B591,'x Malzemeler ve Özellikleri'!$O$1:$Q$181,3,0)*F591,0)</f>
        <v>0</v>
      </c>
    </row>
    <row r="592" spans="1:40" ht="19.5">
      <c r="A592" s="67">
        <f t="shared" si="100"/>
        <v>0</v>
      </c>
      <c r="B592" s="67">
        <f t="shared" si="101"/>
        <v>0</v>
      </c>
      <c r="C592" s="70" t="str">
        <f>IF(VLOOKUP(B592,'x Malzemeler ve Özellikleri'!$B$2:$M$136,12,0)="ALÜMİNYUM",'1PROJE'!$H$21,"")</f>
        <v/>
      </c>
      <c r="D592" s="67">
        <f t="shared" si="102"/>
        <v>0</v>
      </c>
      <c r="E592" s="69" t="e">
        <f>HLOOKUP(B592,xHesaplama!$AH$26:$FH$66,36,0)</f>
        <v>#N/A</v>
      </c>
      <c r="F592" s="76">
        <f t="shared" si="98"/>
        <v>0</v>
      </c>
      <c r="G592" s="70">
        <f t="shared" si="103"/>
        <v>0</v>
      </c>
      <c r="H592" s="69" t="str">
        <f t="shared" si="99"/>
        <v/>
      </c>
      <c r="I592" s="145">
        <v>0</v>
      </c>
      <c r="J592" s="619"/>
      <c r="K592" s="81">
        <f>IFERROR(VLOOKUP(B592,'x Malzemeler ve Özellikleri'!$O$1:$Q$181,3,0)*F592,0)</f>
        <v>0</v>
      </c>
    </row>
    <row r="593" spans="1:11" ht="19.5">
      <c r="A593" s="67">
        <f t="shared" si="100"/>
        <v>0</v>
      </c>
      <c r="B593" s="67">
        <f t="shared" si="101"/>
        <v>0</v>
      </c>
      <c r="C593" s="70" t="str">
        <f>IF(VLOOKUP(B593,'x Malzemeler ve Özellikleri'!$B$2:$M$136,12,0)="ALÜMİNYUM",'1PROJE'!$H$21,"")</f>
        <v/>
      </c>
      <c r="D593" s="67">
        <f t="shared" si="102"/>
        <v>0</v>
      </c>
      <c r="E593" s="69" t="e">
        <f>HLOOKUP(B593,xHesaplama!$AH$26:$FH$66,36,0)</f>
        <v>#N/A</v>
      </c>
      <c r="F593" s="76">
        <f t="shared" si="98"/>
        <v>0</v>
      </c>
      <c r="G593" s="70">
        <f t="shared" si="103"/>
        <v>0</v>
      </c>
      <c r="H593" s="69" t="str">
        <f t="shared" si="99"/>
        <v/>
      </c>
      <c r="I593" s="145">
        <v>0</v>
      </c>
      <c r="J593" s="619"/>
      <c r="K593" s="81">
        <f>IFERROR(VLOOKUP(B593,'x Malzemeler ve Özellikleri'!$O$1:$Q$181,3,0)*F593,0)</f>
        <v>0</v>
      </c>
    </row>
    <row r="594" spans="1:11" ht="19.5">
      <c r="A594" s="67">
        <f t="shared" si="100"/>
        <v>0</v>
      </c>
      <c r="B594" s="67">
        <f t="shared" si="101"/>
        <v>0</v>
      </c>
      <c r="C594" s="70" t="str">
        <f>IF(VLOOKUP(B594,'x Malzemeler ve Özellikleri'!$B$2:$M$136,12,0)="ALÜMİNYUM",'1PROJE'!$H$21,"")</f>
        <v/>
      </c>
      <c r="D594" s="67">
        <f t="shared" si="102"/>
        <v>0</v>
      </c>
      <c r="E594" s="69" t="e">
        <f>HLOOKUP(B594,xHesaplama!$AH$26:$FH$66,36,0)</f>
        <v>#N/A</v>
      </c>
      <c r="F594" s="76">
        <f t="shared" si="98"/>
        <v>0</v>
      </c>
      <c r="G594" s="70">
        <f t="shared" si="103"/>
        <v>0</v>
      </c>
      <c r="H594" s="69" t="str">
        <f t="shared" si="99"/>
        <v/>
      </c>
      <c r="I594" s="145">
        <v>0</v>
      </c>
      <c r="J594" s="619"/>
      <c r="K594" s="81">
        <f>IFERROR(VLOOKUP(B594,'x Malzemeler ve Özellikleri'!$O$1:$Q$181,3,0)*F594,0)</f>
        <v>0</v>
      </c>
    </row>
    <row r="595" spans="1:11" ht="19.5">
      <c r="A595" s="67">
        <f t="shared" si="100"/>
        <v>0</v>
      </c>
      <c r="B595" s="67">
        <f t="shared" si="101"/>
        <v>0</v>
      </c>
      <c r="C595" s="70" t="str">
        <f>IF(VLOOKUP(B595,'x Malzemeler ve Özellikleri'!$B$2:$M$136,12,0)="ALÜMİNYUM",'1PROJE'!$H$21,"")</f>
        <v/>
      </c>
      <c r="D595" s="67">
        <f t="shared" si="102"/>
        <v>0</v>
      </c>
      <c r="E595" s="69" t="e">
        <f>HLOOKUP(B595,xHesaplama!$AH$26:$FH$66,36,0)</f>
        <v>#N/A</v>
      </c>
      <c r="F595" s="76">
        <f t="shared" si="98"/>
        <v>0</v>
      </c>
      <c r="G595" s="70">
        <f t="shared" si="103"/>
        <v>0</v>
      </c>
      <c r="H595" s="69" t="str">
        <f t="shared" si="99"/>
        <v/>
      </c>
      <c r="I595" s="145">
        <v>0</v>
      </c>
      <c r="J595" s="619"/>
      <c r="K595" s="81">
        <f>IFERROR(VLOOKUP(B595,'x Malzemeler ve Özellikleri'!$O$1:$Q$181,3,0)*F595,0)</f>
        <v>0</v>
      </c>
    </row>
    <row r="596" spans="1:11" ht="19.5">
      <c r="A596" s="67">
        <f t="shared" si="100"/>
        <v>0</v>
      </c>
      <c r="B596" s="67">
        <f t="shared" si="101"/>
        <v>0</v>
      </c>
      <c r="C596" s="70" t="str">
        <f>IF(VLOOKUP(B596,'x Malzemeler ve Özellikleri'!$B$2:$M$136,12,0)="ALÜMİNYUM",'1PROJE'!$H$21,"")</f>
        <v/>
      </c>
      <c r="D596" s="67">
        <f t="shared" si="102"/>
        <v>0</v>
      </c>
      <c r="E596" s="69" t="e">
        <f>HLOOKUP(B596,xHesaplama!$AH$26:$FH$66,36,0)</f>
        <v>#N/A</v>
      </c>
      <c r="F596" s="76">
        <f t="shared" si="98"/>
        <v>0</v>
      </c>
      <c r="G596" s="70">
        <f t="shared" si="103"/>
        <v>0</v>
      </c>
      <c r="H596" s="69" t="str">
        <f t="shared" si="99"/>
        <v/>
      </c>
      <c r="I596" s="145">
        <v>0</v>
      </c>
      <c r="J596" s="619"/>
      <c r="K596" s="81">
        <f>IFERROR(VLOOKUP(B596,'x Malzemeler ve Özellikleri'!$O$1:$Q$181,3,0)*F596,0)</f>
        <v>0</v>
      </c>
    </row>
    <row r="597" spans="1:11" ht="19.5">
      <c r="A597" s="67">
        <f t="shared" si="100"/>
        <v>0</v>
      </c>
      <c r="B597" s="67">
        <f t="shared" si="101"/>
        <v>0</v>
      </c>
      <c r="C597" s="70" t="str">
        <f>IF(VLOOKUP(B597,'x Malzemeler ve Özellikleri'!$B$2:$M$136,12,0)="ALÜMİNYUM",'1PROJE'!$H$21,"")</f>
        <v/>
      </c>
      <c r="D597" s="67">
        <f t="shared" si="102"/>
        <v>0</v>
      </c>
      <c r="E597" s="69" t="e">
        <f>HLOOKUP(B597,xHesaplama!$AH$26:$FH$66,36,0)</f>
        <v>#N/A</v>
      </c>
      <c r="F597" s="76">
        <f t="shared" si="98"/>
        <v>0</v>
      </c>
      <c r="G597" s="70">
        <f t="shared" si="103"/>
        <v>0</v>
      </c>
      <c r="H597" s="69" t="str">
        <f t="shared" si="99"/>
        <v/>
      </c>
      <c r="I597" s="145">
        <v>0</v>
      </c>
      <c r="J597" s="619"/>
      <c r="K597" s="81">
        <f>IFERROR(VLOOKUP(B597,'x Malzemeler ve Özellikleri'!$O$1:$Q$181,3,0)*F597,0)</f>
        <v>0</v>
      </c>
    </row>
    <row r="598" spans="1:11" ht="19.5">
      <c r="A598" s="67">
        <f t="shared" si="100"/>
        <v>0</v>
      </c>
      <c r="B598" s="67">
        <f t="shared" si="101"/>
        <v>0</v>
      </c>
      <c r="C598" s="70" t="str">
        <f>IF(VLOOKUP(B598,'x Malzemeler ve Özellikleri'!$B$2:$M$136,12,0)="ALÜMİNYUM",'1PROJE'!$H$21,"")</f>
        <v/>
      </c>
      <c r="D598" s="67">
        <f t="shared" si="102"/>
        <v>0</v>
      </c>
      <c r="E598" s="69" t="e">
        <f>HLOOKUP(B598,xHesaplama!$AH$26:$FH$66,36,0)</f>
        <v>#N/A</v>
      </c>
      <c r="F598" s="76">
        <f t="shared" si="98"/>
        <v>0</v>
      </c>
      <c r="G598" s="70">
        <f t="shared" si="103"/>
        <v>0</v>
      </c>
      <c r="H598" s="69" t="str">
        <f t="shared" si="99"/>
        <v/>
      </c>
      <c r="I598" s="145">
        <v>0</v>
      </c>
      <c r="J598" s="619"/>
      <c r="K598" s="81">
        <f>IFERROR(VLOOKUP(B598,'x Malzemeler ve Özellikleri'!$O$1:$Q$181,3,0)*F598,0)</f>
        <v>0</v>
      </c>
    </row>
    <row r="599" spans="1:11" ht="19.5">
      <c r="A599" s="67">
        <f t="shared" si="100"/>
        <v>0</v>
      </c>
      <c r="B599" s="67">
        <f t="shared" si="101"/>
        <v>0</v>
      </c>
      <c r="C599" s="70" t="str">
        <f>IF(VLOOKUP(B599,'x Malzemeler ve Özellikleri'!$B$2:$M$136,12,0)="ALÜMİNYUM",'1PROJE'!$H$21,"")</f>
        <v/>
      </c>
      <c r="D599" s="67">
        <f t="shared" si="102"/>
        <v>0</v>
      </c>
      <c r="E599" s="69" t="e">
        <f>HLOOKUP(B599,xHesaplama!$AH$26:$FH$66,36,0)</f>
        <v>#N/A</v>
      </c>
      <c r="F599" s="76">
        <f t="shared" si="98"/>
        <v>0</v>
      </c>
      <c r="G599" s="70">
        <f t="shared" si="103"/>
        <v>0</v>
      </c>
      <c r="H599" s="69" t="str">
        <f t="shared" si="99"/>
        <v/>
      </c>
      <c r="I599" s="145">
        <v>0</v>
      </c>
      <c r="J599" s="619"/>
      <c r="K599" s="81">
        <f>IFERROR(VLOOKUP(B599,'x Malzemeler ve Özellikleri'!$O$1:$Q$181,3,0)*F599,0)</f>
        <v>0</v>
      </c>
    </row>
    <row r="600" spans="1:11" ht="19.5">
      <c r="A600" s="67">
        <f t="shared" si="100"/>
        <v>0</v>
      </c>
      <c r="B600" s="67">
        <f t="shared" si="101"/>
        <v>0</v>
      </c>
      <c r="C600" s="70" t="str">
        <f>IF(VLOOKUP(B600,'x Malzemeler ve Özellikleri'!$B$2:$M$136,12,0)="ALÜMİNYUM",'1PROJE'!$H$21,"")</f>
        <v/>
      </c>
      <c r="D600" s="67">
        <f t="shared" si="102"/>
        <v>0</v>
      </c>
      <c r="E600" s="69" t="e">
        <f>HLOOKUP(B600,xHesaplama!$AH$26:$FH$66,36,0)</f>
        <v>#N/A</v>
      </c>
      <c r="F600" s="76">
        <f t="shared" si="98"/>
        <v>0</v>
      </c>
      <c r="G600" s="70">
        <f t="shared" si="103"/>
        <v>0</v>
      </c>
      <c r="H600" s="69" t="str">
        <f t="shared" si="99"/>
        <v/>
      </c>
      <c r="I600" s="145">
        <v>0</v>
      </c>
      <c r="J600" s="619"/>
      <c r="K600" s="81">
        <f>IFERROR(VLOOKUP(B600,'x Malzemeler ve Özellikleri'!$O$1:$Q$181,3,0)*F600,0)</f>
        <v>0</v>
      </c>
    </row>
    <row r="601" spans="1:11" ht="19.5">
      <c r="A601" s="67">
        <f t="shared" si="100"/>
        <v>0</v>
      </c>
      <c r="B601" s="67">
        <f t="shared" si="101"/>
        <v>0</v>
      </c>
      <c r="C601" s="70" t="str">
        <f>IF(VLOOKUP(B601,'x Malzemeler ve Özellikleri'!$B$2:$M$136,12,0)="ALÜMİNYUM",'1PROJE'!$H$21,"")</f>
        <v/>
      </c>
      <c r="D601" s="67">
        <f t="shared" si="102"/>
        <v>0</v>
      </c>
      <c r="E601" s="69" t="e">
        <f>HLOOKUP(B601,xHesaplama!$AH$26:$FH$66,36,0)</f>
        <v>#N/A</v>
      </c>
      <c r="F601" s="76">
        <f t="shared" si="98"/>
        <v>0</v>
      </c>
      <c r="G601" s="70">
        <f t="shared" si="103"/>
        <v>0</v>
      </c>
      <c r="H601" s="69" t="str">
        <f t="shared" si="99"/>
        <v/>
      </c>
      <c r="I601" s="145">
        <v>0</v>
      </c>
      <c r="J601" s="619"/>
      <c r="K601" s="81">
        <f>IFERROR(VLOOKUP(B601,'x Malzemeler ve Özellikleri'!$O$1:$Q$181,3,0)*F601,0)</f>
        <v>0</v>
      </c>
    </row>
    <row r="602" spans="1:11" ht="19.5">
      <c r="A602" s="67">
        <f t="shared" si="100"/>
        <v>0</v>
      </c>
      <c r="B602" s="67">
        <f t="shared" si="101"/>
        <v>0</v>
      </c>
      <c r="C602" s="70" t="str">
        <f>IF(VLOOKUP(B602,'x Malzemeler ve Özellikleri'!$B$2:$M$136,12,0)="ALÜMİNYUM",'1PROJE'!$H$21,"")</f>
        <v/>
      </c>
      <c r="D602" s="67">
        <f t="shared" si="102"/>
        <v>0</v>
      </c>
      <c r="E602" s="69" t="e">
        <f>HLOOKUP(B602,xHesaplama!$AH$26:$FH$66,36,0)</f>
        <v>#N/A</v>
      </c>
      <c r="F602" s="76">
        <f t="shared" si="98"/>
        <v>0</v>
      </c>
      <c r="G602" s="70">
        <f t="shared" si="103"/>
        <v>0</v>
      </c>
      <c r="H602" s="69" t="str">
        <f t="shared" si="99"/>
        <v/>
      </c>
      <c r="I602" s="145">
        <v>0</v>
      </c>
      <c r="J602" s="619"/>
      <c r="K602" s="81">
        <f>IFERROR(VLOOKUP(B602,'x Malzemeler ve Özellikleri'!$O$1:$Q$181,3,0)*F602,0)</f>
        <v>0</v>
      </c>
    </row>
    <row r="603" spans="1:11" ht="19.5">
      <c r="A603" s="67">
        <f t="shared" si="100"/>
        <v>0</v>
      </c>
      <c r="B603" s="67">
        <f t="shared" si="101"/>
        <v>0</v>
      </c>
      <c r="C603" s="70" t="str">
        <f>IF(VLOOKUP(B603,'x Malzemeler ve Özellikleri'!$B$2:$M$136,12,0)="ALÜMİNYUM",'1PROJE'!$H$21,"")</f>
        <v/>
      </c>
      <c r="D603" s="67">
        <f t="shared" si="102"/>
        <v>0</v>
      </c>
      <c r="E603" s="69" t="e">
        <f>HLOOKUP(B603,xHesaplama!$AH$26:$FH$66,36,0)</f>
        <v>#N/A</v>
      </c>
      <c r="F603" s="76">
        <f t="shared" si="98"/>
        <v>0</v>
      </c>
      <c r="G603" s="70">
        <f t="shared" si="103"/>
        <v>0</v>
      </c>
      <c r="H603" s="69" t="str">
        <f t="shared" si="99"/>
        <v/>
      </c>
      <c r="I603" s="145">
        <v>0</v>
      </c>
      <c r="J603" s="619"/>
      <c r="K603" s="81">
        <f>IFERROR(VLOOKUP(B603,'x Malzemeler ve Özellikleri'!$O$1:$Q$181,3,0)*F603,0)</f>
        <v>0</v>
      </c>
    </row>
    <row r="604" spans="1:11" ht="19.5">
      <c r="A604" s="67">
        <f t="shared" si="100"/>
        <v>0</v>
      </c>
      <c r="B604" s="67">
        <f t="shared" si="101"/>
        <v>0</v>
      </c>
      <c r="C604" s="70" t="str">
        <f>IF(VLOOKUP(B604,'x Malzemeler ve Özellikleri'!$B$2:$M$136,12,0)="ALÜMİNYUM",'1PROJE'!$H$21,"")</f>
        <v/>
      </c>
      <c r="D604" s="67">
        <f t="shared" si="102"/>
        <v>0</v>
      </c>
      <c r="E604" s="69" t="e">
        <f>HLOOKUP(B604,xHesaplama!$AH$26:$FH$66,36,0)</f>
        <v>#N/A</v>
      </c>
      <c r="F604" s="76">
        <f t="shared" si="98"/>
        <v>0</v>
      </c>
      <c r="G604" s="70">
        <f t="shared" si="103"/>
        <v>0</v>
      </c>
      <c r="H604" s="69" t="str">
        <f t="shared" si="99"/>
        <v/>
      </c>
      <c r="I604" s="145">
        <v>0</v>
      </c>
      <c r="J604" s="619"/>
      <c r="K604" s="81">
        <f>IFERROR(VLOOKUP(B604,'x Malzemeler ve Özellikleri'!$O$1:$Q$181,3,0)*F604,0)</f>
        <v>0</v>
      </c>
    </row>
    <row r="605" spans="1:11" ht="19.5">
      <c r="A605" s="67">
        <f t="shared" si="100"/>
        <v>0</v>
      </c>
      <c r="B605" s="67">
        <f t="shared" si="101"/>
        <v>0</v>
      </c>
      <c r="C605" s="70" t="str">
        <f>IF(VLOOKUP(B605,'x Malzemeler ve Özellikleri'!$B$2:$M$136,12,0)="ALÜMİNYUM",'1PROJE'!$H$21,"")</f>
        <v/>
      </c>
      <c r="D605" s="67">
        <f t="shared" si="102"/>
        <v>0</v>
      </c>
      <c r="E605" s="69" t="e">
        <f>HLOOKUP(B605,xHesaplama!$AH$26:$FH$66,36,0)</f>
        <v>#N/A</v>
      </c>
      <c r="F605" s="76">
        <f t="shared" si="98"/>
        <v>0</v>
      </c>
      <c r="G605" s="70">
        <f t="shared" si="103"/>
        <v>0</v>
      </c>
      <c r="H605" s="69" t="str">
        <f t="shared" si="99"/>
        <v/>
      </c>
      <c r="I605" s="145">
        <v>0</v>
      </c>
      <c r="J605" s="619"/>
      <c r="K605" s="81">
        <f>IFERROR(VLOOKUP(B605,'x Malzemeler ve Özellikleri'!$O$1:$Q$181,3,0)*F605,0)</f>
        <v>0</v>
      </c>
    </row>
    <row r="606" spans="1:11" ht="19.5">
      <c r="A606" s="67">
        <f t="shared" si="100"/>
        <v>0</v>
      </c>
      <c r="B606" s="67">
        <f t="shared" si="101"/>
        <v>0</v>
      </c>
      <c r="C606" s="70" t="str">
        <f>IF(VLOOKUP(B606,'x Malzemeler ve Özellikleri'!$B$2:$M$136,12,0)="ALÜMİNYUM",'1PROJE'!$H$21,"")</f>
        <v/>
      </c>
      <c r="D606" s="67">
        <f t="shared" si="102"/>
        <v>0</v>
      </c>
      <c r="E606" s="69" t="e">
        <f>HLOOKUP(B606,xHesaplama!$AH$26:$FH$66,36,0)</f>
        <v>#N/A</v>
      </c>
      <c r="F606" s="76">
        <f t="shared" si="98"/>
        <v>0</v>
      </c>
      <c r="G606" s="70">
        <f t="shared" si="103"/>
        <v>0</v>
      </c>
      <c r="H606" s="69" t="str">
        <f t="shared" si="99"/>
        <v/>
      </c>
      <c r="I606" s="145">
        <v>0</v>
      </c>
      <c r="J606" s="619"/>
      <c r="K606" s="81">
        <f>IFERROR(VLOOKUP(B606,'x Malzemeler ve Özellikleri'!$O$1:$Q$181,3,0)*F606,0)</f>
        <v>0</v>
      </c>
    </row>
    <row r="607" spans="1:11" ht="19.5">
      <c r="A607" s="67">
        <f t="shared" si="100"/>
        <v>0</v>
      </c>
      <c r="B607" s="67">
        <f t="shared" si="101"/>
        <v>0</v>
      </c>
      <c r="C607" s="70" t="str">
        <f>IF(VLOOKUP(B607,'x Malzemeler ve Özellikleri'!$B$2:$M$136,12,0)="ALÜMİNYUM",'1PROJE'!$H$21,"")</f>
        <v/>
      </c>
      <c r="D607" s="67">
        <f t="shared" si="102"/>
        <v>0</v>
      </c>
      <c r="E607" s="69" t="e">
        <f>HLOOKUP(B607,xHesaplama!$AH$26:$FH$66,36,0)</f>
        <v>#N/A</v>
      </c>
      <c r="F607" s="76">
        <f t="shared" si="98"/>
        <v>0</v>
      </c>
      <c r="G607" s="70">
        <f t="shared" si="103"/>
        <v>0</v>
      </c>
      <c r="H607" s="69" t="str">
        <f t="shared" si="99"/>
        <v/>
      </c>
      <c r="I607" s="145">
        <v>0</v>
      </c>
      <c r="J607" s="619"/>
      <c r="K607" s="81">
        <f>IFERROR(VLOOKUP(B607,'x Malzemeler ve Özellikleri'!$O$1:$Q$181,3,0)*F607,0)</f>
        <v>0</v>
      </c>
    </row>
    <row r="608" spans="1:11" ht="19.5">
      <c r="A608" s="67">
        <f t="shared" si="100"/>
        <v>0</v>
      </c>
      <c r="B608" s="67">
        <f t="shared" si="101"/>
        <v>0</v>
      </c>
      <c r="C608" s="70" t="str">
        <f>IF(VLOOKUP(B608,'x Malzemeler ve Özellikleri'!$B$2:$M$136,12,0)="ALÜMİNYUM",'1PROJE'!$H$21,"")</f>
        <v/>
      </c>
      <c r="D608" s="67">
        <f t="shared" si="102"/>
        <v>0</v>
      </c>
      <c r="E608" s="69" t="e">
        <f>HLOOKUP(B608,xHesaplama!$AH$26:$FH$66,36,0)</f>
        <v>#N/A</v>
      </c>
      <c r="F608" s="76">
        <f t="shared" si="98"/>
        <v>0</v>
      </c>
      <c r="G608" s="70">
        <f t="shared" si="103"/>
        <v>0</v>
      </c>
      <c r="H608" s="69" t="str">
        <f t="shared" si="99"/>
        <v/>
      </c>
      <c r="I608" s="145">
        <v>0</v>
      </c>
      <c r="J608" s="619"/>
      <c r="K608" s="81">
        <f>IFERROR(VLOOKUP(B608,'x Malzemeler ve Özellikleri'!$O$1:$Q$181,3,0)*F608,0)</f>
        <v>0</v>
      </c>
    </row>
    <row r="609" spans="1:40" ht="19.5">
      <c r="A609" s="67">
        <f t="shared" si="100"/>
        <v>0</v>
      </c>
      <c r="B609" s="67">
        <f t="shared" si="101"/>
        <v>0</v>
      </c>
      <c r="C609" s="70" t="str">
        <f>IF(VLOOKUP(B609,'x Malzemeler ve Özellikleri'!$B$2:$M$136,12,0)="ALÜMİNYUM",'1PROJE'!$H$21,"")</f>
        <v/>
      </c>
      <c r="D609" s="67">
        <f t="shared" si="102"/>
        <v>0</v>
      </c>
      <c r="E609" s="69" t="e">
        <f>HLOOKUP(B609,xHesaplama!$AH$26:$FH$66,36,0)</f>
        <v>#N/A</v>
      </c>
      <c r="F609" s="76">
        <f t="shared" si="98"/>
        <v>0</v>
      </c>
      <c r="G609" s="70">
        <f t="shared" si="103"/>
        <v>0</v>
      </c>
      <c r="H609" s="69" t="str">
        <f t="shared" si="99"/>
        <v/>
      </c>
      <c r="I609" s="145">
        <v>0</v>
      </c>
      <c r="J609" s="619"/>
      <c r="K609" s="81">
        <f>IFERROR(VLOOKUP(B609,'x Malzemeler ve Özellikleri'!$O$1:$Q$181,3,0)*F609,0)</f>
        <v>0</v>
      </c>
    </row>
    <row r="610" spans="1:40" ht="19.5">
      <c r="A610" s="67">
        <f t="shared" si="100"/>
        <v>0</v>
      </c>
      <c r="B610" s="67">
        <f t="shared" si="101"/>
        <v>0</v>
      </c>
      <c r="C610" s="70" t="str">
        <f>IF(VLOOKUP(B610,'x Malzemeler ve Özellikleri'!$B$2:$M$136,12,0)="ALÜMİNYUM",'1PROJE'!$H$21,"")</f>
        <v/>
      </c>
      <c r="D610" s="67">
        <f t="shared" si="102"/>
        <v>0</v>
      </c>
      <c r="E610" s="69" t="e">
        <f>HLOOKUP(B610,xHesaplama!$AH$26:$FH$66,36,0)</f>
        <v>#N/A</v>
      </c>
      <c r="F610" s="76">
        <f t="shared" si="98"/>
        <v>0</v>
      </c>
      <c r="G610" s="70">
        <f t="shared" si="103"/>
        <v>0</v>
      </c>
      <c r="H610" s="69" t="str">
        <f t="shared" si="99"/>
        <v/>
      </c>
      <c r="I610" s="145">
        <v>0</v>
      </c>
      <c r="J610" s="619"/>
      <c r="K610" s="81">
        <f>IFERROR(VLOOKUP(B610,'x Malzemeler ve Özellikleri'!$O$1:$Q$181,3,0)*F610,0)</f>
        <v>0</v>
      </c>
    </row>
    <row r="611" spans="1:40" ht="19.5">
      <c r="A611" s="67">
        <f t="shared" si="100"/>
        <v>0</v>
      </c>
      <c r="B611" s="67">
        <f t="shared" si="101"/>
        <v>0</v>
      </c>
      <c r="C611" s="70" t="str">
        <f>IF(VLOOKUP(B611,'x Malzemeler ve Özellikleri'!$B$2:$M$136,12,0)="ALÜMİNYUM",'1PROJE'!$H$21,"")</f>
        <v/>
      </c>
      <c r="D611" s="67">
        <f t="shared" si="102"/>
        <v>0</v>
      </c>
      <c r="E611" s="69" t="e">
        <f>HLOOKUP(B611,xHesaplama!$AH$26:$FH$66,36,0)</f>
        <v>#N/A</v>
      </c>
      <c r="F611" s="76">
        <f t="shared" si="98"/>
        <v>0</v>
      </c>
      <c r="G611" s="70">
        <f t="shared" si="103"/>
        <v>0</v>
      </c>
      <c r="H611" s="69" t="str">
        <f t="shared" si="99"/>
        <v/>
      </c>
      <c r="I611" s="145">
        <v>0</v>
      </c>
      <c r="J611" s="619"/>
      <c r="K611" s="81">
        <f>IFERROR(VLOOKUP(B611,'x Malzemeler ve Özellikleri'!$O$1:$Q$181,3,0)*F611,0)</f>
        <v>0</v>
      </c>
    </row>
    <row r="612" spans="1:40" ht="19.5">
      <c r="A612" s="67">
        <f t="shared" si="100"/>
        <v>0</v>
      </c>
      <c r="B612" s="67">
        <f t="shared" si="101"/>
        <v>0</v>
      </c>
      <c r="C612" s="70" t="str">
        <f>IF(VLOOKUP(B612,'x Malzemeler ve Özellikleri'!$B$2:$M$136,12,0)="ALÜMİNYUM",'1PROJE'!$H$21,"")</f>
        <v/>
      </c>
      <c r="D612" s="67">
        <f t="shared" si="102"/>
        <v>0</v>
      </c>
      <c r="E612" s="69" t="e">
        <f>HLOOKUP(B612,xHesaplama!$AH$26:$FH$66,36,0)</f>
        <v>#N/A</v>
      </c>
      <c r="F612" s="76">
        <f t="shared" si="98"/>
        <v>0</v>
      </c>
      <c r="G612" s="70">
        <f t="shared" si="103"/>
        <v>0</v>
      </c>
      <c r="H612" s="69" t="str">
        <f t="shared" si="99"/>
        <v/>
      </c>
      <c r="I612" s="145">
        <v>0</v>
      </c>
      <c r="J612" s="619"/>
      <c r="K612" s="81">
        <f>IFERROR(VLOOKUP(B612,'x Malzemeler ve Özellikleri'!$O$1:$Q$181,3,0)*F612,0)</f>
        <v>0</v>
      </c>
    </row>
    <row r="613" spans="1:40" ht="19.5">
      <c r="A613" s="67">
        <f t="shared" si="100"/>
        <v>0</v>
      </c>
      <c r="B613" s="67">
        <f t="shared" si="101"/>
        <v>0</v>
      </c>
      <c r="C613" s="70" t="str">
        <f>IF(VLOOKUP(B613,'x Malzemeler ve Özellikleri'!$B$2:$M$136,12,0)="ALÜMİNYUM",'1PROJE'!$H$21,"")</f>
        <v/>
      </c>
      <c r="D613" s="67">
        <f t="shared" si="102"/>
        <v>0</v>
      </c>
      <c r="E613" s="69" t="e">
        <f>HLOOKUP(B613,xHesaplama!$AH$26:$FH$66,36,0)</f>
        <v>#N/A</v>
      </c>
      <c r="F613" s="76">
        <f t="shared" si="98"/>
        <v>0</v>
      </c>
      <c r="G613" s="70">
        <f t="shared" si="103"/>
        <v>0</v>
      </c>
      <c r="H613" s="69" t="str">
        <f t="shared" si="99"/>
        <v/>
      </c>
      <c r="I613" s="145">
        <v>0</v>
      </c>
      <c r="J613" s="619"/>
      <c r="K613" s="81">
        <f>IFERROR(VLOOKUP(B613,'x Malzemeler ve Özellikleri'!$O$1:$Q$181,3,0)*F613,0)</f>
        <v>0</v>
      </c>
    </row>
    <row r="614" spans="1:40" ht="19.5">
      <c r="A614" s="67">
        <f t="shared" si="100"/>
        <v>0</v>
      </c>
      <c r="B614" s="67">
        <f t="shared" si="101"/>
        <v>0</v>
      </c>
      <c r="C614" s="70" t="str">
        <f>IF(VLOOKUP(B614,'x Malzemeler ve Özellikleri'!$B$2:$M$136,12,0)="ALÜMİNYUM",'1PROJE'!$H$21,"")</f>
        <v/>
      </c>
      <c r="D614" s="67">
        <f t="shared" si="102"/>
        <v>0</v>
      </c>
      <c r="E614" s="69" t="e">
        <f>HLOOKUP(B614,xHesaplama!$AH$26:$FH$66,36,0)</f>
        <v>#N/A</v>
      </c>
      <c r="F614" s="76">
        <f t="shared" si="98"/>
        <v>0</v>
      </c>
      <c r="G614" s="70">
        <f t="shared" si="103"/>
        <v>0</v>
      </c>
      <c r="H614" s="69" t="str">
        <f t="shared" si="99"/>
        <v/>
      </c>
      <c r="I614" s="145">
        <v>0</v>
      </c>
      <c r="J614" s="619"/>
      <c r="K614" s="81">
        <f>IFERROR(VLOOKUP(B614,'x Malzemeler ve Özellikleri'!$O$1:$Q$181,3,0)*F614,0)</f>
        <v>0</v>
      </c>
    </row>
    <row r="615" spans="1:40" ht="20.25" thickBot="1">
      <c r="A615" s="67">
        <f t="shared" si="100"/>
        <v>0</v>
      </c>
      <c r="B615" s="67">
        <f t="shared" si="101"/>
        <v>0</v>
      </c>
      <c r="C615" s="70" t="str">
        <f>IF(VLOOKUP(B615,'x Malzemeler ve Özellikleri'!$B$2:$M$136,12,0)="ALÜMİNYUM",'1PROJE'!$H$21,"")</f>
        <v/>
      </c>
      <c r="D615" s="67">
        <f t="shared" si="102"/>
        <v>0</v>
      </c>
      <c r="E615" s="69" t="e">
        <f>HLOOKUP(B615,xHesaplama!$AH$26:$FH$66,36,0)</f>
        <v>#N/A</v>
      </c>
      <c r="F615" s="76">
        <f t="shared" si="98"/>
        <v>0</v>
      </c>
      <c r="G615" s="70">
        <f t="shared" si="103"/>
        <v>0</v>
      </c>
      <c r="H615" s="69" t="str">
        <f t="shared" si="99"/>
        <v/>
      </c>
      <c r="I615" s="145">
        <v>0</v>
      </c>
      <c r="J615" s="620"/>
      <c r="K615" s="81">
        <f>IFERROR(VLOOKUP(B615,'x Malzemeler ve Özellikleri'!$O$1:$Q$181,3,0)*F615,0)</f>
        <v>0</v>
      </c>
    </row>
    <row r="616" spans="1:40" ht="30" thickBot="1">
      <c r="A616" s="64" t="str">
        <f>"POZ"&amp;" "&amp;J617</f>
        <v>POZ 16</v>
      </c>
      <c r="C616" s="243">
        <f>xHesaplama!C42</f>
        <v>0</v>
      </c>
      <c r="D616" s="64" t="s">
        <v>357</v>
      </c>
      <c r="F616" s="74"/>
      <c r="G616" s="72" t="s">
        <v>786</v>
      </c>
      <c r="H616" s="65"/>
      <c r="I616" s="71">
        <f>SUM(H618:H656)</f>
        <v>0</v>
      </c>
      <c r="L616" t="str" cm="1">
        <f t="array" ref="L616:AJ616">_xlfn._xlws.FILTER(REÇETE!$D$11:$AB$142,REÇETE!$X$11:$X$142&lt;&gt;"","")</f>
        <v>EXCEL KODU</v>
      </c>
      <c r="M616" t="str">
        <v>PARÇA BİRİM</v>
      </c>
      <c r="N616" t="str">
        <v>PARÇA ADI</v>
      </c>
      <c r="O616" t="str">
        <v>MALZEME KODU</v>
      </c>
      <c r="P616" t="str">
        <v>BİRİM FİYAT</v>
      </c>
      <c r="Q616" t="str">
        <v>POZ 1</v>
      </c>
      <c r="R616" t="str">
        <v>POZ 2</v>
      </c>
      <c r="S616" t="str">
        <v>POZ 3</v>
      </c>
      <c r="T616" t="str">
        <v>POZ 4</v>
      </c>
      <c r="U616" t="str">
        <v>POZ 5</v>
      </c>
      <c r="V616" t="str">
        <v>POZ 6</v>
      </c>
      <c r="W616" t="str">
        <v>POZ 7</v>
      </c>
      <c r="X616" t="str">
        <v>POZ 8</v>
      </c>
      <c r="Y616" t="str">
        <v>POZ 9</v>
      </c>
      <c r="Z616" t="str">
        <v>POZ 10</v>
      </c>
      <c r="AA616" t="str">
        <v>POZ 11</v>
      </c>
      <c r="AB616" t="str">
        <v>POZ 12</v>
      </c>
      <c r="AC616" t="str">
        <v>POZ 13</v>
      </c>
      <c r="AD616" t="str">
        <v>POZ 14</v>
      </c>
      <c r="AE616" t="str">
        <v>POZ 15</v>
      </c>
      <c r="AF616" t="str">
        <v>POZ 16</v>
      </c>
      <c r="AG616" t="str">
        <v>POZ 17</v>
      </c>
      <c r="AH616" t="str">
        <v>POZ 18</v>
      </c>
      <c r="AI616" t="str">
        <v>POZ 19</v>
      </c>
      <c r="AJ616" t="str">
        <v>POZ 20</v>
      </c>
    </row>
    <row r="617" spans="1:40">
      <c r="A617" s="66" t="s">
        <v>782</v>
      </c>
      <c r="B617" s="66" t="s">
        <v>409</v>
      </c>
      <c r="C617" s="68"/>
      <c r="D617" s="66" t="s">
        <v>15</v>
      </c>
      <c r="E617" s="68" t="s">
        <v>808</v>
      </c>
      <c r="F617" s="75" t="s">
        <v>785</v>
      </c>
      <c r="G617" s="68" t="s">
        <v>650</v>
      </c>
      <c r="H617" s="68" t="s">
        <v>355</v>
      </c>
      <c r="J617" s="618">
        <v>16</v>
      </c>
      <c r="K617" s="221">
        <f>SUM(K618:K656)</f>
        <v>0</v>
      </c>
    </row>
    <row r="618" spans="1:40" ht="19.5">
      <c r="A618" s="67">
        <f>xHesaplama!H42</f>
        <v>0</v>
      </c>
      <c r="B618" s="67"/>
      <c r="C618" s="70">
        <f>xHesaplama!I42</f>
        <v>0</v>
      </c>
      <c r="D618" s="67">
        <f>xHesaplama!I42</f>
        <v>0</v>
      </c>
      <c r="E618" s="69" t="e">
        <f>xHesaplama!AC42</f>
        <v>#N/A</v>
      </c>
      <c r="F618" s="76">
        <f>xHesaplama!AD42*C616</f>
        <v>0</v>
      </c>
      <c r="G618" s="70" t="s">
        <v>817</v>
      </c>
      <c r="H618" s="69">
        <f t="shared" ref="H618:H619" si="104">IFERROR(E618*F618,0)</f>
        <v>0</v>
      </c>
      <c r="I618" s="145">
        <v>0</v>
      </c>
      <c r="J618" s="619"/>
      <c r="K618" s="81">
        <f>IFERROR(VLOOKUP(A618,'x Malzemeler ve Özellikleri'!$N$1:$Q$181,4,0)*F618,0)</f>
        <v>0</v>
      </c>
      <c r="AN618" s="84" cm="1">
        <f t="array" ref="AN618">_xlfn._xlws.FILTER(A618:I656,I618:I656,0)</f>
        <v>0</v>
      </c>
    </row>
    <row r="619" spans="1:40" ht="19.5">
      <c r="A619" s="67" t="s">
        <v>105</v>
      </c>
      <c r="B619" s="67"/>
      <c r="C619" s="70"/>
      <c r="D619" s="67">
        <f>xHesaplama!J42</f>
        <v>0</v>
      </c>
      <c r="E619" s="69" t="e">
        <f>xHesaplama!AB42</f>
        <v>#N/A</v>
      </c>
      <c r="F619" s="76">
        <f>C616</f>
        <v>0</v>
      </c>
      <c r="G619" s="70" t="s">
        <v>357</v>
      </c>
      <c r="H619" s="69">
        <f t="shared" si="104"/>
        <v>0</v>
      </c>
      <c r="I619" s="145">
        <v>0</v>
      </c>
      <c r="J619" s="619"/>
      <c r="K619" s="81">
        <f>IFERROR(VLOOKUP(D619,'x Malzemeler ve Özellikleri'!$N$1:$Q$181,4,0)*F619,0)</f>
        <v>0</v>
      </c>
    </row>
    <row r="620" spans="1:40" ht="19.5">
      <c r="A620" s="67">
        <f>N617</f>
        <v>0</v>
      </c>
      <c r="B620" s="67">
        <f>L617</f>
        <v>0</v>
      </c>
      <c r="C620" s="70" t="str">
        <f>IF(VLOOKUP(B620,'x Malzemeler ve Özellikleri'!$B$2:$M$136,12,0)="ALÜMİNYUM",'1PROJE'!$H$22,"")</f>
        <v/>
      </c>
      <c r="D620" s="67">
        <f>O617</f>
        <v>0</v>
      </c>
      <c r="E620" s="69" t="e">
        <f>HLOOKUP(B620,xHesaplama!$AH$26:$FH$66,37,0)</f>
        <v>#N/A</v>
      </c>
      <c r="F620" s="76">
        <f t="shared" ref="F620:F656" si="105">AF617*$C$616</f>
        <v>0</v>
      </c>
      <c r="G620" s="70">
        <f>M617</f>
        <v>0</v>
      </c>
      <c r="H620" s="69" t="str">
        <f t="shared" ref="H620:H656" si="106">IFERROR(E620*$C$616,"")</f>
        <v/>
      </c>
      <c r="I620" s="145">
        <v>0</v>
      </c>
      <c r="J620" s="619"/>
      <c r="K620" s="81">
        <f>IFERROR(VLOOKUP(B620,'x Malzemeler ve Özellikleri'!$O$1:$Q$181,3,0)*F620,0)</f>
        <v>0</v>
      </c>
    </row>
    <row r="621" spans="1:40" ht="19.5">
      <c r="A621" s="67">
        <f t="shared" ref="A621:A656" si="107">N618</f>
        <v>0</v>
      </c>
      <c r="B621" s="67">
        <f t="shared" ref="B621:B656" si="108">L618</f>
        <v>0</v>
      </c>
      <c r="C621" s="70" t="str">
        <f>IF(VLOOKUP(B621,'x Malzemeler ve Özellikleri'!$B$2:$M$136,12,0)="ALÜMİNYUM",'1PROJE'!$H$22,"")</f>
        <v/>
      </c>
      <c r="D621" s="67">
        <f t="shared" ref="D621:D656" si="109">O618</f>
        <v>0</v>
      </c>
      <c r="E621" s="69" t="e">
        <f>HLOOKUP(B621,xHesaplama!$AH$26:$FH$66,37,0)</f>
        <v>#N/A</v>
      </c>
      <c r="F621" s="76">
        <f t="shared" si="105"/>
        <v>0</v>
      </c>
      <c r="G621" s="70">
        <f t="shared" ref="G621:G656" si="110">M618</f>
        <v>0</v>
      </c>
      <c r="H621" s="69" t="str">
        <f t="shared" si="106"/>
        <v/>
      </c>
      <c r="I621" s="145">
        <v>0</v>
      </c>
      <c r="J621" s="619"/>
      <c r="K621" s="81">
        <f>IFERROR(VLOOKUP(B621,'x Malzemeler ve Özellikleri'!$O$1:$Q$181,3,0)*F621,0)</f>
        <v>0</v>
      </c>
    </row>
    <row r="622" spans="1:40" ht="19.5">
      <c r="A622" s="67">
        <f t="shared" si="107"/>
        <v>0</v>
      </c>
      <c r="B622" s="67">
        <f t="shared" si="108"/>
        <v>0</v>
      </c>
      <c r="C622" s="70" t="str">
        <f>IF(VLOOKUP(B622,'x Malzemeler ve Özellikleri'!$B$2:$M$136,12,0)="ALÜMİNYUM",'1PROJE'!$H$22,"")</f>
        <v/>
      </c>
      <c r="D622" s="67">
        <f t="shared" si="109"/>
        <v>0</v>
      </c>
      <c r="E622" s="69" t="e">
        <f>HLOOKUP(B622,xHesaplama!$AH$26:$FH$66,37,0)</f>
        <v>#N/A</v>
      </c>
      <c r="F622" s="76">
        <f t="shared" si="105"/>
        <v>0</v>
      </c>
      <c r="G622" s="70">
        <f t="shared" si="110"/>
        <v>0</v>
      </c>
      <c r="H622" s="69" t="str">
        <f t="shared" si="106"/>
        <v/>
      </c>
      <c r="I622" s="145">
        <v>0</v>
      </c>
      <c r="J622" s="619"/>
      <c r="K622" s="81">
        <f>IFERROR(VLOOKUP(B622,'x Malzemeler ve Özellikleri'!$O$1:$Q$181,3,0)*F622,0)</f>
        <v>0</v>
      </c>
    </row>
    <row r="623" spans="1:40" ht="19.5">
      <c r="A623" s="67">
        <f t="shared" si="107"/>
        <v>0</v>
      </c>
      <c r="B623" s="67">
        <f t="shared" si="108"/>
        <v>0</v>
      </c>
      <c r="C623" s="70" t="str">
        <f>IF(VLOOKUP(B623,'x Malzemeler ve Özellikleri'!$B$2:$M$136,12,0)="ALÜMİNYUM",'1PROJE'!$H$22,"")</f>
        <v/>
      </c>
      <c r="D623" s="67">
        <f t="shared" si="109"/>
        <v>0</v>
      </c>
      <c r="E623" s="69" t="e">
        <f>HLOOKUP(B623,xHesaplama!$AH$26:$FH$66,37,0)</f>
        <v>#N/A</v>
      </c>
      <c r="F623" s="76">
        <f t="shared" si="105"/>
        <v>0</v>
      </c>
      <c r="G623" s="70">
        <f t="shared" si="110"/>
        <v>0</v>
      </c>
      <c r="H623" s="69" t="str">
        <f t="shared" si="106"/>
        <v/>
      </c>
      <c r="I623" s="145">
        <v>0</v>
      </c>
      <c r="J623" s="619"/>
      <c r="K623" s="81">
        <f>IFERROR(VLOOKUP(B623,'x Malzemeler ve Özellikleri'!$O$1:$Q$181,3,0)*F623,0)</f>
        <v>0</v>
      </c>
    </row>
    <row r="624" spans="1:40" ht="19.5">
      <c r="A624" s="67">
        <f t="shared" si="107"/>
        <v>0</v>
      </c>
      <c r="B624" s="67">
        <f t="shared" si="108"/>
        <v>0</v>
      </c>
      <c r="C624" s="70" t="str">
        <f>IF(VLOOKUP(B624,'x Malzemeler ve Özellikleri'!$B$2:$M$136,12,0)="ALÜMİNYUM",'1PROJE'!$H$22,"")</f>
        <v/>
      </c>
      <c r="D624" s="67">
        <f t="shared" si="109"/>
        <v>0</v>
      </c>
      <c r="E624" s="69" t="e">
        <f>HLOOKUP(B624,xHesaplama!$AH$26:$FH$66,37,0)</f>
        <v>#N/A</v>
      </c>
      <c r="F624" s="76">
        <f t="shared" si="105"/>
        <v>0</v>
      </c>
      <c r="G624" s="70">
        <f t="shared" si="110"/>
        <v>0</v>
      </c>
      <c r="H624" s="69" t="str">
        <f t="shared" si="106"/>
        <v/>
      </c>
      <c r="I624" s="145">
        <v>0</v>
      </c>
      <c r="J624" s="619"/>
      <c r="K624" s="81">
        <f>IFERROR(VLOOKUP(B624,'x Malzemeler ve Özellikleri'!$O$1:$Q$181,3,0)*F624,0)</f>
        <v>0</v>
      </c>
    </row>
    <row r="625" spans="1:11" ht="19.5">
      <c r="A625" s="67">
        <f t="shared" si="107"/>
        <v>0</v>
      </c>
      <c r="B625" s="67">
        <f t="shared" si="108"/>
        <v>0</v>
      </c>
      <c r="C625" s="70" t="str">
        <f>IF(VLOOKUP(B625,'x Malzemeler ve Özellikleri'!$B$2:$M$136,12,0)="ALÜMİNYUM",'1PROJE'!$H$22,"")</f>
        <v/>
      </c>
      <c r="D625" s="67">
        <f t="shared" si="109"/>
        <v>0</v>
      </c>
      <c r="E625" s="69" t="e">
        <f>HLOOKUP(B625,xHesaplama!$AH$26:$FH$66,37,0)</f>
        <v>#N/A</v>
      </c>
      <c r="F625" s="76">
        <f t="shared" si="105"/>
        <v>0</v>
      </c>
      <c r="G625" s="70">
        <f t="shared" si="110"/>
        <v>0</v>
      </c>
      <c r="H625" s="69" t="str">
        <f t="shared" si="106"/>
        <v/>
      </c>
      <c r="I625" s="145">
        <v>0</v>
      </c>
      <c r="J625" s="619"/>
      <c r="K625" s="81">
        <f>IFERROR(VLOOKUP(B625,'x Malzemeler ve Özellikleri'!$O$1:$Q$181,3,0)*F625,0)</f>
        <v>0</v>
      </c>
    </row>
    <row r="626" spans="1:11" ht="19.5">
      <c r="A626" s="67">
        <f t="shared" si="107"/>
        <v>0</v>
      </c>
      <c r="B626" s="67">
        <f t="shared" si="108"/>
        <v>0</v>
      </c>
      <c r="C626" s="70" t="str">
        <f>IF(VLOOKUP(B626,'x Malzemeler ve Özellikleri'!$B$2:$M$136,12,0)="ALÜMİNYUM",'1PROJE'!$H$22,"")</f>
        <v/>
      </c>
      <c r="D626" s="67">
        <f t="shared" si="109"/>
        <v>0</v>
      </c>
      <c r="E626" s="69" t="e">
        <f>HLOOKUP(B626,xHesaplama!$AH$26:$FH$66,37,0)</f>
        <v>#N/A</v>
      </c>
      <c r="F626" s="76">
        <f t="shared" si="105"/>
        <v>0</v>
      </c>
      <c r="G626" s="70">
        <f t="shared" si="110"/>
        <v>0</v>
      </c>
      <c r="H626" s="69" t="str">
        <f t="shared" si="106"/>
        <v/>
      </c>
      <c r="I626" s="145">
        <v>0</v>
      </c>
      <c r="J626" s="619"/>
      <c r="K626" s="81">
        <f>IFERROR(VLOOKUP(B626,'x Malzemeler ve Özellikleri'!$O$1:$Q$181,3,0)*F626,0)</f>
        <v>0</v>
      </c>
    </row>
    <row r="627" spans="1:11" ht="19.5">
      <c r="A627" s="67">
        <f t="shared" si="107"/>
        <v>0</v>
      </c>
      <c r="B627" s="67">
        <f t="shared" si="108"/>
        <v>0</v>
      </c>
      <c r="C627" s="70" t="str">
        <f>IF(VLOOKUP(B627,'x Malzemeler ve Özellikleri'!$B$2:$M$136,12,0)="ALÜMİNYUM",'1PROJE'!$H$22,"")</f>
        <v/>
      </c>
      <c r="D627" s="67">
        <f t="shared" si="109"/>
        <v>0</v>
      </c>
      <c r="E627" s="69" t="e">
        <f>HLOOKUP(B627,xHesaplama!$AH$26:$FH$66,37,0)</f>
        <v>#N/A</v>
      </c>
      <c r="F627" s="76">
        <f t="shared" si="105"/>
        <v>0</v>
      </c>
      <c r="G627" s="70">
        <f t="shared" si="110"/>
        <v>0</v>
      </c>
      <c r="H627" s="69" t="str">
        <f t="shared" si="106"/>
        <v/>
      </c>
      <c r="I627" s="145">
        <v>0</v>
      </c>
      <c r="J627" s="619"/>
      <c r="K627" s="81">
        <f>IFERROR(VLOOKUP(B627,'x Malzemeler ve Özellikleri'!$O$1:$Q$181,3,0)*F627,0)</f>
        <v>0</v>
      </c>
    </row>
    <row r="628" spans="1:11" ht="19.5">
      <c r="A628" s="67">
        <f t="shared" si="107"/>
        <v>0</v>
      </c>
      <c r="B628" s="67">
        <f t="shared" si="108"/>
        <v>0</v>
      </c>
      <c r="C628" s="70" t="str">
        <f>IF(VLOOKUP(B628,'x Malzemeler ve Özellikleri'!$B$2:$M$136,12,0)="ALÜMİNYUM",'1PROJE'!$H$22,"")</f>
        <v/>
      </c>
      <c r="D628" s="67">
        <f t="shared" si="109"/>
        <v>0</v>
      </c>
      <c r="E628" s="69" t="e">
        <f>HLOOKUP(B628,xHesaplama!$AH$26:$FH$66,37,0)</f>
        <v>#N/A</v>
      </c>
      <c r="F628" s="76">
        <f t="shared" si="105"/>
        <v>0</v>
      </c>
      <c r="G628" s="70">
        <f t="shared" si="110"/>
        <v>0</v>
      </c>
      <c r="H628" s="69" t="str">
        <f t="shared" si="106"/>
        <v/>
      </c>
      <c r="I628" s="145">
        <v>0</v>
      </c>
      <c r="J628" s="619"/>
      <c r="K628" s="81">
        <f>IFERROR(VLOOKUP(B628,'x Malzemeler ve Özellikleri'!$O$1:$Q$181,3,0)*F628,0)</f>
        <v>0</v>
      </c>
    </row>
    <row r="629" spans="1:11" ht="19.5">
      <c r="A629" s="67">
        <f t="shared" si="107"/>
        <v>0</v>
      </c>
      <c r="B629" s="67">
        <f t="shared" si="108"/>
        <v>0</v>
      </c>
      <c r="C629" s="70" t="str">
        <f>IF(VLOOKUP(B629,'x Malzemeler ve Özellikleri'!$B$2:$M$136,12,0)="ALÜMİNYUM",'1PROJE'!$H$22,"")</f>
        <v/>
      </c>
      <c r="D629" s="67">
        <f t="shared" si="109"/>
        <v>0</v>
      </c>
      <c r="E629" s="69" t="e">
        <f>HLOOKUP(B629,xHesaplama!$AH$26:$FH$66,37,0)</f>
        <v>#N/A</v>
      </c>
      <c r="F629" s="76">
        <f t="shared" si="105"/>
        <v>0</v>
      </c>
      <c r="G629" s="70">
        <f t="shared" si="110"/>
        <v>0</v>
      </c>
      <c r="H629" s="69" t="str">
        <f t="shared" si="106"/>
        <v/>
      </c>
      <c r="I629" s="145">
        <v>0</v>
      </c>
      <c r="J629" s="619"/>
      <c r="K629" s="81">
        <f>IFERROR(VLOOKUP(B629,'x Malzemeler ve Özellikleri'!$O$1:$Q$181,3,0)*F629,0)</f>
        <v>0</v>
      </c>
    </row>
    <row r="630" spans="1:11" ht="19.5">
      <c r="A630" s="67">
        <f t="shared" si="107"/>
        <v>0</v>
      </c>
      <c r="B630" s="67">
        <f t="shared" si="108"/>
        <v>0</v>
      </c>
      <c r="C630" s="70" t="str">
        <f>IF(VLOOKUP(B630,'x Malzemeler ve Özellikleri'!$B$2:$M$136,12,0)="ALÜMİNYUM",'1PROJE'!$H$22,"")</f>
        <v/>
      </c>
      <c r="D630" s="67">
        <f t="shared" si="109"/>
        <v>0</v>
      </c>
      <c r="E630" s="69" t="e">
        <f>HLOOKUP(B630,xHesaplama!$AH$26:$FH$66,37,0)</f>
        <v>#N/A</v>
      </c>
      <c r="F630" s="76">
        <f t="shared" si="105"/>
        <v>0</v>
      </c>
      <c r="G630" s="70">
        <f t="shared" si="110"/>
        <v>0</v>
      </c>
      <c r="H630" s="69" t="str">
        <f t="shared" si="106"/>
        <v/>
      </c>
      <c r="I630" s="145">
        <v>0</v>
      </c>
      <c r="J630" s="619"/>
      <c r="K630" s="81">
        <f>IFERROR(VLOOKUP(B630,'x Malzemeler ve Özellikleri'!$O$1:$Q$181,3,0)*F630,0)</f>
        <v>0</v>
      </c>
    </row>
    <row r="631" spans="1:11" ht="19.5">
      <c r="A631" s="67">
        <f t="shared" si="107"/>
        <v>0</v>
      </c>
      <c r="B631" s="67">
        <f t="shared" si="108"/>
        <v>0</v>
      </c>
      <c r="C631" s="70" t="str">
        <f>IF(VLOOKUP(B631,'x Malzemeler ve Özellikleri'!$B$2:$M$136,12,0)="ALÜMİNYUM",'1PROJE'!$H$22,"")</f>
        <v/>
      </c>
      <c r="D631" s="67">
        <f t="shared" si="109"/>
        <v>0</v>
      </c>
      <c r="E631" s="69" t="e">
        <f>HLOOKUP(B631,xHesaplama!$AH$26:$FH$66,37,0)</f>
        <v>#N/A</v>
      </c>
      <c r="F631" s="76">
        <f t="shared" si="105"/>
        <v>0</v>
      </c>
      <c r="G631" s="70">
        <f t="shared" si="110"/>
        <v>0</v>
      </c>
      <c r="H631" s="69" t="str">
        <f t="shared" si="106"/>
        <v/>
      </c>
      <c r="I631" s="145">
        <v>0</v>
      </c>
      <c r="J631" s="619"/>
      <c r="K631" s="81">
        <f>IFERROR(VLOOKUP(B631,'x Malzemeler ve Özellikleri'!$O$1:$Q$181,3,0)*F631,0)</f>
        <v>0</v>
      </c>
    </row>
    <row r="632" spans="1:11" ht="19.5">
      <c r="A632" s="67">
        <f t="shared" si="107"/>
        <v>0</v>
      </c>
      <c r="B632" s="67">
        <f t="shared" si="108"/>
        <v>0</v>
      </c>
      <c r="C632" s="70" t="str">
        <f>IF(VLOOKUP(B632,'x Malzemeler ve Özellikleri'!$B$2:$M$136,12,0)="ALÜMİNYUM",'1PROJE'!$H$22,"")</f>
        <v/>
      </c>
      <c r="D632" s="67">
        <f t="shared" si="109"/>
        <v>0</v>
      </c>
      <c r="E632" s="69" t="e">
        <f>HLOOKUP(B632,xHesaplama!$AH$26:$FH$66,37,0)</f>
        <v>#N/A</v>
      </c>
      <c r="F632" s="76">
        <f t="shared" si="105"/>
        <v>0</v>
      </c>
      <c r="G632" s="70">
        <f t="shared" si="110"/>
        <v>0</v>
      </c>
      <c r="H632" s="69" t="str">
        <f t="shared" si="106"/>
        <v/>
      </c>
      <c r="I632" s="145">
        <v>0</v>
      </c>
      <c r="J632" s="619"/>
      <c r="K632" s="81">
        <f>IFERROR(VLOOKUP(B632,'x Malzemeler ve Özellikleri'!$O$1:$Q$181,3,0)*F632,0)</f>
        <v>0</v>
      </c>
    </row>
    <row r="633" spans="1:11" ht="19.5">
      <c r="A633" s="67">
        <f t="shared" si="107"/>
        <v>0</v>
      </c>
      <c r="B633" s="67">
        <f t="shared" si="108"/>
        <v>0</v>
      </c>
      <c r="C633" s="70" t="str">
        <f>IF(VLOOKUP(B633,'x Malzemeler ve Özellikleri'!$B$2:$M$136,12,0)="ALÜMİNYUM",'1PROJE'!$H$22,"")</f>
        <v/>
      </c>
      <c r="D633" s="67">
        <f t="shared" si="109"/>
        <v>0</v>
      </c>
      <c r="E633" s="69" t="e">
        <f>HLOOKUP(B633,xHesaplama!$AH$26:$FH$66,37,0)</f>
        <v>#N/A</v>
      </c>
      <c r="F633" s="76">
        <f t="shared" si="105"/>
        <v>0</v>
      </c>
      <c r="G633" s="70">
        <f t="shared" si="110"/>
        <v>0</v>
      </c>
      <c r="H633" s="69" t="str">
        <f t="shared" si="106"/>
        <v/>
      </c>
      <c r="I633" s="145">
        <v>0</v>
      </c>
      <c r="J633" s="619"/>
      <c r="K633" s="81">
        <f>IFERROR(VLOOKUP(B633,'x Malzemeler ve Özellikleri'!$O$1:$Q$181,3,0)*F633,0)</f>
        <v>0</v>
      </c>
    </row>
    <row r="634" spans="1:11" ht="19.5">
      <c r="A634" s="67">
        <f t="shared" si="107"/>
        <v>0</v>
      </c>
      <c r="B634" s="67">
        <f t="shared" si="108"/>
        <v>0</v>
      </c>
      <c r="C634" s="70" t="str">
        <f>IF(VLOOKUP(B634,'x Malzemeler ve Özellikleri'!$B$2:$M$136,12,0)="ALÜMİNYUM",'1PROJE'!$H$22,"")</f>
        <v/>
      </c>
      <c r="D634" s="67">
        <f t="shared" si="109"/>
        <v>0</v>
      </c>
      <c r="E634" s="69" t="e">
        <f>HLOOKUP(B634,xHesaplama!$AH$26:$FH$66,37,0)</f>
        <v>#N/A</v>
      </c>
      <c r="F634" s="76">
        <f t="shared" si="105"/>
        <v>0</v>
      </c>
      <c r="G634" s="70">
        <f t="shared" si="110"/>
        <v>0</v>
      </c>
      <c r="H634" s="69" t="str">
        <f t="shared" si="106"/>
        <v/>
      </c>
      <c r="I634" s="145">
        <v>0</v>
      </c>
      <c r="J634" s="619"/>
      <c r="K634" s="81">
        <f>IFERROR(VLOOKUP(B634,'x Malzemeler ve Özellikleri'!$O$1:$Q$181,3,0)*F634,0)</f>
        <v>0</v>
      </c>
    </row>
    <row r="635" spans="1:11" ht="19.5">
      <c r="A635" s="67">
        <f t="shared" si="107"/>
        <v>0</v>
      </c>
      <c r="B635" s="67">
        <f t="shared" si="108"/>
        <v>0</v>
      </c>
      <c r="C635" s="70" t="str">
        <f>IF(VLOOKUP(B635,'x Malzemeler ve Özellikleri'!$B$2:$M$136,12,0)="ALÜMİNYUM",'1PROJE'!$H$22,"")</f>
        <v/>
      </c>
      <c r="D635" s="67">
        <f t="shared" si="109"/>
        <v>0</v>
      </c>
      <c r="E635" s="69" t="e">
        <f>HLOOKUP(B635,xHesaplama!$AH$26:$FH$66,37,0)</f>
        <v>#N/A</v>
      </c>
      <c r="F635" s="76">
        <f t="shared" si="105"/>
        <v>0</v>
      </c>
      <c r="G635" s="70">
        <f t="shared" si="110"/>
        <v>0</v>
      </c>
      <c r="H635" s="69" t="str">
        <f t="shared" si="106"/>
        <v/>
      </c>
      <c r="I635" s="145">
        <v>0</v>
      </c>
      <c r="J635" s="619"/>
      <c r="K635" s="81">
        <f>IFERROR(VLOOKUP(B635,'x Malzemeler ve Özellikleri'!$O$1:$Q$181,3,0)*F635,0)</f>
        <v>0</v>
      </c>
    </row>
    <row r="636" spans="1:11" ht="19.5">
      <c r="A636" s="67">
        <f t="shared" si="107"/>
        <v>0</v>
      </c>
      <c r="B636" s="67">
        <f t="shared" si="108"/>
        <v>0</v>
      </c>
      <c r="C636" s="70" t="str">
        <f>IF(VLOOKUP(B636,'x Malzemeler ve Özellikleri'!$B$2:$M$136,12,0)="ALÜMİNYUM",'1PROJE'!$H$22,"")</f>
        <v/>
      </c>
      <c r="D636" s="67">
        <f t="shared" si="109"/>
        <v>0</v>
      </c>
      <c r="E636" s="69" t="e">
        <f>HLOOKUP(B636,xHesaplama!$AH$26:$FH$66,37,0)</f>
        <v>#N/A</v>
      </c>
      <c r="F636" s="76">
        <f t="shared" si="105"/>
        <v>0</v>
      </c>
      <c r="G636" s="70">
        <f t="shared" si="110"/>
        <v>0</v>
      </c>
      <c r="H636" s="69" t="str">
        <f t="shared" si="106"/>
        <v/>
      </c>
      <c r="I636" s="145">
        <v>0</v>
      </c>
      <c r="J636" s="619"/>
      <c r="K636" s="81">
        <f>IFERROR(VLOOKUP(B636,'x Malzemeler ve Özellikleri'!$O$1:$Q$181,3,0)*F636,0)</f>
        <v>0</v>
      </c>
    </row>
    <row r="637" spans="1:11" ht="19.5">
      <c r="A637" s="67">
        <f t="shared" si="107"/>
        <v>0</v>
      </c>
      <c r="B637" s="67">
        <f t="shared" si="108"/>
        <v>0</v>
      </c>
      <c r="C637" s="70" t="str">
        <f>IF(VLOOKUP(B637,'x Malzemeler ve Özellikleri'!$B$2:$M$136,12,0)="ALÜMİNYUM",'1PROJE'!$H$22,"")</f>
        <v/>
      </c>
      <c r="D637" s="67">
        <f t="shared" si="109"/>
        <v>0</v>
      </c>
      <c r="E637" s="69" t="e">
        <f>HLOOKUP(B637,xHesaplama!$AH$26:$FH$66,37,0)</f>
        <v>#N/A</v>
      </c>
      <c r="F637" s="76">
        <f t="shared" si="105"/>
        <v>0</v>
      </c>
      <c r="G637" s="70">
        <f t="shared" si="110"/>
        <v>0</v>
      </c>
      <c r="H637" s="69" t="str">
        <f t="shared" si="106"/>
        <v/>
      </c>
      <c r="I637" s="145">
        <v>0</v>
      </c>
      <c r="J637" s="619"/>
      <c r="K637" s="81">
        <f>IFERROR(VLOOKUP(B637,'x Malzemeler ve Özellikleri'!$O$1:$Q$181,3,0)*F637,0)</f>
        <v>0</v>
      </c>
    </row>
    <row r="638" spans="1:11" ht="19.5">
      <c r="A638" s="67">
        <f t="shared" si="107"/>
        <v>0</v>
      </c>
      <c r="B638" s="67">
        <f t="shared" si="108"/>
        <v>0</v>
      </c>
      <c r="C638" s="70" t="str">
        <f>IF(VLOOKUP(B638,'x Malzemeler ve Özellikleri'!$B$2:$M$136,12,0)="ALÜMİNYUM",'1PROJE'!$H$22,"")</f>
        <v/>
      </c>
      <c r="D638" s="67">
        <f t="shared" si="109"/>
        <v>0</v>
      </c>
      <c r="E638" s="69" t="e">
        <f>HLOOKUP(B638,xHesaplama!$AH$26:$FH$66,37,0)</f>
        <v>#N/A</v>
      </c>
      <c r="F638" s="76">
        <f t="shared" si="105"/>
        <v>0</v>
      </c>
      <c r="G638" s="70">
        <f t="shared" si="110"/>
        <v>0</v>
      </c>
      <c r="H638" s="69" t="str">
        <f t="shared" si="106"/>
        <v/>
      </c>
      <c r="I638" s="145">
        <v>0</v>
      </c>
      <c r="J638" s="619"/>
      <c r="K638" s="81">
        <f>IFERROR(VLOOKUP(B638,'x Malzemeler ve Özellikleri'!$O$1:$Q$181,3,0)*F638,0)</f>
        <v>0</v>
      </c>
    </row>
    <row r="639" spans="1:11" ht="19.5">
      <c r="A639" s="67">
        <f t="shared" si="107"/>
        <v>0</v>
      </c>
      <c r="B639" s="67">
        <f t="shared" si="108"/>
        <v>0</v>
      </c>
      <c r="C639" s="70" t="str">
        <f>IF(VLOOKUP(B639,'x Malzemeler ve Özellikleri'!$B$2:$M$136,12,0)="ALÜMİNYUM",'1PROJE'!$H$22,"")</f>
        <v/>
      </c>
      <c r="D639" s="67">
        <f t="shared" si="109"/>
        <v>0</v>
      </c>
      <c r="E639" s="69" t="e">
        <f>HLOOKUP(B639,xHesaplama!$AH$26:$FH$66,37,0)</f>
        <v>#N/A</v>
      </c>
      <c r="F639" s="76">
        <f t="shared" si="105"/>
        <v>0</v>
      </c>
      <c r="G639" s="70">
        <f t="shared" si="110"/>
        <v>0</v>
      </c>
      <c r="H639" s="69" t="str">
        <f t="shared" si="106"/>
        <v/>
      </c>
      <c r="I639" s="145">
        <v>0</v>
      </c>
      <c r="J639" s="619"/>
      <c r="K639" s="81">
        <f>IFERROR(VLOOKUP(B639,'x Malzemeler ve Özellikleri'!$O$1:$Q$181,3,0)*F639,0)</f>
        <v>0</v>
      </c>
    </row>
    <row r="640" spans="1:11" ht="19.5">
      <c r="A640" s="67">
        <f t="shared" si="107"/>
        <v>0</v>
      </c>
      <c r="B640" s="67">
        <f t="shared" si="108"/>
        <v>0</v>
      </c>
      <c r="C640" s="70" t="str">
        <f>IF(VLOOKUP(B640,'x Malzemeler ve Özellikleri'!$B$2:$M$136,12,0)="ALÜMİNYUM",'1PROJE'!$H$22,"")</f>
        <v/>
      </c>
      <c r="D640" s="67">
        <f t="shared" si="109"/>
        <v>0</v>
      </c>
      <c r="E640" s="69" t="e">
        <f>HLOOKUP(B640,xHesaplama!$AH$26:$FH$66,37,0)</f>
        <v>#N/A</v>
      </c>
      <c r="F640" s="76">
        <f t="shared" si="105"/>
        <v>0</v>
      </c>
      <c r="G640" s="70">
        <f t="shared" si="110"/>
        <v>0</v>
      </c>
      <c r="H640" s="69" t="str">
        <f t="shared" si="106"/>
        <v/>
      </c>
      <c r="I640" s="145">
        <v>0</v>
      </c>
      <c r="J640" s="619"/>
      <c r="K640" s="81">
        <f>IFERROR(VLOOKUP(B640,'x Malzemeler ve Özellikleri'!$O$1:$Q$181,3,0)*F640,0)</f>
        <v>0</v>
      </c>
    </row>
    <row r="641" spans="1:11" ht="19.5">
      <c r="A641" s="67">
        <f t="shared" si="107"/>
        <v>0</v>
      </c>
      <c r="B641" s="67">
        <f t="shared" si="108"/>
        <v>0</v>
      </c>
      <c r="C641" s="70" t="str">
        <f>IF(VLOOKUP(B641,'x Malzemeler ve Özellikleri'!$B$2:$M$136,12,0)="ALÜMİNYUM",'1PROJE'!$H$22,"")</f>
        <v/>
      </c>
      <c r="D641" s="67">
        <f t="shared" si="109"/>
        <v>0</v>
      </c>
      <c r="E641" s="69" t="e">
        <f>HLOOKUP(B641,xHesaplama!$AH$26:$FH$66,37,0)</f>
        <v>#N/A</v>
      </c>
      <c r="F641" s="76">
        <f t="shared" si="105"/>
        <v>0</v>
      </c>
      <c r="G641" s="70">
        <f t="shared" si="110"/>
        <v>0</v>
      </c>
      <c r="H641" s="69" t="str">
        <f t="shared" si="106"/>
        <v/>
      </c>
      <c r="I641" s="145">
        <v>0</v>
      </c>
      <c r="J641" s="619"/>
      <c r="K641" s="81">
        <f>IFERROR(VLOOKUP(B641,'x Malzemeler ve Özellikleri'!$O$1:$Q$181,3,0)*F641,0)</f>
        <v>0</v>
      </c>
    </row>
    <row r="642" spans="1:11" ht="19.5">
      <c r="A642" s="67">
        <f t="shared" si="107"/>
        <v>0</v>
      </c>
      <c r="B642" s="67">
        <f t="shared" si="108"/>
        <v>0</v>
      </c>
      <c r="C642" s="70" t="str">
        <f>IF(VLOOKUP(B642,'x Malzemeler ve Özellikleri'!$B$2:$M$136,12,0)="ALÜMİNYUM",'1PROJE'!$H$22,"")</f>
        <v/>
      </c>
      <c r="D642" s="67">
        <f t="shared" si="109"/>
        <v>0</v>
      </c>
      <c r="E642" s="69" t="e">
        <f>HLOOKUP(B642,xHesaplama!$AH$26:$FH$66,37,0)</f>
        <v>#N/A</v>
      </c>
      <c r="F642" s="76">
        <f t="shared" si="105"/>
        <v>0</v>
      </c>
      <c r="G642" s="70">
        <f t="shared" si="110"/>
        <v>0</v>
      </c>
      <c r="H642" s="69" t="str">
        <f t="shared" si="106"/>
        <v/>
      </c>
      <c r="I642" s="145">
        <v>0</v>
      </c>
      <c r="J642" s="619"/>
      <c r="K642" s="81">
        <f>IFERROR(VLOOKUP(B642,'x Malzemeler ve Özellikleri'!$O$1:$Q$181,3,0)*F642,0)</f>
        <v>0</v>
      </c>
    </row>
    <row r="643" spans="1:11" ht="19.5">
      <c r="A643" s="67">
        <f t="shared" si="107"/>
        <v>0</v>
      </c>
      <c r="B643" s="67">
        <f t="shared" si="108"/>
        <v>0</v>
      </c>
      <c r="C643" s="70" t="str">
        <f>IF(VLOOKUP(B643,'x Malzemeler ve Özellikleri'!$B$2:$M$136,12,0)="ALÜMİNYUM",'1PROJE'!$H$22,"")</f>
        <v/>
      </c>
      <c r="D643" s="67">
        <f t="shared" si="109"/>
        <v>0</v>
      </c>
      <c r="E643" s="69" t="e">
        <f>HLOOKUP(B643,xHesaplama!$AH$26:$FH$66,37,0)</f>
        <v>#N/A</v>
      </c>
      <c r="F643" s="76">
        <f t="shared" si="105"/>
        <v>0</v>
      </c>
      <c r="G643" s="70">
        <f t="shared" si="110"/>
        <v>0</v>
      </c>
      <c r="H643" s="69" t="str">
        <f t="shared" si="106"/>
        <v/>
      </c>
      <c r="I643" s="145">
        <v>0</v>
      </c>
      <c r="J643" s="619"/>
      <c r="K643" s="81">
        <f>IFERROR(VLOOKUP(B643,'x Malzemeler ve Özellikleri'!$O$1:$Q$181,3,0)*F643,0)</f>
        <v>0</v>
      </c>
    </row>
    <row r="644" spans="1:11" ht="19.5">
      <c r="A644" s="67">
        <f t="shared" si="107"/>
        <v>0</v>
      </c>
      <c r="B644" s="67">
        <f t="shared" si="108"/>
        <v>0</v>
      </c>
      <c r="C644" s="70" t="str">
        <f>IF(VLOOKUP(B644,'x Malzemeler ve Özellikleri'!$B$2:$M$136,12,0)="ALÜMİNYUM",'1PROJE'!$H$22,"")</f>
        <v/>
      </c>
      <c r="D644" s="67">
        <f t="shared" si="109"/>
        <v>0</v>
      </c>
      <c r="E644" s="69" t="e">
        <f>HLOOKUP(B644,xHesaplama!$AH$26:$FH$66,37,0)</f>
        <v>#N/A</v>
      </c>
      <c r="F644" s="76">
        <f t="shared" si="105"/>
        <v>0</v>
      </c>
      <c r="G644" s="70">
        <f t="shared" si="110"/>
        <v>0</v>
      </c>
      <c r="H644" s="69" t="str">
        <f t="shared" si="106"/>
        <v/>
      </c>
      <c r="I644" s="145">
        <v>0</v>
      </c>
      <c r="J644" s="619"/>
      <c r="K644" s="81">
        <f>IFERROR(VLOOKUP(B644,'x Malzemeler ve Özellikleri'!$O$1:$Q$181,3,0)*F644,0)</f>
        <v>0</v>
      </c>
    </row>
    <row r="645" spans="1:11" ht="19.5">
      <c r="A645" s="67">
        <f t="shared" si="107"/>
        <v>0</v>
      </c>
      <c r="B645" s="67">
        <f t="shared" si="108"/>
        <v>0</v>
      </c>
      <c r="C645" s="70" t="str">
        <f>IF(VLOOKUP(B645,'x Malzemeler ve Özellikleri'!$B$2:$M$136,12,0)="ALÜMİNYUM",'1PROJE'!$H$22,"")</f>
        <v/>
      </c>
      <c r="D645" s="67">
        <f t="shared" si="109"/>
        <v>0</v>
      </c>
      <c r="E645" s="69" t="e">
        <f>HLOOKUP(B645,xHesaplama!$AH$26:$FH$66,37,0)</f>
        <v>#N/A</v>
      </c>
      <c r="F645" s="76">
        <f t="shared" si="105"/>
        <v>0</v>
      </c>
      <c r="G645" s="70">
        <f t="shared" si="110"/>
        <v>0</v>
      </c>
      <c r="H645" s="69" t="str">
        <f t="shared" si="106"/>
        <v/>
      </c>
      <c r="I645" s="145">
        <v>0</v>
      </c>
      <c r="J645" s="619"/>
      <c r="K645" s="81">
        <f>IFERROR(VLOOKUP(B645,'x Malzemeler ve Özellikleri'!$O$1:$Q$181,3,0)*F645,0)</f>
        <v>0</v>
      </c>
    </row>
    <row r="646" spans="1:11" ht="19.5">
      <c r="A646" s="67">
        <f t="shared" si="107"/>
        <v>0</v>
      </c>
      <c r="B646" s="67">
        <f t="shared" si="108"/>
        <v>0</v>
      </c>
      <c r="C646" s="70" t="str">
        <f>IF(VLOOKUP(B646,'x Malzemeler ve Özellikleri'!$B$2:$M$136,12,0)="ALÜMİNYUM",'1PROJE'!$H$22,"")</f>
        <v/>
      </c>
      <c r="D646" s="67">
        <f t="shared" si="109"/>
        <v>0</v>
      </c>
      <c r="E646" s="69" t="e">
        <f>HLOOKUP(B646,xHesaplama!$AH$26:$FH$66,37,0)</f>
        <v>#N/A</v>
      </c>
      <c r="F646" s="76">
        <f t="shared" si="105"/>
        <v>0</v>
      </c>
      <c r="G646" s="70">
        <f t="shared" si="110"/>
        <v>0</v>
      </c>
      <c r="H646" s="69" t="str">
        <f t="shared" si="106"/>
        <v/>
      </c>
      <c r="I646" s="145">
        <v>0</v>
      </c>
      <c r="J646" s="619"/>
      <c r="K646" s="81">
        <f>IFERROR(VLOOKUP(B646,'x Malzemeler ve Özellikleri'!$O$1:$Q$181,3,0)*F646,0)</f>
        <v>0</v>
      </c>
    </row>
    <row r="647" spans="1:11" ht="19.5">
      <c r="A647" s="67">
        <f t="shared" si="107"/>
        <v>0</v>
      </c>
      <c r="B647" s="67">
        <f t="shared" si="108"/>
        <v>0</v>
      </c>
      <c r="C647" s="70" t="str">
        <f>IF(VLOOKUP(B647,'x Malzemeler ve Özellikleri'!$B$2:$M$136,12,0)="ALÜMİNYUM",'1PROJE'!$H$22,"")</f>
        <v/>
      </c>
      <c r="D647" s="67">
        <f t="shared" si="109"/>
        <v>0</v>
      </c>
      <c r="E647" s="69" t="e">
        <f>HLOOKUP(B647,xHesaplama!$AH$26:$FH$66,37,0)</f>
        <v>#N/A</v>
      </c>
      <c r="F647" s="76">
        <f t="shared" si="105"/>
        <v>0</v>
      </c>
      <c r="G647" s="70">
        <f t="shared" si="110"/>
        <v>0</v>
      </c>
      <c r="H647" s="69" t="str">
        <f t="shared" si="106"/>
        <v/>
      </c>
      <c r="I647" s="145">
        <v>0</v>
      </c>
      <c r="J647" s="619"/>
      <c r="K647" s="81">
        <f>IFERROR(VLOOKUP(B647,'x Malzemeler ve Özellikleri'!$O$1:$Q$181,3,0)*F647,0)</f>
        <v>0</v>
      </c>
    </row>
    <row r="648" spans="1:11" ht="19.5">
      <c r="A648" s="67">
        <f t="shared" si="107"/>
        <v>0</v>
      </c>
      <c r="B648" s="67">
        <f t="shared" si="108"/>
        <v>0</v>
      </c>
      <c r="C648" s="70" t="str">
        <f>IF(VLOOKUP(B648,'x Malzemeler ve Özellikleri'!$B$2:$M$136,12,0)="ALÜMİNYUM",'1PROJE'!$H$22,"")</f>
        <v/>
      </c>
      <c r="D648" s="67">
        <f t="shared" si="109"/>
        <v>0</v>
      </c>
      <c r="E648" s="69" t="e">
        <f>HLOOKUP(B648,xHesaplama!$AH$26:$FH$66,37,0)</f>
        <v>#N/A</v>
      </c>
      <c r="F648" s="76">
        <f t="shared" si="105"/>
        <v>0</v>
      </c>
      <c r="G648" s="70">
        <f t="shared" si="110"/>
        <v>0</v>
      </c>
      <c r="H648" s="69" t="str">
        <f t="shared" si="106"/>
        <v/>
      </c>
      <c r="I648" s="145">
        <v>0</v>
      </c>
      <c r="J648" s="619"/>
      <c r="K648" s="81">
        <f>IFERROR(VLOOKUP(B648,'x Malzemeler ve Özellikleri'!$O$1:$Q$181,3,0)*F648,0)</f>
        <v>0</v>
      </c>
    </row>
    <row r="649" spans="1:11" ht="19.5">
      <c r="A649" s="67">
        <f t="shared" si="107"/>
        <v>0</v>
      </c>
      <c r="B649" s="67">
        <f t="shared" si="108"/>
        <v>0</v>
      </c>
      <c r="C649" s="70" t="str">
        <f>IF(VLOOKUP(B649,'x Malzemeler ve Özellikleri'!$B$2:$M$136,12,0)="ALÜMİNYUM",'1PROJE'!$H$22,"")</f>
        <v/>
      </c>
      <c r="D649" s="67">
        <f t="shared" si="109"/>
        <v>0</v>
      </c>
      <c r="E649" s="69" t="e">
        <f>HLOOKUP(B649,xHesaplama!$AH$26:$FH$66,37,0)</f>
        <v>#N/A</v>
      </c>
      <c r="F649" s="76">
        <f t="shared" si="105"/>
        <v>0</v>
      </c>
      <c r="G649" s="70">
        <f t="shared" si="110"/>
        <v>0</v>
      </c>
      <c r="H649" s="69" t="str">
        <f t="shared" si="106"/>
        <v/>
      </c>
      <c r="I649" s="145">
        <v>0</v>
      </c>
      <c r="J649" s="619"/>
      <c r="K649" s="81">
        <f>IFERROR(VLOOKUP(B649,'x Malzemeler ve Özellikleri'!$O$1:$Q$181,3,0)*F649,0)</f>
        <v>0</v>
      </c>
    </row>
    <row r="650" spans="1:11" ht="19.5">
      <c r="A650" s="67">
        <f t="shared" si="107"/>
        <v>0</v>
      </c>
      <c r="B650" s="67">
        <f t="shared" si="108"/>
        <v>0</v>
      </c>
      <c r="C650" s="70" t="str">
        <f>IF(VLOOKUP(B650,'x Malzemeler ve Özellikleri'!$B$2:$M$136,12,0)="ALÜMİNYUM",'1PROJE'!$H$22,"")</f>
        <v/>
      </c>
      <c r="D650" s="67">
        <f t="shared" si="109"/>
        <v>0</v>
      </c>
      <c r="E650" s="69" t="e">
        <f>HLOOKUP(B650,xHesaplama!$AH$26:$FH$66,37,0)</f>
        <v>#N/A</v>
      </c>
      <c r="F650" s="76">
        <f t="shared" si="105"/>
        <v>0</v>
      </c>
      <c r="G650" s="70">
        <f t="shared" si="110"/>
        <v>0</v>
      </c>
      <c r="H650" s="69" t="str">
        <f t="shared" si="106"/>
        <v/>
      </c>
      <c r="I650" s="145">
        <v>0</v>
      </c>
      <c r="J650" s="619"/>
      <c r="K650" s="81">
        <f>IFERROR(VLOOKUP(B650,'x Malzemeler ve Özellikleri'!$O$1:$Q$181,3,0)*F650,0)</f>
        <v>0</v>
      </c>
    </row>
    <row r="651" spans="1:11" ht="19.5">
      <c r="A651" s="67">
        <f t="shared" si="107"/>
        <v>0</v>
      </c>
      <c r="B651" s="67">
        <f t="shared" si="108"/>
        <v>0</v>
      </c>
      <c r="C651" s="70" t="str">
        <f>IF(VLOOKUP(B651,'x Malzemeler ve Özellikleri'!$B$2:$M$136,12,0)="ALÜMİNYUM",'1PROJE'!$H$22,"")</f>
        <v/>
      </c>
      <c r="D651" s="67">
        <f t="shared" si="109"/>
        <v>0</v>
      </c>
      <c r="E651" s="69" t="e">
        <f>HLOOKUP(B651,xHesaplama!$AH$26:$FH$66,37,0)</f>
        <v>#N/A</v>
      </c>
      <c r="F651" s="76">
        <f t="shared" si="105"/>
        <v>0</v>
      </c>
      <c r="G651" s="70">
        <f t="shared" si="110"/>
        <v>0</v>
      </c>
      <c r="H651" s="69" t="str">
        <f t="shared" si="106"/>
        <v/>
      </c>
      <c r="I651" s="145">
        <v>0</v>
      </c>
      <c r="J651" s="619"/>
      <c r="K651" s="81">
        <f>IFERROR(VLOOKUP(B651,'x Malzemeler ve Özellikleri'!$O$1:$Q$181,3,0)*F651,0)</f>
        <v>0</v>
      </c>
    </row>
    <row r="652" spans="1:11" ht="19.5">
      <c r="A652" s="67">
        <f t="shared" si="107"/>
        <v>0</v>
      </c>
      <c r="B652" s="67">
        <f t="shared" si="108"/>
        <v>0</v>
      </c>
      <c r="C652" s="70" t="str">
        <f>IF(VLOOKUP(B652,'x Malzemeler ve Özellikleri'!$B$2:$M$136,12,0)="ALÜMİNYUM",'1PROJE'!$H$22,"")</f>
        <v/>
      </c>
      <c r="D652" s="67">
        <f t="shared" si="109"/>
        <v>0</v>
      </c>
      <c r="E652" s="69" t="e">
        <f>HLOOKUP(B652,xHesaplama!$AH$26:$FH$66,37,0)</f>
        <v>#N/A</v>
      </c>
      <c r="F652" s="76">
        <f t="shared" si="105"/>
        <v>0</v>
      </c>
      <c r="G652" s="70">
        <f t="shared" si="110"/>
        <v>0</v>
      </c>
      <c r="H652" s="69" t="str">
        <f t="shared" si="106"/>
        <v/>
      </c>
      <c r="I652" s="145">
        <v>0</v>
      </c>
      <c r="J652" s="619"/>
      <c r="K652" s="81">
        <f>IFERROR(VLOOKUP(B652,'x Malzemeler ve Özellikleri'!$O$1:$Q$181,3,0)*F652,0)</f>
        <v>0</v>
      </c>
    </row>
    <row r="653" spans="1:11" ht="19.5">
      <c r="A653" s="67">
        <f t="shared" si="107"/>
        <v>0</v>
      </c>
      <c r="B653" s="67">
        <f t="shared" si="108"/>
        <v>0</v>
      </c>
      <c r="C653" s="70" t="str">
        <f>IF(VLOOKUP(B653,'x Malzemeler ve Özellikleri'!$B$2:$M$136,12,0)="ALÜMİNYUM",'1PROJE'!$H$22,"")</f>
        <v/>
      </c>
      <c r="D653" s="67">
        <f t="shared" si="109"/>
        <v>0</v>
      </c>
      <c r="E653" s="69" t="e">
        <f>HLOOKUP(B653,xHesaplama!$AH$26:$FH$66,37,0)</f>
        <v>#N/A</v>
      </c>
      <c r="F653" s="76">
        <f t="shared" si="105"/>
        <v>0</v>
      </c>
      <c r="G653" s="70">
        <f t="shared" si="110"/>
        <v>0</v>
      </c>
      <c r="H653" s="69" t="str">
        <f t="shared" si="106"/>
        <v/>
      </c>
      <c r="I653" s="145">
        <v>0</v>
      </c>
      <c r="J653" s="619"/>
      <c r="K653" s="81">
        <f>IFERROR(VLOOKUP(B653,'x Malzemeler ve Özellikleri'!$O$1:$Q$181,3,0)*F653,0)</f>
        <v>0</v>
      </c>
    </row>
    <row r="654" spans="1:11" ht="19.5">
      <c r="A654" s="67">
        <f t="shared" si="107"/>
        <v>0</v>
      </c>
      <c r="B654" s="67">
        <f t="shared" si="108"/>
        <v>0</v>
      </c>
      <c r="C654" s="70" t="str">
        <f>IF(VLOOKUP(B654,'x Malzemeler ve Özellikleri'!$B$2:$M$136,12,0)="ALÜMİNYUM",'1PROJE'!$H$22,"")</f>
        <v/>
      </c>
      <c r="D654" s="67">
        <f t="shared" si="109"/>
        <v>0</v>
      </c>
      <c r="E654" s="69" t="e">
        <f>HLOOKUP(B654,xHesaplama!$AH$26:$FH$66,37,0)</f>
        <v>#N/A</v>
      </c>
      <c r="F654" s="76">
        <f t="shared" si="105"/>
        <v>0</v>
      </c>
      <c r="G654" s="70">
        <f t="shared" si="110"/>
        <v>0</v>
      </c>
      <c r="H654" s="69" t="str">
        <f t="shared" si="106"/>
        <v/>
      </c>
      <c r="I654" s="145">
        <v>0</v>
      </c>
      <c r="J654" s="619"/>
      <c r="K654" s="81">
        <f>IFERROR(VLOOKUP(B654,'x Malzemeler ve Özellikleri'!$O$1:$Q$181,3,0)*F654,0)</f>
        <v>0</v>
      </c>
    </row>
    <row r="655" spans="1:11" ht="19.5">
      <c r="A655" s="67">
        <f t="shared" si="107"/>
        <v>0</v>
      </c>
      <c r="B655" s="67">
        <f t="shared" si="108"/>
        <v>0</v>
      </c>
      <c r="C655" s="70" t="str">
        <f>IF(VLOOKUP(B655,'x Malzemeler ve Özellikleri'!$B$2:$M$136,12,0)="ALÜMİNYUM",'1PROJE'!$H$22,"")</f>
        <v/>
      </c>
      <c r="D655" s="67">
        <f t="shared" si="109"/>
        <v>0</v>
      </c>
      <c r="E655" s="69" t="e">
        <f>HLOOKUP(B655,xHesaplama!$AH$26:$FH$66,37,0)</f>
        <v>#N/A</v>
      </c>
      <c r="F655" s="76">
        <f t="shared" si="105"/>
        <v>0</v>
      </c>
      <c r="G655" s="70">
        <f t="shared" si="110"/>
        <v>0</v>
      </c>
      <c r="H655" s="69" t="str">
        <f t="shared" si="106"/>
        <v/>
      </c>
      <c r="I655" s="145">
        <v>0</v>
      </c>
      <c r="J655" s="619"/>
      <c r="K655" s="81">
        <f>IFERROR(VLOOKUP(B655,'x Malzemeler ve Özellikleri'!$O$1:$Q$181,3,0)*F655,0)</f>
        <v>0</v>
      </c>
    </row>
    <row r="656" spans="1:11" ht="20.25" thickBot="1">
      <c r="A656" s="67">
        <f t="shared" si="107"/>
        <v>0</v>
      </c>
      <c r="B656" s="67">
        <f t="shared" si="108"/>
        <v>0</v>
      </c>
      <c r="C656" s="70" t="str">
        <f>IF(VLOOKUP(B656,'x Malzemeler ve Özellikleri'!$B$2:$M$136,12,0)="ALÜMİNYUM",'1PROJE'!$H$22,"")</f>
        <v/>
      </c>
      <c r="D656" s="67">
        <f t="shared" si="109"/>
        <v>0</v>
      </c>
      <c r="E656" s="69" t="e">
        <f>HLOOKUP(B656,xHesaplama!$AH$26:$FH$66,37,0)</f>
        <v>#N/A</v>
      </c>
      <c r="F656" s="76">
        <f t="shared" si="105"/>
        <v>0</v>
      </c>
      <c r="G656" s="70">
        <f t="shared" si="110"/>
        <v>0</v>
      </c>
      <c r="H656" s="69" t="str">
        <f t="shared" si="106"/>
        <v/>
      </c>
      <c r="I656" s="145">
        <v>0</v>
      </c>
      <c r="J656" s="620"/>
      <c r="K656" s="81">
        <f>IFERROR(VLOOKUP(B656,'x Malzemeler ve Özellikleri'!$O$1:$Q$181,3,0)*F656,0)</f>
        <v>0</v>
      </c>
    </row>
    <row r="657" spans="1:40" ht="30" thickBot="1">
      <c r="A657" s="64" t="str">
        <f>"POZ"&amp;" "&amp;J658</f>
        <v>POZ 17</v>
      </c>
      <c r="C657" s="243">
        <f>xHesaplama!C43</f>
        <v>0</v>
      </c>
      <c r="D657" s="64" t="s">
        <v>357</v>
      </c>
      <c r="F657" s="74"/>
      <c r="G657" s="72" t="s">
        <v>786</v>
      </c>
      <c r="H657" s="65"/>
      <c r="I657" s="71">
        <f>SUM(H659:H697)</f>
        <v>0</v>
      </c>
      <c r="L657" t="str" cm="1">
        <f t="array" ref="L657:AJ657">_xlfn._xlws.FILTER(REÇETE!$D$11:$AB$142,REÇETE!$Y$11:$Y$142&lt;&gt;"","")</f>
        <v>EXCEL KODU</v>
      </c>
      <c r="M657" t="str">
        <v>PARÇA BİRİM</v>
      </c>
      <c r="N657" t="str">
        <v>PARÇA ADI</v>
      </c>
      <c r="O657" t="str">
        <v>MALZEME KODU</v>
      </c>
      <c r="P657" t="str">
        <v>BİRİM FİYAT</v>
      </c>
      <c r="Q657" t="str">
        <v>POZ 1</v>
      </c>
      <c r="R657" t="str">
        <v>POZ 2</v>
      </c>
      <c r="S657" t="str">
        <v>POZ 3</v>
      </c>
      <c r="T657" t="str">
        <v>POZ 4</v>
      </c>
      <c r="U657" t="str">
        <v>POZ 5</v>
      </c>
      <c r="V657" t="str">
        <v>POZ 6</v>
      </c>
      <c r="W657" t="str">
        <v>POZ 7</v>
      </c>
      <c r="X657" t="str">
        <v>POZ 8</v>
      </c>
      <c r="Y657" t="str">
        <v>POZ 9</v>
      </c>
      <c r="Z657" t="str">
        <v>POZ 10</v>
      </c>
      <c r="AA657" t="str">
        <v>POZ 11</v>
      </c>
      <c r="AB657" t="str">
        <v>POZ 12</v>
      </c>
      <c r="AC657" t="str">
        <v>POZ 13</v>
      </c>
      <c r="AD657" t="str">
        <v>POZ 14</v>
      </c>
      <c r="AE657" t="str">
        <v>POZ 15</v>
      </c>
      <c r="AF657" t="str">
        <v>POZ 16</v>
      </c>
      <c r="AG657" t="str">
        <v>POZ 17</v>
      </c>
      <c r="AH657" t="str">
        <v>POZ 18</v>
      </c>
      <c r="AI657" t="str">
        <v>POZ 19</v>
      </c>
      <c r="AJ657" t="str">
        <v>POZ 20</v>
      </c>
    </row>
    <row r="658" spans="1:40">
      <c r="A658" s="66" t="s">
        <v>782</v>
      </c>
      <c r="B658" s="66" t="s">
        <v>409</v>
      </c>
      <c r="C658" s="68"/>
      <c r="D658" s="66" t="s">
        <v>15</v>
      </c>
      <c r="E658" s="68" t="s">
        <v>808</v>
      </c>
      <c r="F658" s="75" t="s">
        <v>785</v>
      </c>
      <c r="G658" s="68" t="s">
        <v>650</v>
      </c>
      <c r="H658" s="68" t="s">
        <v>355</v>
      </c>
      <c r="J658" s="618">
        <v>17</v>
      </c>
      <c r="K658" s="221">
        <f>SUM(K659:K697)</f>
        <v>0</v>
      </c>
    </row>
    <row r="659" spans="1:40" ht="19.5">
      <c r="A659" s="67">
        <f>xHesaplama!H43</f>
        <v>0</v>
      </c>
      <c r="B659" s="67"/>
      <c r="C659" s="70">
        <f>xHesaplama!I43</f>
        <v>0</v>
      </c>
      <c r="D659" s="67">
        <f>xHesaplama!I43</f>
        <v>0</v>
      </c>
      <c r="E659" s="69" t="e">
        <f>xHesaplama!AC43</f>
        <v>#N/A</v>
      </c>
      <c r="F659" s="76">
        <f>xHesaplama!AD43*C657</f>
        <v>0</v>
      </c>
      <c r="G659" s="70" t="s">
        <v>817</v>
      </c>
      <c r="H659" s="69">
        <f t="shared" ref="H659:H660" si="111">IFERROR(E659*F659,0)</f>
        <v>0</v>
      </c>
      <c r="I659" s="145">
        <v>0</v>
      </c>
      <c r="J659" s="619"/>
      <c r="K659" s="81">
        <f>IFERROR(VLOOKUP(A659,'x Malzemeler ve Özellikleri'!$N$1:$Q$181,4,0)*F659,0)</f>
        <v>0</v>
      </c>
      <c r="AN659" s="84" cm="1">
        <f t="array" ref="AN659">_xlfn._xlws.FILTER(A659:I697,I659:I697,0)</f>
        <v>0</v>
      </c>
    </row>
    <row r="660" spans="1:40" ht="19.5">
      <c r="A660" s="67" t="s">
        <v>105</v>
      </c>
      <c r="B660" s="67"/>
      <c r="C660" s="70"/>
      <c r="D660" s="67">
        <f>xHesaplama!J43</f>
        <v>0</v>
      </c>
      <c r="E660" s="69" t="e">
        <f>xHesaplama!AB43</f>
        <v>#N/A</v>
      </c>
      <c r="F660" s="76">
        <f>C657</f>
        <v>0</v>
      </c>
      <c r="G660" s="70" t="s">
        <v>357</v>
      </c>
      <c r="H660" s="69">
        <f t="shared" si="111"/>
        <v>0</v>
      </c>
      <c r="I660" s="145">
        <v>0</v>
      </c>
      <c r="J660" s="619"/>
      <c r="K660" s="81">
        <f>IFERROR(VLOOKUP(D660,'x Malzemeler ve Özellikleri'!$N$1:$Q$181,4,0)*F660,0)</f>
        <v>0</v>
      </c>
    </row>
    <row r="661" spans="1:40" ht="19.5">
      <c r="A661" s="67">
        <f>N658</f>
        <v>0</v>
      </c>
      <c r="B661" s="67">
        <f>L658</f>
        <v>0</v>
      </c>
      <c r="C661" s="70" t="str">
        <f>IF(VLOOKUP(B661,'x Malzemeler ve Özellikleri'!$B$2:$M$136,12,0)="ALÜMİNYUM",'1PROJE'!$H$23,"")</f>
        <v/>
      </c>
      <c r="D661" s="67">
        <f>O658</f>
        <v>0</v>
      </c>
      <c r="E661" s="69" t="e">
        <f>HLOOKUP(B661,xHesaplama!$AH$26:$FH$66,38,0)</f>
        <v>#N/A</v>
      </c>
      <c r="F661" s="76">
        <f t="shared" ref="F661:F697" si="112">AG658*$C$657</f>
        <v>0</v>
      </c>
      <c r="G661" s="70">
        <f>M658</f>
        <v>0</v>
      </c>
      <c r="H661" s="69" t="str">
        <f t="shared" ref="H661:H697" si="113">IFERROR(E661*$C$657,"")</f>
        <v/>
      </c>
      <c r="I661" s="145">
        <v>0</v>
      </c>
      <c r="J661" s="619"/>
      <c r="K661" s="81">
        <f>IFERROR(VLOOKUP(B661,'x Malzemeler ve Özellikleri'!$O$1:$Q$181,3,0)*F661,0)</f>
        <v>0</v>
      </c>
    </row>
    <row r="662" spans="1:40" ht="19.5">
      <c r="A662" s="67">
        <f t="shared" ref="A662:A697" si="114">N659</f>
        <v>0</v>
      </c>
      <c r="B662" s="67">
        <f t="shared" ref="B662:B697" si="115">L659</f>
        <v>0</v>
      </c>
      <c r="C662" s="70" t="str">
        <f>IF(VLOOKUP(B662,'x Malzemeler ve Özellikleri'!$B$2:$M$136,12,0)="ALÜMİNYUM",'1PROJE'!$H$23,"")</f>
        <v/>
      </c>
      <c r="D662" s="67">
        <f t="shared" ref="D662:D697" si="116">O659</f>
        <v>0</v>
      </c>
      <c r="E662" s="69" t="e">
        <f>HLOOKUP(B662,xHesaplama!$AH$26:$FH$66,38,0)</f>
        <v>#N/A</v>
      </c>
      <c r="F662" s="76">
        <f t="shared" si="112"/>
        <v>0</v>
      </c>
      <c r="G662" s="70">
        <f t="shared" ref="G662:G697" si="117">M659</f>
        <v>0</v>
      </c>
      <c r="H662" s="69" t="str">
        <f t="shared" si="113"/>
        <v/>
      </c>
      <c r="I662" s="145">
        <v>0</v>
      </c>
      <c r="J662" s="619"/>
      <c r="K662" s="81">
        <f>IFERROR(VLOOKUP(B662,'x Malzemeler ve Özellikleri'!$O$1:$Q$181,3,0)*F662,0)</f>
        <v>0</v>
      </c>
    </row>
    <row r="663" spans="1:40" ht="19.5">
      <c r="A663" s="67">
        <f t="shared" si="114"/>
        <v>0</v>
      </c>
      <c r="B663" s="67">
        <f t="shared" si="115"/>
        <v>0</v>
      </c>
      <c r="C663" s="70" t="str">
        <f>IF(VLOOKUP(B663,'x Malzemeler ve Özellikleri'!$B$2:$M$136,12,0)="ALÜMİNYUM",'1PROJE'!$H$23,"")</f>
        <v/>
      </c>
      <c r="D663" s="67">
        <f t="shared" si="116"/>
        <v>0</v>
      </c>
      <c r="E663" s="69" t="e">
        <f>HLOOKUP(B663,xHesaplama!$AH$26:$FH$66,38,0)</f>
        <v>#N/A</v>
      </c>
      <c r="F663" s="76">
        <f t="shared" si="112"/>
        <v>0</v>
      </c>
      <c r="G663" s="70">
        <f t="shared" si="117"/>
        <v>0</v>
      </c>
      <c r="H663" s="69" t="str">
        <f t="shared" si="113"/>
        <v/>
      </c>
      <c r="I663" s="145">
        <v>0</v>
      </c>
      <c r="J663" s="619"/>
      <c r="K663" s="81">
        <f>IFERROR(VLOOKUP(B663,'x Malzemeler ve Özellikleri'!$O$1:$Q$181,3,0)*F663,0)</f>
        <v>0</v>
      </c>
    </row>
    <row r="664" spans="1:40" ht="19.5">
      <c r="A664" s="67">
        <f t="shared" si="114"/>
        <v>0</v>
      </c>
      <c r="B664" s="67">
        <f t="shared" si="115"/>
        <v>0</v>
      </c>
      <c r="C664" s="70" t="str">
        <f>IF(VLOOKUP(B664,'x Malzemeler ve Özellikleri'!$B$2:$M$136,12,0)="ALÜMİNYUM",'1PROJE'!$H$23,"")</f>
        <v/>
      </c>
      <c r="D664" s="67">
        <f t="shared" si="116"/>
        <v>0</v>
      </c>
      <c r="E664" s="69" t="e">
        <f>HLOOKUP(B664,xHesaplama!$AH$26:$FH$66,38,0)</f>
        <v>#N/A</v>
      </c>
      <c r="F664" s="76">
        <f t="shared" si="112"/>
        <v>0</v>
      </c>
      <c r="G664" s="70">
        <f t="shared" si="117"/>
        <v>0</v>
      </c>
      <c r="H664" s="69" t="str">
        <f t="shared" si="113"/>
        <v/>
      </c>
      <c r="I664" s="145">
        <v>0</v>
      </c>
      <c r="J664" s="619"/>
      <c r="K664" s="81">
        <f>IFERROR(VLOOKUP(B664,'x Malzemeler ve Özellikleri'!$O$1:$Q$181,3,0)*F664,0)</f>
        <v>0</v>
      </c>
    </row>
    <row r="665" spans="1:40" ht="19.5">
      <c r="A665" s="67">
        <f t="shared" si="114"/>
        <v>0</v>
      </c>
      <c r="B665" s="67">
        <f t="shared" si="115"/>
        <v>0</v>
      </c>
      <c r="C665" s="70" t="str">
        <f>IF(VLOOKUP(B665,'x Malzemeler ve Özellikleri'!$B$2:$M$136,12,0)="ALÜMİNYUM",'1PROJE'!$H$23,"")</f>
        <v/>
      </c>
      <c r="D665" s="67">
        <f t="shared" si="116"/>
        <v>0</v>
      </c>
      <c r="E665" s="69" t="e">
        <f>HLOOKUP(B665,xHesaplama!$AH$26:$FH$66,38,0)</f>
        <v>#N/A</v>
      </c>
      <c r="F665" s="76">
        <f t="shared" si="112"/>
        <v>0</v>
      </c>
      <c r="G665" s="70">
        <f t="shared" si="117"/>
        <v>0</v>
      </c>
      <c r="H665" s="69" t="str">
        <f t="shared" si="113"/>
        <v/>
      </c>
      <c r="I665" s="145">
        <v>0</v>
      </c>
      <c r="J665" s="619"/>
      <c r="K665" s="81">
        <f>IFERROR(VLOOKUP(B665,'x Malzemeler ve Özellikleri'!$O$1:$Q$181,3,0)*F665,0)</f>
        <v>0</v>
      </c>
    </row>
    <row r="666" spans="1:40" ht="19.5">
      <c r="A666" s="67">
        <f t="shared" si="114"/>
        <v>0</v>
      </c>
      <c r="B666" s="67">
        <f t="shared" si="115"/>
        <v>0</v>
      </c>
      <c r="C666" s="70" t="str">
        <f>IF(VLOOKUP(B666,'x Malzemeler ve Özellikleri'!$B$2:$M$136,12,0)="ALÜMİNYUM",'1PROJE'!$H$23,"")</f>
        <v/>
      </c>
      <c r="D666" s="67">
        <f t="shared" si="116"/>
        <v>0</v>
      </c>
      <c r="E666" s="69" t="e">
        <f>HLOOKUP(B666,xHesaplama!$AH$26:$FH$66,38,0)</f>
        <v>#N/A</v>
      </c>
      <c r="F666" s="76">
        <f t="shared" si="112"/>
        <v>0</v>
      </c>
      <c r="G666" s="70">
        <f t="shared" si="117"/>
        <v>0</v>
      </c>
      <c r="H666" s="69" t="str">
        <f t="shared" si="113"/>
        <v/>
      </c>
      <c r="I666" s="145">
        <v>0</v>
      </c>
      <c r="J666" s="619"/>
      <c r="K666" s="81">
        <f>IFERROR(VLOOKUP(B666,'x Malzemeler ve Özellikleri'!$O$1:$Q$181,3,0)*F666,0)</f>
        <v>0</v>
      </c>
    </row>
    <row r="667" spans="1:40" ht="19.5">
      <c r="A667" s="67">
        <f t="shared" si="114"/>
        <v>0</v>
      </c>
      <c r="B667" s="67">
        <f t="shared" si="115"/>
        <v>0</v>
      </c>
      <c r="C667" s="70" t="str">
        <f>IF(VLOOKUP(B667,'x Malzemeler ve Özellikleri'!$B$2:$M$136,12,0)="ALÜMİNYUM",'1PROJE'!$H$23,"")</f>
        <v/>
      </c>
      <c r="D667" s="67">
        <f t="shared" si="116"/>
        <v>0</v>
      </c>
      <c r="E667" s="69" t="e">
        <f>HLOOKUP(B667,xHesaplama!$AH$26:$FH$66,38,0)</f>
        <v>#N/A</v>
      </c>
      <c r="F667" s="76">
        <f t="shared" si="112"/>
        <v>0</v>
      </c>
      <c r="G667" s="70">
        <f t="shared" si="117"/>
        <v>0</v>
      </c>
      <c r="H667" s="69" t="str">
        <f t="shared" si="113"/>
        <v/>
      </c>
      <c r="I667" s="145">
        <v>0</v>
      </c>
      <c r="J667" s="619"/>
      <c r="K667" s="81">
        <f>IFERROR(VLOOKUP(B667,'x Malzemeler ve Özellikleri'!$O$1:$Q$181,3,0)*F667,0)</f>
        <v>0</v>
      </c>
    </row>
    <row r="668" spans="1:40" ht="19.5">
      <c r="A668" s="67">
        <f t="shared" si="114"/>
        <v>0</v>
      </c>
      <c r="B668" s="67">
        <f t="shared" si="115"/>
        <v>0</v>
      </c>
      <c r="C668" s="70" t="str">
        <f>IF(VLOOKUP(B668,'x Malzemeler ve Özellikleri'!$B$2:$M$136,12,0)="ALÜMİNYUM",'1PROJE'!$H$23,"")</f>
        <v/>
      </c>
      <c r="D668" s="67">
        <f t="shared" si="116"/>
        <v>0</v>
      </c>
      <c r="E668" s="69" t="e">
        <f>HLOOKUP(B668,xHesaplama!$AH$26:$FH$66,38,0)</f>
        <v>#N/A</v>
      </c>
      <c r="F668" s="76">
        <f t="shared" si="112"/>
        <v>0</v>
      </c>
      <c r="G668" s="70">
        <f t="shared" si="117"/>
        <v>0</v>
      </c>
      <c r="H668" s="69" t="str">
        <f t="shared" si="113"/>
        <v/>
      </c>
      <c r="I668" s="145">
        <v>0</v>
      </c>
      <c r="J668" s="619"/>
      <c r="K668" s="81">
        <f>IFERROR(VLOOKUP(B668,'x Malzemeler ve Özellikleri'!$O$1:$Q$181,3,0)*F668,0)</f>
        <v>0</v>
      </c>
    </row>
    <row r="669" spans="1:40" ht="19.5">
      <c r="A669" s="67">
        <f t="shared" si="114"/>
        <v>0</v>
      </c>
      <c r="B669" s="67">
        <f t="shared" si="115"/>
        <v>0</v>
      </c>
      <c r="C669" s="70" t="str">
        <f>IF(VLOOKUP(B669,'x Malzemeler ve Özellikleri'!$B$2:$M$136,12,0)="ALÜMİNYUM",'1PROJE'!$H$23,"")</f>
        <v/>
      </c>
      <c r="D669" s="67">
        <f t="shared" si="116"/>
        <v>0</v>
      </c>
      <c r="E669" s="69" t="e">
        <f>HLOOKUP(B669,xHesaplama!$AH$26:$FH$66,38,0)</f>
        <v>#N/A</v>
      </c>
      <c r="F669" s="76">
        <f t="shared" si="112"/>
        <v>0</v>
      </c>
      <c r="G669" s="70">
        <f t="shared" si="117"/>
        <v>0</v>
      </c>
      <c r="H669" s="69" t="str">
        <f t="shared" si="113"/>
        <v/>
      </c>
      <c r="I669" s="145">
        <v>0</v>
      </c>
      <c r="J669" s="619"/>
      <c r="K669" s="81">
        <f>IFERROR(VLOOKUP(B669,'x Malzemeler ve Özellikleri'!$O$1:$Q$181,3,0)*F669,0)</f>
        <v>0</v>
      </c>
    </row>
    <row r="670" spans="1:40" ht="19.5">
      <c r="A670" s="67">
        <f t="shared" si="114"/>
        <v>0</v>
      </c>
      <c r="B670" s="67">
        <f t="shared" si="115"/>
        <v>0</v>
      </c>
      <c r="C670" s="70" t="str">
        <f>IF(VLOOKUP(B670,'x Malzemeler ve Özellikleri'!$B$2:$M$136,12,0)="ALÜMİNYUM",'1PROJE'!$H$23,"")</f>
        <v/>
      </c>
      <c r="D670" s="67">
        <f t="shared" si="116"/>
        <v>0</v>
      </c>
      <c r="E670" s="69" t="e">
        <f>HLOOKUP(B670,xHesaplama!$AH$26:$FH$66,38,0)</f>
        <v>#N/A</v>
      </c>
      <c r="F670" s="76">
        <f t="shared" si="112"/>
        <v>0</v>
      </c>
      <c r="G670" s="70">
        <f t="shared" si="117"/>
        <v>0</v>
      </c>
      <c r="H670" s="69" t="str">
        <f t="shared" si="113"/>
        <v/>
      </c>
      <c r="I670" s="145">
        <v>0</v>
      </c>
      <c r="J670" s="619"/>
      <c r="K670" s="81">
        <f>IFERROR(VLOOKUP(B670,'x Malzemeler ve Özellikleri'!$O$1:$Q$181,3,0)*F670,0)</f>
        <v>0</v>
      </c>
    </row>
    <row r="671" spans="1:40" ht="19.5">
      <c r="A671" s="67">
        <f t="shared" si="114"/>
        <v>0</v>
      </c>
      <c r="B671" s="67">
        <f t="shared" si="115"/>
        <v>0</v>
      </c>
      <c r="C671" s="70" t="str">
        <f>IF(VLOOKUP(B671,'x Malzemeler ve Özellikleri'!$B$2:$M$136,12,0)="ALÜMİNYUM",'1PROJE'!$H$23,"")</f>
        <v/>
      </c>
      <c r="D671" s="67">
        <f t="shared" si="116"/>
        <v>0</v>
      </c>
      <c r="E671" s="69" t="e">
        <f>HLOOKUP(B671,xHesaplama!$AH$26:$FH$66,38,0)</f>
        <v>#N/A</v>
      </c>
      <c r="F671" s="76">
        <f t="shared" si="112"/>
        <v>0</v>
      </c>
      <c r="G671" s="70">
        <f t="shared" si="117"/>
        <v>0</v>
      </c>
      <c r="H671" s="69" t="str">
        <f t="shared" si="113"/>
        <v/>
      </c>
      <c r="I671" s="145">
        <v>0</v>
      </c>
      <c r="J671" s="619"/>
      <c r="K671" s="81">
        <f>IFERROR(VLOOKUP(B671,'x Malzemeler ve Özellikleri'!$O$1:$Q$181,3,0)*F671,0)</f>
        <v>0</v>
      </c>
    </row>
    <row r="672" spans="1:40" ht="19.5">
      <c r="A672" s="67">
        <f t="shared" si="114"/>
        <v>0</v>
      </c>
      <c r="B672" s="67">
        <f t="shared" si="115"/>
        <v>0</v>
      </c>
      <c r="C672" s="70" t="str">
        <f>IF(VLOOKUP(B672,'x Malzemeler ve Özellikleri'!$B$2:$M$136,12,0)="ALÜMİNYUM",'1PROJE'!$H$23,"")</f>
        <v/>
      </c>
      <c r="D672" s="67">
        <f t="shared" si="116"/>
        <v>0</v>
      </c>
      <c r="E672" s="69" t="e">
        <f>HLOOKUP(B672,xHesaplama!$AH$26:$FH$66,38,0)</f>
        <v>#N/A</v>
      </c>
      <c r="F672" s="76">
        <f t="shared" si="112"/>
        <v>0</v>
      </c>
      <c r="G672" s="70">
        <f t="shared" si="117"/>
        <v>0</v>
      </c>
      <c r="H672" s="69" t="str">
        <f t="shared" si="113"/>
        <v/>
      </c>
      <c r="I672" s="145">
        <v>0</v>
      </c>
      <c r="J672" s="619"/>
      <c r="K672" s="81">
        <f>IFERROR(VLOOKUP(B672,'x Malzemeler ve Özellikleri'!$O$1:$Q$181,3,0)*F672,0)</f>
        <v>0</v>
      </c>
    </row>
    <row r="673" spans="1:11" ht="19.5">
      <c r="A673" s="67">
        <f t="shared" si="114"/>
        <v>0</v>
      </c>
      <c r="B673" s="67">
        <f t="shared" si="115"/>
        <v>0</v>
      </c>
      <c r="C673" s="70" t="str">
        <f>IF(VLOOKUP(B673,'x Malzemeler ve Özellikleri'!$B$2:$M$136,12,0)="ALÜMİNYUM",'1PROJE'!$H$23,"")</f>
        <v/>
      </c>
      <c r="D673" s="67">
        <f t="shared" si="116"/>
        <v>0</v>
      </c>
      <c r="E673" s="69" t="e">
        <f>HLOOKUP(B673,xHesaplama!$AH$26:$FH$66,38,0)</f>
        <v>#N/A</v>
      </c>
      <c r="F673" s="76">
        <f t="shared" si="112"/>
        <v>0</v>
      </c>
      <c r="G673" s="70">
        <f t="shared" si="117"/>
        <v>0</v>
      </c>
      <c r="H673" s="69" t="str">
        <f t="shared" si="113"/>
        <v/>
      </c>
      <c r="I673" s="145">
        <v>0</v>
      </c>
      <c r="J673" s="619"/>
      <c r="K673" s="81">
        <f>IFERROR(VLOOKUP(B673,'x Malzemeler ve Özellikleri'!$O$1:$Q$181,3,0)*F673,0)</f>
        <v>0</v>
      </c>
    </row>
    <row r="674" spans="1:11" ht="19.5">
      <c r="A674" s="67">
        <f t="shared" si="114"/>
        <v>0</v>
      </c>
      <c r="B674" s="67">
        <f t="shared" si="115"/>
        <v>0</v>
      </c>
      <c r="C674" s="70" t="str">
        <f>IF(VLOOKUP(B674,'x Malzemeler ve Özellikleri'!$B$2:$M$136,12,0)="ALÜMİNYUM",'1PROJE'!$H$23,"")</f>
        <v/>
      </c>
      <c r="D674" s="67">
        <f t="shared" si="116"/>
        <v>0</v>
      </c>
      <c r="E674" s="69" t="e">
        <f>HLOOKUP(B674,xHesaplama!$AH$26:$FH$66,38,0)</f>
        <v>#N/A</v>
      </c>
      <c r="F674" s="76">
        <f t="shared" si="112"/>
        <v>0</v>
      </c>
      <c r="G674" s="70">
        <f t="shared" si="117"/>
        <v>0</v>
      </c>
      <c r="H674" s="69" t="str">
        <f t="shared" si="113"/>
        <v/>
      </c>
      <c r="I674" s="145">
        <v>0</v>
      </c>
      <c r="J674" s="619"/>
      <c r="K674" s="81">
        <f>IFERROR(VLOOKUP(B674,'x Malzemeler ve Özellikleri'!$O$1:$Q$181,3,0)*F674,0)</f>
        <v>0</v>
      </c>
    </row>
    <row r="675" spans="1:11" ht="19.5">
      <c r="A675" s="67">
        <f t="shared" si="114"/>
        <v>0</v>
      </c>
      <c r="B675" s="67">
        <f t="shared" si="115"/>
        <v>0</v>
      </c>
      <c r="C675" s="70" t="str">
        <f>IF(VLOOKUP(B675,'x Malzemeler ve Özellikleri'!$B$2:$M$136,12,0)="ALÜMİNYUM",'1PROJE'!$H$23,"")</f>
        <v/>
      </c>
      <c r="D675" s="67">
        <f t="shared" si="116"/>
        <v>0</v>
      </c>
      <c r="E675" s="69" t="e">
        <f>HLOOKUP(B675,xHesaplama!$AH$26:$FH$66,38,0)</f>
        <v>#N/A</v>
      </c>
      <c r="F675" s="76">
        <f t="shared" si="112"/>
        <v>0</v>
      </c>
      <c r="G675" s="70">
        <f t="shared" si="117"/>
        <v>0</v>
      </c>
      <c r="H675" s="69" t="str">
        <f t="shared" si="113"/>
        <v/>
      </c>
      <c r="I675" s="145">
        <v>0</v>
      </c>
      <c r="J675" s="619"/>
      <c r="K675" s="81">
        <f>IFERROR(VLOOKUP(B675,'x Malzemeler ve Özellikleri'!$O$1:$Q$181,3,0)*F675,0)</f>
        <v>0</v>
      </c>
    </row>
    <row r="676" spans="1:11" ht="19.5">
      <c r="A676" s="67">
        <f t="shared" si="114"/>
        <v>0</v>
      </c>
      <c r="B676" s="67">
        <f t="shared" si="115"/>
        <v>0</v>
      </c>
      <c r="C676" s="70" t="str">
        <f>IF(VLOOKUP(B676,'x Malzemeler ve Özellikleri'!$B$2:$M$136,12,0)="ALÜMİNYUM",'1PROJE'!$H$23,"")</f>
        <v/>
      </c>
      <c r="D676" s="67">
        <f t="shared" si="116"/>
        <v>0</v>
      </c>
      <c r="E676" s="69" t="e">
        <f>HLOOKUP(B676,xHesaplama!$AH$26:$FH$66,38,0)</f>
        <v>#N/A</v>
      </c>
      <c r="F676" s="76">
        <f t="shared" si="112"/>
        <v>0</v>
      </c>
      <c r="G676" s="70">
        <f t="shared" si="117"/>
        <v>0</v>
      </c>
      <c r="H676" s="69" t="str">
        <f t="shared" si="113"/>
        <v/>
      </c>
      <c r="I676" s="145">
        <v>0</v>
      </c>
      <c r="J676" s="619"/>
      <c r="K676" s="81">
        <f>IFERROR(VLOOKUP(B676,'x Malzemeler ve Özellikleri'!$O$1:$Q$181,3,0)*F676,0)</f>
        <v>0</v>
      </c>
    </row>
    <row r="677" spans="1:11" ht="19.5">
      <c r="A677" s="67">
        <f t="shared" si="114"/>
        <v>0</v>
      </c>
      <c r="B677" s="67">
        <f t="shared" si="115"/>
        <v>0</v>
      </c>
      <c r="C677" s="70" t="str">
        <f>IF(VLOOKUP(B677,'x Malzemeler ve Özellikleri'!$B$2:$M$136,12,0)="ALÜMİNYUM",'1PROJE'!$H$23,"")</f>
        <v/>
      </c>
      <c r="D677" s="67">
        <f t="shared" si="116"/>
        <v>0</v>
      </c>
      <c r="E677" s="69" t="e">
        <f>HLOOKUP(B677,xHesaplama!$AH$26:$FH$66,38,0)</f>
        <v>#N/A</v>
      </c>
      <c r="F677" s="76">
        <f t="shared" si="112"/>
        <v>0</v>
      </c>
      <c r="G677" s="70">
        <f t="shared" si="117"/>
        <v>0</v>
      </c>
      <c r="H677" s="69" t="str">
        <f t="shared" si="113"/>
        <v/>
      </c>
      <c r="I677" s="145">
        <v>0</v>
      </c>
      <c r="J677" s="619"/>
      <c r="K677" s="81">
        <f>IFERROR(VLOOKUP(B677,'x Malzemeler ve Özellikleri'!$O$1:$Q$181,3,0)*F677,0)</f>
        <v>0</v>
      </c>
    </row>
    <row r="678" spans="1:11" ht="19.5">
      <c r="A678" s="67">
        <f t="shared" si="114"/>
        <v>0</v>
      </c>
      <c r="B678" s="67">
        <f t="shared" si="115"/>
        <v>0</v>
      </c>
      <c r="C678" s="70" t="str">
        <f>IF(VLOOKUP(B678,'x Malzemeler ve Özellikleri'!$B$2:$M$136,12,0)="ALÜMİNYUM",'1PROJE'!$H$23,"")</f>
        <v/>
      </c>
      <c r="D678" s="67">
        <f t="shared" si="116"/>
        <v>0</v>
      </c>
      <c r="E678" s="69" t="e">
        <f>HLOOKUP(B678,xHesaplama!$AH$26:$FH$66,38,0)</f>
        <v>#N/A</v>
      </c>
      <c r="F678" s="76">
        <f t="shared" si="112"/>
        <v>0</v>
      </c>
      <c r="G678" s="70">
        <f t="shared" si="117"/>
        <v>0</v>
      </c>
      <c r="H678" s="69" t="str">
        <f t="shared" si="113"/>
        <v/>
      </c>
      <c r="I678" s="145">
        <v>0</v>
      </c>
      <c r="J678" s="619"/>
      <c r="K678" s="81">
        <f>IFERROR(VLOOKUP(B678,'x Malzemeler ve Özellikleri'!$O$1:$Q$181,3,0)*F678,0)</f>
        <v>0</v>
      </c>
    </row>
    <row r="679" spans="1:11" ht="19.5">
      <c r="A679" s="67">
        <f t="shared" si="114"/>
        <v>0</v>
      </c>
      <c r="B679" s="67">
        <f t="shared" si="115"/>
        <v>0</v>
      </c>
      <c r="C679" s="70" t="str">
        <f>IF(VLOOKUP(B679,'x Malzemeler ve Özellikleri'!$B$2:$M$136,12,0)="ALÜMİNYUM",'1PROJE'!$H$23,"")</f>
        <v/>
      </c>
      <c r="D679" s="67">
        <f t="shared" si="116"/>
        <v>0</v>
      </c>
      <c r="E679" s="69" t="e">
        <f>HLOOKUP(B679,xHesaplama!$AH$26:$FH$66,38,0)</f>
        <v>#N/A</v>
      </c>
      <c r="F679" s="76">
        <f t="shared" si="112"/>
        <v>0</v>
      </c>
      <c r="G679" s="70">
        <f t="shared" si="117"/>
        <v>0</v>
      </c>
      <c r="H679" s="69" t="str">
        <f t="shared" si="113"/>
        <v/>
      </c>
      <c r="I679" s="145">
        <v>0</v>
      </c>
      <c r="J679" s="619"/>
      <c r="K679" s="81">
        <f>IFERROR(VLOOKUP(B679,'x Malzemeler ve Özellikleri'!$O$1:$Q$181,3,0)*F679,0)</f>
        <v>0</v>
      </c>
    </row>
    <row r="680" spans="1:11" ht="19.5">
      <c r="A680" s="67">
        <f t="shared" si="114"/>
        <v>0</v>
      </c>
      <c r="B680" s="67">
        <f t="shared" si="115"/>
        <v>0</v>
      </c>
      <c r="C680" s="70" t="str">
        <f>IF(VLOOKUP(B680,'x Malzemeler ve Özellikleri'!$B$2:$M$136,12,0)="ALÜMİNYUM",'1PROJE'!$H$23,"")</f>
        <v/>
      </c>
      <c r="D680" s="67">
        <f t="shared" si="116"/>
        <v>0</v>
      </c>
      <c r="E680" s="69" t="e">
        <f>HLOOKUP(B680,xHesaplama!$AH$26:$FH$66,38,0)</f>
        <v>#N/A</v>
      </c>
      <c r="F680" s="76">
        <f t="shared" si="112"/>
        <v>0</v>
      </c>
      <c r="G680" s="70">
        <f t="shared" si="117"/>
        <v>0</v>
      </c>
      <c r="H680" s="69" t="str">
        <f t="shared" si="113"/>
        <v/>
      </c>
      <c r="I680" s="145">
        <v>0</v>
      </c>
      <c r="J680" s="619"/>
      <c r="K680" s="81">
        <f>IFERROR(VLOOKUP(B680,'x Malzemeler ve Özellikleri'!$O$1:$Q$181,3,0)*F680,0)</f>
        <v>0</v>
      </c>
    </row>
    <row r="681" spans="1:11" ht="19.5">
      <c r="A681" s="67">
        <f t="shared" si="114"/>
        <v>0</v>
      </c>
      <c r="B681" s="67">
        <f t="shared" si="115"/>
        <v>0</v>
      </c>
      <c r="C681" s="70" t="str">
        <f>IF(VLOOKUP(B681,'x Malzemeler ve Özellikleri'!$B$2:$M$136,12,0)="ALÜMİNYUM",'1PROJE'!$H$23,"")</f>
        <v/>
      </c>
      <c r="D681" s="67">
        <f t="shared" si="116"/>
        <v>0</v>
      </c>
      <c r="E681" s="69" t="e">
        <f>HLOOKUP(B681,xHesaplama!$AH$26:$FH$66,38,0)</f>
        <v>#N/A</v>
      </c>
      <c r="F681" s="76">
        <f t="shared" si="112"/>
        <v>0</v>
      </c>
      <c r="G681" s="70">
        <f t="shared" si="117"/>
        <v>0</v>
      </c>
      <c r="H681" s="69" t="str">
        <f t="shared" si="113"/>
        <v/>
      </c>
      <c r="I681" s="145">
        <v>0</v>
      </c>
      <c r="J681" s="619"/>
      <c r="K681" s="81">
        <f>IFERROR(VLOOKUP(B681,'x Malzemeler ve Özellikleri'!$O$1:$Q$181,3,0)*F681,0)</f>
        <v>0</v>
      </c>
    </row>
    <row r="682" spans="1:11" ht="19.5">
      <c r="A682" s="67">
        <f t="shared" si="114"/>
        <v>0</v>
      </c>
      <c r="B682" s="67">
        <f t="shared" si="115"/>
        <v>0</v>
      </c>
      <c r="C682" s="70" t="str">
        <f>IF(VLOOKUP(B682,'x Malzemeler ve Özellikleri'!$B$2:$M$136,12,0)="ALÜMİNYUM",'1PROJE'!$H$23,"")</f>
        <v/>
      </c>
      <c r="D682" s="67">
        <f t="shared" si="116"/>
        <v>0</v>
      </c>
      <c r="E682" s="69" t="e">
        <f>HLOOKUP(B682,xHesaplama!$AH$26:$FH$66,38,0)</f>
        <v>#N/A</v>
      </c>
      <c r="F682" s="76">
        <f t="shared" si="112"/>
        <v>0</v>
      </c>
      <c r="G682" s="70">
        <f t="shared" si="117"/>
        <v>0</v>
      </c>
      <c r="H682" s="69" t="str">
        <f t="shared" si="113"/>
        <v/>
      </c>
      <c r="I682" s="145">
        <v>0</v>
      </c>
      <c r="J682" s="619"/>
      <c r="K682" s="81">
        <f>IFERROR(VLOOKUP(B682,'x Malzemeler ve Özellikleri'!$O$1:$Q$181,3,0)*F682,0)</f>
        <v>0</v>
      </c>
    </row>
    <row r="683" spans="1:11" ht="19.5">
      <c r="A683" s="67">
        <f t="shared" si="114"/>
        <v>0</v>
      </c>
      <c r="B683" s="67">
        <f t="shared" si="115"/>
        <v>0</v>
      </c>
      <c r="C683" s="70" t="str">
        <f>IF(VLOOKUP(B683,'x Malzemeler ve Özellikleri'!$B$2:$M$136,12,0)="ALÜMİNYUM",'1PROJE'!$H$23,"")</f>
        <v/>
      </c>
      <c r="D683" s="67">
        <f t="shared" si="116"/>
        <v>0</v>
      </c>
      <c r="E683" s="69" t="e">
        <f>HLOOKUP(B683,xHesaplama!$AH$26:$FH$66,38,0)</f>
        <v>#N/A</v>
      </c>
      <c r="F683" s="76">
        <f t="shared" si="112"/>
        <v>0</v>
      </c>
      <c r="G683" s="70">
        <f t="shared" si="117"/>
        <v>0</v>
      </c>
      <c r="H683" s="69" t="str">
        <f t="shared" si="113"/>
        <v/>
      </c>
      <c r="I683" s="145">
        <v>0</v>
      </c>
      <c r="J683" s="619"/>
      <c r="K683" s="81">
        <f>IFERROR(VLOOKUP(B683,'x Malzemeler ve Özellikleri'!$O$1:$Q$181,3,0)*F683,0)</f>
        <v>0</v>
      </c>
    </row>
    <row r="684" spans="1:11" ht="19.5">
      <c r="A684" s="67">
        <f t="shared" si="114"/>
        <v>0</v>
      </c>
      <c r="B684" s="67">
        <f t="shared" si="115"/>
        <v>0</v>
      </c>
      <c r="C684" s="70" t="str">
        <f>IF(VLOOKUP(B684,'x Malzemeler ve Özellikleri'!$B$2:$M$136,12,0)="ALÜMİNYUM",'1PROJE'!$H$23,"")</f>
        <v/>
      </c>
      <c r="D684" s="67">
        <f t="shared" si="116"/>
        <v>0</v>
      </c>
      <c r="E684" s="69" t="e">
        <f>HLOOKUP(B684,xHesaplama!$AH$26:$FH$66,38,0)</f>
        <v>#N/A</v>
      </c>
      <c r="F684" s="76">
        <f t="shared" si="112"/>
        <v>0</v>
      </c>
      <c r="G684" s="70">
        <f t="shared" si="117"/>
        <v>0</v>
      </c>
      <c r="H684" s="69" t="str">
        <f t="shared" si="113"/>
        <v/>
      </c>
      <c r="I684" s="145">
        <v>0</v>
      </c>
      <c r="J684" s="619"/>
      <c r="K684" s="81">
        <f>IFERROR(VLOOKUP(B684,'x Malzemeler ve Özellikleri'!$O$1:$Q$181,3,0)*F684,0)</f>
        <v>0</v>
      </c>
    </row>
    <row r="685" spans="1:11" ht="19.5">
      <c r="A685" s="67">
        <f t="shared" si="114"/>
        <v>0</v>
      </c>
      <c r="B685" s="67">
        <f t="shared" si="115"/>
        <v>0</v>
      </c>
      <c r="C685" s="70" t="str">
        <f>IF(VLOOKUP(B685,'x Malzemeler ve Özellikleri'!$B$2:$M$136,12,0)="ALÜMİNYUM",'1PROJE'!$H$23,"")</f>
        <v/>
      </c>
      <c r="D685" s="67">
        <f t="shared" si="116"/>
        <v>0</v>
      </c>
      <c r="E685" s="69" t="e">
        <f>HLOOKUP(B685,xHesaplama!$AH$26:$FH$66,38,0)</f>
        <v>#N/A</v>
      </c>
      <c r="F685" s="76">
        <f t="shared" si="112"/>
        <v>0</v>
      </c>
      <c r="G685" s="70">
        <f t="shared" si="117"/>
        <v>0</v>
      </c>
      <c r="H685" s="69" t="str">
        <f t="shared" si="113"/>
        <v/>
      </c>
      <c r="I685" s="145">
        <v>0</v>
      </c>
      <c r="J685" s="619"/>
      <c r="K685" s="81">
        <f>IFERROR(VLOOKUP(B685,'x Malzemeler ve Özellikleri'!$O$1:$Q$181,3,0)*F685,0)</f>
        <v>0</v>
      </c>
    </row>
    <row r="686" spans="1:11" ht="19.5">
      <c r="A686" s="67">
        <f t="shared" si="114"/>
        <v>0</v>
      </c>
      <c r="B686" s="67">
        <f t="shared" si="115"/>
        <v>0</v>
      </c>
      <c r="C686" s="70" t="str">
        <f>IF(VLOOKUP(B686,'x Malzemeler ve Özellikleri'!$B$2:$M$136,12,0)="ALÜMİNYUM",'1PROJE'!$H$23,"")</f>
        <v/>
      </c>
      <c r="D686" s="67">
        <f t="shared" si="116"/>
        <v>0</v>
      </c>
      <c r="E686" s="69" t="e">
        <f>HLOOKUP(B686,xHesaplama!$AH$26:$FH$66,38,0)</f>
        <v>#N/A</v>
      </c>
      <c r="F686" s="76">
        <f t="shared" si="112"/>
        <v>0</v>
      </c>
      <c r="G686" s="70">
        <f t="shared" si="117"/>
        <v>0</v>
      </c>
      <c r="H686" s="69" t="str">
        <f t="shared" si="113"/>
        <v/>
      </c>
      <c r="I686" s="145">
        <v>0</v>
      </c>
      <c r="J686" s="619"/>
      <c r="K686" s="81">
        <f>IFERROR(VLOOKUP(B686,'x Malzemeler ve Özellikleri'!$O$1:$Q$181,3,0)*F686,0)</f>
        <v>0</v>
      </c>
    </row>
    <row r="687" spans="1:11" ht="19.5">
      <c r="A687" s="67">
        <f t="shared" si="114"/>
        <v>0</v>
      </c>
      <c r="B687" s="67">
        <f t="shared" si="115"/>
        <v>0</v>
      </c>
      <c r="C687" s="70" t="str">
        <f>IF(VLOOKUP(B687,'x Malzemeler ve Özellikleri'!$B$2:$M$136,12,0)="ALÜMİNYUM",'1PROJE'!$H$23,"")</f>
        <v/>
      </c>
      <c r="D687" s="67">
        <f t="shared" si="116"/>
        <v>0</v>
      </c>
      <c r="E687" s="69" t="e">
        <f>HLOOKUP(B687,xHesaplama!$AH$26:$FH$66,38,0)</f>
        <v>#N/A</v>
      </c>
      <c r="F687" s="76">
        <f t="shared" si="112"/>
        <v>0</v>
      </c>
      <c r="G687" s="70">
        <f t="shared" si="117"/>
        <v>0</v>
      </c>
      <c r="H687" s="69" t="str">
        <f t="shared" si="113"/>
        <v/>
      </c>
      <c r="I687" s="145">
        <v>0</v>
      </c>
      <c r="J687" s="619"/>
      <c r="K687" s="81">
        <f>IFERROR(VLOOKUP(B687,'x Malzemeler ve Özellikleri'!$O$1:$Q$181,3,0)*F687,0)</f>
        <v>0</v>
      </c>
    </row>
    <row r="688" spans="1:11" ht="19.5">
      <c r="A688" s="67">
        <f t="shared" si="114"/>
        <v>0</v>
      </c>
      <c r="B688" s="67">
        <f t="shared" si="115"/>
        <v>0</v>
      </c>
      <c r="C688" s="70" t="str">
        <f>IF(VLOOKUP(B688,'x Malzemeler ve Özellikleri'!$B$2:$M$136,12,0)="ALÜMİNYUM",'1PROJE'!$H$23,"")</f>
        <v/>
      </c>
      <c r="D688" s="67">
        <f t="shared" si="116"/>
        <v>0</v>
      </c>
      <c r="E688" s="69" t="e">
        <f>HLOOKUP(B688,xHesaplama!$AH$26:$FH$66,38,0)</f>
        <v>#N/A</v>
      </c>
      <c r="F688" s="76">
        <f t="shared" si="112"/>
        <v>0</v>
      </c>
      <c r="G688" s="70">
        <f t="shared" si="117"/>
        <v>0</v>
      </c>
      <c r="H688" s="69" t="str">
        <f t="shared" si="113"/>
        <v/>
      </c>
      <c r="I688" s="145">
        <v>0</v>
      </c>
      <c r="J688" s="619"/>
      <c r="K688" s="81">
        <f>IFERROR(VLOOKUP(B688,'x Malzemeler ve Özellikleri'!$O$1:$Q$181,3,0)*F688,0)</f>
        <v>0</v>
      </c>
    </row>
    <row r="689" spans="1:40" ht="19.5">
      <c r="A689" s="67">
        <f t="shared" si="114"/>
        <v>0</v>
      </c>
      <c r="B689" s="67">
        <f t="shared" si="115"/>
        <v>0</v>
      </c>
      <c r="C689" s="70" t="str">
        <f>IF(VLOOKUP(B689,'x Malzemeler ve Özellikleri'!$B$2:$M$136,12,0)="ALÜMİNYUM",'1PROJE'!$H$23,"")</f>
        <v/>
      </c>
      <c r="D689" s="67">
        <f t="shared" si="116"/>
        <v>0</v>
      </c>
      <c r="E689" s="69" t="e">
        <f>HLOOKUP(B689,xHesaplama!$AH$26:$FH$66,38,0)</f>
        <v>#N/A</v>
      </c>
      <c r="F689" s="76">
        <f t="shared" si="112"/>
        <v>0</v>
      </c>
      <c r="G689" s="70">
        <f t="shared" si="117"/>
        <v>0</v>
      </c>
      <c r="H689" s="69" t="str">
        <f t="shared" si="113"/>
        <v/>
      </c>
      <c r="I689" s="145">
        <v>0</v>
      </c>
      <c r="J689" s="619"/>
      <c r="K689" s="81">
        <f>IFERROR(VLOOKUP(B689,'x Malzemeler ve Özellikleri'!$O$1:$Q$181,3,0)*F689,0)</f>
        <v>0</v>
      </c>
    </row>
    <row r="690" spans="1:40" ht="19.5">
      <c r="A690" s="67">
        <f t="shared" si="114"/>
        <v>0</v>
      </c>
      <c r="B690" s="67">
        <f t="shared" si="115"/>
        <v>0</v>
      </c>
      <c r="C690" s="70" t="str">
        <f>IF(VLOOKUP(B690,'x Malzemeler ve Özellikleri'!$B$2:$M$136,12,0)="ALÜMİNYUM",'1PROJE'!$H$23,"")</f>
        <v/>
      </c>
      <c r="D690" s="67">
        <f t="shared" si="116"/>
        <v>0</v>
      </c>
      <c r="E690" s="69" t="e">
        <f>HLOOKUP(B690,xHesaplama!$AH$26:$FH$66,38,0)</f>
        <v>#N/A</v>
      </c>
      <c r="F690" s="76">
        <f t="shared" si="112"/>
        <v>0</v>
      </c>
      <c r="G690" s="70">
        <f t="shared" si="117"/>
        <v>0</v>
      </c>
      <c r="H690" s="69" t="str">
        <f t="shared" si="113"/>
        <v/>
      </c>
      <c r="I690" s="145">
        <v>0</v>
      </c>
      <c r="J690" s="619"/>
      <c r="K690" s="81">
        <f>IFERROR(VLOOKUP(B690,'x Malzemeler ve Özellikleri'!$O$1:$Q$181,3,0)*F690,0)</f>
        <v>0</v>
      </c>
    </row>
    <row r="691" spans="1:40" ht="19.5">
      <c r="A691" s="67">
        <f t="shared" si="114"/>
        <v>0</v>
      </c>
      <c r="B691" s="67">
        <f t="shared" si="115"/>
        <v>0</v>
      </c>
      <c r="C691" s="70" t="str">
        <f>IF(VLOOKUP(B691,'x Malzemeler ve Özellikleri'!$B$2:$M$136,12,0)="ALÜMİNYUM",'1PROJE'!$H$23,"")</f>
        <v/>
      </c>
      <c r="D691" s="67">
        <f t="shared" si="116"/>
        <v>0</v>
      </c>
      <c r="E691" s="69" t="e">
        <f>HLOOKUP(B691,xHesaplama!$AH$26:$FH$66,38,0)</f>
        <v>#N/A</v>
      </c>
      <c r="F691" s="76">
        <f t="shared" si="112"/>
        <v>0</v>
      </c>
      <c r="G691" s="70">
        <f t="shared" si="117"/>
        <v>0</v>
      </c>
      <c r="H691" s="69" t="str">
        <f t="shared" si="113"/>
        <v/>
      </c>
      <c r="I691" s="145">
        <v>0</v>
      </c>
      <c r="J691" s="619"/>
      <c r="K691" s="81">
        <f>IFERROR(VLOOKUP(B691,'x Malzemeler ve Özellikleri'!$O$1:$Q$181,3,0)*F691,0)</f>
        <v>0</v>
      </c>
    </row>
    <row r="692" spans="1:40" ht="19.5">
      <c r="A692" s="67">
        <f t="shared" si="114"/>
        <v>0</v>
      </c>
      <c r="B692" s="67">
        <f t="shared" si="115"/>
        <v>0</v>
      </c>
      <c r="C692" s="70" t="str">
        <f>IF(VLOOKUP(B692,'x Malzemeler ve Özellikleri'!$B$2:$M$136,12,0)="ALÜMİNYUM",'1PROJE'!$H$23,"")</f>
        <v/>
      </c>
      <c r="D692" s="67">
        <f t="shared" si="116"/>
        <v>0</v>
      </c>
      <c r="E692" s="69" t="e">
        <f>HLOOKUP(B692,xHesaplama!$AH$26:$FH$66,38,0)</f>
        <v>#N/A</v>
      </c>
      <c r="F692" s="76">
        <f t="shared" si="112"/>
        <v>0</v>
      </c>
      <c r="G692" s="70">
        <f t="shared" si="117"/>
        <v>0</v>
      </c>
      <c r="H692" s="69" t="str">
        <f t="shared" si="113"/>
        <v/>
      </c>
      <c r="I692" s="145">
        <v>0</v>
      </c>
      <c r="J692" s="619"/>
      <c r="K692" s="81">
        <f>IFERROR(VLOOKUP(B692,'x Malzemeler ve Özellikleri'!$O$1:$Q$181,3,0)*F692,0)</f>
        <v>0</v>
      </c>
    </row>
    <row r="693" spans="1:40" ht="19.5">
      <c r="A693" s="67">
        <f t="shared" si="114"/>
        <v>0</v>
      </c>
      <c r="B693" s="67">
        <f t="shared" si="115"/>
        <v>0</v>
      </c>
      <c r="C693" s="70" t="str">
        <f>IF(VLOOKUP(B693,'x Malzemeler ve Özellikleri'!$B$2:$M$136,12,0)="ALÜMİNYUM",'1PROJE'!$H$23,"")</f>
        <v/>
      </c>
      <c r="D693" s="67">
        <f t="shared" si="116"/>
        <v>0</v>
      </c>
      <c r="E693" s="69" t="e">
        <f>HLOOKUP(B693,xHesaplama!$AH$26:$FH$66,38,0)</f>
        <v>#N/A</v>
      </c>
      <c r="F693" s="76">
        <f t="shared" si="112"/>
        <v>0</v>
      </c>
      <c r="G693" s="70">
        <f t="shared" si="117"/>
        <v>0</v>
      </c>
      <c r="H693" s="69" t="str">
        <f t="shared" si="113"/>
        <v/>
      </c>
      <c r="I693" s="145">
        <v>0</v>
      </c>
      <c r="J693" s="619"/>
      <c r="K693" s="81">
        <f>IFERROR(VLOOKUP(B693,'x Malzemeler ve Özellikleri'!$O$1:$Q$181,3,0)*F693,0)</f>
        <v>0</v>
      </c>
    </row>
    <row r="694" spans="1:40" ht="19.5">
      <c r="A694" s="67">
        <f t="shared" si="114"/>
        <v>0</v>
      </c>
      <c r="B694" s="67">
        <f t="shared" si="115"/>
        <v>0</v>
      </c>
      <c r="C694" s="70" t="str">
        <f>IF(VLOOKUP(B694,'x Malzemeler ve Özellikleri'!$B$2:$M$136,12,0)="ALÜMİNYUM",'1PROJE'!$H$23,"")</f>
        <v/>
      </c>
      <c r="D694" s="67">
        <f t="shared" si="116"/>
        <v>0</v>
      </c>
      <c r="E694" s="69" t="e">
        <f>HLOOKUP(B694,xHesaplama!$AH$26:$FH$66,38,0)</f>
        <v>#N/A</v>
      </c>
      <c r="F694" s="76">
        <f t="shared" si="112"/>
        <v>0</v>
      </c>
      <c r="G694" s="70">
        <f t="shared" si="117"/>
        <v>0</v>
      </c>
      <c r="H694" s="69" t="str">
        <f t="shared" si="113"/>
        <v/>
      </c>
      <c r="I694" s="145">
        <v>0</v>
      </c>
      <c r="J694" s="619"/>
      <c r="K694" s="81">
        <f>IFERROR(VLOOKUP(B694,'x Malzemeler ve Özellikleri'!$O$1:$Q$181,3,0)*F694,0)</f>
        <v>0</v>
      </c>
    </row>
    <row r="695" spans="1:40" ht="19.5">
      <c r="A695" s="67">
        <f t="shared" si="114"/>
        <v>0</v>
      </c>
      <c r="B695" s="67">
        <f t="shared" si="115"/>
        <v>0</v>
      </c>
      <c r="C695" s="70" t="str">
        <f>IF(VLOOKUP(B695,'x Malzemeler ve Özellikleri'!$B$2:$M$136,12,0)="ALÜMİNYUM",'1PROJE'!$H$23,"")</f>
        <v/>
      </c>
      <c r="D695" s="67">
        <f t="shared" si="116"/>
        <v>0</v>
      </c>
      <c r="E695" s="69" t="e">
        <f>HLOOKUP(B695,xHesaplama!$AH$26:$FH$66,38,0)</f>
        <v>#N/A</v>
      </c>
      <c r="F695" s="76">
        <f t="shared" si="112"/>
        <v>0</v>
      </c>
      <c r="G695" s="70">
        <f t="shared" si="117"/>
        <v>0</v>
      </c>
      <c r="H695" s="69" t="str">
        <f t="shared" si="113"/>
        <v/>
      </c>
      <c r="I695" s="145">
        <v>0</v>
      </c>
      <c r="J695" s="619"/>
      <c r="K695" s="81">
        <f>IFERROR(VLOOKUP(B695,'x Malzemeler ve Özellikleri'!$O$1:$Q$181,3,0)*F695,0)</f>
        <v>0</v>
      </c>
    </row>
    <row r="696" spans="1:40" ht="19.5">
      <c r="A696" s="67">
        <f t="shared" si="114"/>
        <v>0</v>
      </c>
      <c r="B696" s="67">
        <f t="shared" si="115"/>
        <v>0</v>
      </c>
      <c r="C696" s="70" t="str">
        <f>IF(VLOOKUP(B696,'x Malzemeler ve Özellikleri'!$B$2:$M$136,12,0)="ALÜMİNYUM",'1PROJE'!$H$23,"")</f>
        <v/>
      </c>
      <c r="D696" s="67">
        <f t="shared" si="116"/>
        <v>0</v>
      </c>
      <c r="E696" s="69" t="e">
        <f>HLOOKUP(B696,xHesaplama!$AH$26:$FH$66,38,0)</f>
        <v>#N/A</v>
      </c>
      <c r="F696" s="76">
        <f t="shared" si="112"/>
        <v>0</v>
      </c>
      <c r="G696" s="70">
        <f t="shared" si="117"/>
        <v>0</v>
      </c>
      <c r="H696" s="69" t="str">
        <f t="shared" si="113"/>
        <v/>
      </c>
      <c r="I696" s="145">
        <v>0</v>
      </c>
      <c r="J696" s="619"/>
      <c r="K696" s="81">
        <f>IFERROR(VLOOKUP(B696,'x Malzemeler ve Özellikleri'!$O$1:$Q$181,3,0)*F696,0)</f>
        <v>0</v>
      </c>
    </row>
    <row r="697" spans="1:40" ht="20.25" thickBot="1">
      <c r="A697" s="67">
        <f t="shared" si="114"/>
        <v>0</v>
      </c>
      <c r="B697" s="67">
        <f t="shared" si="115"/>
        <v>0</v>
      </c>
      <c r="C697" s="70" t="str">
        <f>IF(VLOOKUP(B697,'x Malzemeler ve Özellikleri'!$B$2:$M$136,12,0)="ALÜMİNYUM",'1PROJE'!$H$23,"")</f>
        <v/>
      </c>
      <c r="D697" s="67">
        <f t="shared" si="116"/>
        <v>0</v>
      </c>
      <c r="E697" s="69" t="e">
        <f>HLOOKUP(B697,xHesaplama!$AH$26:$FH$66,38,0)</f>
        <v>#N/A</v>
      </c>
      <c r="F697" s="76">
        <f t="shared" si="112"/>
        <v>0</v>
      </c>
      <c r="G697" s="70">
        <f t="shared" si="117"/>
        <v>0</v>
      </c>
      <c r="H697" s="69" t="str">
        <f t="shared" si="113"/>
        <v/>
      </c>
      <c r="I697" s="145">
        <v>0</v>
      </c>
      <c r="J697" s="620"/>
      <c r="K697" s="81">
        <f>IFERROR(VLOOKUP(B697,'x Malzemeler ve Özellikleri'!$O$1:$Q$181,3,0)*F697,0)</f>
        <v>0</v>
      </c>
    </row>
    <row r="698" spans="1:40" ht="30" thickBot="1">
      <c r="A698" s="64" t="str">
        <f>"POZ"&amp;" "&amp;J699</f>
        <v>POZ 18</v>
      </c>
      <c r="C698" s="243">
        <f>xHesaplama!C44</f>
        <v>0</v>
      </c>
      <c r="D698" s="64" t="s">
        <v>357</v>
      </c>
      <c r="F698" s="74"/>
      <c r="G698" s="72" t="s">
        <v>786</v>
      </c>
      <c r="H698" s="65"/>
      <c r="I698" s="71">
        <f>SUM(H700:H738)</f>
        <v>0</v>
      </c>
      <c r="L698" t="str" cm="1">
        <f t="array" ref="L698:AJ698">_xlfn._xlws.FILTER(REÇETE!$D$11:$AB$142,REÇETE!$Z$11:$Z$142&lt;&gt;"","")</f>
        <v>EXCEL KODU</v>
      </c>
      <c r="M698" t="str">
        <v>PARÇA BİRİM</v>
      </c>
      <c r="N698" t="str">
        <v>PARÇA ADI</v>
      </c>
      <c r="O698" t="str">
        <v>MALZEME KODU</v>
      </c>
      <c r="P698" t="str">
        <v>BİRİM FİYAT</v>
      </c>
      <c r="Q698" t="str">
        <v>POZ 1</v>
      </c>
      <c r="R698" t="str">
        <v>POZ 2</v>
      </c>
      <c r="S698" t="str">
        <v>POZ 3</v>
      </c>
      <c r="T698" t="str">
        <v>POZ 4</v>
      </c>
      <c r="U698" t="str">
        <v>POZ 5</v>
      </c>
      <c r="V698" t="str">
        <v>POZ 6</v>
      </c>
      <c r="W698" t="str">
        <v>POZ 7</v>
      </c>
      <c r="X698" t="str">
        <v>POZ 8</v>
      </c>
      <c r="Y698" t="str">
        <v>POZ 9</v>
      </c>
      <c r="Z698" t="str">
        <v>POZ 10</v>
      </c>
      <c r="AA698" t="str">
        <v>POZ 11</v>
      </c>
      <c r="AB698" t="str">
        <v>POZ 12</v>
      </c>
      <c r="AC698" t="str">
        <v>POZ 13</v>
      </c>
      <c r="AD698" t="str">
        <v>POZ 14</v>
      </c>
      <c r="AE698" t="str">
        <v>POZ 15</v>
      </c>
      <c r="AF698" t="str">
        <v>POZ 16</v>
      </c>
      <c r="AG698" t="str">
        <v>POZ 17</v>
      </c>
      <c r="AH698" t="str">
        <v>POZ 18</v>
      </c>
      <c r="AI698" t="str">
        <v>POZ 19</v>
      </c>
      <c r="AJ698" t="str">
        <v>POZ 20</v>
      </c>
    </row>
    <row r="699" spans="1:40">
      <c r="A699" s="66" t="s">
        <v>782</v>
      </c>
      <c r="B699" s="66" t="s">
        <v>409</v>
      </c>
      <c r="C699" s="68"/>
      <c r="D699" s="66" t="s">
        <v>15</v>
      </c>
      <c r="E699" s="68" t="s">
        <v>808</v>
      </c>
      <c r="F699" s="75" t="s">
        <v>785</v>
      </c>
      <c r="G699" s="68" t="s">
        <v>650</v>
      </c>
      <c r="H699" s="68" t="s">
        <v>355</v>
      </c>
      <c r="J699" s="618">
        <v>18</v>
      </c>
      <c r="K699" s="221">
        <f>SUM(K700:K738)</f>
        <v>0</v>
      </c>
    </row>
    <row r="700" spans="1:40" ht="19.5">
      <c r="A700" s="67">
        <f>xHesaplama!H44</f>
        <v>0</v>
      </c>
      <c r="B700" s="67"/>
      <c r="C700" s="70">
        <f>xHesaplama!I44</f>
        <v>0</v>
      </c>
      <c r="D700" s="67">
        <f>xHesaplama!I44</f>
        <v>0</v>
      </c>
      <c r="E700" s="69" t="e">
        <f>xHesaplama!AC44</f>
        <v>#N/A</v>
      </c>
      <c r="F700" s="76">
        <f>xHesaplama!AD44*C698</f>
        <v>0</v>
      </c>
      <c r="G700" s="70" t="s">
        <v>817</v>
      </c>
      <c r="H700" s="69">
        <f t="shared" ref="H700:H701" si="118">IFERROR(E700*F700,0)</f>
        <v>0</v>
      </c>
      <c r="I700" s="145">
        <v>0</v>
      </c>
      <c r="J700" s="619"/>
      <c r="K700" s="81">
        <f>IFERROR(VLOOKUP(A700,'x Malzemeler ve Özellikleri'!$N$1:$Q$181,4,0)*F700,0)</f>
        <v>0</v>
      </c>
      <c r="AN700" s="84" cm="1">
        <f t="array" ref="AN700">_xlfn._xlws.FILTER(A700:I738,I700:I738,0)</f>
        <v>0</v>
      </c>
    </row>
    <row r="701" spans="1:40" ht="19.5">
      <c r="A701" s="67" t="s">
        <v>105</v>
      </c>
      <c r="B701" s="67"/>
      <c r="C701" s="70"/>
      <c r="D701" s="67">
        <f>xHesaplama!J44</f>
        <v>0</v>
      </c>
      <c r="E701" s="69" t="e">
        <f>xHesaplama!AB44</f>
        <v>#N/A</v>
      </c>
      <c r="F701" s="76">
        <f>C698</f>
        <v>0</v>
      </c>
      <c r="G701" s="70" t="s">
        <v>357</v>
      </c>
      <c r="H701" s="69">
        <f t="shared" si="118"/>
        <v>0</v>
      </c>
      <c r="I701" s="145">
        <v>0</v>
      </c>
      <c r="J701" s="619"/>
      <c r="K701" s="81">
        <f>IFERROR(VLOOKUP(D701,'x Malzemeler ve Özellikleri'!$N$1:$Q$181,4,0)*F701,0)</f>
        <v>0</v>
      </c>
    </row>
    <row r="702" spans="1:40" ht="19.5">
      <c r="A702" s="67">
        <f>N699</f>
        <v>0</v>
      </c>
      <c r="B702" s="67">
        <f>L699</f>
        <v>0</v>
      </c>
      <c r="C702" s="70" t="str">
        <f>IF(VLOOKUP(B702,'x Malzemeler ve Özellikleri'!$B$2:$M$136,12,0)="ALÜMİNYUM",'1PROJE'!$H$24,"")</f>
        <v/>
      </c>
      <c r="D702" s="67">
        <f>O699</f>
        <v>0</v>
      </c>
      <c r="E702" s="69" t="e">
        <f>HLOOKUP(B702,xHesaplama!$AH$26:$FH$66,39,0)</f>
        <v>#N/A</v>
      </c>
      <c r="F702" s="76">
        <f t="shared" ref="F702:F738" si="119">AH699*$C$698</f>
        <v>0</v>
      </c>
      <c r="G702" s="70">
        <f>M699</f>
        <v>0</v>
      </c>
      <c r="H702" s="69" t="str">
        <f t="shared" ref="H702:H738" si="120">IFERROR(E702*$C$698,"")</f>
        <v/>
      </c>
      <c r="I702" s="145">
        <v>0</v>
      </c>
      <c r="J702" s="619"/>
      <c r="K702" s="81">
        <f>IFERROR(VLOOKUP(B702,'x Malzemeler ve Özellikleri'!$O$1:$Q$181,3,0)*F702,0)</f>
        <v>0</v>
      </c>
    </row>
    <row r="703" spans="1:40" ht="19.5">
      <c r="A703" s="67">
        <f t="shared" ref="A703:A738" si="121">N700</f>
        <v>0</v>
      </c>
      <c r="B703" s="67">
        <f t="shared" ref="B703:B738" si="122">L700</f>
        <v>0</v>
      </c>
      <c r="C703" s="70" t="str">
        <f>IF(VLOOKUP(B703,'x Malzemeler ve Özellikleri'!$B$2:$M$136,12,0)="ALÜMİNYUM",'1PROJE'!$H$24,"")</f>
        <v/>
      </c>
      <c r="D703" s="67">
        <f t="shared" ref="D703:D738" si="123">O700</f>
        <v>0</v>
      </c>
      <c r="E703" s="69" t="e">
        <f>HLOOKUP(B703,xHesaplama!$AH$26:$FH$66,39,0)</f>
        <v>#N/A</v>
      </c>
      <c r="F703" s="76">
        <f t="shared" si="119"/>
        <v>0</v>
      </c>
      <c r="G703" s="70">
        <f t="shared" ref="G703:G738" si="124">M700</f>
        <v>0</v>
      </c>
      <c r="H703" s="69" t="str">
        <f t="shared" si="120"/>
        <v/>
      </c>
      <c r="I703" s="145">
        <v>0</v>
      </c>
      <c r="J703" s="619"/>
      <c r="K703" s="81">
        <f>IFERROR(VLOOKUP(B703,'x Malzemeler ve Özellikleri'!$O$1:$Q$181,3,0)*F703,0)</f>
        <v>0</v>
      </c>
    </row>
    <row r="704" spans="1:40" ht="19.5">
      <c r="A704" s="67">
        <f t="shared" si="121"/>
        <v>0</v>
      </c>
      <c r="B704" s="67">
        <f t="shared" si="122"/>
        <v>0</v>
      </c>
      <c r="C704" s="70" t="str">
        <f>IF(VLOOKUP(B704,'x Malzemeler ve Özellikleri'!$B$2:$M$136,12,0)="ALÜMİNYUM",'1PROJE'!$H$24,"")</f>
        <v/>
      </c>
      <c r="D704" s="67">
        <f t="shared" si="123"/>
        <v>0</v>
      </c>
      <c r="E704" s="69" t="e">
        <f>HLOOKUP(B704,xHesaplama!$AH$26:$FH$66,39,0)</f>
        <v>#N/A</v>
      </c>
      <c r="F704" s="76">
        <f t="shared" si="119"/>
        <v>0</v>
      </c>
      <c r="G704" s="70">
        <f t="shared" si="124"/>
        <v>0</v>
      </c>
      <c r="H704" s="69" t="str">
        <f t="shared" si="120"/>
        <v/>
      </c>
      <c r="I704" s="145">
        <v>0</v>
      </c>
      <c r="J704" s="619"/>
      <c r="K704" s="81">
        <f>IFERROR(VLOOKUP(B704,'x Malzemeler ve Özellikleri'!$O$1:$Q$181,3,0)*F704,0)</f>
        <v>0</v>
      </c>
    </row>
    <row r="705" spans="1:11" ht="19.5">
      <c r="A705" s="67">
        <f t="shared" si="121"/>
        <v>0</v>
      </c>
      <c r="B705" s="67">
        <f t="shared" si="122"/>
        <v>0</v>
      </c>
      <c r="C705" s="70" t="str">
        <f>IF(VLOOKUP(B705,'x Malzemeler ve Özellikleri'!$B$2:$M$136,12,0)="ALÜMİNYUM",'1PROJE'!$H$24,"")</f>
        <v/>
      </c>
      <c r="D705" s="67">
        <f t="shared" si="123"/>
        <v>0</v>
      </c>
      <c r="E705" s="69" t="e">
        <f>HLOOKUP(B705,xHesaplama!$AH$26:$FH$66,39,0)</f>
        <v>#N/A</v>
      </c>
      <c r="F705" s="76">
        <f t="shared" si="119"/>
        <v>0</v>
      </c>
      <c r="G705" s="70">
        <f t="shared" si="124"/>
        <v>0</v>
      </c>
      <c r="H705" s="69" t="str">
        <f t="shared" si="120"/>
        <v/>
      </c>
      <c r="I705" s="145">
        <v>0</v>
      </c>
      <c r="J705" s="619"/>
      <c r="K705" s="81">
        <f>IFERROR(VLOOKUP(B705,'x Malzemeler ve Özellikleri'!$O$1:$Q$181,3,0)*F705,0)</f>
        <v>0</v>
      </c>
    </row>
    <row r="706" spans="1:11" ht="19.5">
      <c r="A706" s="67">
        <f t="shared" si="121"/>
        <v>0</v>
      </c>
      <c r="B706" s="67">
        <f t="shared" si="122"/>
        <v>0</v>
      </c>
      <c r="C706" s="70" t="str">
        <f>IF(VLOOKUP(B706,'x Malzemeler ve Özellikleri'!$B$2:$M$136,12,0)="ALÜMİNYUM",'1PROJE'!$H$24,"")</f>
        <v/>
      </c>
      <c r="D706" s="67">
        <f t="shared" si="123"/>
        <v>0</v>
      </c>
      <c r="E706" s="69" t="e">
        <f>HLOOKUP(B706,xHesaplama!$AH$26:$FH$66,39,0)</f>
        <v>#N/A</v>
      </c>
      <c r="F706" s="76">
        <f t="shared" si="119"/>
        <v>0</v>
      </c>
      <c r="G706" s="70">
        <f t="shared" si="124"/>
        <v>0</v>
      </c>
      <c r="H706" s="69" t="str">
        <f t="shared" si="120"/>
        <v/>
      </c>
      <c r="I706" s="145">
        <v>0</v>
      </c>
      <c r="J706" s="619"/>
      <c r="K706" s="81">
        <f>IFERROR(VLOOKUP(B706,'x Malzemeler ve Özellikleri'!$O$1:$Q$181,3,0)*F706,0)</f>
        <v>0</v>
      </c>
    </row>
    <row r="707" spans="1:11" ht="19.5">
      <c r="A707" s="67">
        <f t="shared" si="121"/>
        <v>0</v>
      </c>
      <c r="B707" s="67">
        <f t="shared" si="122"/>
        <v>0</v>
      </c>
      <c r="C707" s="70" t="str">
        <f>IF(VLOOKUP(B707,'x Malzemeler ve Özellikleri'!$B$2:$M$136,12,0)="ALÜMİNYUM",'1PROJE'!$H$24,"")</f>
        <v/>
      </c>
      <c r="D707" s="67">
        <f t="shared" si="123"/>
        <v>0</v>
      </c>
      <c r="E707" s="69" t="e">
        <f>HLOOKUP(B707,xHesaplama!$AH$26:$FH$66,39,0)</f>
        <v>#N/A</v>
      </c>
      <c r="F707" s="76">
        <f t="shared" si="119"/>
        <v>0</v>
      </c>
      <c r="G707" s="70">
        <f t="shared" si="124"/>
        <v>0</v>
      </c>
      <c r="H707" s="69" t="str">
        <f t="shared" si="120"/>
        <v/>
      </c>
      <c r="I707" s="145">
        <v>0</v>
      </c>
      <c r="J707" s="619"/>
      <c r="K707" s="81">
        <f>IFERROR(VLOOKUP(B707,'x Malzemeler ve Özellikleri'!$O$1:$Q$181,3,0)*F707,0)</f>
        <v>0</v>
      </c>
    </row>
    <row r="708" spans="1:11" ht="19.5">
      <c r="A708" s="67">
        <f t="shared" si="121"/>
        <v>0</v>
      </c>
      <c r="B708" s="67">
        <f t="shared" si="122"/>
        <v>0</v>
      </c>
      <c r="C708" s="70" t="str">
        <f>IF(VLOOKUP(B708,'x Malzemeler ve Özellikleri'!$B$2:$M$136,12,0)="ALÜMİNYUM",'1PROJE'!$H$24,"")</f>
        <v/>
      </c>
      <c r="D708" s="67">
        <f t="shared" si="123"/>
        <v>0</v>
      </c>
      <c r="E708" s="69" t="e">
        <f>HLOOKUP(B708,xHesaplama!$AH$26:$FH$66,39,0)</f>
        <v>#N/A</v>
      </c>
      <c r="F708" s="76">
        <f t="shared" si="119"/>
        <v>0</v>
      </c>
      <c r="G708" s="70">
        <f t="shared" si="124"/>
        <v>0</v>
      </c>
      <c r="H708" s="69" t="str">
        <f t="shared" si="120"/>
        <v/>
      </c>
      <c r="I708" s="145">
        <v>0</v>
      </c>
      <c r="J708" s="619"/>
      <c r="K708" s="81">
        <f>IFERROR(VLOOKUP(B708,'x Malzemeler ve Özellikleri'!$O$1:$Q$181,3,0)*F708,0)</f>
        <v>0</v>
      </c>
    </row>
    <row r="709" spans="1:11" ht="19.5">
      <c r="A709" s="67">
        <f t="shared" si="121"/>
        <v>0</v>
      </c>
      <c r="B709" s="67">
        <f t="shared" si="122"/>
        <v>0</v>
      </c>
      <c r="C709" s="70" t="str">
        <f>IF(VLOOKUP(B709,'x Malzemeler ve Özellikleri'!$B$2:$M$136,12,0)="ALÜMİNYUM",'1PROJE'!$H$24,"")</f>
        <v/>
      </c>
      <c r="D709" s="67">
        <f t="shared" si="123"/>
        <v>0</v>
      </c>
      <c r="E709" s="69" t="e">
        <f>HLOOKUP(B709,xHesaplama!$AH$26:$FH$66,39,0)</f>
        <v>#N/A</v>
      </c>
      <c r="F709" s="76">
        <f t="shared" si="119"/>
        <v>0</v>
      </c>
      <c r="G709" s="70">
        <f t="shared" si="124"/>
        <v>0</v>
      </c>
      <c r="H709" s="69" t="str">
        <f t="shared" si="120"/>
        <v/>
      </c>
      <c r="I709" s="145">
        <v>0</v>
      </c>
      <c r="J709" s="619"/>
      <c r="K709" s="81">
        <f>IFERROR(VLOOKUP(B709,'x Malzemeler ve Özellikleri'!$O$1:$Q$181,3,0)*F709,0)</f>
        <v>0</v>
      </c>
    </row>
    <row r="710" spans="1:11" ht="19.5">
      <c r="A710" s="67">
        <f t="shared" si="121"/>
        <v>0</v>
      </c>
      <c r="B710" s="67">
        <f t="shared" si="122"/>
        <v>0</v>
      </c>
      <c r="C710" s="70" t="str">
        <f>IF(VLOOKUP(B710,'x Malzemeler ve Özellikleri'!$B$2:$M$136,12,0)="ALÜMİNYUM",'1PROJE'!$H$24,"")</f>
        <v/>
      </c>
      <c r="D710" s="67">
        <f t="shared" si="123"/>
        <v>0</v>
      </c>
      <c r="E710" s="69" t="e">
        <f>HLOOKUP(B710,xHesaplama!$AH$26:$FH$66,39,0)</f>
        <v>#N/A</v>
      </c>
      <c r="F710" s="76">
        <f t="shared" si="119"/>
        <v>0</v>
      </c>
      <c r="G710" s="70">
        <f t="shared" si="124"/>
        <v>0</v>
      </c>
      <c r="H710" s="69" t="str">
        <f t="shared" si="120"/>
        <v/>
      </c>
      <c r="I710" s="145">
        <v>0</v>
      </c>
      <c r="J710" s="619"/>
      <c r="K710" s="81">
        <f>IFERROR(VLOOKUP(B710,'x Malzemeler ve Özellikleri'!$O$1:$Q$181,3,0)*F710,0)</f>
        <v>0</v>
      </c>
    </row>
    <row r="711" spans="1:11" ht="19.5">
      <c r="A711" s="67">
        <f t="shared" si="121"/>
        <v>0</v>
      </c>
      <c r="B711" s="67">
        <f t="shared" si="122"/>
        <v>0</v>
      </c>
      <c r="C711" s="70" t="str">
        <f>IF(VLOOKUP(B711,'x Malzemeler ve Özellikleri'!$B$2:$M$136,12,0)="ALÜMİNYUM",'1PROJE'!$H$24,"")</f>
        <v/>
      </c>
      <c r="D711" s="67">
        <f t="shared" si="123"/>
        <v>0</v>
      </c>
      <c r="E711" s="69" t="e">
        <f>HLOOKUP(B711,xHesaplama!$AH$26:$FH$66,39,0)</f>
        <v>#N/A</v>
      </c>
      <c r="F711" s="76">
        <f t="shared" si="119"/>
        <v>0</v>
      </c>
      <c r="G711" s="70">
        <f t="shared" si="124"/>
        <v>0</v>
      </c>
      <c r="H711" s="69" t="str">
        <f t="shared" si="120"/>
        <v/>
      </c>
      <c r="I711" s="145">
        <v>0</v>
      </c>
      <c r="J711" s="619"/>
      <c r="K711" s="81">
        <f>IFERROR(VLOOKUP(B711,'x Malzemeler ve Özellikleri'!$O$1:$Q$181,3,0)*F711,0)</f>
        <v>0</v>
      </c>
    </row>
    <row r="712" spans="1:11" ht="19.5">
      <c r="A712" s="67">
        <f t="shared" si="121"/>
        <v>0</v>
      </c>
      <c r="B712" s="67">
        <f t="shared" si="122"/>
        <v>0</v>
      </c>
      <c r="C712" s="70" t="str">
        <f>IF(VLOOKUP(B712,'x Malzemeler ve Özellikleri'!$B$2:$M$136,12,0)="ALÜMİNYUM",'1PROJE'!$H$24,"")</f>
        <v/>
      </c>
      <c r="D712" s="67">
        <f t="shared" si="123"/>
        <v>0</v>
      </c>
      <c r="E712" s="69" t="e">
        <f>HLOOKUP(B712,xHesaplama!$AH$26:$FH$66,39,0)</f>
        <v>#N/A</v>
      </c>
      <c r="F712" s="76">
        <f t="shared" si="119"/>
        <v>0</v>
      </c>
      <c r="G712" s="70">
        <f t="shared" si="124"/>
        <v>0</v>
      </c>
      <c r="H712" s="69" t="str">
        <f t="shared" si="120"/>
        <v/>
      </c>
      <c r="I712" s="145">
        <v>0</v>
      </c>
      <c r="J712" s="619"/>
      <c r="K712" s="81">
        <f>IFERROR(VLOOKUP(B712,'x Malzemeler ve Özellikleri'!$O$1:$Q$181,3,0)*F712,0)</f>
        <v>0</v>
      </c>
    </row>
    <row r="713" spans="1:11" ht="19.5">
      <c r="A713" s="67">
        <f t="shared" si="121"/>
        <v>0</v>
      </c>
      <c r="B713" s="67">
        <f t="shared" si="122"/>
        <v>0</v>
      </c>
      <c r="C713" s="70" t="str">
        <f>IF(VLOOKUP(B713,'x Malzemeler ve Özellikleri'!$B$2:$M$136,12,0)="ALÜMİNYUM",'1PROJE'!$H$24,"")</f>
        <v/>
      </c>
      <c r="D713" s="67">
        <f t="shared" si="123"/>
        <v>0</v>
      </c>
      <c r="E713" s="69" t="e">
        <f>HLOOKUP(B713,xHesaplama!$AH$26:$FH$66,39,0)</f>
        <v>#N/A</v>
      </c>
      <c r="F713" s="76">
        <f t="shared" si="119"/>
        <v>0</v>
      </c>
      <c r="G713" s="70">
        <f t="shared" si="124"/>
        <v>0</v>
      </c>
      <c r="H713" s="69" t="str">
        <f t="shared" si="120"/>
        <v/>
      </c>
      <c r="I713" s="145">
        <v>0</v>
      </c>
      <c r="J713" s="619"/>
      <c r="K713" s="81">
        <f>IFERROR(VLOOKUP(B713,'x Malzemeler ve Özellikleri'!$O$1:$Q$181,3,0)*F713,0)</f>
        <v>0</v>
      </c>
    </row>
    <row r="714" spans="1:11" ht="19.5">
      <c r="A714" s="67">
        <f t="shared" si="121"/>
        <v>0</v>
      </c>
      <c r="B714" s="67">
        <f t="shared" si="122"/>
        <v>0</v>
      </c>
      <c r="C714" s="70" t="str">
        <f>IF(VLOOKUP(B714,'x Malzemeler ve Özellikleri'!$B$2:$M$136,12,0)="ALÜMİNYUM",'1PROJE'!$H$24,"")</f>
        <v/>
      </c>
      <c r="D714" s="67">
        <f t="shared" si="123"/>
        <v>0</v>
      </c>
      <c r="E714" s="69" t="e">
        <f>HLOOKUP(B714,xHesaplama!$AH$26:$FH$66,39,0)</f>
        <v>#N/A</v>
      </c>
      <c r="F714" s="76">
        <f t="shared" si="119"/>
        <v>0</v>
      </c>
      <c r="G714" s="70">
        <f t="shared" si="124"/>
        <v>0</v>
      </c>
      <c r="H714" s="69" t="str">
        <f t="shared" si="120"/>
        <v/>
      </c>
      <c r="I714" s="145">
        <v>0</v>
      </c>
      <c r="J714" s="619"/>
      <c r="K714" s="81">
        <f>IFERROR(VLOOKUP(B714,'x Malzemeler ve Özellikleri'!$O$1:$Q$181,3,0)*F714,0)</f>
        <v>0</v>
      </c>
    </row>
    <row r="715" spans="1:11" ht="19.5">
      <c r="A715" s="67">
        <f t="shared" si="121"/>
        <v>0</v>
      </c>
      <c r="B715" s="67">
        <f t="shared" si="122"/>
        <v>0</v>
      </c>
      <c r="C715" s="70" t="str">
        <f>IF(VLOOKUP(B715,'x Malzemeler ve Özellikleri'!$B$2:$M$136,12,0)="ALÜMİNYUM",'1PROJE'!$H$24,"")</f>
        <v/>
      </c>
      <c r="D715" s="67">
        <f t="shared" si="123"/>
        <v>0</v>
      </c>
      <c r="E715" s="69" t="e">
        <f>HLOOKUP(B715,xHesaplama!$AH$26:$FH$66,39,0)</f>
        <v>#N/A</v>
      </c>
      <c r="F715" s="76">
        <f t="shared" si="119"/>
        <v>0</v>
      </c>
      <c r="G715" s="70">
        <f t="shared" si="124"/>
        <v>0</v>
      </c>
      <c r="H715" s="69" t="str">
        <f t="shared" si="120"/>
        <v/>
      </c>
      <c r="I715" s="145">
        <v>0</v>
      </c>
      <c r="J715" s="619"/>
      <c r="K715" s="81">
        <f>IFERROR(VLOOKUP(B715,'x Malzemeler ve Özellikleri'!$O$1:$Q$181,3,0)*F715,0)</f>
        <v>0</v>
      </c>
    </row>
    <row r="716" spans="1:11" ht="19.5">
      <c r="A716" s="67">
        <f t="shared" si="121"/>
        <v>0</v>
      </c>
      <c r="B716" s="67">
        <f t="shared" si="122"/>
        <v>0</v>
      </c>
      <c r="C716" s="70" t="str">
        <f>IF(VLOOKUP(B716,'x Malzemeler ve Özellikleri'!$B$2:$M$136,12,0)="ALÜMİNYUM",'1PROJE'!$H$24,"")</f>
        <v/>
      </c>
      <c r="D716" s="67">
        <f t="shared" si="123"/>
        <v>0</v>
      </c>
      <c r="E716" s="69" t="e">
        <f>HLOOKUP(B716,xHesaplama!$AH$26:$FH$66,39,0)</f>
        <v>#N/A</v>
      </c>
      <c r="F716" s="76">
        <f t="shared" si="119"/>
        <v>0</v>
      </c>
      <c r="G716" s="70">
        <f t="shared" si="124"/>
        <v>0</v>
      </c>
      <c r="H716" s="69" t="str">
        <f t="shared" si="120"/>
        <v/>
      </c>
      <c r="I716" s="145">
        <v>0</v>
      </c>
      <c r="J716" s="619"/>
      <c r="K716" s="81">
        <f>IFERROR(VLOOKUP(B716,'x Malzemeler ve Özellikleri'!$O$1:$Q$181,3,0)*F716,0)</f>
        <v>0</v>
      </c>
    </row>
    <row r="717" spans="1:11" ht="19.5">
      <c r="A717" s="67">
        <f t="shared" si="121"/>
        <v>0</v>
      </c>
      <c r="B717" s="67">
        <f t="shared" si="122"/>
        <v>0</v>
      </c>
      <c r="C717" s="70" t="str">
        <f>IF(VLOOKUP(B717,'x Malzemeler ve Özellikleri'!$B$2:$M$136,12,0)="ALÜMİNYUM",'1PROJE'!$H$24,"")</f>
        <v/>
      </c>
      <c r="D717" s="67">
        <f t="shared" si="123"/>
        <v>0</v>
      </c>
      <c r="E717" s="69" t="e">
        <f>HLOOKUP(B717,xHesaplama!$AH$26:$FH$66,39,0)</f>
        <v>#N/A</v>
      </c>
      <c r="F717" s="76">
        <f t="shared" si="119"/>
        <v>0</v>
      </c>
      <c r="G717" s="70">
        <f t="shared" si="124"/>
        <v>0</v>
      </c>
      <c r="H717" s="69" t="str">
        <f t="shared" si="120"/>
        <v/>
      </c>
      <c r="I717" s="145">
        <v>0</v>
      </c>
      <c r="J717" s="619"/>
      <c r="K717" s="81">
        <f>IFERROR(VLOOKUP(B717,'x Malzemeler ve Özellikleri'!$O$1:$Q$181,3,0)*F717,0)</f>
        <v>0</v>
      </c>
    </row>
    <row r="718" spans="1:11" ht="19.5">
      <c r="A718" s="67">
        <f t="shared" si="121"/>
        <v>0</v>
      </c>
      <c r="B718" s="67">
        <f t="shared" si="122"/>
        <v>0</v>
      </c>
      <c r="C718" s="70" t="str">
        <f>IF(VLOOKUP(B718,'x Malzemeler ve Özellikleri'!$B$2:$M$136,12,0)="ALÜMİNYUM",'1PROJE'!$H$24,"")</f>
        <v/>
      </c>
      <c r="D718" s="67">
        <f t="shared" si="123"/>
        <v>0</v>
      </c>
      <c r="E718" s="69" t="e">
        <f>HLOOKUP(B718,xHesaplama!$AH$26:$FH$66,39,0)</f>
        <v>#N/A</v>
      </c>
      <c r="F718" s="76">
        <f t="shared" si="119"/>
        <v>0</v>
      </c>
      <c r="G718" s="70">
        <f t="shared" si="124"/>
        <v>0</v>
      </c>
      <c r="H718" s="69" t="str">
        <f t="shared" si="120"/>
        <v/>
      </c>
      <c r="I718" s="145">
        <v>0</v>
      </c>
      <c r="J718" s="619"/>
      <c r="K718" s="81">
        <f>IFERROR(VLOOKUP(B718,'x Malzemeler ve Özellikleri'!$O$1:$Q$181,3,0)*F718,0)</f>
        <v>0</v>
      </c>
    </row>
    <row r="719" spans="1:11" ht="19.5">
      <c r="A719" s="67">
        <f t="shared" si="121"/>
        <v>0</v>
      </c>
      <c r="B719" s="67">
        <f t="shared" si="122"/>
        <v>0</v>
      </c>
      <c r="C719" s="70" t="str">
        <f>IF(VLOOKUP(B719,'x Malzemeler ve Özellikleri'!$B$2:$M$136,12,0)="ALÜMİNYUM",'1PROJE'!$H$24,"")</f>
        <v/>
      </c>
      <c r="D719" s="67">
        <f t="shared" si="123"/>
        <v>0</v>
      </c>
      <c r="E719" s="69" t="e">
        <f>HLOOKUP(B719,xHesaplama!$AH$26:$FH$66,39,0)</f>
        <v>#N/A</v>
      </c>
      <c r="F719" s="76">
        <f t="shared" si="119"/>
        <v>0</v>
      </c>
      <c r="G719" s="70">
        <f t="shared" si="124"/>
        <v>0</v>
      </c>
      <c r="H719" s="69" t="str">
        <f t="shared" si="120"/>
        <v/>
      </c>
      <c r="I719" s="145">
        <v>0</v>
      </c>
      <c r="J719" s="619"/>
      <c r="K719" s="81">
        <f>IFERROR(VLOOKUP(B719,'x Malzemeler ve Özellikleri'!$O$1:$Q$181,3,0)*F719,0)</f>
        <v>0</v>
      </c>
    </row>
    <row r="720" spans="1:11" ht="19.5">
      <c r="A720" s="67">
        <f t="shared" si="121"/>
        <v>0</v>
      </c>
      <c r="B720" s="67">
        <f t="shared" si="122"/>
        <v>0</v>
      </c>
      <c r="C720" s="70" t="str">
        <f>IF(VLOOKUP(B720,'x Malzemeler ve Özellikleri'!$B$2:$M$136,12,0)="ALÜMİNYUM",'1PROJE'!$H$24,"")</f>
        <v/>
      </c>
      <c r="D720" s="67">
        <f t="shared" si="123"/>
        <v>0</v>
      </c>
      <c r="E720" s="69" t="e">
        <f>HLOOKUP(B720,xHesaplama!$AH$26:$FH$66,39,0)</f>
        <v>#N/A</v>
      </c>
      <c r="F720" s="76">
        <f t="shared" si="119"/>
        <v>0</v>
      </c>
      <c r="G720" s="70">
        <f t="shared" si="124"/>
        <v>0</v>
      </c>
      <c r="H720" s="69" t="str">
        <f t="shared" si="120"/>
        <v/>
      </c>
      <c r="I720" s="145">
        <v>0</v>
      </c>
      <c r="J720" s="619"/>
      <c r="K720" s="81">
        <f>IFERROR(VLOOKUP(B720,'x Malzemeler ve Özellikleri'!$O$1:$Q$181,3,0)*F720,0)</f>
        <v>0</v>
      </c>
    </row>
    <row r="721" spans="1:11" ht="19.5">
      <c r="A721" s="67">
        <f t="shared" si="121"/>
        <v>0</v>
      </c>
      <c r="B721" s="67">
        <f t="shared" si="122"/>
        <v>0</v>
      </c>
      <c r="C721" s="70" t="str">
        <f>IF(VLOOKUP(B721,'x Malzemeler ve Özellikleri'!$B$2:$M$136,12,0)="ALÜMİNYUM",'1PROJE'!$H$24,"")</f>
        <v/>
      </c>
      <c r="D721" s="67">
        <f t="shared" si="123"/>
        <v>0</v>
      </c>
      <c r="E721" s="69" t="e">
        <f>HLOOKUP(B721,xHesaplama!$AH$26:$FH$66,39,0)</f>
        <v>#N/A</v>
      </c>
      <c r="F721" s="76">
        <f t="shared" si="119"/>
        <v>0</v>
      </c>
      <c r="G721" s="70">
        <f t="shared" si="124"/>
        <v>0</v>
      </c>
      <c r="H721" s="69" t="str">
        <f t="shared" si="120"/>
        <v/>
      </c>
      <c r="I721" s="145">
        <v>0</v>
      </c>
      <c r="J721" s="619"/>
      <c r="K721" s="81">
        <f>IFERROR(VLOOKUP(B721,'x Malzemeler ve Özellikleri'!$O$1:$Q$181,3,0)*F721,0)</f>
        <v>0</v>
      </c>
    </row>
    <row r="722" spans="1:11" ht="19.5">
      <c r="A722" s="67">
        <f t="shared" si="121"/>
        <v>0</v>
      </c>
      <c r="B722" s="67">
        <f t="shared" si="122"/>
        <v>0</v>
      </c>
      <c r="C722" s="70" t="str">
        <f>IF(VLOOKUP(B722,'x Malzemeler ve Özellikleri'!$B$2:$M$136,12,0)="ALÜMİNYUM",'1PROJE'!$H$24,"")</f>
        <v/>
      </c>
      <c r="D722" s="67">
        <f t="shared" si="123"/>
        <v>0</v>
      </c>
      <c r="E722" s="69" t="e">
        <f>HLOOKUP(B722,xHesaplama!$AH$26:$FH$66,39,0)</f>
        <v>#N/A</v>
      </c>
      <c r="F722" s="76">
        <f t="shared" si="119"/>
        <v>0</v>
      </c>
      <c r="G722" s="70">
        <f t="shared" si="124"/>
        <v>0</v>
      </c>
      <c r="H722" s="69" t="str">
        <f t="shared" si="120"/>
        <v/>
      </c>
      <c r="I722" s="145">
        <v>0</v>
      </c>
      <c r="J722" s="619"/>
      <c r="K722" s="81">
        <f>IFERROR(VLOOKUP(B722,'x Malzemeler ve Özellikleri'!$O$1:$Q$181,3,0)*F722,0)</f>
        <v>0</v>
      </c>
    </row>
    <row r="723" spans="1:11" ht="19.5">
      <c r="A723" s="67">
        <f t="shared" si="121"/>
        <v>0</v>
      </c>
      <c r="B723" s="67">
        <f t="shared" si="122"/>
        <v>0</v>
      </c>
      <c r="C723" s="70" t="str">
        <f>IF(VLOOKUP(B723,'x Malzemeler ve Özellikleri'!$B$2:$M$136,12,0)="ALÜMİNYUM",'1PROJE'!$H$24,"")</f>
        <v/>
      </c>
      <c r="D723" s="67">
        <f t="shared" si="123"/>
        <v>0</v>
      </c>
      <c r="E723" s="69" t="e">
        <f>HLOOKUP(B723,xHesaplama!$AH$26:$FH$66,39,0)</f>
        <v>#N/A</v>
      </c>
      <c r="F723" s="76">
        <f t="shared" si="119"/>
        <v>0</v>
      </c>
      <c r="G723" s="70">
        <f t="shared" si="124"/>
        <v>0</v>
      </c>
      <c r="H723" s="69" t="str">
        <f t="shared" si="120"/>
        <v/>
      </c>
      <c r="I723" s="145">
        <v>0</v>
      </c>
      <c r="J723" s="619"/>
      <c r="K723" s="81">
        <f>IFERROR(VLOOKUP(B723,'x Malzemeler ve Özellikleri'!$O$1:$Q$181,3,0)*F723,0)</f>
        <v>0</v>
      </c>
    </row>
    <row r="724" spans="1:11" ht="19.5">
      <c r="A724" s="67">
        <f t="shared" si="121"/>
        <v>0</v>
      </c>
      <c r="B724" s="67">
        <f t="shared" si="122"/>
        <v>0</v>
      </c>
      <c r="C724" s="70" t="str">
        <f>IF(VLOOKUP(B724,'x Malzemeler ve Özellikleri'!$B$2:$M$136,12,0)="ALÜMİNYUM",'1PROJE'!$H$24,"")</f>
        <v/>
      </c>
      <c r="D724" s="67">
        <f t="shared" si="123"/>
        <v>0</v>
      </c>
      <c r="E724" s="69" t="e">
        <f>HLOOKUP(B724,xHesaplama!$AH$26:$FH$66,39,0)</f>
        <v>#N/A</v>
      </c>
      <c r="F724" s="76">
        <f t="shared" si="119"/>
        <v>0</v>
      </c>
      <c r="G724" s="70">
        <f t="shared" si="124"/>
        <v>0</v>
      </c>
      <c r="H724" s="69" t="str">
        <f t="shared" si="120"/>
        <v/>
      </c>
      <c r="I724" s="145">
        <v>0</v>
      </c>
      <c r="J724" s="619"/>
      <c r="K724" s="81">
        <f>IFERROR(VLOOKUP(B724,'x Malzemeler ve Özellikleri'!$O$1:$Q$181,3,0)*F724,0)</f>
        <v>0</v>
      </c>
    </row>
    <row r="725" spans="1:11" ht="19.5">
      <c r="A725" s="67">
        <f t="shared" si="121"/>
        <v>0</v>
      </c>
      <c r="B725" s="67">
        <f t="shared" si="122"/>
        <v>0</v>
      </c>
      <c r="C725" s="70" t="str">
        <f>IF(VLOOKUP(B725,'x Malzemeler ve Özellikleri'!$B$2:$M$136,12,0)="ALÜMİNYUM",'1PROJE'!$H$24,"")</f>
        <v/>
      </c>
      <c r="D725" s="67">
        <f t="shared" si="123"/>
        <v>0</v>
      </c>
      <c r="E725" s="69" t="e">
        <f>HLOOKUP(B725,xHesaplama!$AH$26:$FH$66,39,0)</f>
        <v>#N/A</v>
      </c>
      <c r="F725" s="76">
        <f t="shared" si="119"/>
        <v>0</v>
      </c>
      <c r="G725" s="70">
        <f t="shared" si="124"/>
        <v>0</v>
      </c>
      <c r="H725" s="69" t="str">
        <f t="shared" si="120"/>
        <v/>
      </c>
      <c r="I725" s="145">
        <v>0</v>
      </c>
      <c r="J725" s="619"/>
      <c r="K725" s="81">
        <f>IFERROR(VLOOKUP(B725,'x Malzemeler ve Özellikleri'!$O$1:$Q$181,3,0)*F725,0)</f>
        <v>0</v>
      </c>
    </row>
    <row r="726" spans="1:11" ht="19.5">
      <c r="A726" s="67">
        <f t="shared" si="121"/>
        <v>0</v>
      </c>
      <c r="B726" s="67">
        <f t="shared" si="122"/>
        <v>0</v>
      </c>
      <c r="C726" s="70" t="str">
        <f>IF(VLOOKUP(B726,'x Malzemeler ve Özellikleri'!$B$2:$M$136,12,0)="ALÜMİNYUM",'1PROJE'!$H$24,"")</f>
        <v/>
      </c>
      <c r="D726" s="67">
        <f t="shared" si="123"/>
        <v>0</v>
      </c>
      <c r="E726" s="69" t="e">
        <f>HLOOKUP(B726,xHesaplama!$AH$26:$FH$66,39,0)</f>
        <v>#N/A</v>
      </c>
      <c r="F726" s="76">
        <f t="shared" si="119"/>
        <v>0</v>
      </c>
      <c r="G726" s="70">
        <f t="shared" si="124"/>
        <v>0</v>
      </c>
      <c r="H726" s="69" t="str">
        <f t="shared" si="120"/>
        <v/>
      </c>
      <c r="I726" s="145">
        <v>0</v>
      </c>
      <c r="J726" s="619"/>
      <c r="K726" s="81">
        <f>IFERROR(VLOOKUP(B726,'x Malzemeler ve Özellikleri'!$O$1:$Q$181,3,0)*F726,0)</f>
        <v>0</v>
      </c>
    </row>
    <row r="727" spans="1:11" ht="19.5">
      <c r="A727" s="67">
        <f t="shared" si="121"/>
        <v>0</v>
      </c>
      <c r="B727" s="67">
        <f t="shared" si="122"/>
        <v>0</v>
      </c>
      <c r="C727" s="70" t="str">
        <f>IF(VLOOKUP(B727,'x Malzemeler ve Özellikleri'!$B$2:$M$136,12,0)="ALÜMİNYUM",'1PROJE'!$H$24,"")</f>
        <v/>
      </c>
      <c r="D727" s="67">
        <f t="shared" si="123"/>
        <v>0</v>
      </c>
      <c r="E727" s="69" t="e">
        <f>HLOOKUP(B727,xHesaplama!$AH$26:$FH$66,39,0)</f>
        <v>#N/A</v>
      </c>
      <c r="F727" s="76">
        <f t="shared" si="119"/>
        <v>0</v>
      </c>
      <c r="G727" s="70">
        <f t="shared" si="124"/>
        <v>0</v>
      </c>
      <c r="H727" s="69" t="str">
        <f t="shared" si="120"/>
        <v/>
      </c>
      <c r="I727" s="145">
        <v>0</v>
      </c>
      <c r="J727" s="619"/>
      <c r="K727" s="81">
        <f>IFERROR(VLOOKUP(B727,'x Malzemeler ve Özellikleri'!$O$1:$Q$181,3,0)*F727,0)</f>
        <v>0</v>
      </c>
    </row>
    <row r="728" spans="1:11" ht="19.5">
      <c r="A728" s="67">
        <f t="shared" si="121"/>
        <v>0</v>
      </c>
      <c r="B728" s="67">
        <f t="shared" si="122"/>
        <v>0</v>
      </c>
      <c r="C728" s="70" t="str">
        <f>IF(VLOOKUP(B728,'x Malzemeler ve Özellikleri'!$B$2:$M$136,12,0)="ALÜMİNYUM",'1PROJE'!$H$24,"")</f>
        <v/>
      </c>
      <c r="D728" s="67">
        <f t="shared" si="123"/>
        <v>0</v>
      </c>
      <c r="E728" s="69" t="e">
        <f>HLOOKUP(B728,xHesaplama!$AH$26:$FH$66,39,0)</f>
        <v>#N/A</v>
      </c>
      <c r="F728" s="76">
        <f t="shared" si="119"/>
        <v>0</v>
      </c>
      <c r="G728" s="70">
        <f t="shared" si="124"/>
        <v>0</v>
      </c>
      <c r="H728" s="69" t="str">
        <f t="shared" si="120"/>
        <v/>
      </c>
      <c r="I728" s="145">
        <v>0</v>
      </c>
      <c r="J728" s="619"/>
      <c r="K728" s="81">
        <f>IFERROR(VLOOKUP(B728,'x Malzemeler ve Özellikleri'!$O$1:$Q$181,3,0)*F728,0)</f>
        <v>0</v>
      </c>
    </row>
    <row r="729" spans="1:11" ht="19.5">
      <c r="A729" s="67">
        <f t="shared" si="121"/>
        <v>0</v>
      </c>
      <c r="B729" s="67">
        <f t="shared" si="122"/>
        <v>0</v>
      </c>
      <c r="C729" s="70" t="str">
        <f>IF(VLOOKUP(B729,'x Malzemeler ve Özellikleri'!$B$2:$M$136,12,0)="ALÜMİNYUM",'1PROJE'!$H$24,"")</f>
        <v/>
      </c>
      <c r="D729" s="67">
        <f t="shared" si="123"/>
        <v>0</v>
      </c>
      <c r="E729" s="69" t="e">
        <f>HLOOKUP(B729,xHesaplama!$AH$26:$FH$66,39,0)</f>
        <v>#N/A</v>
      </c>
      <c r="F729" s="76">
        <f t="shared" si="119"/>
        <v>0</v>
      </c>
      <c r="G729" s="70">
        <f t="shared" si="124"/>
        <v>0</v>
      </c>
      <c r="H729" s="69" t="str">
        <f t="shared" si="120"/>
        <v/>
      </c>
      <c r="I729" s="145">
        <v>0</v>
      </c>
      <c r="J729" s="619"/>
      <c r="K729" s="81">
        <f>IFERROR(VLOOKUP(B729,'x Malzemeler ve Özellikleri'!$O$1:$Q$181,3,0)*F729,0)</f>
        <v>0</v>
      </c>
    </row>
    <row r="730" spans="1:11" ht="19.5">
      <c r="A730" s="67">
        <f t="shared" si="121"/>
        <v>0</v>
      </c>
      <c r="B730" s="67">
        <f t="shared" si="122"/>
        <v>0</v>
      </c>
      <c r="C730" s="70" t="str">
        <f>IF(VLOOKUP(B730,'x Malzemeler ve Özellikleri'!$B$2:$M$136,12,0)="ALÜMİNYUM",'1PROJE'!$H$24,"")</f>
        <v/>
      </c>
      <c r="D730" s="67">
        <f t="shared" si="123"/>
        <v>0</v>
      </c>
      <c r="E730" s="69" t="e">
        <f>HLOOKUP(B730,xHesaplama!$AH$26:$FH$66,39,0)</f>
        <v>#N/A</v>
      </c>
      <c r="F730" s="76">
        <f t="shared" si="119"/>
        <v>0</v>
      </c>
      <c r="G730" s="70">
        <f t="shared" si="124"/>
        <v>0</v>
      </c>
      <c r="H730" s="69" t="str">
        <f t="shared" si="120"/>
        <v/>
      </c>
      <c r="I730" s="145">
        <v>0</v>
      </c>
      <c r="J730" s="619"/>
      <c r="K730" s="81">
        <f>IFERROR(VLOOKUP(B730,'x Malzemeler ve Özellikleri'!$O$1:$Q$181,3,0)*F730,0)</f>
        <v>0</v>
      </c>
    </row>
    <row r="731" spans="1:11" ht="19.5">
      <c r="A731" s="67">
        <f t="shared" si="121"/>
        <v>0</v>
      </c>
      <c r="B731" s="67">
        <f t="shared" si="122"/>
        <v>0</v>
      </c>
      <c r="C731" s="70" t="str">
        <f>IF(VLOOKUP(B731,'x Malzemeler ve Özellikleri'!$B$2:$M$136,12,0)="ALÜMİNYUM",'1PROJE'!$H$24,"")</f>
        <v/>
      </c>
      <c r="D731" s="67">
        <f t="shared" si="123"/>
        <v>0</v>
      </c>
      <c r="E731" s="69" t="e">
        <f>HLOOKUP(B731,xHesaplama!$AH$26:$FH$66,39,0)</f>
        <v>#N/A</v>
      </c>
      <c r="F731" s="76">
        <f t="shared" si="119"/>
        <v>0</v>
      </c>
      <c r="G731" s="70">
        <f t="shared" si="124"/>
        <v>0</v>
      </c>
      <c r="H731" s="69" t="str">
        <f t="shared" si="120"/>
        <v/>
      </c>
      <c r="I731" s="145">
        <v>0</v>
      </c>
      <c r="J731" s="619"/>
      <c r="K731" s="81">
        <f>IFERROR(VLOOKUP(B731,'x Malzemeler ve Özellikleri'!$O$1:$Q$181,3,0)*F731,0)</f>
        <v>0</v>
      </c>
    </row>
    <row r="732" spans="1:11" ht="19.5">
      <c r="A732" s="67">
        <f t="shared" si="121"/>
        <v>0</v>
      </c>
      <c r="B732" s="67">
        <f t="shared" si="122"/>
        <v>0</v>
      </c>
      <c r="C732" s="70" t="str">
        <f>IF(VLOOKUP(B732,'x Malzemeler ve Özellikleri'!$B$2:$M$136,12,0)="ALÜMİNYUM",'1PROJE'!$H$24,"")</f>
        <v/>
      </c>
      <c r="D732" s="67">
        <f t="shared" si="123"/>
        <v>0</v>
      </c>
      <c r="E732" s="69" t="e">
        <f>HLOOKUP(B732,xHesaplama!$AH$26:$FH$66,39,0)</f>
        <v>#N/A</v>
      </c>
      <c r="F732" s="76">
        <f t="shared" si="119"/>
        <v>0</v>
      </c>
      <c r="G732" s="70">
        <f t="shared" si="124"/>
        <v>0</v>
      </c>
      <c r="H732" s="69" t="str">
        <f t="shared" si="120"/>
        <v/>
      </c>
      <c r="I732" s="145">
        <v>0</v>
      </c>
      <c r="J732" s="619"/>
      <c r="K732" s="81">
        <f>IFERROR(VLOOKUP(B732,'x Malzemeler ve Özellikleri'!$O$1:$Q$181,3,0)*F732,0)</f>
        <v>0</v>
      </c>
    </row>
    <row r="733" spans="1:11" ht="19.5">
      <c r="A733" s="67">
        <f t="shared" si="121"/>
        <v>0</v>
      </c>
      <c r="B733" s="67">
        <f t="shared" si="122"/>
        <v>0</v>
      </c>
      <c r="C733" s="70" t="str">
        <f>IF(VLOOKUP(B733,'x Malzemeler ve Özellikleri'!$B$2:$M$136,12,0)="ALÜMİNYUM",'1PROJE'!$H$24,"")</f>
        <v/>
      </c>
      <c r="D733" s="67">
        <f t="shared" si="123"/>
        <v>0</v>
      </c>
      <c r="E733" s="69" t="e">
        <f>HLOOKUP(B733,xHesaplama!$AH$26:$FH$66,39,0)</f>
        <v>#N/A</v>
      </c>
      <c r="F733" s="76">
        <f t="shared" si="119"/>
        <v>0</v>
      </c>
      <c r="G733" s="70">
        <f t="shared" si="124"/>
        <v>0</v>
      </c>
      <c r="H733" s="69" t="str">
        <f t="shared" si="120"/>
        <v/>
      </c>
      <c r="I733" s="145">
        <v>0</v>
      </c>
      <c r="J733" s="619"/>
      <c r="K733" s="81">
        <f>IFERROR(VLOOKUP(B733,'x Malzemeler ve Özellikleri'!$O$1:$Q$181,3,0)*F733,0)</f>
        <v>0</v>
      </c>
    </row>
    <row r="734" spans="1:11" ht="19.5">
      <c r="A734" s="67">
        <f t="shared" si="121"/>
        <v>0</v>
      </c>
      <c r="B734" s="67">
        <f t="shared" si="122"/>
        <v>0</v>
      </c>
      <c r="C734" s="70" t="str">
        <f>IF(VLOOKUP(B734,'x Malzemeler ve Özellikleri'!$B$2:$M$136,12,0)="ALÜMİNYUM",'1PROJE'!$H$24,"")</f>
        <v/>
      </c>
      <c r="D734" s="67">
        <f t="shared" si="123"/>
        <v>0</v>
      </c>
      <c r="E734" s="69" t="e">
        <f>HLOOKUP(B734,xHesaplama!$AH$26:$FH$66,39,0)</f>
        <v>#N/A</v>
      </c>
      <c r="F734" s="76">
        <f t="shared" si="119"/>
        <v>0</v>
      </c>
      <c r="G734" s="70">
        <f t="shared" si="124"/>
        <v>0</v>
      </c>
      <c r="H734" s="69" t="str">
        <f t="shared" si="120"/>
        <v/>
      </c>
      <c r="I734" s="145">
        <v>0</v>
      </c>
      <c r="J734" s="619"/>
      <c r="K734" s="81">
        <f>IFERROR(VLOOKUP(B734,'x Malzemeler ve Özellikleri'!$O$1:$Q$181,3,0)*F734,0)</f>
        <v>0</v>
      </c>
    </row>
    <row r="735" spans="1:11" ht="19.5">
      <c r="A735" s="67">
        <f t="shared" si="121"/>
        <v>0</v>
      </c>
      <c r="B735" s="67">
        <f t="shared" si="122"/>
        <v>0</v>
      </c>
      <c r="C735" s="70" t="str">
        <f>IF(VLOOKUP(B735,'x Malzemeler ve Özellikleri'!$B$2:$M$136,12,0)="ALÜMİNYUM",'1PROJE'!$H$24,"")</f>
        <v/>
      </c>
      <c r="D735" s="67">
        <f t="shared" si="123"/>
        <v>0</v>
      </c>
      <c r="E735" s="69" t="e">
        <f>HLOOKUP(B735,xHesaplama!$AH$26:$FH$66,39,0)</f>
        <v>#N/A</v>
      </c>
      <c r="F735" s="76">
        <f t="shared" si="119"/>
        <v>0</v>
      </c>
      <c r="G735" s="70">
        <f t="shared" si="124"/>
        <v>0</v>
      </c>
      <c r="H735" s="69" t="str">
        <f t="shared" si="120"/>
        <v/>
      </c>
      <c r="I735" s="145">
        <v>0</v>
      </c>
      <c r="J735" s="619"/>
      <c r="K735" s="81">
        <f>IFERROR(VLOOKUP(B735,'x Malzemeler ve Özellikleri'!$O$1:$Q$181,3,0)*F735,0)</f>
        <v>0</v>
      </c>
    </row>
    <row r="736" spans="1:11" ht="19.5">
      <c r="A736" s="67">
        <f t="shared" si="121"/>
        <v>0</v>
      </c>
      <c r="B736" s="67">
        <f t="shared" si="122"/>
        <v>0</v>
      </c>
      <c r="C736" s="70" t="str">
        <f>IF(VLOOKUP(B736,'x Malzemeler ve Özellikleri'!$B$2:$M$136,12,0)="ALÜMİNYUM",'1PROJE'!$H$24,"")</f>
        <v/>
      </c>
      <c r="D736" s="67">
        <f t="shared" si="123"/>
        <v>0</v>
      </c>
      <c r="E736" s="69" t="e">
        <f>HLOOKUP(B736,xHesaplama!$AH$26:$FH$66,39,0)</f>
        <v>#N/A</v>
      </c>
      <c r="F736" s="76">
        <f t="shared" si="119"/>
        <v>0</v>
      </c>
      <c r="G736" s="70">
        <f t="shared" si="124"/>
        <v>0</v>
      </c>
      <c r="H736" s="69" t="str">
        <f t="shared" si="120"/>
        <v/>
      </c>
      <c r="I736" s="145">
        <v>0</v>
      </c>
      <c r="J736" s="619"/>
      <c r="K736" s="81">
        <f>IFERROR(VLOOKUP(B736,'x Malzemeler ve Özellikleri'!$O$1:$Q$181,3,0)*F736,0)</f>
        <v>0</v>
      </c>
    </row>
    <row r="737" spans="1:40" ht="19.5">
      <c r="A737" s="67">
        <f t="shared" si="121"/>
        <v>0</v>
      </c>
      <c r="B737" s="67">
        <f t="shared" si="122"/>
        <v>0</v>
      </c>
      <c r="C737" s="70" t="str">
        <f>IF(VLOOKUP(B737,'x Malzemeler ve Özellikleri'!$B$2:$M$136,12,0)="ALÜMİNYUM",'1PROJE'!$H$24,"")</f>
        <v/>
      </c>
      <c r="D737" s="67">
        <f t="shared" si="123"/>
        <v>0</v>
      </c>
      <c r="E737" s="69" t="e">
        <f>HLOOKUP(B737,xHesaplama!$AH$26:$FH$66,39,0)</f>
        <v>#N/A</v>
      </c>
      <c r="F737" s="76">
        <f t="shared" si="119"/>
        <v>0</v>
      </c>
      <c r="G737" s="70">
        <f t="shared" si="124"/>
        <v>0</v>
      </c>
      <c r="H737" s="69" t="str">
        <f t="shared" si="120"/>
        <v/>
      </c>
      <c r="I737" s="145">
        <v>0</v>
      </c>
      <c r="J737" s="619"/>
      <c r="K737" s="81">
        <f>IFERROR(VLOOKUP(B737,'x Malzemeler ve Özellikleri'!$O$1:$Q$181,3,0)*F737,0)</f>
        <v>0</v>
      </c>
    </row>
    <row r="738" spans="1:40" ht="20.25" thickBot="1">
      <c r="A738" s="67">
        <f t="shared" si="121"/>
        <v>0</v>
      </c>
      <c r="B738" s="67">
        <f t="shared" si="122"/>
        <v>0</v>
      </c>
      <c r="C738" s="70" t="str">
        <f>IF(VLOOKUP(B738,'x Malzemeler ve Özellikleri'!$B$2:$M$136,12,0)="ALÜMİNYUM",'1PROJE'!$H$24,"")</f>
        <v/>
      </c>
      <c r="D738" s="67">
        <f t="shared" si="123"/>
        <v>0</v>
      </c>
      <c r="E738" s="69" t="e">
        <f>HLOOKUP(B738,xHesaplama!$AH$26:$FH$66,39,0)</f>
        <v>#N/A</v>
      </c>
      <c r="F738" s="76">
        <f t="shared" si="119"/>
        <v>0</v>
      </c>
      <c r="G738" s="70">
        <f t="shared" si="124"/>
        <v>0</v>
      </c>
      <c r="H738" s="69" t="str">
        <f t="shared" si="120"/>
        <v/>
      </c>
      <c r="I738" s="145">
        <v>0</v>
      </c>
      <c r="J738" s="620"/>
      <c r="K738" s="81">
        <f>IFERROR(VLOOKUP(B738,'x Malzemeler ve Özellikleri'!$O$1:$Q$181,3,0)*F738,0)</f>
        <v>0</v>
      </c>
    </row>
    <row r="739" spans="1:40" ht="30" thickBot="1">
      <c r="A739" s="64" t="str">
        <f>"POZ"&amp;" "&amp;J740</f>
        <v>POZ 19</v>
      </c>
      <c r="C739" s="243">
        <f>xHesaplama!C45</f>
        <v>0</v>
      </c>
      <c r="D739" s="64" t="s">
        <v>357</v>
      </c>
      <c r="F739" s="74"/>
      <c r="G739" s="72" t="s">
        <v>786</v>
      </c>
      <c r="H739" s="65"/>
      <c r="I739" s="71">
        <f>SUM(H741:H779)</f>
        <v>0</v>
      </c>
      <c r="L739" t="str" cm="1">
        <f t="array" ref="L739:AJ739">_xlfn._xlws.FILTER(REÇETE!$D$11:$AB$142,REÇETE!$AA$11:$AA$142&lt;&gt;"","")</f>
        <v>EXCEL KODU</v>
      </c>
      <c r="M739" t="str">
        <v>PARÇA BİRİM</v>
      </c>
      <c r="N739" t="str">
        <v>PARÇA ADI</v>
      </c>
      <c r="O739" t="str">
        <v>MALZEME KODU</v>
      </c>
      <c r="P739" t="str">
        <v>BİRİM FİYAT</v>
      </c>
      <c r="Q739" t="str">
        <v>POZ 1</v>
      </c>
      <c r="R739" t="str">
        <v>POZ 2</v>
      </c>
      <c r="S739" t="str">
        <v>POZ 3</v>
      </c>
      <c r="T739" t="str">
        <v>POZ 4</v>
      </c>
      <c r="U739" t="str">
        <v>POZ 5</v>
      </c>
      <c r="V739" t="str">
        <v>POZ 6</v>
      </c>
      <c r="W739" t="str">
        <v>POZ 7</v>
      </c>
      <c r="X739" t="str">
        <v>POZ 8</v>
      </c>
      <c r="Y739" t="str">
        <v>POZ 9</v>
      </c>
      <c r="Z739" t="str">
        <v>POZ 10</v>
      </c>
      <c r="AA739" t="str">
        <v>POZ 11</v>
      </c>
      <c r="AB739" t="str">
        <v>POZ 12</v>
      </c>
      <c r="AC739" t="str">
        <v>POZ 13</v>
      </c>
      <c r="AD739" t="str">
        <v>POZ 14</v>
      </c>
      <c r="AE739" t="str">
        <v>POZ 15</v>
      </c>
      <c r="AF739" t="str">
        <v>POZ 16</v>
      </c>
      <c r="AG739" t="str">
        <v>POZ 17</v>
      </c>
      <c r="AH739" t="str">
        <v>POZ 18</v>
      </c>
      <c r="AI739" t="str">
        <v>POZ 19</v>
      </c>
      <c r="AJ739" t="str">
        <v>POZ 20</v>
      </c>
    </row>
    <row r="740" spans="1:40">
      <c r="A740" s="66" t="s">
        <v>782</v>
      </c>
      <c r="B740" s="66" t="s">
        <v>409</v>
      </c>
      <c r="C740" s="68"/>
      <c r="D740" s="66" t="s">
        <v>15</v>
      </c>
      <c r="E740" s="68" t="s">
        <v>808</v>
      </c>
      <c r="F740" s="75" t="s">
        <v>785</v>
      </c>
      <c r="G740" s="68" t="s">
        <v>650</v>
      </c>
      <c r="H740" s="68" t="s">
        <v>355</v>
      </c>
      <c r="J740" s="618">
        <v>19</v>
      </c>
      <c r="K740" s="221">
        <f>SUM(K741:K779)</f>
        <v>0</v>
      </c>
    </row>
    <row r="741" spans="1:40" ht="19.5">
      <c r="A741" s="67">
        <f>xHesaplama!H45</f>
        <v>0</v>
      </c>
      <c r="B741" s="67"/>
      <c r="C741" s="70">
        <f>xHesaplama!I45</f>
        <v>0</v>
      </c>
      <c r="D741" s="67">
        <f>xHesaplama!I45</f>
        <v>0</v>
      </c>
      <c r="E741" s="69" t="e">
        <f>xHesaplama!AC45</f>
        <v>#N/A</v>
      </c>
      <c r="F741" s="76">
        <f>xHesaplama!AD45*C739</f>
        <v>0</v>
      </c>
      <c r="G741" s="70" t="s">
        <v>817</v>
      </c>
      <c r="H741" s="69">
        <f t="shared" ref="H741:H742" si="125">IFERROR(E741*F741,0)</f>
        <v>0</v>
      </c>
      <c r="I741" s="145">
        <v>0</v>
      </c>
      <c r="J741" s="619"/>
      <c r="K741" s="81">
        <f>IFERROR(VLOOKUP(A741,'x Malzemeler ve Özellikleri'!$N$1:$Q$181,4,0)*F741,0)</f>
        <v>0</v>
      </c>
      <c r="AN741" s="84" cm="1">
        <f t="array" ref="AN741">_xlfn._xlws.FILTER(A741:I779,I741:I779,0)</f>
        <v>0</v>
      </c>
    </row>
    <row r="742" spans="1:40" ht="19.5">
      <c r="A742" s="67" t="s">
        <v>105</v>
      </c>
      <c r="B742" s="67"/>
      <c r="C742" s="70"/>
      <c r="D742" s="67">
        <f>xHesaplama!J45</f>
        <v>0</v>
      </c>
      <c r="E742" s="69" t="e">
        <f>xHesaplama!AB45</f>
        <v>#N/A</v>
      </c>
      <c r="F742" s="76">
        <f>C739</f>
        <v>0</v>
      </c>
      <c r="G742" s="70" t="s">
        <v>357</v>
      </c>
      <c r="H742" s="69">
        <f t="shared" si="125"/>
        <v>0</v>
      </c>
      <c r="I742" s="145">
        <v>0</v>
      </c>
      <c r="J742" s="619"/>
      <c r="K742" s="81">
        <f>IFERROR(VLOOKUP(D742,'x Malzemeler ve Özellikleri'!$N$1:$Q$181,4,0)*F742,0)</f>
        <v>0</v>
      </c>
    </row>
    <row r="743" spans="1:40" ht="19.5">
      <c r="A743" s="67">
        <f>N740</f>
        <v>0</v>
      </c>
      <c r="B743" s="67">
        <f>L740</f>
        <v>0</v>
      </c>
      <c r="C743" s="70" t="str">
        <f>IF(VLOOKUP(B743,'x Malzemeler ve Özellikleri'!$B$2:$M$136,12,0)="ALÜMİNYUM",'1PROJE'!$H$25,"")</f>
        <v/>
      </c>
      <c r="D743" s="67">
        <f>O740</f>
        <v>0</v>
      </c>
      <c r="E743" s="69" t="e">
        <f>HLOOKUP(B743,xHesaplama!$AH$26:$FH$66,40,0)</f>
        <v>#N/A</v>
      </c>
      <c r="F743" s="76">
        <f t="shared" ref="F743:F779" si="126">AI740*$C$739</f>
        <v>0</v>
      </c>
      <c r="G743" s="70">
        <f>M740</f>
        <v>0</v>
      </c>
      <c r="H743" s="69" t="str">
        <f t="shared" ref="H743:H779" si="127">IFERROR(E743*$C$739,"")</f>
        <v/>
      </c>
      <c r="I743" s="145">
        <v>0</v>
      </c>
      <c r="J743" s="619"/>
      <c r="K743" s="81">
        <f>IFERROR(VLOOKUP(B743,'x Malzemeler ve Özellikleri'!$O$1:$Q$181,3,0)*F743,0)</f>
        <v>0</v>
      </c>
    </row>
    <row r="744" spans="1:40" ht="19.5">
      <c r="A744" s="67">
        <f t="shared" ref="A744:A779" si="128">N741</f>
        <v>0</v>
      </c>
      <c r="B744" s="67">
        <f t="shared" ref="B744:B779" si="129">L741</f>
        <v>0</v>
      </c>
      <c r="C744" s="70" t="str">
        <f>IF(VLOOKUP(B744,'x Malzemeler ve Özellikleri'!$B$2:$M$136,12,0)="ALÜMİNYUM",'1PROJE'!$H$25,"")</f>
        <v/>
      </c>
      <c r="D744" s="67">
        <f t="shared" ref="D744:D779" si="130">O741</f>
        <v>0</v>
      </c>
      <c r="E744" s="69" t="e">
        <f>HLOOKUP(B744,xHesaplama!$AH$26:$FH$66,40,0)</f>
        <v>#N/A</v>
      </c>
      <c r="F744" s="76">
        <f t="shared" si="126"/>
        <v>0</v>
      </c>
      <c r="G744" s="70">
        <f t="shared" ref="G744:G779" si="131">M741</f>
        <v>0</v>
      </c>
      <c r="H744" s="69" t="str">
        <f t="shared" si="127"/>
        <v/>
      </c>
      <c r="I744" s="145">
        <v>0</v>
      </c>
      <c r="J744" s="619"/>
      <c r="K744" s="81">
        <f>IFERROR(VLOOKUP(B744,'x Malzemeler ve Özellikleri'!$O$1:$Q$181,3,0)*F744,0)</f>
        <v>0</v>
      </c>
    </row>
    <row r="745" spans="1:40" ht="19.5">
      <c r="A745" s="67">
        <f t="shared" si="128"/>
        <v>0</v>
      </c>
      <c r="B745" s="67">
        <f t="shared" si="129"/>
        <v>0</v>
      </c>
      <c r="C745" s="70" t="str">
        <f>IF(VLOOKUP(B745,'x Malzemeler ve Özellikleri'!$B$2:$M$136,12,0)="ALÜMİNYUM",'1PROJE'!$H$25,"")</f>
        <v/>
      </c>
      <c r="D745" s="67">
        <f t="shared" si="130"/>
        <v>0</v>
      </c>
      <c r="E745" s="69" t="e">
        <f>HLOOKUP(B745,xHesaplama!$AH$26:$FH$66,40,0)</f>
        <v>#N/A</v>
      </c>
      <c r="F745" s="76">
        <f t="shared" si="126"/>
        <v>0</v>
      </c>
      <c r="G745" s="70">
        <f t="shared" si="131"/>
        <v>0</v>
      </c>
      <c r="H745" s="69" t="str">
        <f t="shared" si="127"/>
        <v/>
      </c>
      <c r="I745" s="145">
        <v>0</v>
      </c>
      <c r="J745" s="619"/>
      <c r="K745" s="81">
        <f>IFERROR(VLOOKUP(B745,'x Malzemeler ve Özellikleri'!$O$1:$Q$181,3,0)*F745,0)</f>
        <v>0</v>
      </c>
    </row>
    <row r="746" spans="1:40" ht="19.5">
      <c r="A746" s="67">
        <f t="shared" si="128"/>
        <v>0</v>
      </c>
      <c r="B746" s="67">
        <f t="shared" si="129"/>
        <v>0</v>
      </c>
      <c r="C746" s="70" t="str">
        <f>IF(VLOOKUP(B746,'x Malzemeler ve Özellikleri'!$B$2:$M$136,12,0)="ALÜMİNYUM",'1PROJE'!$H$25,"")</f>
        <v/>
      </c>
      <c r="D746" s="67">
        <f t="shared" si="130"/>
        <v>0</v>
      </c>
      <c r="E746" s="69" t="e">
        <f>HLOOKUP(B746,xHesaplama!$AH$26:$FH$66,40,0)</f>
        <v>#N/A</v>
      </c>
      <c r="F746" s="76">
        <f t="shared" si="126"/>
        <v>0</v>
      </c>
      <c r="G746" s="70">
        <f t="shared" si="131"/>
        <v>0</v>
      </c>
      <c r="H746" s="69" t="str">
        <f t="shared" si="127"/>
        <v/>
      </c>
      <c r="I746" s="145">
        <v>0</v>
      </c>
      <c r="J746" s="619"/>
      <c r="K746" s="81">
        <f>IFERROR(VLOOKUP(B746,'x Malzemeler ve Özellikleri'!$O$1:$Q$181,3,0)*F746,0)</f>
        <v>0</v>
      </c>
    </row>
    <row r="747" spans="1:40" ht="19.5">
      <c r="A747" s="67">
        <f t="shared" si="128"/>
        <v>0</v>
      </c>
      <c r="B747" s="67">
        <f t="shared" si="129"/>
        <v>0</v>
      </c>
      <c r="C747" s="70" t="str">
        <f>IF(VLOOKUP(B747,'x Malzemeler ve Özellikleri'!$B$2:$M$136,12,0)="ALÜMİNYUM",'1PROJE'!$H$25,"")</f>
        <v/>
      </c>
      <c r="D747" s="67">
        <f t="shared" si="130"/>
        <v>0</v>
      </c>
      <c r="E747" s="69" t="e">
        <f>HLOOKUP(B747,xHesaplama!$AH$26:$FH$66,40,0)</f>
        <v>#N/A</v>
      </c>
      <c r="F747" s="76">
        <f t="shared" si="126"/>
        <v>0</v>
      </c>
      <c r="G747" s="70">
        <f t="shared" si="131"/>
        <v>0</v>
      </c>
      <c r="H747" s="69" t="str">
        <f t="shared" si="127"/>
        <v/>
      </c>
      <c r="I747" s="145">
        <v>0</v>
      </c>
      <c r="J747" s="619"/>
      <c r="K747" s="81">
        <f>IFERROR(VLOOKUP(B747,'x Malzemeler ve Özellikleri'!$O$1:$Q$181,3,0)*F747,0)</f>
        <v>0</v>
      </c>
    </row>
    <row r="748" spans="1:40" ht="19.5">
      <c r="A748" s="67">
        <f t="shared" si="128"/>
        <v>0</v>
      </c>
      <c r="B748" s="67">
        <f t="shared" si="129"/>
        <v>0</v>
      </c>
      <c r="C748" s="70" t="str">
        <f>IF(VLOOKUP(B748,'x Malzemeler ve Özellikleri'!$B$2:$M$136,12,0)="ALÜMİNYUM",'1PROJE'!$H$25,"")</f>
        <v/>
      </c>
      <c r="D748" s="67">
        <f t="shared" si="130"/>
        <v>0</v>
      </c>
      <c r="E748" s="69" t="e">
        <f>HLOOKUP(B748,xHesaplama!$AH$26:$FH$66,40,0)</f>
        <v>#N/A</v>
      </c>
      <c r="F748" s="76">
        <f t="shared" si="126"/>
        <v>0</v>
      </c>
      <c r="G748" s="70">
        <f t="shared" si="131"/>
        <v>0</v>
      </c>
      <c r="H748" s="69" t="str">
        <f t="shared" si="127"/>
        <v/>
      </c>
      <c r="I748" s="145">
        <v>0</v>
      </c>
      <c r="J748" s="619"/>
      <c r="K748" s="81">
        <f>IFERROR(VLOOKUP(B748,'x Malzemeler ve Özellikleri'!$O$1:$Q$181,3,0)*F748,0)</f>
        <v>0</v>
      </c>
    </row>
    <row r="749" spans="1:40" ht="19.5">
      <c r="A749" s="67">
        <f t="shared" si="128"/>
        <v>0</v>
      </c>
      <c r="B749" s="67">
        <f t="shared" si="129"/>
        <v>0</v>
      </c>
      <c r="C749" s="70" t="str">
        <f>IF(VLOOKUP(B749,'x Malzemeler ve Özellikleri'!$B$2:$M$136,12,0)="ALÜMİNYUM",'1PROJE'!$H$25,"")</f>
        <v/>
      </c>
      <c r="D749" s="67">
        <f t="shared" si="130"/>
        <v>0</v>
      </c>
      <c r="E749" s="69" t="e">
        <f>HLOOKUP(B749,xHesaplama!$AH$26:$FH$66,40,0)</f>
        <v>#N/A</v>
      </c>
      <c r="F749" s="76">
        <f t="shared" si="126"/>
        <v>0</v>
      </c>
      <c r="G749" s="70">
        <f t="shared" si="131"/>
        <v>0</v>
      </c>
      <c r="H749" s="69" t="str">
        <f t="shared" si="127"/>
        <v/>
      </c>
      <c r="I749" s="145">
        <v>0</v>
      </c>
      <c r="J749" s="619"/>
      <c r="K749" s="81">
        <f>IFERROR(VLOOKUP(B749,'x Malzemeler ve Özellikleri'!$O$1:$Q$181,3,0)*F749,0)</f>
        <v>0</v>
      </c>
    </row>
    <row r="750" spans="1:40" ht="19.5">
      <c r="A750" s="67">
        <f t="shared" si="128"/>
        <v>0</v>
      </c>
      <c r="B750" s="67">
        <f t="shared" si="129"/>
        <v>0</v>
      </c>
      <c r="C750" s="70" t="str">
        <f>IF(VLOOKUP(B750,'x Malzemeler ve Özellikleri'!$B$2:$M$136,12,0)="ALÜMİNYUM",'1PROJE'!$H$25,"")</f>
        <v/>
      </c>
      <c r="D750" s="67">
        <f t="shared" si="130"/>
        <v>0</v>
      </c>
      <c r="E750" s="69" t="e">
        <f>HLOOKUP(B750,xHesaplama!$AH$26:$FH$66,40,0)</f>
        <v>#N/A</v>
      </c>
      <c r="F750" s="76">
        <f t="shared" si="126"/>
        <v>0</v>
      </c>
      <c r="G750" s="70">
        <f t="shared" si="131"/>
        <v>0</v>
      </c>
      <c r="H750" s="69" t="str">
        <f t="shared" si="127"/>
        <v/>
      </c>
      <c r="I750" s="145">
        <v>0</v>
      </c>
      <c r="J750" s="619"/>
      <c r="K750" s="81">
        <f>IFERROR(VLOOKUP(B750,'x Malzemeler ve Özellikleri'!$O$1:$Q$181,3,0)*F750,0)</f>
        <v>0</v>
      </c>
    </row>
    <row r="751" spans="1:40" ht="19.5">
      <c r="A751" s="67">
        <f t="shared" si="128"/>
        <v>0</v>
      </c>
      <c r="B751" s="67">
        <f t="shared" si="129"/>
        <v>0</v>
      </c>
      <c r="C751" s="70" t="str">
        <f>IF(VLOOKUP(B751,'x Malzemeler ve Özellikleri'!$B$2:$M$136,12,0)="ALÜMİNYUM",'1PROJE'!$H$25,"")</f>
        <v/>
      </c>
      <c r="D751" s="67">
        <f t="shared" si="130"/>
        <v>0</v>
      </c>
      <c r="E751" s="69" t="e">
        <f>HLOOKUP(B751,xHesaplama!$AH$26:$FH$66,40,0)</f>
        <v>#N/A</v>
      </c>
      <c r="F751" s="76">
        <f t="shared" si="126"/>
        <v>0</v>
      </c>
      <c r="G751" s="70">
        <f t="shared" si="131"/>
        <v>0</v>
      </c>
      <c r="H751" s="69" t="str">
        <f t="shared" si="127"/>
        <v/>
      </c>
      <c r="I751" s="145">
        <v>0</v>
      </c>
      <c r="J751" s="619"/>
      <c r="K751" s="81">
        <f>IFERROR(VLOOKUP(B751,'x Malzemeler ve Özellikleri'!$O$1:$Q$181,3,0)*F751,0)</f>
        <v>0</v>
      </c>
    </row>
    <row r="752" spans="1:40" ht="19.5">
      <c r="A752" s="67">
        <f t="shared" si="128"/>
        <v>0</v>
      </c>
      <c r="B752" s="67">
        <f t="shared" si="129"/>
        <v>0</v>
      </c>
      <c r="C752" s="70" t="str">
        <f>IF(VLOOKUP(B752,'x Malzemeler ve Özellikleri'!$B$2:$M$136,12,0)="ALÜMİNYUM",'1PROJE'!$H$25,"")</f>
        <v/>
      </c>
      <c r="D752" s="67">
        <f t="shared" si="130"/>
        <v>0</v>
      </c>
      <c r="E752" s="69" t="e">
        <f>HLOOKUP(B752,xHesaplama!$AH$26:$FH$66,40,0)</f>
        <v>#N/A</v>
      </c>
      <c r="F752" s="76">
        <f t="shared" si="126"/>
        <v>0</v>
      </c>
      <c r="G752" s="70">
        <f t="shared" si="131"/>
        <v>0</v>
      </c>
      <c r="H752" s="69" t="str">
        <f t="shared" si="127"/>
        <v/>
      </c>
      <c r="I752" s="145">
        <v>0</v>
      </c>
      <c r="J752" s="619"/>
      <c r="K752" s="81">
        <f>IFERROR(VLOOKUP(B752,'x Malzemeler ve Özellikleri'!$O$1:$Q$181,3,0)*F752,0)</f>
        <v>0</v>
      </c>
    </row>
    <row r="753" spans="1:11" ht="19.5">
      <c r="A753" s="67">
        <f t="shared" si="128"/>
        <v>0</v>
      </c>
      <c r="B753" s="67">
        <f t="shared" si="129"/>
        <v>0</v>
      </c>
      <c r="C753" s="70" t="str">
        <f>IF(VLOOKUP(B753,'x Malzemeler ve Özellikleri'!$B$2:$M$136,12,0)="ALÜMİNYUM",'1PROJE'!$H$25,"")</f>
        <v/>
      </c>
      <c r="D753" s="67">
        <f t="shared" si="130"/>
        <v>0</v>
      </c>
      <c r="E753" s="69" t="e">
        <f>HLOOKUP(B753,xHesaplama!$AH$26:$FH$66,40,0)</f>
        <v>#N/A</v>
      </c>
      <c r="F753" s="76">
        <f t="shared" si="126"/>
        <v>0</v>
      </c>
      <c r="G753" s="70">
        <f t="shared" si="131"/>
        <v>0</v>
      </c>
      <c r="H753" s="69" t="str">
        <f t="shared" si="127"/>
        <v/>
      </c>
      <c r="I753" s="145">
        <v>0</v>
      </c>
      <c r="J753" s="619"/>
      <c r="K753" s="81">
        <f>IFERROR(VLOOKUP(B753,'x Malzemeler ve Özellikleri'!$O$1:$Q$181,3,0)*F753,0)</f>
        <v>0</v>
      </c>
    </row>
    <row r="754" spans="1:11" ht="19.5">
      <c r="A754" s="67">
        <f t="shared" si="128"/>
        <v>0</v>
      </c>
      <c r="B754" s="67">
        <f t="shared" si="129"/>
        <v>0</v>
      </c>
      <c r="C754" s="70" t="str">
        <f>IF(VLOOKUP(B754,'x Malzemeler ve Özellikleri'!$B$2:$M$136,12,0)="ALÜMİNYUM",'1PROJE'!$H$25,"")</f>
        <v/>
      </c>
      <c r="D754" s="67">
        <f t="shared" si="130"/>
        <v>0</v>
      </c>
      <c r="E754" s="69" t="e">
        <f>HLOOKUP(B754,xHesaplama!$AH$26:$FH$66,40,0)</f>
        <v>#N/A</v>
      </c>
      <c r="F754" s="76">
        <f t="shared" si="126"/>
        <v>0</v>
      </c>
      <c r="G754" s="70">
        <f t="shared" si="131"/>
        <v>0</v>
      </c>
      <c r="H754" s="69" t="str">
        <f t="shared" si="127"/>
        <v/>
      </c>
      <c r="I754" s="145">
        <v>0</v>
      </c>
      <c r="J754" s="619"/>
      <c r="K754" s="81">
        <f>IFERROR(VLOOKUP(B754,'x Malzemeler ve Özellikleri'!$O$1:$Q$181,3,0)*F754,0)</f>
        <v>0</v>
      </c>
    </row>
    <row r="755" spans="1:11" ht="19.5">
      <c r="A755" s="67">
        <f t="shared" si="128"/>
        <v>0</v>
      </c>
      <c r="B755" s="67">
        <f t="shared" si="129"/>
        <v>0</v>
      </c>
      <c r="C755" s="70" t="str">
        <f>IF(VLOOKUP(B755,'x Malzemeler ve Özellikleri'!$B$2:$M$136,12,0)="ALÜMİNYUM",'1PROJE'!$H$25,"")</f>
        <v/>
      </c>
      <c r="D755" s="67">
        <f t="shared" si="130"/>
        <v>0</v>
      </c>
      <c r="E755" s="69" t="e">
        <f>HLOOKUP(B755,xHesaplama!$AH$26:$FH$66,40,0)</f>
        <v>#N/A</v>
      </c>
      <c r="F755" s="76">
        <f t="shared" si="126"/>
        <v>0</v>
      </c>
      <c r="G755" s="70">
        <f t="shared" si="131"/>
        <v>0</v>
      </c>
      <c r="H755" s="69" t="str">
        <f t="shared" si="127"/>
        <v/>
      </c>
      <c r="I755" s="145">
        <v>0</v>
      </c>
      <c r="J755" s="619"/>
      <c r="K755" s="81">
        <f>IFERROR(VLOOKUP(B755,'x Malzemeler ve Özellikleri'!$O$1:$Q$181,3,0)*F755,0)</f>
        <v>0</v>
      </c>
    </row>
    <row r="756" spans="1:11" ht="19.5">
      <c r="A756" s="67">
        <f t="shared" si="128"/>
        <v>0</v>
      </c>
      <c r="B756" s="67">
        <f t="shared" si="129"/>
        <v>0</v>
      </c>
      <c r="C756" s="70" t="str">
        <f>IF(VLOOKUP(B756,'x Malzemeler ve Özellikleri'!$B$2:$M$136,12,0)="ALÜMİNYUM",'1PROJE'!$H$25,"")</f>
        <v/>
      </c>
      <c r="D756" s="67">
        <f t="shared" si="130"/>
        <v>0</v>
      </c>
      <c r="E756" s="69" t="e">
        <f>HLOOKUP(B756,xHesaplama!$AH$26:$FH$66,40,0)</f>
        <v>#N/A</v>
      </c>
      <c r="F756" s="76">
        <f t="shared" si="126"/>
        <v>0</v>
      </c>
      <c r="G756" s="70">
        <f t="shared" si="131"/>
        <v>0</v>
      </c>
      <c r="H756" s="69" t="str">
        <f t="shared" si="127"/>
        <v/>
      </c>
      <c r="I756" s="145">
        <v>0</v>
      </c>
      <c r="J756" s="619"/>
      <c r="K756" s="81">
        <f>IFERROR(VLOOKUP(B756,'x Malzemeler ve Özellikleri'!$O$1:$Q$181,3,0)*F756,0)</f>
        <v>0</v>
      </c>
    </row>
    <row r="757" spans="1:11" ht="19.5">
      <c r="A757" s="67">
        <f t="shared" si="128"/>
        <v>0</v>
      </c>
      <c r="B757" s="67">
        <f t="shared" si="129"/>
        <v>0</v>
      </c>
      <c r="C757" s="70" t="str">
        <f>IF(VLOOKUP(B757,'x Malzemeler ve Özellikleri'!$B$2:$M$136,12,0)="ALÜMİNYUM",'1PROJE'!$H$25,"")</f>
        <v/>
      </c>
      <c r="D757" s="67">
        <f t="shared" si="130"/>
        <v>0</v>
      </c>
      <c r="E757" s="69" t="e">
        <f>HLOOKUP(B757,xHesaplama!$AH$26:$FH$66,40,0)</f>
        <v>#N/A</v>
      </c>
      <c r="F757" s="76">
        <f t="shared" si="126"/>
        <v>0</v>
      </c>
      <c r="G757" s="70">
        <f t="shared" si="131"/>
        <v>0</v>
      </c>
      <c r="H757" s="69" t="str">
        <f t="shared" si="127"/>
        <v/>
      </c>
      <c r="I757" s="145">
        <v>0</v>
      </c>
      <c r="J757" s="619"/>
      <c r="K757" s="81">
        <f>IFERROR(VLOOKUP(B757,'x Malzemeler ve Özellikleri'!$O$1:$Q$181,3,0)*F757,0)</f>
        <v>0</v>
      </c>
    </row>
    <row r="758" spans="1:11" ht="19.5">
      <c r="A758" s="67">
        <f t="shared" si="128"/>
        <v>0</v>
      </c>
      <c r="B758" s="67">
        <f t="shared" si="129"/>
        <v>0</v>
      </c>
      <c r="C758" s="70" t="str">
        <f>IF(VLOOKUP(B758,'x Malzemeler ve Özellikleri'!$B$2:$M$136,12,0)="ALÜMİNYUM",'1PROJE'!$H$25,"")</f>
        <v/>
      </c>
      <c r="D758" s="67">
        <f t="shared" si="130"/>
        <v>0</v>
      </c>
      <c r="E758" s="69" t="e">
        <f>HLOOKUP(B758,xHesaplama!$AH$26:$FH$66,40,0)</f>
        <v>#N/A</v>
      </c>
      <c r="F758" s="76">
        <f t="shared" si="126"/>
        <v>0</v>
      </c>
      <c r="G758" s="70">
        <f t="shared" si="131"/>
        <v>0</v>
      </c>
      <c r="H758" s="69" t="str">
        <f t="shared" si="127"/>
        <v/>
      </c>
      <c r="I758" s="145">
        <v>0</v>
      </c>
      <c r="J758" s="619"/>
      <c r="K758" s="81">
        <f>IFERROR(VLOOKUP(B758,'x Malzemeler ve Özellikleri'!$O$1:$Q$181,3,0)*F758,0)</f>
        <v>0</v>
      </c>
    </row>
    <row r="759" spans="1:11" ht="19.5">
      <c r="A759" s="67">
        <f t="shared" si="128"/>
        <v>0</v>
      </c>
      <c r="B759" s="67">
        <f t="shared" si="129"/>
        <v>0</v>
      </c>
      <c r="C759" s="70" t="str">
        <f>IF(VLOOKUP(B759,'x Malzemeler ve Özellikleri'!$B$2:$M$136,12,0)="ALÜMİNYUM",'1PROJE'!$H$25,"")</f>
        <v/>
      </c>
      <c r="D759" s="67">
        <f t="shared" si="130"/>
        <v>0</v>
      </c>
      <c r="E759" s="69" t="e">
        <f>HLOOKUP(B759,xHesaplama!$AH$26:$FH$66,40,0)</f>
        <v>#N/A</v>
      </c>
      <c r="F759" s="76">
        <f t="shared" si="126"/>
        <v>0</v>
      </c>
      <c r="G759" s="70">
        <f t="shared" si="131"/>
        <v>0</v>
      </c>
      <c r="H759" s="69" t="str">
        <f t="shared" si="127"/>
        <v/>
      </c>
      <c r="I759" s="145">
        <v>0</v>
      </c>
      <c r="J759" s="619"/>
      <c r="K759" s="81">
        <f>IFERROR(VLOOKUP(B759,'x Malzemeler ve Özellikleri'!$O$1:$Q$181,3,0)*F759,0)</f>
        <v>0</v>
      </c>
    </row>
    <row r="760" spans="1:11" ht="19.5">
      <c r="A760" s="67">
        <f t="shared" si="128"/>
        <v>0</v>
      </c>
      <c r="B760" s="67">
        <f t="shared" si="129"/>
        <v>0</v>
      </c>
      <c r="C760" s="70" t="str">
        <f>IF(VLOOKUP(B760,'x Malzemeler ve Özellikleri'!$B$2:$M$136,12,0)="ALÜMİNYUM",'1PROJE'!$H$25,"")</f>
        <v/>
      </c>
      <c r="D760" s="67">
        <f t="shared" si="130"/>
        <v>0</v>
      </c>
      <c r="E760" s="69" t="e">
        <f>HLOOKUP(B760,xHesaplama!$AH$26:$FH$66,40,0)</f>
        <v>#N/A</v>
      </c>
      <c r="F760" s="76">
        <f t="shared" si="126"/>
        <v>0</v>
      </c>
      <c r="G760" s="70">
        <f t="shared" si="131"/>
        <v>0</v>
      </c>
      <c r="H760" s="69" t="str">
        <f t="shared" si="127"/>
        <v/>
      </c>
      <c r="I760" s="145">
        <v>0</v>
      </c>
      <c r="J760" s="619"/>
      <c r="K760" s="81">
        <f>IFERROR(VLOOKUP(B760,'x Malzemeler ve Özellikleri'!$O$1:$Q$181,3,0)*F760,0)</f>
        <v>0</v>
      </c>
    </row>
    <row r="761" spans="1:11" ht="19.5">
      <c r="A761" s="67">
        <f t="shared" si="128"/>
        <v>0</v>
      </c>
      <c r="B761" s="67">
        <f t="shared" si="129"/>
        <v>0</v>
      </c>
      <c r="C761" s="70" t="str">
        <f>IF(VLOOKUP(B761,'x Malzemeler ve Özellikleri'!$B$2:$M$136,12,0)="ALÜMİNYUM",'1PROJE'!$H$25,"")</f>
        <v/>
      </c>
      <c r="D761" s="67">
        <f t="shared" si="130"/>
        <v>0</v>
      </c>
      <c r="E761" s="69" t="e">
        <f>HLOOKUP(B761,xHesaplama!$AH$26:$FH$66,40,0)</f>
        <v>#N/A</v>
      </c>
      <c r="F761" s="76">
        <f t="shared" si="126"/>
        <v>0</v>
      </c>
      <c r="G761" s="70">
        <f t="shared" si="131"/>
        <v>0</v>
      </c>
      <c r="H761" s="69" t="str">
        <f t="shared" si="127"/>
        <v/>
      </c>
      <c r="I761" s="145">
        <v>0</v>
      </c>
      <c r="J761" s="619"/>
      <c r="K761" s="81">
        <f>IFERROR(VLOOKUP(B761,'x Malzemeler ve Özellikleri'!$O$1:$Q$181,3,0)*F761,0)</f>
        <v>0</v>
      </c>
    </row>
    <row r="762" spans="1:11" ht="19.5">
      <c r="A762" s="67">
        <f t="shared" si="128"/>
        <v>0</v>
      </c>
      <c r="B762" s="67">
        <f t="shared" si="129"/>
        <v>0</v>
      </c>
      <c r="C762" s="70" t="str">
        <f>IF(VLOOKUP(B762,'x Malzemeler ve Özellikleri'!$B$2:$M$136,12,0)="ALÜMİNYUM",'1PROJE'!$H$25,"")</f>
        <v/>
      </c>
      <c r="D762" s="67">
        <f t="shared" si="130"/>
        <v>0</v>
      </c>
      <c r="E762" s="69" t="e">
        <f>HLOOKUP(B762,xHesaplama!$AH$26:$FH$66,40,0)</f>
        <v>#N/A</v>
      </c>
      <c r="F762" s="76">
        <f t="shared" si="126"/>
        <v>0</v>
      </c>
      <c r="G762" s="70">
        <f t="shared" si="131"/>
        <v>0</v>
      </c>
      <c r="H762" s="69" t="str">
        <f t="shared" si="127"/>
        <v/>
      </c>
      <c r="I762" s="145">
        <v>0</v>
      </c>
      <c r="J762" s="619"/>
      <c r="K762" s="81">
        <f>IFERROR(VLOOKUP(B762,'x Malzemeler ve Özellikleri'!$O$1:$Q$181,3,0)*F762,0)</f>
        <v>0</v>
      </c>
    </row>
    <row r="763" spans="1:11" ht="19.5">
      <c r="A763" s="67">
        <f t="shared" si="128"/>
        <v>0</v>
      </c>
      <c r="B763" s="67">
        <f t="shared" si="129"/>
        <v>0</v>
      </c>
      <c r="C763" s="70" t="str">
        <f>IF(VLOOKUP(B763,'x Malzemeler ve Özellikleri'!$B$2:$M$136,12,0)="ALÜMİNYUM",'1PROJE'!$H$25,"")</f>
        <v/>
      </c>
      <c r="D763" s="67">
        <f t="shared" si="130"/>
        <v>0</v>
      </c>
      <c r="E763" s="69" t="e">
        <f>HLOOKUP(B763,xHesaplama!$AH$26:$FH$66,40,0)</f>
        <v>#N/A</v>
      </c>
      <c r="F763" s="76">
        <f t="shared" si="126"/>
        <v>0</v>
      </c>
      <c r="G763" s="70">
        <f t="shared" si="131"/>
        <v>0</v>
      </c>
      <c r="H763" s="69" t="str">
        <f t="shared" si="127"/>
        <v/>
      </c>
      <c r="I763" s="145">
        <v>0</v>
      </c>
      <c r="J763" s="619"/>
      <c r="K763" s="81">
        <f>IFERROR(VLOOKUP(B763,'x Malzemeler ve Özellikleri'!$O$1:$Q$181,3,0)*F763,0)</f>
        <v>0</v>
      </c>
    </row>
    <row r="764" spans="1:11" ht="19.5">
      <c r="A764" s="67">
        <f t="shared" si="128"/>
        <v>0</v>
      </c>
      <c r="B764" s="67">
        <f t="shared" si="129"/>
        <v>0</v>
      </c>
      <c r="C764" s="70" t="str">
        <f>IF(VLOOKUP(B764,'x Malzemeler ve Özellikleri'!$B$2:$M$136,12,0)="ALÜMİNYUM",'1PROJE'!$H$25,"")</f>
        <v/>
      </c>
      <c r="D764" s="67">
        <f t="shared" si="130"/>
        <v>0</v>
      </c>
      <c r="E764" s="69" t="e">
        <f>HLOOKUP(B764,xHesaplama!$AH$26:$FH$66,40,0)</f>
        <v>#N/A</v>
      </c>
      <c r="F764" s="76">
        <f t="shared" si="126"/>
        <v>0</v>
      </c>
      <c r="G764" s="70">
        <f t="shared" si="131"/>
        <v>0</v>
      </c>
      <c r="H764" s="69" t="str">
        <f t="shared" si="127"/>
        <v/>
      </c>
      <c r="I764" s="145">
        <v>0</v>
      </c>
      <c r="J764" s="619"/>
      <c r="K764" s="81">
        <f>IFERROR(VLOOKUP(B764,'x Malzemeler ve Özellikleri'!$O$1:$Q$181,3,0)*F764,0)</f>
        <v>0</v>
      </c>
    </row>
    <row r="765" spans="1:11" ht="19.5">
      <c r="A765" s="67">
        <f t="shared" si="128"/>
        <v>0</v>
      </c>
      <c r="B765" s="67">
        <f t="shared" si="129"/>
        <v>0</v>
      </c>
      <c r="C765" s="70" t="str">
        <f>IF(VLOOKUP(B765,'x Malzemeler ve Özellikleri'!$B$2:$M$136,12,0)="ALÜMİNYUM",'1PROJE'!$H$25,"")</f>
        <v/>
      </c>
      <c r="D765" s="67">
        <f t="shared" si="130"/>
        <v>0</v>
      </c>
      <c r="E765" s="69" t="e">
        <f>HLOOKUP(B765,xHesaplama!$AH$26:$FH$66,40,0)</f>
        <v>#N/A</v>
      </c>
      <c r="F765" s="76">
        <f t="shared" si="126"/>
        <v>0</v>
      </c>
      <c r="G765" s="70">
        <f t="shared" si="131"/>
        <v>0</v>
      </c>
      <c r="H765" s="69" t="str">
        <f t="shared" si="127"/>
        <v/>
      </c>
      <c r="I765" s="145">
        <v>0</v>
      </c>
      <c r="J765" s="619"/>
      <c r="K765" s="81">
        <f>IFERROR(VLOOKUP(B765,'x Malzemeler ve Özellikleri'!$O$1:$Q$181,3,0)*F765,0)</f>
        <v>0</v>
      </c>
    </row>
    <row r="766" spans="1:11" ht="19.5">
      <c r="A766" s="67">
        <f t="shared" si="128"/>
        <v>0</v>
      </c>
      <c r="B766" s="67">
        <f t="shared" si="129"/>
        <v>0</v>
      </c>
      <c r="C766" s="70" t="str">
        <f>IF(VLOOKUP(B766,'x Malzemeler ve Özellikleri'!$B$2:$M$136,12,0)="ALÜMİNYUM",'1PROJE'!$H$25,"")</f>
        <v/>
      </c>
      <c r="D766" s="67">
        <f t="shared" si="130"/>
        <v>0</v>
      </c>
      <c r="E766" s="69" t="e">
        <f>HLOOKUP(B766,xHesaplama!$AH$26:$FH$66,40,0)</f>
        <v>#N/A</v>
      </c>
      <c r="F766" s="76">
        <f t="shared" si="126"/>
        <v>0</v>
      </c>
      <c r="G766" s="70">
        <f t="shared" si="131"/>
        <v>0</v>
      </c>
      <c r="H766" s="69" t="str">
        <f t="shared" si="127"/>
        <v/>
      </c>
      <c r="I766" s="145">
        <v>0</v>
      </c>
      <c r="J766" s="619"/>
      <c r="K766" s="81">
        <f>IFERROR(VLOOKUP(B766,'x Malzemeler ve Özellikleri'!$O$1:$Q$181,3,0)*F766,0)</f>
        <v>0</v>
      </c>
    </row>
    <row r="767" spans="1:11" ht="19.5">
      <c r="A767" s="67">
        <f t="shared" si="128"/>
        <v>0</v>
      </c>
      <c r="B767" s="67">
        <f t="shared" si="129"/>
        <v>0</v>
      </c>
      <c r="C767" s="70" t="str">
        <f>IF(VLOOKUP(B767,'x Malzemeler ve Özellikleri'!$B$2:$M$136,12,0)="ALÜMİNYUM",'1PROJE'!$H$25,"")</f>
        <v/>
      </c>
      <c r="D767" s="67">
        <f t="shared" si="130"/>
        <v>0</v>
      </c>
      <c r="E767" s="69" t="e">
        <f>HLOOKUP(B767,xHesaplama!$AH$26:$FH$66,40,0)</f>
        <v>#N/A</v>
      </c>
      <c r="F767" s="76">
        <f t="shared" si="126"/>
        <v>0</v>
      </c>
      <c r="G767" s="70">
        <f t="shared" si="131"/>
        <v>0</v>
      </c>
      <c r="H767" s="69" t="str">
        <f t="shared" si="127"/>
        <v/>
      </c>
      <c r="I767" s="145">
        <v>0</v>
      </c>
      <c r="J767" s="619"/>
      <c r="K767" s="81">
        <f>IFERROR(VLOOKUP(B767,'x Malzemeler ve Özellikleri'!$O$1:$Q$181,3,0)*F767,0)</f>
        <v>0</v>
      </c>
    </row>
    <row r="768" spans="1:11" ht="19.5">
      <c r="A768" s="67">
        <f t="shared" si="128"/>
        <v>0</v>
      </c>
      <c r="B768" s="67">
        <f t="shared" si="129"/>
        <v>0</v>
      </c>
      <c r="C768" s="70" t="str">
        <f>IF(VLOOKUP(B768,'x Malzemeler ve Özellikleri'!$B$2:$M$136,12,0)="ALÜMİNYUM",'1PROJE'!$H$25,"")</f>
        <v/>
      </c>
      <c r="D768" s="67">
        <f t="shared" si="130"/>
        <v>0</v>
      </c>
      <c r="E768" s="69" t="e">
        <f>HLOOKUP(B768,xHesaplama!$AH$26:$FH$66,40,0)</f>
        <v>#N/A</v>
      </c>
      <c r="F768" s="76">
        <f t="shared" si="126"/>
        <v>0</v>
      </c>
      <c r="G768" s="70">
        <f t="shared" si="131"/>
        <v>0</v>
      </c>
      <c r="H768" s="69" t="str">
        <f t="shared" si="127"/>
        <v/>
      </c>
      <c r="I768" s="145">
        <v>0</v>
      </c>
      <c r="J768" s="619"/>
      <c r="K768" s="81">
        <f>IFERROR(VLOOKUP(B768,'x Malzemeler ve Özellikleri'!$O$1:$Q$181,3,0)*F768,0)</f>
        <v>0</v>
      </c>
    </row>
    <row r="769" spans="1:40" ht="19.5">
      <c r="A769" s="67">
        <f t="shared" si="128"/>
        <v>0</v>
      </c>
      <c r="B769" s="67">
        <f t="shared" si="129"/>
        <v>0</v>
      </c>
      <c r="C769" s="70" t="str">
        <f>IF(VLOOKUP(B769,'x Malzemeler ve Özellikleri'!$B$2:$M$136,12,0)="ALÜMİNYUM",'1PROJE'!$H$25,"")</f>
        <v/>
      </c>
      <c r="D769" s="67">
        <f t="shared" si="130"/>
        <v>0</v>
      </c>
      <c r="E769" s="69" t="e">
        <f>HLOOKUP(B769,xHesaplama!$AH$26:$FH$66,40,0)</f>
        <v>#N/A</v>
      </c>
      <c r="F769" s="76">
        <f t="shared" si="126"/>
        <v>0</v>
      </c>
      <c r="G769" s="70">
        <f t="shared" si="131"/>
        <v>0</v>
      </c>
      <c r="H769" s="69" t="str">
        <f t="shared" si="127"/>
        <v/>
      </c>
      <c r="I769" s="145">
        <v>0</v>
      </c>
      <c r="J769" s="619"/>
      <c r="K769" s="81">
        <f>IFERROR(VLOOKUP(B769,'x Malzemeler ve Özellikleri'!$O$1:$Q$181,3,0)*F769,0)</f>
        <v>0</v>
      </c>
    </row>
    <row r="770" spans="1:40" ht="19.5">
      <c r="A770" s="67">
        <f t="shared" si="128"/>
        <v>0</v>
      </c>
      <c r="B770" s="67">
        <f t="shared" si="129"/>
        <v>0</v>
      </c>
      <c r="C770" s="70" t="str">
        <f>IF(VLOOKUP(B770,'x Malzemeler ve Özellikleri'!$B$2:$M$136,12,0)="ALÜMİNYUM",'1PROJE'!$H$25,"")</f>
        <v/>
      </c>
      <c r="D770" s="67">
        <f t="shared" si="130"/>
        <v>0</v>
      </c>
      <c r="E770" s="69" t="e">
        <f>HLOOKUP(B770,xHesaplama!$AH$26:$FH$66,40,0)</f>
        <v>#N/A</v>
      </c>
      <c r="F770" s="76">
        <f t="shared" si="126"/>
        <v>0</v>
      </c>
      <c r="G770" s="70">
        <f t="shared" si="131"/>
        <v>0</v>
      </c>
      <c r="H770" s="69" t="str">
        <f t="shared" si="127"/>
        <v/>
      </c>
      <c r="I770" s="145">
        <v>0</v>
      </c>
      <c r="J770" s="619"/>
      <c r="K770" s="81">
        <f>IFERROR(VLOOKUP(B770,'x Malzemeler ve Özellikleri'!$O$1:$Q$181,3,0)*F770,0)</f>
        <v>0</v>
      </c>
    </row>
    <row r="771" spans="1:40" ht="19.5">
      <c r="A771" s="67">
        <f t="shared" si="128"/>
        <v>0</v>
      </c>
      <c r="B771" s="67">
        <f t="shared" si="129"/>
        <v>0</v>
      </c>
      <c r="C771" s="70" t="str">
        <f>IF(VLOOKUP(B771,'x Malzemeler ve Özellikleri'!$B$2:$M$136,12,0)="ALÜMİNYUM",'1PROJE'!$H$25,"")</f>
        <v/>
      </c>
      <c r="D771" s="67">
        <f t="shared" si="130"/>
        <v>0</v>
      </c>
      <c r="E771" s="69" t="e">
        <f>HLOOKUP(B771,xHesaplama!$AH$26:$FH$66,40,0)</f>
        <v>#N/A</v>
      </c>
      <c r="F771" s="76">
        <f t="shared" si="126"/>
        <v>0</v>
      </c>
      <c r="G771" s="70">
        <f t="shared" si="131"/>
        <v>0</v>
      </c>
      <c r="H771" s="69" t="str">
        <f t="shared" si="127"/>
        <v/>
      </c>
      <c r="I771" s="145">
        <v>0</v>
      </c>
      <c r="J771" s="619"/>
      <c r="K771" s="81">
        <f>IFERROR(VLOOKUP(B771,'x Malzemeler ve Özellikleri'!$O$1:$Q$181,3,0)*F771,0)</f>
        <v>0</v>
      </c>
    </row>
    <row r="772" spans="1:40" ht="19.5">
      <c r="A772" s="67">
        <f t="shared" si="128"/>
        <v>0</v>
      </c>
      <c r="B772" s="67">
        <f t="shared" si="129"/>
        <v>0</v>
      </c>
      <c r="C772" s="70" t="str">
        <f>IF(VLOOKUP(B772,'x Malzemeler ve Özellikleri'!$B$2:$M$136,12,0)="ALÜMİNYUM",'1PROJE'!$H$25,"")</f>
        <v/>
      </c>
      <c r="D772" s="67">
        <f t="shared" si="130"/>
        <v>0</v>
      </c>
      <c r="E772" s="69" t="e">
        <f>HLOOKUP(B772,xHesaplama!$AH$26:$FH$66,40,0)</f>
        <v>#N/A</v>
      </c>
      <c r="F772" s="76">
        <f t="shared" si="126"/>
        <v>0</v>
      </c>
      <c r="G772" s="70">
        <f t="shared" si="131"/>
        <v>0</v>
      </c>
      <c r="H772" s="69" t="str">
        <f t="shared" si="127"/>
        <v/>
      </c>
      <c r="I772" s="145">
        <v>0</v>
      </c>
      <c r="J772" s="619"/>
      <c r="K772" s="81">
        <f>IFERROR(VLOOKUP(B772,'x Malzemeler ve Özellikleri'!$O$1:$Q$181,3,0)*F772,0)</f>
        <v>0</v>
      </c>
    </row>
    <row r="773" spans="1:40" ht="19.5">
      <c r="A773" s="67">
        <f t="shared" si="128"/>
        <v>0</v>
      </c>
      <c r="B773" s="67">
        <f t="shared" si="129"/>
        <v>0</v>
      </c>
      <c r="C773" s="70" t="str">
        <f>IF(VLOOKUP(B773,'x Malzemeler ve Özellikleri'!$B$2:$M$136,12,0)="ALÜMİNYUM",'1PROJE'!$H$25,"")</f>
        <v/>
      </c>
      <c r="D773" s="67">
        <f t="shared" si="130"/>
        <v>0</v>
      </c>
      <c r="E773" s="69" t="e">
        <f>HLOOKUP(B773,xHesaplama!$AH$26:$FH$66,40,0)</f>
        <v>#N/A</v>
      </c>
      <c r="F773" s="76">
        <f t="shared" si="126"/>
        <v>0</v>
      </c>
      <c r="G773" s="70">
        <f t="shared" si="131"/>
        <v>0</v>
      </c>
      <c r="H773" s="69" t="str">
        <f t="shared" si="127"/>
        <v/>
      </c>
      <c r="I773" s="145">
        <v>0</v>
      </c>
      <c r="J773" s="619"/>
      <c r="K773" s="81">
        <f>IFERROR(VLOOKUP(B773,'x Malzemeler ve Özellikleri'!$O$1:$Q$181,3,0)*F773,0)</f>
        <v>0</v>
      </c>
    </row>
    <row r="774" spans="1:40" ht="19.5">
      <c r="A774" s="67">
        <f t="shared" si="128"/>
        <v>0</v>
      </c>
      <c r="B774" s="67">
        <f t="shared" si="129"/>
        <v>0</v>
      </c>
      <c r="C774" s="70" t="str">
        <f>IF(VLOOKUP(B774,'x Malzemeler ve Özellikleri'!$B$2:$M$136,12,0)="ALÜMİNYUM",'1PROJE'!$H$25,"")</f>
        <v/>
      </c>
      <c r="D774" s="67">
        <f t="shared" si="130"/>
        <v>0</v>
      </c>
      <c r="E774" s="69" t="e">
        <f>HLOOKUP(B774,xHesaplama!$AH$26:$FH$66,40,0)</f>
        <v>#N/A</v>
      </c>
      <c r="F774" s="76">
        <f t="shared" si="126"/>
        <v>0</v>
      </c>
      <c r="G774" s="70">
        <f t="shared" si="131"/>
        <v>0</v>
      </c>
      <c r="H774" s="69" t="str">
        <f t="shared" si="127"/>
        <v/>
      </c>
      <c r="I774" s="145">
        <v>0</v>
      </c>
      <c r="J774" s="619"/>
      <c r="K774" s="81">
        <f>IFERROR(VLOOKUP(B774,'x Malzemeler ve Özellikleri'!$O$1:$Q$181,3,0)*F774,0)</f>
        <v>0</v>
      </c>
    </row>
    <row r="775" spans="1:40" ht="19.5">
      <c r="A775" s="67">
        <f t="shared" si="128"/>
        <v>0</v>
      </c>
      <c r="B775" s="67">
        <f t="shared" si="129"/>
        <v>0</v>
      </c>
      <c r="C775" s="70" t="str">
        <f>IF(VLOOKUP(B775,'x Malzemeler ve Özellikleri'!$B$2:$M$136,12,0)="ALÜMİNYUM",'1PROJE'!$H$25,"")</f>
        <v/>
      </c>
      <c r="D775" s="67">
        <f t="shared" si="130"/>
        <v>0</v>
      </c>
      <c r="E775" s="69" t="e">
        <f>HLOOKUP(B775,xHesaplama!$AH$26:$FH$66,40,0)</f>
        <v>#N/A</v>
      </c>
      <c r="F775" s="76">
        <f t="shared" si="126"/>
        <v>0</v>
      </c>
      <c r="G775" s="70">
        <f t="shared" si="131"/>
        <v>0</v>
      </c>
      <c r="H775" s="69" t="str">
        <f t="shared" si="127"/>
        <v/>
      </c>
      <c r="I775" s="145">
        <v>0</v>
      </c>
      <c r="J775" s="619"/>
      <c r="K775" s="81">
        <f>IFERROR(VLOOKUP(B775,'x Malzemeler ve Özellikleri'!$O$1:$Q$181,3,0)*F775,0)</f>
        <v>0</v>
      </c>
    </row>
    <row r="776" spans="1:40" ht="19.5">
      <c r="A776" s="67">
        <f t="shared" si="128"/>
        <v>0</v>
      </c>
      <c r="B776" s="67">
        <f t="shared" si="129"/>
        <v>0</v>
      </c>
      <c r="C776" s="70" t="str">
        <f>IF(VLOOKUP(B776,'x Malzemeler ve Özellikleri'!$B$2:$M$136,12,0)="ALÜMİNYUM",'1PROJE'!$H$25,"")</f>
        <v/>
      </c>
      <c r="D776" s="67">
        <f t="shared" si="130"/>
        <v>0</v>
      </c>
      <c r="E776" s="69" t="e">
        <f>HLOOKUP(B776,xHesaplama!$AH$26:$FH$66,40,0)</f>
        <v>#N/A</v>
      </c>
      <c r="F776" s="76">
        <f t="shared" si="126"/>
        <v>0</v>
      </c>
      <c r="G776" s="70">
        <f t="shared" si="131"/>
        <v>0</v>
      </c>
      <c r="H776" s="69" t="str">
        <f t="shared" si="127"/>
        <v/>
      </c>
      <c r="I776" s="145">
        <v>0</v>
      </c>
      <c r="J776" s="619"/>
      <c r="K776" s="81">
        <f>IFERROR(VLOOKUP(B776,'x Malzemeler ve Özellikleri'!$O$1:$Q$181,3,0)*F776,0)</f>
        <v>0</v>
      </c>
    </row>
    <row r="777" spans="1:40" ht="19.5">
      <c r="A777" s="67">
        <f t="shared" si="128"/>
        <v>0</v>
      </c>
      <c r="B777" s="67">
        <f t="shared" si="129"/>
        <v>0</v>
      </c>
      <c r="C777" s="70" t="str">
        <f>IF(VLOOKUP(B777,'x Malzemeler ve Özellikleri'!$B$2:$M$136,12,0)="ALÜMİNYUM",'1PROJE'!$H$25,"")</f>
        <v/>
      </c>
      <c r="D777" s="67">
        <f t="shared" si="130"/>
        <v>0</v>
      </c>
      <c r="E777" s="69" t="e">
        <f>HLOOKUP(B777,xHesaplama!$AH$26:$FH$66,40,0)</f>
        <v>#N/A</v>
      </c>
      <c r="F777" s="76">
        <f t="shared" si="126"/>
        <v>0</v>
      </c>
      <c r="G777" s="70">
        <f t="shared" si="131"/>
        <v>0</v>
      </c>
      <c r="H777" s="69" t="str">
        <f t="shared" si="127"/>
        <v/>
      </c>
      <c r="I777" s="145">
        <v>0</v>
      </c>
      <c r="J777" s="619"/>
      <c r="K777" s="81">
        <f>IFERROR(VLOOKUP(B777,'x Malzemeler ve Özellikleri'!$O$1:$Q$181,3,0)*F777,0)</f>
        <v>0</v>
      </c>
    </row>
    <row r="778" spans="1:40" ht="19.5">
      <c r="A778" s="67">
        <f t="shared" si="128"/>
        <v>0</v>
      </c>
      <c r="B778" s="67">
        <f t="shared" si="129"/>
        <v>0</v>
      </c>
      <c r="C778" s="70" t="str">
        <f>IF(VLOOKUP(B778,'x Malzemeler ve Özellikleri'!$B$2:$M$136,12,0)="ALÜMİNYUM",'1PROJE'!$H$25,"")</f>
        <v/>
      </c>
      <c r="D778" s="67">
        <f t="shared" si="130"/>
        <v>0</v>
      </c>
      <c r="E778" s="69" t="e">
        <f>HLOOKUP(B778,xHesaplama!$AH$26:$FH$66,40,0)</f>
        <v>#N/A</v>
      </c>
      <c r="F778" s="76">
        <f t="shared" si="126"/>
        <v>0</v>
      </c>
      <c r="G778" s="70">
        <f t="shared" si="131"/>
        <v>0</v>
      </c>
      <c r="H778" s="69" t="str">
        <f t="shared" si="127"/>
        <v/>
      </c>
      <c r="I778" s="145">
        <v>0</v>
      </c>
      <c r="J778" s="619"/>
      <c r="K778" s="81">
        <f>IFERROR(VLOOKUP(B778,'x Malzemeler ve Özellikleri'!$O$1:$Q$181,3,0)*F778,0)</f>
        <v>0</v>
      </c>
    </row>
    <row r="779" spans="1:40" ht="20.25" thickBot="1">
      <c r="A779" s="67">
        <f t="shared" si="128"/>
        <v>0</v>
      </c>
      <c r="B779" s="67">
        <f t="shared" si="129"/>
        <v>0</v>
      </c>
      <c r="C779" s="70" t="str">
        <f>IF(VLOOKUP(B779,'x Malzemeler ve Özellikleri'!$B$2:$M$136,12,0)="ALÜMİNYUM",'1PROJE'!$H$25,"")</f>
        <v/>
      </c>
      <c r="D779" s="67">
        <f t="shared" si="130"/>
        <v>0</v>
      </c>
      <c r="E779" s="69" t="e">
        <f>HLOOKUP(B779,xHesaplama!$AH$26:$FH$66,40,0)</f>
        <v>#N/A</v>
      </c>
      <c r="F779" s="76">
        <f t="shared" si="126"/>
        <v>0</v>
      </c>
      <c r="G779" s="70">
        <f t="shared" si="131"/>
        <v>0</v>
      </c>
      <c r="H779" s="69" t="str">
        <f t="shared" si="127"/>
        <v/>
      </c>
      <c r="I779" s="145">
        <v>0</v>
      </c>
      <c r="J779" s="620"/>
      <c r="K779" s="81">
        <f>IFERROR(VLOOKUP(B779,'x Malzemeler ve Özellikleri'!$O$1:$Q$181,3,0)*F779,0)</f>
        <v>0</v>
      </c>
    </row>
    <row r="780" spans="1:40" ht="30" thickBot="1">
      <c r="A780" s="64" t="str">
        <f>"POZ"&amp;" "&amp;J781</f>
        <v>POZ 20</v>
      </c>
      <c r="C780" s="243">
        <f>xHesaplama!C46</f>
        <v>0</v>
      </c>
      <c r="D780" s="64" t="s">
        <v>357</v>
      </c>
      <c r="F780" s="74"/>
      <c r="G780" s="72" t="s">
        <v>786</v>
      </c>
      <c r="H780" s="65"/>
      <c r="I780" s="71">
        <f>SUM(H782:H820)</f>
        <v>0</v>
      </c>
      <c r="L780" t="str" cm="1">
        <f t="array" ref="L780:AJ780">_xlfn._xlws.FILTER(REÇETE!$D$11:$AB$142,REÇETE!$AB$11:$AB$142&lt;&gt;"","")</f>
        <v>EXCEL KODU</v>
      </c>
      <c r="M780" t="str">
        <v>PARÇA BİRİM</v>
      </c>
      <c r="N780" t="str">
        <v>PARÇA ADI</v>
      </c>
      <c r="O780" t="str">
        <v>MALZEME KODU</v>
      </c>
      <c r="P780" t="str">
        <v>BİRİM FİYAT</v>
      </c>
      <c r="Q780" t="str">
        <v>POZ 1</v>
      </c>
      <c r="R780" t="str">
        <v>POZ 2</v>
      </c>
      <c r="S780" t="str">
        <v>POZ 3</v>
      </c>
      <c r="T780" t="str">
        <v>POZ 4</v>
      </c>
      <c r="U780" t="str">
        <v>POZ 5</v>
      </c>
      <c r="V780" t="str">
        <v>POZ 6</v>
      </c>
      <c r="W780" t="str">
        <v>POZ 7</v>
      </c>
      <c r="X780" t="str">
        <v>POZ 8</v>
      </c>
      <c r="Y780" t="str">
        <v>POZ 9</v>
      </c>
      <c r="Z780" t="str">
        <v>POZ 10</v>
      </c>
      <c r="AA780" t="str">
        <v>POZ 11</v>
      </c>
      <c r="AB780" t="str">
        <v>POZ 12</v>
      </c>
      <c r="AC780" t="str">
        <v>POZ 13</v>
      </c>
      <c r="AD780" t="str">
        <v>POZ 14</v>
      </c>
      <c r="AE780" t="str">
        <v>POZ 15</v>
      </c>
      <c r="AF780" t="str">
        <v>POZ 16</v>
      </c>
      <c r="AG780" t="str">
        <v>POZ 17</v>
      </c>
      <c r="AH780" t="str">
        <v>POZ 18</v>
      </c>
      <c r="AI780" t="str">
        <v>POZ 19</v>
      </c>
      <c r="AJ780" t="str">
        <v>POZ 20</v>
      </c>
    </row>
    <row r="781" spans="1:40">
      <c r="A781" s="66" t="s">
        <v>782</v>
      </c>
      <c r="B781" s="66" t="s">
        <v>409</v>
      </c>
      <c r="C781" s="68"/>
      <c r="D781" s="66" t="s">
        <v>15</v>
      </c>
      <c r="E781" s="68" t="s">
        <v>808</v>
      </c>
      <c r="F781" s="75" t="s">
        <v>785</v>
      </c>
      <c r="G781" s="68" t="s">
        <v>650</v>
      </c>
      <c r="H781" s="68" t="s">
        <v>355</v>
      </c>
      <c r="J781" s="618">
        <v>20</v>
      </c>
      <c r="K781" s="221">
        <f>SUM(K782:K820)</f>
        <v>0</v>
      </c>
    </row>
    <row r="782" spans="1:40" ht="19.5">
      <c r="A782" s="67">
        <f>xHesaplama!H46</f>
        <v>0</v>
      </c>
      <c r="B782" s="67"/>
      <c r="C782" s="70">
        <f>xHesaplama!I46</f>
        <v>0</v>
      </c>
      <c r="D782" s="67">
        <f>xHesaplama!I46</f>
        <v>0</v>
      </c>
      <c r="E782" s="69" t="e">
        <f>xHesaplama!AC46</f>
        <v>#N/A</v>
      </c>
      <c r="F782" s="76">
        <f>xHesaplama!AD46*C780</f>
        <v>0</v>
      </c>
      <c r="G782" s="70" t="s">
        <v>817</v>
      </c>
      <c r="H782" s="69">
        <f t="shared" ref="H782:H783" si="132">IFERROR(E782*F782,0)</f>
        <v>0</v>
      </c>
      <c r="I782" s="145">
        <v>0</v>
      </c>
      <c r="J782" s="619"/>
      <c r="K782" s="81">
        <f>IFERROR(VLOOKUP(A782,'x Malzemeler ve Özellikleri'!$N$1:$Q$181,4,0)*F782,0)</f>
        <v>0</v>
      </c>
      <c r="AN782" s="84" cm="1">
        <f t="array" ref="AN782">_xlfn._xlws.FILTER(A782:I820,I782:I820,0)</f>
        <v>0</v>
      </c>
    </row>
    <row r="783" spans="1:40" ht="19.5">
      <c r="A783" s="67" t="s">
        <v>105</v>
      </c>
      <c r="B783" s="67"/>
      <c r="C783" s="70"/>
      <c r="D783" s="67">
        <f>xHesaplama!J46</f>
        <v>0</v>
      </c>
      <c r="E783" s="69" t="e">
        <f>xHesaplama!AB46</f>
        <v>#N/A</v>
      </c>
      <c r="F783" s="76">
        <f>C780</f>
        <v>0</v>
      </c>
      <c r="G783" s="70" t="s">
        <v>357</v>
      </c>
      <c r="H783" s="69">
        <f t="shared" si="132"/>
        <v>0</v>
      </c>
      <c r="I783" s="145">
        <v>0</v>
      </c>
      <c r="J783" s="619"/>
      <c r="K783" s="81">
        <f>IFERROR(VLOOKUP(D783,'x Malzemeler ve Özellikleri'!$N$1:$Q$181,4,0)*F783,0)</f>
        <v>0</v>
      </c>
    </row>
    <row r="784" spans="1:40" ht="19.5">
      <c r="A784" s="67">
        <f>N781</f>
        <v>0</v>
      </c>
      <c r="B784" s="67">
        <f>L781</f>
        <v>0</v>
      </c>
      <c r="C784" s="70" t="str">
        <f>IF(VLOOKUP(B784,'x Malzemeler ve Özellikleri'!$B$2:$M$136,12,0)="ALÜMİNYUM",'1PROJE'!$H$26,"")</f>
        <v/>
      </c>
      <c r="D784" s="67">
        <f>O781</f>
        <v>0</v>
      </c>
      <c r="E784" s="69" t="e">
        <f>HLOOKUP(B784,xHesaplama!$AH$26:$FH$66,41,0)</f>
        <v>#N/A</v>
      </c>
      <c r="F784" s="76">
        <f t="shared" ref="F784:F820" si="133">AJ781*$C$780</f>
        <v>0</v>
      </c>
      <c r="G784" s="70">
        <f>M781</f>
        <v>0</v>
      </c>
      <c r="H784" s="69" t="str">
        <f t="shared" ref="H784:H820" si="134">IFERROR(E784*$C$780,"")</f>
        <v/>
      </c>
      <c r="I784" s="145">
        <v>0</v>
      </c>
      <c r="J784" s="619"/>
      <c r="K784" s="81">
        <f>IFERROR(VLOOKUP(B784,'x Malzemeler ve Özellikleri'!$O$1:$Q$181,3,0)*F784,0)</f>
        <v>0</v>
      </c>
    </row>
    <row r="785" spans="1:11" ht="19.5">
      <c r="A785" s="67">
        <f t="shared" ref="A785:A820" si="135">N782</f>
        <v>0</v>
      </c>
      <c r="B785" s="67">
        <f t="shared" ref="B785:B820" si="136">L782</f>
        <v>0</v>
      </c>
      <c r="C785" s="70" t="str">
        <f>IF(VLOOKUP(B785,'x Malzemeler ve Özellikleri'!$B$2:$M$136,12,0)="ALÜMİNYUM",'1PROJE'!$H$26,"")</f>
        <v/>
      </c>
      <c r="D785" s="67">
        <f t="shared" ref="D785:D820" si="137">O782</f>
        <v>0</v>
      </c>
      <c r="E785" s="69" t="e">
        <f>HLOOKUP(B785,xHesaplama!$AH$26:$FH$66,41,0)</f>
        <v>#N/A</v>
      </c>
      <c r="F785" s="76">
        <f t="shared" si="133"/>
        <v>0</v>
      </c>
      <c r="G785" s="70">
        <f t="shared" ref="G785:G820" si="138">M782</f>
        <v>0</v>
      </c>
      <c r="H785" s="69" t="str">
        <f t="shared" si="134"/>
        <v/>
      </c>
      <c r="I785" s="145">
        <v>0</v>
      </c>
      <c r="J785" s="619"/>
      <c r="K785" s="81">
        <f>IFERROR(VLOOKUP(B785,'x Malzemeler ve Özellikleri'!$O$1:$Q$181,3,0)*F785,0)</f>
        <v>0</v>
      </c>
    </row>
    <row r="786" spans="1:11" ht="19.5">
      <c r="A786" s="67">
        <f t="shared" si="135"/>
        <v>0</v>
      </c>
      <c r="B786" s="67">
        <f t="shared" si="136"/>
        <v>0</v>
      </c>
      <c r="C786" s="70" t="str">
        <f>IF(VLOOKUP(B786,'x Malzemeler ve Özellikleri'!$B$2:$M$136,12,0)="ALÜMİNYUM",'1PROJE'!$H$26,"")</f>
        <v/>
      </c>
      <c r="D786" s="67">
        <f t="shared" si="137"/>
        <v>0</v>
      </c>
      <c r="E786" s="69" t="e">
        <f>HLOOKUP(B786,xHesaplama!$AH$26:$FH$66,41,0)</f>
        <v>#N/A</v>
      </c>
      <c r="F786" s="76">
        <f t="shared" si="133"/>
        <v>0</v>
      </c>
      <c r="G786" s="70">
        <f t="shared" si="138"/>
        <v>0</v>
      </c>
      <c r="H786" s="69" t="str">
        <f t="shared" si="134"/>
        <v/>
      </c>
      <c r="I786" s="145">
        <v>0</v>
      </c>
      <c r="J786" s="619"/>
      <c r="K786" s="81">
        <f>IFERROR(VLOOKUP(B786,'x Malzemeler ve Özellikleri'!$O$1:$Q$181,3,0)*F786,0)</f>
        <v>0</v>
      </c>
    </row>
    <row r="787" spans="1:11" ht="19.5">
      <c r="A787" s="67">
        <f t="shared" si="135"/>
        <v>0</v>
      </c>
      <c r="B787" s="67">
        <f t="shared" si="136"/>
        <v>0</v>
      </c>
      <c r="C787" s="70" t="str">
        <f>IF(VLOOKUP(B787,'x Malzemeler ve Özellikleri'!$B$2:$M$136,12,0)="ALÜMİNYUM",'1PROJE'!$H$26,"")</f>
        <v/>
      </c>
      <c r="D787" s="67">
        <f t="shared" si="137"/>
        <v>0</v>
      </c>
      <c r="E787" s="69" t="e">
        <f>HLOOKUP(B787,xHesaplama!$AH$26:$FH$66,41,0)</f>
        <v>#N/A</v>
      </c>
      <c r="F787" s="76">
        <f t="shared" si="133"/>
        <v>0</v>
      </c>
      <c r="G787" s="70">
        <f t="shared" si="138"/>
        <v>0</v>
      </c>
      <c r="H787" s="69" t="str">
        <f t="shared" si="134"/>
        <v/>
      </c>
      <c r="I787" s="145">
        <v>0</v>
      </c>
      <c r="J787" s="619"/>
      <c r="K787" s="81">
        <f>IFERROR(VLOOKUP(B787,'x Malzemeler ve Özellikleri'!$O$1:$Q$181,3,0)*F787,0)</f>
        <v>0</v>
      </c>
    </row>
    <row r="788" spans="1:11" ht="19.5">
      <c r="A788" s="67">
        <f t="shared" si="135"/>
        <v>0</v>
      </c>
      <c r="B788" s="67">
        <f t="shared" si="136"/>
        <v>0</v>
      </c>
      <c r="C788" s="70" t="str">
        <f>IF(VLOOKUP(B788,'x Malzemeler ve Özellikleri'!$B$2:$M$136,12,0)="ALÜMİNYUM",'1PROJE'!$H$26,"")</f>
        <v/>
      </c>
      <c r="D788" s="67">
        <f t="shared" si="137"/>
        <v>0</v>
      </c>
      <c r="E788" s="69" t="e">
        <f>HLOOKUP(B788,xHesaplama!$AH$26:$FH$66,41,0)</f>
        <v>#N/A</v>
      </c>
      <c r="F788" s="76">
        <f t="shared" si="133"/>
        <v>0</v>
      </c>
      <c r="G788" s="70">
        <f t="shared" si="138"/>
        <v>0</v>
      </c>
      <c r="H788" s="69" t="str">
        <f t="shared" si="134"/>
        <v/>
      </c>
      <c r="I788" s="145">
        <v>0</v>
      </c>
      <c r="J788" s="619"/>
      <c r="K788" s="81">
        <f>IFERROR(VLOOKUP(B788,'x Malzemeler ve Özellikleri'!$O$1:$Q$181,3,0)*F788,0)</f>
        <v>0</v>
      </c>
    </row>
    <row r="789" spans="1:11" ht="19.5">
      <c r="A789" s="67">
        <f t="shared" si="135"/>
        <v>0</v>
      </c>
      <c r="B789" s="67">
        <f t="shared" si="136"/>
        <v>0</v>
      </c>
      <c r="C789" s="70" t="str">
        <f>IF(VLOOKUP(B789,'x Malzemeler ve Özellikleri'!$B$2:$M$136,12,0)="ALÜMİNYUM",'1PROJE'!$H$26,"")</f>
        <v/>
      </c>
      <c r="D789" s="67">
        <f t="shared" si="137"/>
        <v>0</v>
      </c>
      <c r="E789" s="69" t="e">
        <f>HLOOKUP(B789,xHesaplama!$AH$26:$FH$66,41,0)</f>
        <v>#N/A</v>
      </c>
      <c r="F789" s="76">
        <f t="shared" si="133"/>
        <v>0</v>
      </c>
      <c r="G789" s="70">
        <f t="shared" si="138"/>
        <v>0</v>
      </c>
      <c r="H789" s="69" t="str">
        <f t="shared" si="134"/>
        <v/>
      </c>
      <c r="I789" s="145">
        <v>0</v>
      </c>
      <c r="J789" s="619"/>
      <c r="K789" s="81">
        <f>IFERROR(VLOOKUP(B789,'x Malzemeler ve Özellikleri'!$O$1:$Q$181,3,0)*F789,0)</f>
        <v>0</v>
      </c>
    </row>
    <row r="790" spans="1:11" ht="19.5">
      <c r="A790" s="67">
        <f t="shared" si="135"/>
        <v>0</v>
      </c>
      <c r="B790" s="67">
        <f t="shared" si="136"/>
        <v>0</v>
      </c>
      <c r="C790" s="70" t="str">
        <f>IF(VLOOKUP(B790,'x Malzemeler ve Özellikleri'!$B$2:$M$136,12,0)="ALÜMİNYUM",'1PROJE'!$H$26,"")</f>
        <v/>
      </c>
      <c r="D790" s="67">
        <f t="shared" si="137"/>
        <v>0</v>
      </c>
      <c r="E790" s="69" t="e">
        <f>HLOOKUP(B790,xHesaplama!$AH$26:$FH$66,41,0)</f>
        <v>#N/A</v>
      </c>
      <c r="F790" s="76">
        <f t="shared" si="133"/>
        <v>0</v>
      </c>
      <c r="G790" s="70">
        <f t="shared" si="138"/>
        <v>0</v>
      </c>
      <c r="H790" s="69" t="str">
        <f t="shared" si="134"/>
        <v/>
      </c>
      <c r="I790" s="145">
        <v>0</v>
      </c>
      <c r="J790" s="619"/>
      <c r="K790" s="81">
        <f>IFERROR(VLOOKUP(B790,'x Malzemeler ve Özellikleri'!$O$1:$Q$181,3,0)*F790,0)</f>
        <v>0</v>
      </c>
    </row>
    <row r="791" spans="1:11" ht="19.5">
      <c r="A791" s="67">
        <f t="shared" si="135"/>
        <v>0</v>
      </c>
      <c r="B791" s="67">
        <f t="shared" si="136"/>
        <v>0</v>
      </c>
      <c r="C791" s="70" t="str">
        <f>IF(VLOOKUP(B791,'x Malzemeler ve Özellikleri'!$B$2:$M$136,12,0)="ALÜMİNYUM",'1PROJE'!$H$26,"")</f>
        <v/>
      </c>
      <c r="D791" s="67">
        <f t="shared" si="137"/>
        <v>0</v>
      </c>
      <c r="E791" s="69" t="e">
        <f>HLOOKUP(B791,xHesaplama!$AH$26:$FH$66,41,0)</f>
        <v>#N/A</v>
      </c>
      <c r="F791" s="76">
        <f t="shared" si="133"/>
        <v>0</v>
      </c>
      <c r="G791" s="70">
        <f t="shared" si="138"/>
        <v>0</v>
      </c>
      <c r="H791" s="69" t="str">
        <f t="shared" si="134"/>
        <v/>
      </c>
      <c r="I791" s="145">
        <v>0</v>
      </c>
      <c r="J791" s="619"/>
      <c r="K791" s="81">
        <f>IFERROR(VLOOKUP(B791,'x Malzemeler ve Özellikleri'!$O$1:$Q$181,3,0)*F791,0)</f>
        <v>0</v>
      </c>
    </row>
    <row r="792" spans="1:11" ht="19.5">
      <c r="A792" s="67">
        <f t="shared" si="135"/>
        <v>0</v>
      </c>
      <c r="B792" s="67">
        <f t="shared" si="136"/>
        <v>0</v>
      </c>
      <c r="C792" s="70" t="str">
        <f>IF(VLOOKUP(B792,'x Malzemeler ve Özellikleri'!$B$2:$M$136,12,0)="ALÜMİNYUM",'1PROJE'!$H$26,"")</f>
        <v/>
      </c>
      <c r="D792" s="67">
        <f t="shared" si="137"/>
        <v>0</v>
      </c>
      <c r="E792" s="69" t="e">
        <f>HLOOKUP(B792,xHesaplama!$AH$26:$FH$66,41,0)</f>
        <v>#N/A</v>
      </c>
      <c r="F792" s="76">
        <f t="shared" si="133"/>
        <v>0</v>
      </c>
      <c r="G792" s="70">
        <f t="shared" si="138"/>
        <v>0</v>
      </c>
      <c r="H792" s="69" t="str">
        <f t="shared" si="134"/>
        <v/>
      </c>
      <c r="I792" s="145">
        <v>0</v>
      </c>
      <c r="J792" s="619"/>
      <c r="K792" s="81">
        <f>IFERROR(VLOOKUP(B792,'x Malzemeler ve Özellikleri'!$O$1:$Q$181,3,0)*F792,0)</f>
        <v>0</v>
      </c>
    </row>
    <row r="793" spans="1:11" ht="19.5">
      <c r="A793" s="67">
        <f t="shared" si="135"/>
        <v>0</v>
      </c>
      <c r="B793" s="67">
        <f t="shared" si="136"/>
        <v>0</v>
      </c>
      <c r="C793" s="70" t="str">
        <f>IF(VLOOKUP(B793,'x Malzemeler ve Özellikleri'!$B$2:$M$136,12,0)="ALÜMİNYUM",'1PROJE'!$H$26,"")</f>
        <v/>
      </c>
      <c r="D793" s="67">
        <f t="shared" si="137"/>
        <v>0</v>
      </c>
      <c r="E793" s="69" t="e">
        <f>HLOOKUP(B793,xHesaplama!$AH$26:$FH$66,41,0)</f>
        <v>#N/A</v>
      </c>
      <c r="F793" s="76">
        <f t="shared" si="133"/>
        <v>0</v>
      </c>
      <c r="G793" s="70">
        <f t="shared" si="138"/>
        <v>0</v>
      </c>
      <c r="H793" s="69" t="str">
        <f t="shared" si="134"/>
        <v/>
      </c>
      <c r="I793" s="145">
        <v>0</v>
      </c>
      <c r="J793" s="619"/>
      <c r="K793" s="81">
        <f>IFERROR(VLOOKUP(B793,'x Malzemeler ve Özellikleri'!$O$1:$Q$181,3,0)*F793,0)</f>
        <v>0</v>
      </c>
    </row>
    <row r="794" spans="1:11" ht="19.5">
      <c r="A794" s="67">
        <f t="shared" si="135"/>
        <v>0</v>
      </c>
      <c r="B794" s="67">
        <f t="shared" si="136"/>
        <v>0</v>
      </c>
      <c r="C794" s="70" t="str">
        <f>IF(VLOOKUP(B794,'x Malzemeler ve Özellikleri'!$B$2:$M$136,12,0)="ALÜMİNYUM",'1PROJE'!$H$26,"")</f>
        <v/>
      </c>
      <c r="D794" s="67">
        <f t="shared" si="137"/>
        <v>0</v>
      </c>
      <c r="E794" s="69" t="e">
        <f>HLOOKUP(B794,xHesaplama!$AH$26:$FH$66,41,0)</f>
        <v>#N/A</v>
      </c>
      <c r="F794" s="76">
        <f t="shared" si="133"/>
        <v>0</v>
      </c>
      <c r="G794" s="70">
        <f t="shared" si="138"/>
        <v>0</v>
      </c>
      <c r="H794" s="69" t="str">
        <f t="shared" si="134"/>
        <v/>
      </c>
      <c r="I794" s="145">
        <v>0</v>
      </c>
      <c r="J794" s="619"/>
      <c r="K794" s="81">
        <f>IFERROR(VLOOKUP(B794,'x Malzemeler ve Özellikleri'!$O$1:$Q$181,3,0)*F794,0)</f>
        <v>0</v>
      </c>
    </row>
    <row r="795" spans="1:11" ht="19.5">
      <c r="A795" s="67">
        <f t="shared" si="135"/>
        <v>0</v>
      </c>
      <c r="B795" s="67">
        <f t="shared" si="136"/>
        <v>0</v>
      </c>
      <c r="C795" s="70" t="str">
        <f>IF(VLOOKUP(B795,'x Malzemeler ve Özellikleri'!$B$2:$M$136,12,0)="ALÜMİNYUM",'1PROJE'!$H$26,"")</f>
        <v/>
      </c>
      <c r="D795" s="67">
        <f t="shared" si="137"/>
        <v>0</v>
      </c>
      <c r="E795" s="69" t="e">
        <f>HLOOKUP(B795,xHesaplama!$AH$26:$FH$66,41,0)</f>
        <v>#N/A</v>
      </c>
      <c r="F795" s="76">
        <f t="shared" si="133"/>
        <v>0</v>
      </c>
      <c r="G795" s="70">
        <f t="shared" si="138"/>
        <v>0</v>
      </c>
      <c r="H795" s="69" t="str">
        <f t="shared" si="134"/>
        <v/>
      </c>
      <c r="I795" s="145">
        <v>0</v>
      </c>
      <c r="J795" s="619"/>
      <c r="K795" s="81">
        <f>IFERROR(VLOOKUP(B795,'x Malzemeler ve Özellikleri'!$O$1:$Q$181,3,0)*F795,0)</f>
        <v>0</v>
      </c>
    </row>
    <row r="796" spans="1:11" ht="19.5">
      <c r="A796" s="67">
        <f t="shared" si="135"/>
        <v>0</v>
      </c>
      <c r="B796" s="67">
        <f t="shared" si="136"/>
        <v>0</v>
      </c>
      <c r="C796" s="70" t="str">
        <f>IF(VLOOKUP(B796,'x Malzemeler ve Özellikleri'!$B$2:$M$136,12,0)="ALÜMİNYUM",'1PROJE'!$H$26,"")</f>
        <v/>
      </c>
      <c r="D796" s="67">
        <f t="shared" si="137"/>
        <v>0</v>
      </c>
      <c r="E796" s="69" t="e">
        <f>HLOOKUP(B796,xHesaplama!$AH$26:$FH$66,41,0)</f>
        <v>#N/A</v>
      </c>
      <c r="F796" s="76">
        <f t="shared" si="133"/>
        <v>0</v>
      </c>
      <c r="G796" s="70">
        <f t="shared" si="138"/>
        <v>0</v>
      </c>
      <c r="H796" s="69" t="str">
        <f t="shared" si="134"/>
        <v/>
      </c>
      <c r="I796" s="145">
        <v>0</v>
      </c>
      <c r="J796" s="619"/>
      <c r="K796" s="81">
        <f>IFERROR(VLOOKUP(B796,'x Malzemeler ve Özellikleri'!$O$1:$Q$181,3,0)*F796,0)</f>
        <v>0</v>
      </c>
    </row>
    <row r="797" spans="1:11" ht="19.5">
      <c r="A797" s="67">
        <f t="shared" si="135"/>
        <v>0</v>
      </c>
      <c r="B797" s="67">
        <f t="shared" si="136"/>
        <v>0</v>
      </c>
      <c r="C797" s="70" t="str">
        <f>IF(VLOOKUP(B797,'x Malzemeler ve Özellikleri'!$B$2:$M$136,12,0)="ALÜMİNYUM",'1PROJE'!$H$26,"")</f>
        <v/>
      </c>
      <c r="D797" s="67">
        <f t="shared" si="137"/>
        <v>0</v>
      </c>
      <c r="E797" s="69" t="e">
        <f>HLOOKUP(B797,xHesaplama!$AH$26:$FH$66,41,0)</f>
        <v>#N/A</v>
      </c>
      <c r="F797" s="76">
        <f t="shared" si="133"/>
        <v>0</v>
      </c>
      <c r="G797" s="70">
        <f t="shared" si="138"/>
        <v>0</v>
      </c>
      <c r="H797" s="69" t="str">
        <f t="shared" si="134"/>
        <v/>
      </c>
      <c r="I797" s="145">
        <v>0</v>
      </c>
      <c r="J797" s="619"/>
      <c r="K797" s="81">
        <f>IFERROR(VLOOKUP(B797,'x Malzemeler ve Özellikleri'!$O$1:$Q$181,3,0)*F797,0)</f>
        <v>0</v>
      </c>
    </row>
    <row r="798" spans="1:11" ht="19.5">
      <c r="A798" s="67">
        <f t="shared" si="135"/>
        <v>0</v>
      </c>
      <c r="B798" s="67">
        <f t="shared" si="136"/>
        <v>0</v>
      </c>
      <c r="C798" s="70" t="str">
        <f>IF(VLOOKUP(B798,'x Malzemeler ve Özellikleri'!$B$2:$M$136,12,0)="ALÜMİNYUM",'1PROJE'!$H$26,"")</f>
        <v/>
      </c>
      <c r="D798" s="67">
        <f t="shared" si="137"/>
        <v>0</v>
      </c>
      <c r="E798" s="69" t="e">
        <f>HLOOKUP(B798,xHesaplama!$AH$26:$FH$66,41,0)</f>
        <v>#N/A</v>
      </c>
      <c r="F798" s="76">
        <f t="shared" si="133"/>
        <v>0</v>
      </c>
      <c r="G798" s="70">
        <f t="shared" si="138"/>
        <v>0</v>
      </c>
      <c r="H798" s="69" t="str">
        <f t="shared" si="134"/>
        <v/>
      </c>
      <c r="I798" s="145">
        <v>0</v>
      </c>
      <c r="J798" s="619"/>
      <c r="K798" s="81">
        <f>IFERROR(VLOOKUP(B798,'x Malzemeler ve Özellikleri'!$O$1:$Q$181,3,0)*F798,0)</f>
        <v>0</v>
      </c>
    </row>
    <row r="799" spans="1:11" ht="19.5">
      <c r="A799" s="67">
        <f t="shared" si="135"/>
        <v>0</v>
      </c>
      <c r="B799" s="67">
        <f t="shared" si="136"/>
        <v>0</v>
      </c>
      <c r="C799" s="70" t="str">
        <f>IF(VLOOKUP(B799,'x Malzemeler ve Özellikleri'!$B$2:$M$136,12,0)="ALÜMİNYUM",'1PROJE'!$H$26,"")</f>
        <v/>
      </c>
      <c r="D799" s="67">
        <f t="shared" si="137"/>
        <v>0</v>
      </c>
      <c r="E799" s="69" t="e">
        <f>HLOOKUP(B799,xHesaplama!$AH$26:$FH$66,41,0)</f>
        <v>#N/A</v>
      </c>
      <c r="F799" s="76">
        <f t="shared" si="133"/>
        <v>0</v>
      </c>
      <c r="G799" s="70">
        <f t="shared" si="138"/>
        <v>0</v>
      </c>
      <c r="H799" s="69" t="str">
        <f t="shared" si="134"/>
        <v/>
      </c>
      <c r="I799" s="145">
        <v>0</v>
      </c>
      <c r="J799" s="619"/>
      <c r="K799" s="81">
        <f>IFERROR(VLOOKUP(B799,'x Malzemeler ve Özellikleri'!$O$1:$Q$181,3,0)*F799,0)</f>
        <v>0</v>
      </c>
    </row>
    <row r="800" spans="1:11" ht="19.5">
      <c r="A800" s="67">
        <f t="shared" si="135"/>
        <v>0</v>
      </c>
      <c r="B800" s="67">
        <f t="shared" si="136"/>
        <v>0</v>
      </c>
      <c r="C800" s="70" t="str">
        <f>IF(VLOOKUP(B800,'x Malzemeler ve Özellikleri'!$B$2:$M$136,12,0)="ALÜMİNYUM",'1PROJE'!$H$26,"")</f>
        <v/>
      </c>
      <c r="D800" s="67">
        <f t="shared" si="137"/>
        <v>0</v>
      </c>
      <c r="E800" s="69" t="e">
        <f>HLOOKUP(B800,xHesaplama!$AH$26:$FH$66,41,0)</f>
        <v>#N/A</v>
      </c>
      <c r="F800" s="76">
        <f t="shared" si="133"/>
        <v>0</v>
      </c>
      <c r="G800" s="70">
        <f t="shared" si="138"/>
        <v>0</v>
      </c>
      <c r="H800" s="69" t="str">
        <f t="shared" si="134"/>
        <v/>
      </c>
      <c r="I800" s="145">
        <v>0</v>
      </c>
      <c r="J800" s="619"/>
      <c r="K800" s="81">
        <f>IFERROR(VLOOKUP(B800,'x Malzemeler ve Özellikleri'!$O$1:$Q$181,3,0)*F800,0)</f>
        <v>0</v>
      </c>
    </row>
    <row r="801" spans="1:11" ht="19.5">
      <c r="A801" s="67">
        <f t="shared" si="135"/>
        <v>0</v>
      </c>
      <c r="B801" s="67">
        <f t="shared" si="136"/>
        <v>0</v>
      </c>
      <c r="C801" s="70" t="str">
        <f>IF(VLOOKUP(B801,'x Malzemeler ve Özellikleri'!$B$2:$M$136,12,0)="ALÜMİNYUM",'1PROJE'!$H$26,"")</f>
        <v/>
      </c>
      <c r="D801" s="67">
        <f t="shared" si="137"/>
        <v>0</v>
      </c>
      <c r="E801" s="69" t="e">
        <f>HLOOKUP(B801,xHesaplama!$AH$26:$FH$66,41,0)</f>
        <v>#N/A</v>
      </c>
      <c r="F801" s="76">
        <f t="shared" si="133"/>
        <v>0</v>
      </c>
      <c r="G801" s="70">
        <f t="shared" si="138"/>
        <v>0</v>
      </c>
      <c r="H801" s="69" t="str">
        <f t="shared" si="134"/>
        <v/>
      </c>
      <c r="I801" s="145">
        <v>0</v>
      </c>
      <c r="J801" s="619"/>
      <c r="K801" s="81">
        <f>IFERROR(VLOOKUP(B801,'x Malzemeler ve Özellikleri'!$O$1:$Q$181,3,0)*F801,0)</f>
        <v>0</v>
      </c>
    </row>
    <row r="802" spans="1:11" ht="19.5">
      <c r="A802" s="67">
        <f t="shared" si="135"/>
        <v>0</v>
      </c>
      <c r="B802" s="67">
        <f t="shared" si="136"/>
        <v>0</v>
      </c>
      <c r="C802" s="70" t="str">
        <f>IF(VLOOKUP(B802,'x Malzemeler ve Özellikleri'!$B$2:$M$136,12,0)="ALÜMİNYUM",'1PROJE'!$H$26,"")</f>
        <v/>
      </c>
      <c r="D802" s="67">
        <f t="shared" si="137"/>
        <v>0</v>
      </c>
      <c r="E802" s="69" t="e">
        <f>HLOOKUP(B802,xHesaplama!$AH$26:$FH$66,41,0)</f>
        <v>#N/A</v>
      </c>
      <c r="F802" s="76">
        <f t="shared" si="133"/>
        <v>0</v>
      </c>
      <c r="G802" s="70">
        <f t="shared" si="138"/>
        <v>0</v>
      </c>
      <c r="H802" s="69" t="str">
        <f t="shared" si="134"/>
        <v/>
      </c>
      <c r="I802" s="145">
        <v>0</v>
      </c>
      <c r="J802" s="619"/>
      <c r="K802" s="81">
        <f>IFERROR(VLOOKUP(B802,'x Malzemeler ve Özellikleri'!$O$1:$Q$181,3,0)*F802,0)</f>
        <v>0</v>
      </c>
    </row>
    <row r="803" spans="1:11" ht="19.5">
      <c r="A803" s="67">
        <f t="shared" si="135"/>
        <v>0</v>
      </c>
      <c r="B803" s="67">
        <f t="shared" si="136"/>
        <v>0</v>
      </c>
      <c r="C803" s="70" t="str">
        <f>IF(VLOOKUP(B803,'x Malzemeler ve Özellikleri'!$B$2:$M$136,12,0)="ALÜMİNYUM",'1PROJE'!$H$26,"")</f>
        <v/>
      </c>
      <c r="D803" s="67">
        <f t="shared" si="137"/>
        <v>0</v>
      </c>
      <c r="E803" s="69" t="e">
        <f>HLOOKUP(B803,xHesaplama!$AH$26:$FH$66,41,0)</f>
        <v>#N/A</v>
      </c>
      <c r="F803" s="76">
        <f t="shared" si="133"/>
        <v>0</v>
      </c>
      <c r="G803" s="70">
        <f t="shared" si="138"/>
        <v>0</v>
      </c>
      <c r="H803" s="69" t="str">
        <f t="shared" si="134"/>
        <v/>
      </c>
      <c r="I803" s="145">
        <v>0</v>
      </c>
      <c r="J803" s="619"/>
      <c r="K803" s="81">
        <f>IFERROR(VLOOKUP(B803,'x Malzemeler ve Özellikleri'!$O$1:$Q$181,3,0)*F803,0)</f>
        <v>0</v>
      </c>
    </row>
    <row r="804" spans="1:11" ht="19.5">
      <c r="A804" s="67">
        <f t="shared" si="135"/>
        <v>0</v>
      </c>
      <c r="B804" s="67">
        <f t="shared" si="136"/>
        <v>0</v>
      </c>
      <c r="C804" s="70" t="str">
        <f>IF(VLOOKUP(B804,'x Malzemeler ve Özellikleri'!$B$2:$M$136,12,0)="ALÜMİNYUM",'1PROJE'!$H$26,"")</f>
        <v/>
      </c>
      <c r="D804" s="67">
        <f t="shared" si="137"/>
        <v>0</v>
      </c>
      <c r="E804" s="69" t="e">
        <f>HLOOKUP(B804,xHesaplama!$AH$26:$FH$66,41,0)</f>
        <v>#N/A</v>
      </c>
      <c r="F804" s="76">
        <f t="shared" si="133"/>
        <v>0</v>
      </c>
      <c r="G804" s="70">
        <f t="shared" si="138"/>
        <v>0</v>
      </c>
      <c r="H804" s="69" t="str">
        <f t="shared" si="134"/>
        <v/>
      </c>
      <c r="I804" s="145">
        <v>0</v>
      </c>
      <c r="J804" s="619"/>
      <c r="K804" s="81">
        <f>IFERROR(VLOOKUP(B804,'x Malzemeler ve Özellikleri'!$O$1:$Q$181,3,0)*F804,0)</f>
        <v>0</v>
      </c>
    </row>
    <row r="805" spans="1:11" ht="19.5">
      <c r="A805" s="67">
        <f t="shared" si="135"/>
        <v>0</v>
      </c>
      <c r="B805" s="67">
        <f t="shared" si="136"/>
        <v>0</v>
      </c>
      <c r="C805" s="70" t="str">
        <f>IF(VLOOKUP(B805,'x Malzemeler ve Özellikleri'!$B$2:$M$136,12,0)="ALÜMİNYUM",'1PROJE'!$H$26,"")</f>
        <v/>
      </c>
      <c r="D805" s="67">
        <f t="shared" si="137"/>
        <v>0</v>
      </c>
      <c r="E805" s="69" t="e">
        <f>HLOOKUP(B805,xHesaplama!$AH$26:$FH$66,41,0)</f>
        <v>#N/A</v>
      </c>
      <c r="F805" s="76">
        <f t="shared" si="133"/>
        <v>0</v>
      </c>
      <c r="G805" s="70">
        <f t="shared" si="138"/>
        <v>0</v>
      </c>
      <c r="H805" s="69" t="str">
        <f t="shared" si="134"/>
        <v/>
      </c>
      <c r="I805" s="145">
        <v>0</v>
      </c>
      <c r="J805" s="619"/>
      <c r="K805" s="81">
        <f>IFERROR(VLOOKUP(B805,'x Malzemeler ve Özellikleri'!$O$1:$Q$181,3,0)*F805,0)</f>
        <v>0</v>
      </c>
    </row>
    <row r="806" spans="1:11" ht="19.5">
      <c r="A806" s="67">
        <f t="shared" si="135"/>
        <v>0</v>
      </c>
      <c r="B806" s="67">
        <f t="shared" si="136"/>
        <v>0</v>
      </c>
      <c r="C806" s="70" t="str">
        <f>IF(VLOOKUP(B806,'x Malzemeler ve Özellikleri'!$B$2:$M$136,12,0)="ALÜMİNYUM",'1PROJE'!$H$26,"")</f>
        <v/>
      </c>
      <c r="D806" s="67">
        <f t="shared" si="137"/>
        <v>0</v>
      </c>
      <c r="E806" s="69" t="e">
        <f>HLOOKUP(B806,xHesaplama!$AH$26:$FH$66,41,0)</f>
        <v>#N/A</v>
      </c>
      <c r="F806" s="76">
        <f t="shared" si="133"/>
        <v>0</v>
      </c>
      <c r="G806" s="70">
        <f t="shared" si="138"/>
        <v>0</v>
      </c>
      <c r="H806" s="69" t="str">
        <f t="shared" si="134"/>
        <v/>
      </c>
      <c r="I806" s="145">
        <v>0</v>
      </c>
      <c r="J806" s="619"/>
      <c r="K806" s="81">
        <f>IFERROR(VLOOKUP(B806,'x Malzemeler ve Özellikleri'!$O$1:$Q$181,3,0)*F806,0)</f>
        <v>0</v>
      </c>
    </row>
    <row r="807" spans="1:11" ht="19.5">
      <c r="A807" s="67">
        <f t="shared" si="135"/>
        <v>0</v>
      </c>
      <c r="B807" s="67">
        <f t="shared" si="136"/>
        <v>0</v>
      </c>
      <c r="C807" s="70" t="str">
        <f>IF(VLOOKUP(B807,'x Malzemeler ve Özellikleri'!$B$2:$M$136,12,0)="ALÜMİNYUM",'1PROJE'!$H$26,"")</f>
        <v/>
      </c>
      <c r="D807" s="67">
        <f t="shared" si="137"/>
        <v>0</v>
      </c>
      <c r="E807" s="69" t="e">
        <f>HLOOKUP(B807,xHesaplama!$AH$26:$FH$66,41,0)</f>
        <v>#N/A</v>
      </c>
      <c r="F807" s="76">
        <f t="shared" si="133"/>
        <v>0</v>
      </c>
      <c r="G807" s="70">
        <f t="shared" si="138"/>
        <v>0</v>
      </c>
      <c r="H807" s="69" t="str">
        <f t="shared" si="134"/>
        <v/>
      </c>
      <c r="I807" s="145">
        <v>0</v>
      </c>
      <c r="J807" s="619"/>
      <c r="K807" s="81">
        <f>IFERROR(VLOOKUP(B807,'x Malzemeler ve Özellikleri'!$O$1:$Q$181,3,0)*F807,0)</f>
        <v>0</v>
      </c>
    </row>
    <row r="808" spans="1:11" ht="19.5">
      <c r="A808" s="67">
        <f t="shared" si="135"/>
        <v>0</v>
      </c>
      <c r="B808" s="67">
        <f t="shared" si="136"/>
        <v>0</v>
      </c>
      <c r="C808" s="70" t="str">
        <f>IF(VLOOKUP(B808,'x Malzemeler ve Özellikleri'!$B$2:$M$136,12,0)="ALÜMİNYUM",'1PROJE'!$H$26,"")</f>
        <v/>
      </c>
      <c r="D808" s="67">
        <f t="shared" si="137"/>
        <v>0</v>
      </c>
      <c r="E808" s="69" t="e">
        <f>HLOOKUP(B808,xHesaplama!$AH$26:$FH$66,41,0)</f>
        <v>#N/A</v>
      </c>
      <c r="F808" s="76">
        <f t="shared" si="133"/>
        <v>0</v>
      </c>
      <c r="G808" s="70">
        <f t="shared" si="138"/>
        <v>0</v>
      </c>
      <c r="H808" s="69" t="str">
        <f t="shared" si="134"/>
        <v/>
      </c>
      <c r="I808" s="145">
        <v>0</v>
      </c>
      <c r="J808" s="619"/>
      <c r="K808" s="81">
        <f>IFERROR(VLOOKUP(B808,'x Malzemeler ve Özellikleri'!$O$1:$Q$181,3,0)*F808,0)</f>
        <v>0</v>
      </c>
    </row>
    <row r="809" spans="1:11" ht="19.5">
      <c r="A809" s="67">
        <f t="shared" si="135"/>
        <v>0</v>
      </c>
      <c r="B809" s="67">
        <f t="shared" si="136"/>
        <v>0</v>
      </c>
      <c r="C809" s="70" t="str">
        <f>IF(VLOOKUP(B809,'x Malzemeler ve Özellikleri'!$B$2:$M$136,12,0)="ALÜMİNYUM",'1PROJE'!$H$26,"")</f>
        <v/>
      </c>
      <c r="D809" s="67">
        <f t="shared" si="137"/>
        <v>0</v>
      </c>
      <c r="E809" s="69" t="e">
        <f>HLOOKUP(B809,xHesaplama!$AH$26:$FH$66,41,0)</f>
        <v>#N/A</v>
      </c>
      <c r="F809" s="76">
        <f t="shared" si="133"/>
        <v>0</v>
      </c>
      <c r="G809" s="70">
        <f t="shared" si="138"/>
        <v>0</v>
      </c>
      <c r="H809" s="69" t="str">
        <f t="shared" si="134"/>
        <v/>
      </c>
      <c r="I809" s="145">
        <v>0</v>
      </c>
      <c r="J809" s="619"/>
      <c r="K809" s="81">
        <f>IFERROR(VLOOKUP(B809,'x Malzemeler ve Özellikleri'!$O$1:$Q$181,3,0)*F809,0)</f>
        <v>0</v>
      </c>
    </row>
    <row r="810" spans="1:11" ht="19.5">
      <c r="A810" s="67">
        <f t="shared" si="135"/>
        <v>0</v>
      </c>
      <c r="B810" s="67">
        <f t="shared" si="136"/>
        <v>0</v>
      </c>
      <c r="C810" s="70" t="str">
        <f>IF(VLOOKUP(B810,'x Malzemeler ve Özellikleri'!$B$2:$M$136,12,0)="ALÜMİNYUM",'1PROJE'!$H$26,"")</f>
        <v/>
      </c>
      <c r="D810" s="67">
        <f t="shared" si="137"/>
        <v>0</v>
      </c>
      <c r="E810" s="69" t="e">
        <f>HLOOKUP(B810,xHesaplama!$AH$26:$FH$66,41,0)</f>
        <v>#N/A</v>
      </c>
      <c r="F810" s="76">
        <f t="shared" si="133"/>
        <v>0</v>
      </c>
      <c r="G810" s="70">
        <f t="shared" si="138"/>
        <v>0</v>
      </c>
      <c r="H810" s="69" t="str">
        <f t="shared" si="134"/>
        <v/>
      </c>
      <c r="I810" s="145">
        <v>0</v>
      </c>
      <c r="J810" s="619"/>
      <c r="K810" s="81">
        <f>IFERROR(VLOOKUP(B810,'x Malzemeler ve Özellikleri'!$O$1:$Q$181,3,0)*F810,0)</f>
        <v>0</v>
      </c>
    </row>
    <row r="811" spans="1:11" ht="19.5">
      <c r="A811" s="67">
        <f t="shared" si="135"/>
        <v>0</v>
      </c>
      <c r="B811" s="67">
        <f t="shared" si="136"/>
        <v>0</v>
      </c>
      <c r="C811" s="70" t="str">
        <f>IF(VLOOKUP(B811,'x Malzemeler ve Özellikleri'!$B$2:$M$136,12,0)="ALÜMİNYUM",'1PROJE'!$H$26,"")</f>
        <v/>
      </c>
      <c r="D811" s="67">
        <f t="shared" si="137"/>
        <v>0</v>
      </c>
      <c r="E811" s="69" t="e">
        <f>HLOOKUP(B811,xHesaplama!$AH$26:$FH$66,41,0)</f>
        <v>#N/A</v>
      </c>
      <c r="F811" s="76">
        <f t="shared" si="133"/>
        <v>0</v>
      </c>
      <c r="G811" s="70">
        <f t="shared" si="138"/>
        <v>0</v>
      </c>
      <c r="H811" s="69" t="str">
        <f t="shared" si="134"/>
        <v/>
      </c>
      <c r="I811" s="145">
        <v>0</v>
      </c>
      <c r="J811" s="619"/>
      <c r="K811" s="81">
        <f>IFERROR(VLOOKUP(B811,'x Malzemeler ve Özellikleri'!$O$1:$Q$181,3,0)*F811,0)</f>
        <v>0</v>
      </c>
    </row>
    <row r="812" spans="1:11" ht="19.5">
      <c r="A812" s="67">
        <f t="shared" si="135"/>
        <v>0</v>
      </c>
      <c r="B812" s="67">
        <f t="shared" si="136"/>
        <v>0</v>
      </c>
      <c r="C812" s="70" t="str">
        <f>IF(VLOOKUP(B812,'x Malzemeler ve Özellikleri'!$B$2:$M$136,12,0)="ALÜMİNYUM",'1PROJE'!$H$26,"")</f>
        <v/>
      </c>
      <c r="D812" s="67">
        <f t="shared" si="137"/>
        <v>0</v>
      </c>
      <c r="E812" s="69" t="e">
        <f>HLOOKUP(B812,xHesaplama!$AH$26:$FH$66,41,0)</f>
        <v>#N/A</v>
      </c>
      <c r="F812" s="76">
        <f t="shared" si="133"/>
        <v>0</v>
      </c>
      <c r="G812" s="70">
        <f t="shared" si="138"/>
        <v>0</v>
      </c>
      <c r="H812" s="69" t="str">
        <f t="shared" si="134"/>
        <v/>
      </c>
      <c r="I812" s="145">
        <v>0</v>
      </c>
      <c r="J812" s="619"/>
      <c r="K812" s="81">
        <f>IFERROR(VLOOKUP(B812,'x Malzemeler ve Özellikleri'!$O$1:$Q$181,3,0)*F812,0)</f>
        <v>0</v>
      </c>
    </row>
    <row r="813" spans="1:11" ht="19.5">
      <c r="A813" s="67">
        <f t="shared" si="135"/>
        <v>0</v>
      </c>
      <c r="B813" s="67">
        <f t="shared" si="136"/>
        <v>0</v>
      </c>
      <c r="C813" s="70" t="str">
        <f>IF(VLOOKUP(B813,'x Malzemeler ve Özellikleri'!$B$2:$M$136,12,0)="ALÜMİNYUM",'1PROJE'!$H$26,"")</f>
        <v/>
      </c>
      <c r="D813" s="67">
        <f t="shared" si="137"/>
        <v>0</v>
      </c>
      <c r="E813" s="69" t="e">
        <f>HLOOKUP(B813,xHesaplama!$AH$26:$FH$66,41,0)</f>
        <v>#N/A</v>
      </c>
      <c r="F813" s="76">
        <f t="shared" si="133"/>
        <v>0</v>
      </c>
      <c r="G813" s="70">
        <f t="shared" si="138"/>
        <v>0</v>
      </c>
      <c r="H813" s="69" t="str">
        <f t="shared" si="134"/>
        <v/>
      </c>
      <c r="I813" s="145">
        <v>0</v>
      </c>
      <c r="J813" s="619"/>
      <c r="K813" s="81">
        <f>IFERROR(VLOOKUP(B813,'x Malzemeler ve Özellikleri'!$O$1:$Q$181,3,0)*F813,0)</f>
        <v>0</v>
      </c>
    </row>
    <row r="814" spans="1:11" ht="19.5">
      <c r="A814" s="67">
        <f t="shared" si="135"/>
        <v>0</v>
      </c>
      <c r="B814" s="67">
        <f t="shared" si="136"/>
        <v>0</v>
      </c>
      <c r="C814" s="70" t="str">
        <f>IF(VLOOKUP(B814,'x Malzemeler ve Özellikleri'!$B$2:$M$136,12,0)="ALÜMİNYUM",'1PROJE'!$H$26,"")</f>
        <v/>
      </c>
      <c r="D814" s="67">
        <f t="shared" si="137"/>
        <v>0</v>
      </c>
      <c r="E814" s="69" t="e">
        <f>HLOOKUP(B814,xHesaplama!$AH$26:$FH$66,41,0)</f>
        <v>#N/A</v>
      </c>
      <c r="F814" s="76">
        <f t="shared" si="133"/>
        <v>0</v>
      </c>
      <c r="G814" s="70">
        <f t="shared" si="138"/>
        <v>0</v>
      </c>
      <c r="H814" s="69" t="str">
        <f t="shared" si="134"/>
        <v/>
      </c>
      <c r="I814" s="145">
        <v>0</v>
      </c>
      <c r="J814" s="619"/>
      <c r="K814" s="81">
        <f>IFERROR(VLOOKUP(B814,'x Malzemeler ve Özellikleri'!$O$1:$Q$181,3,0)*F814,0)</f>
        <v>0</v>
      </c>
    </row>
    <row r="815" spans="1:11" ht="19.5">
      <c r="A815" s="67">
        <f t="shared" si="135"/>
        <v>0</v>
      </c>
      <c r="B815" s="67">
        <f t="shared" si="136"/>
        <v>0</v>
      </c>
      <c r="C815" s="70" t="str">
        <f>IF(VLOOKUP(B815,'x Malzemeler ve Özellikleri'!$B$2:$M$136,12,0)="ALÜMİNYUM",'1PROJE'!$H$26,"")</f>
        <v/>
      </c>
      <c r="D815" s="67">
        <f t="shared" si="137"/>
        <v>0</v>
      </c>
      <c r="E815" s="69" t="e">
        <f>HLOOKUP(B815,xHesaplama!$AH$26:$FH$66,41,0)</f>
        <v>#N/A</v>
      </c>
      <c r="F815" s="76">
        <f t="shared" si="133"/>
        <v>0</v>
      </c>
      <c r="G815" s="70">
        <f t="shared" si="138"/>
        <v>0</v>
      </c>
      <c r="H815" s="69" t="str">
        <f t="shared" si="134"/>
        <v/>
      </c>
      <c r="I815" s="145">
        <v>0</v>
      </c>
      <c r="J815" s="619"/>
      <c r="K815" s="81">
        <f>IFERROR(VLOOKUP(B815,'x Malzemeler ve Özellikleri'!$O$1:$Q$181,3,0)*F815,0)</f>
        <v>0</v>
      </c>
    </row>
    <row r="816" spans="1:11" ht="19.5">
      <c r="A816" s="67">
        <f t="shared" si="135"/>
        <v>0</v>
      </c>
      <c r="B816" s="67">
        <f t="shared" si="136"/>
        <v>0</v>
      </c>
      <c r="C816" s="70" t="str">
        <f>IF(VLOOKUP(B816,'x Malzemeler ve Özellikleri'!$B$2:$M$136,12,0)="ALÜMİNYUM",'1PROJE'!$H$26,"")</f>
        <v/>
      </c>
      <c r="D816" s="67">
        <f t="shared" si="137"/>
        <v>0</v>
      </c>
      <c r="E816" s="69" t="e">
        <f>HLOOKUP(B816,xHesaplama!$AH$26:$FH$66,41,0)</f>
        <v>#N/A</v>
      </c>
      <c r="F816" s="76">
        <f t="shared" si="133"/>
        <v>0</v>
      </c>
      <c r="G816" s="70">
        <f t="shared" si="138"/>
        <v>0</v>
      </c>
      <c r="H816" s="69" t="str">
        <f t="shared" si="134"/>
        <v/>
      </c>
      <c r="I816" s="145">
        <v>0</v>
      </c>
      <c r="J816" s="619"/>
      <c r="K816" s="81">
        <f>IFERROR(VLOOKUP(B816,'x Malzemeler ve Özellikleri'!$O$1:$Q$181,3,0)*F816,0)</f>
        <v>0</v>
      </c>
    </row>
    <row r="817" spans="1:11" ht="19.5">
      <c r="A817" s="67">
        <f t="shared" si="135"/>
        <v>0</v>
      </c>
      <c r="B817" s="67">
        <f t="shared" si="136"/>
        <v>0</v>
      </c>
      <c r="C817" s="70" t="str">
        <f>IF(VLOOKUP(B817,'x Malzemeler ve Özellikleri'!$B$2:$M$136,12,0)="ALÜMİNYUM",'1PROJE'!$H$26,"")</f>
        <v/>
      </c>
      <c r="D817" s="67">
        <f t="shared" si="137"/>
        <v>0</v>
      </c>
      <c r="E817" s="69" t="e">
        <f>HLOOKUP(B817,xHesaplama!$AH$26:$FH$66,41,0)</f>
        <v>#N/A</v>
      </c>
      <c r="F817" s="76">
        <f t="shared" si="133"/>
        <v>0</v>
      </c>
      <c r="G817" s="70">
        <f t="shared" si="138"/>
        <v>0</v>
      </c>
      <c r="H817" s="69" t="str">
        <f t="shared" si="134"/>
        <v/>
      </c>
      <c r="I817" s="145">
        <v>0</v>
      </c>
      <c r="J817" s="619"/>
      <c r="K817" s="81">
        <f>IFERROR(VLOOKUP(B817,'x Malzemeler ve Özellikleri'!$O$1:$Q$181,3,0)*F817,0)</f>
        <v>0</v>
      </c>
    </row>
    <row r="818" spans="1:11" ht="19.5">
      <c r="A818" s="67">
        <f t="shared" si="135"/>
        <v>0</v>
      </c>
      <c r="B818" s="67">
        <f t="shared" si="136"/>
        <v>0</v>
      </c>
      <c r="C818" s="70" t="str">
        <f>IF(VLOOKUP(B818,'x Malzemeler ve Özellikleri'!$B$2:$M$136,12,0)="ALÜMİNYUM",'1PROJE'!$H$26,"")</f>
        <v/>
      </c>
      <c r="D818" s="67">
        <f t="shared" si="137"/>
        <v>0</v>
      </c>
      <c r="E818" s="69" t="e">
        <f>HLOOKUP(B818,xHesaplama!$AH$26:$FH$66,41,0)</f>
        <v>#N/A</v>
      </c>
      <c r="F818" s="76">
        <f t="shared" si="133"/>
        <v>0</v>
      </c>
      <c r="G818" s="70">
        <f t="shared" si="138"/>
        <v>0</v>
      </c>
      <c r="H818" s="69" t="str">
        <f t="shared" si="134"/>
        <v/>
      </c>
      <c r="I818" s="145">
        <v>0</v>
      </c>
      <c r="J818" s="619"/>
      <c r="K818" s="81">
        <f>IFERROR(VLOOKUP(B818,'x Malzemeler ve Özellikleri'!$O$1:$Q$181,3,0)*F818,0)</f>
        <v>0</v>
      </c>
    </row>
    <row r="819" spans="1:11" ht="19.5">
      <c r="A819" s="67">
        <f t="shared" si="135"/>
        <v>0</v>
      </c>
      <c r="B819" s="67">
        <f t="shared" si="136"/>
        <v>0</v>
      </c>
      <c r="C819" s="70" t="str">
        <f>IF(VLOOKUP(B819,'x Malzemeler ve Özellikleri'!$B$2:$M$136,12,0)="ALÜMİNYUM",'1PROJE'!$H$26,"")</f>
        <v/>
      </c>
      <c r="D819" s="67">
        <f t="shared" si="137"/>
        <v>0</v>
      </c>
      <c r="E819" s="69" t="e">
        <f>HLOOKUP(B819,xHesaplama!$AH$26:$FH$66,41,0)</f>
        <v>#N/A</v>
      </c>
      <c r="F819" s="76">
        <f t="shared" si="133"/>
        <v>0</v>
      </c>
      <c r="G819" s="70">
        <f t="shared" si="138"/>
        <v>0</v>
      </c>
      <c r="H819" s="69" t="str">
        <f t="shared" si="134"/>
        <v/>
      </c>
      <c r="I819" s="145">
        <v>0</v>
      </c>
      <c r="J819" s="619"/>
      <c r="K819" s="81">
        <f>IFERROR(VLOOKUP(B819,'x Malzemeler ve Özellikleri'!$O$1:$Q$181,3,0)*F819,0)</f>
        <v>0</v>
      </c>
    </row>
    <row r="820" spans="1:11" ht="20.25" thickBot="1">
      <c r="A820" s="67">
        <f t="shared" si="135"/>
        <v>0</v>
      </c>
      <c r="B820" s="67">
        <f t="shared" si="136"/>
        <v>0</v>
      </c>
      <c r="C820" s="70" t="str">
        <f>IF(VLOOKUP(B820,'x Malzemeler ve Özellikleri'!$B$2:$M$136,12,0)="ALÜMİNYUM",'1PROJE'!$H$26,"")</f>
        <v/>
      </c>
      <c r="D820" s="67">
        <f t="shared" si="137"/>
        <v>0</v>
      </c>
      <c r="E820" s="69" t="e">
        <f>HLOOKUP(B820,xHesaplama!$AH$26:$FH$66,41,0)</f>
        <v>#N/A</v>
      </c>
      <c r="F820" s="76">
        <f t="shared" si="133"/>
        <v>0</v>
      </c>
      <c r="G820" s="70">
        <f t="shared" si="138"/>
        <v>0</v>
      </c>
      <c r="H820" s="69" t="str">
        <f t="shared" si="134"/>
        <v/>
      </c>
      <c r="I820" s="145">
        <v>0</v>
      </c>
      <c r="J820" s="620"/>
      <c r="K820" s="81">
        <f>IFERROR(VLOOKUP(B820,'x Malzemeler ve Özellikleri'!$O$1:$Q$181,3,0)*F820,0)</f>
        <v>0</v>
      </c>
    </row>
    <row r="824" spans="1:11">
      <c r="H824" t="s">
        <v>347</v>
      </c>
      <c r="I824" s="37">
        <f>I780+I739+I698+I657+I616+I575+I534+I493+I452+I411+I370+I329+I288+I247+I206+I165+I124+I83+I42+I1</f>
        <v>141.24893818614174</v>
      </c>
      <c r="K824" s="73">
        <f>K781+K740+K699+K658+K617+K576+K535+K494+K453+K412+K371+K330+K289+K248+K207+K166+K125+K84+K43+K2</f>
        <v>22.288044240000001</v>
      </c>
    </row>
    <row r="825" spans="1:11">
      <c r="I825" s="37">
        <f>I824/xHesaplama!FJ47*xHesaplama!FK47</f>
        <v>222.23166274619635</v>
      </c>
    </row>
  </sheetData>
  <mergeCells count="22">
    <mergeCell ref="J371:J410"/>
    <mergeCell ref="J166:J205"/>
    <mergeCell ref="J207:J246"/>
    <mergeCell ref="J248:J287"/>
    <mergeCell ref="J289:J328"/>
    <mergeCell ref="J330:J369"/>
    <mergeCell ref="AM1:AN1"/>
    <mergeCell ref="AX1:AY1"/>
    <mergeCell ref="J699:J738"/>
    <mergeCell ref="J740:J779"/>
    <mergeCell ref="J781:J820"/>
    <mergeCell ref="J453:J492"/>
    <mergeCell ref="J494:J533"/>
    <mergeCell ref="J535:J574"/>
    <mergeCell ref="J576:J615"/>
    <mergeCell ref="J617:J656"/>
    <mergeCell ref="J658:J697"/>
    <mergeCell ref="J412:J451"/>
    <mergeCell ref="J2:J41"/>
    <mergeCell ref="J43:J82"/>
    <mergeCell ref="J84:J123"/>
    <mergeCell ref="J125:J164"/>
  </mergeCells>
  <conditionalFormatting sqref="I1:I1048576">
    <cfRule type="cellIs" dxfId="23" priority="1" operator="equal">
      <formula>1</formula>
    </cfRule>
  </conditionalFormatting>
  <hyperlinks>
    <hyperlink ref="G3" r:id="rId1" display="https://www.google.com/url?sa=t&amp;rct=j&amp;q=&amp;esrc=s&amp;source=web&amp;cd=&amp;ved=2ahUKEwjb7Yvr17OKAxW5A9sEHSuhGgIQFnoECAwQAQ&amp;url=https%3A%2F%2Fmetrekare.hesaplama.net%2F&amp;usg=AOvVaw3pBcCR2B-5avWBEYoKndU2&amp;opi=89978449" xr:uid="{476011C6-93B6-491A-B745-4D57C8F18498}"/>
    <hyperlink ref="G44" r:id="rId2" display="https://www.google.com/url?sa=t&amp;rct=j&amp;q=&amp;esrc=s&amp;source=web&amp;cd=&amp;ved=2ahUKEwjb7Yvr17OKAxW5A9sEHSuhGgIQFnoECAwQAQ&amp;url=https%3A%2F%2Fmetrekare.hesaplama.net%2F&amp;usg=AOvVaw3pBcCR2B-5avWBEYoKndU2&amp;opi=89978449" xr:uid="{45312E7F-09A5-4919-8988-436A9AD25AF0}"/>
    <hyperlink ref="G85" r:id="rId3" display="https://www.google.com/url?sa=t&amp;rct=j&amp;q=&amp;esrc=s&amp;source=web&amp;cd=&amp;ved=2ahUKEwjb7Yvr17OKAxW5A9sEHSuhGgIQFnoECAwQAQ&amp;url=https%3A%2F%2Fmetrekare.hesaplama.net%2F&amp;usg=AOvVaw3pBcCR2B-5avWBEYoKndU2&amp;opi=89978449" xr:uid="{FE40688F-A48C-4087-8250-FD274D26914F}"/>
    <hyperlink ref="G126" r:id="rId4" display="https://www.google.com/url?sa=t&amp;rct=j&amp;q=&amp;esrc=s&amp;source=web&amp;cd=&amp;ved=2ahUKEwjb7Yvr17OKAxW5A9sEHSuhGgIQFnoECAwQAQ&amp;url=https%3A%2F%2Fmetrekare.hesaplama.net%2F&amp;usg=AOvVaw3pBcCR2B-5avWBEYoKndU2&amp;opi=89978449" xr:uid="{93A144A8-8149-4C1E-B3F8-88C887959147}"/>
    <hyperlink ref="G167" r:id="rId5" display="https://www.google.com/url?sa=t&amp;rct=j&amp;q=&amp;esrc=s&amp;source=web&amp;cd=&amp;ved=2ahUKEwjb7Yvr17OKAxW5A9sEHSuhGgIQFnoECAwQAQ&amp;url=https%3A%2F%2Fmetrekare.hesaplama.net%2F&amp;usg=AOvVaw3pBcCR2B-5avWBEYoKndU2&amp;opi=89978449" xr:uid="{CD7520BA-59F6-4D89-96D4-EE4BCD7C4802}"/>
    <hyperlink ref="G208" r:id="rId6" display="https://www.google.com/url?sa=t&amp;rct=j&amp;q=&amp;esrc=s&amp;source=web&amp;cd=&amp;ved=2ahUKEwjb7Yvr17OKAxW5A9sEHSuhGgIQFnoECAwQAQ&amp;url=https%3A%2F%2Fmetrekare.hesaplama.net%2F&amp;usg=AOvVaw3pBcCR2B-5avWBEYoKndU2&amp;opi=89978449" xr:uid="{6924B4CD-48EC-4ED3-9CF2-7AA1B34D5704}"/>
    <hyperlink ref="G249" r:id="rId7" display="https://www.google.com/url?sa=t&amp;rct=j&amp;q=&amp;esrc=s&amp;source=web&amp;cd=&amp;ved=2ahUKEwjb7Yvr17OKAxW5A9sEHSuhGgIQFnoECAwQAQ&amp;url=https%3A%2F%2Fmetrekare.hesaplama.net%2F&amp;usg=AOvVaw3pBcCR2B-5avWBEYoKndU2&amp;opi=89978449" xr:uid="{973E82F1-E193-47AA-B962-875AE1821F91}"/>
    <hyperlink ref="G290" r:id="rId8" display="https://www.google.com/url?sa=t&amp;rct=j&amp;q=&amp;esrc=s&amp;source=web&amp;cd=&amp;ved=2ahUKEwjb7Yvr17OKAxW5A9sEHSuhGgIQFnoECAwQAQ&amp;url=https%3A%2F%2Fmetrekare.hesaplama.net%2F&amp;usg=AOvVaw3pBcCR2B-5avWBEYoKndU2&amp;opi=89978449" xr:uid="{FCFE3743-995A-478F-88D4-7624B0E81E3D}"/>
    <hyperlink ref="G331" r:id="rId9" display="https://www.google.com/url?sa=t&amp;rct=j&amp;q=&amp;esrc=s&amp;source=web&amp;cd=&amp;ved=2ahUKEwjb7Yvr17OKAxW5A9sEHSuhGgIQFnoECAwQAQ&amp;url=https%3A%2F%2Fmetrekare.hesaplama.net%2F&amp;usg=AOvVaw3pBcCR2B-5avWBEYoKndU2&amp;opi=89978449" xr:uid="{F9443350-71C8-4451-BD92-21407A1F9C60}"/>
    <hyperlink ref="G372" r:id="rId10" display="https://www.google.com/url?sa=t&amp;rct=j&amp;q=&amp;esrc=s&amp;source=web&amp;cd=&amp;ved=2ahUKEwjb7Yvr17OKAxW5A9sEHSuhGgIQFnoECAwQAQ&amp;url=https%3A%2F%2Fmetrekare.hesaplama.net%2F&amp;usg=AOvVaw3pBcCR2B-5avWBEYoKndU2&amp;opi=89978449" xr:uid="{C1AE9EF7-79D9-4C18-A873-16698FFE573F}"/>
    <hyperlink ref="G413" r:id="rId11" display="https://www.google.com/url?sa=t&amp;rct=j&amp;q=&amp;esrc=s&amp;source=web&amp;cd=&amp;ved=2ahUKEwjb7Yvr17OKAxW5A9sEHSuhGgIQFnoECAwQAQ&amp;url=https%3A%2F%2Fmetrekare.hesaplama.net%2F&amp;usg=AOvVaw3pBcCR2B-5avWBEYoKndU2&amp;opi=89978449" xr:uid="{C6ACEBF6-E01C-4A1D-9B74-1BCA891D66FB}"/>
    <hyperlink ref="G454" r:id="rId12" display="https://www.google.com/url?sa=t&amp;rct=j&amp;q=&amp;esrc=s&amp;source=web&amp;cd=&amp;ved=2ahUKEwjb7Yvr17OKAxW5A9sEHSuhGgIQFnoECAwQAQ&amp;url=https%3A%2F%2Fmetrekare.hesaplama.net%2F&amp;usg=AOvVaw3pBcCR2B-5avWBEYoKndU2&amp;opi=89978449" xr:uid="{70F1C330-93D7-49D4-B857-8DA9C4C88588}"/>
    <hyperlink ref="G495" r:id="rId13" display="https://www.google.com/url?sa=t&amp;rct=j&amp;q=&amp;esrc=s&amp;source=web&amp;cd=&amp;ved=2ahUKEwjb7Yvr17OKAxW5A9sEHSuhGgIQFnoECAwQAQ&amp;url=https%3A%2F%2Fmetrekare.hesaplama.net%2F&amp;usg=AOvVaw3pBcCR2B-5avWBEYoKndU2&amp;opi=89978449" xr:uid="{022865D9-D3EF-441C-8748-46CF1953A246}"/>
    <hyperlink ref="G536" r:id="rId14" display="https://www.google.com/url?sa=t&amp;rct=j&amp;q=&amp;esrc=s&amp;source=web&amp;cd=&amp;ved=2ahUKEwjb7Yvr17OKAxW5A9sEHSuhGgIQFnoECAwQAQ&amp;url=https%3A%2F%2Fmetrekare.hesaplama.net%2F&amp;usg=AOvVaw3pBcCR2B-5avWBEYoKndU2&amp;opi=89978449" xr:uid="{EF820106-7B28-4860-B1FB-5CBF0656816F}"/>
    <hyperlink ref="G577" r:id="rId15" display="https://www.google.com/url?sa=t&amp;rct=j&amp;q=&amp;esrc=s&amp;source=web&amp;cd=&amp;ved=2ahUKEwjb7Yvr17OKAxW5A9sEHSuhGgIQFnoECAwQAQ&amp;url=https%3A%2F%2Fmetrekare.hesaplama.net%2F&amp;usg=AOvVaw3pBcCR2B-5avWBEYoKndU2&amp;opi=89978449" xr:uid="{A48950E5-8B52-42CA-A72B-F49F6426F897}"/>
    <hyperlink ref="G618" r:id="rId16" display="https://www.google.com/url?sa=t&amp;rct=j&amp;q=&amp;esrc=s&amp;source=web&amp;cd=&amp;ved=2ahUKEwjb7Yvr17OKAxW5A9sEHSuhGgIQFnoECAwQAQ&amp;url=https%3A%2F%2Fmetrekare.hesaplama.net%2F&amp;usg=AOvVaw3pBcCR2B-5avWBEYoKndU2&amp;opi=89978449" xr:uid="{94920CD9-B0F9-42B9-8ED4-A917A327C3DF}"/>
    <hyperlink ref="G659" r:id="rId17" display="https://www.google.com/url?sa=t&amp;rct=j&amp;q=&amp;esrc=s&amp;source=web&amp;cd=&amp;ved=2ahUKEwjb7Yvr17OKAxW5A9sEHSuhGgIQFnoECAwQAQ&amp;url=https%3A%2F%2Fmetrekare.hesaplama.net%2F&amp;usg=AOvVaw3pBcCR2B-5avWBEYoKndU2&amp;opi=89978449" xr:uid="{830AFB3E-B286-439D-9BD0-E6E48FB7DF67}"/>
    <hyperlink ref="G700" r:id="rId18" display="https://www.google.com/url?sa=t&amp;rct=j&amp;q=&amp;esrc=s&amp;source=web&amp;cd=&amp;ved=2ahUKEwjb7Yvr17OKAxW5A9sEHSuhGgIQFnoECAwQAQ&amp;url=https%3A%2F%2Fmetrekare.hesaplama.net%2F&amp;usg=AOvVaw3pBcCR2B-5avWBEYoKndU2&amp;opi=89978449" xr:uid="{604115FA-2232-4AEF-AB92-C89EFDB6C373}"/>
    <hyperlink ref="G741" r:id="rId19" display="https://www.google.com/url?sa=t&amp;rct=j&amp;q=&amp;esrc=s&amp;source=web&amp;cd=&amp;ved=2ahUKEwjb7Yvr17OKAxW5A9sEHSuhGgIQFnoECAwQAQ&amp;url=https%3A%2F%2Fmetrekare.hesaplama.net%2F&amp;usg=AOvVaw3pBcCR2B-5avWBEYoKndU2&amp;opi=89978449" xr:uid="{8701D50D-0454-4C0B-A60F-4F5C4525990D}"/>
    <hyperlink ref="G782" r:id="rId20" display="https://www.google.com/url?sa=t&amp;rct=j&amp;q=&amp;esrc=s&amp;source=web&amp;cd=&amp;ved=2ahUKEwjb7Yvr17OKAxW5A9sEHSuhGgIQFnoECAwQAQ&amp;url=https%3A%2F%2Fmetrekare.hesaplama.net%2F&amp;usg=AOvVaw3pBcCR2B-5avWBEYoKndU2&amp;opi=89978449" xr:uid="{8364FEF2-4E0C-46FA-B1FA-E786A56DAF82}"/>
  </hyperlinks>
  <pageMargins left="0.25" right="0.25" top="0.75" bottom="0.75" header="0.3" footer="0.3"/>
  <pageSetup paperSize="9" scale="79" fitToHeight="0" orientation="portrait" r:id="rId21"/>
  <rowBreaks count="3" manualBreakCount="3">
    <brk id="41" max="6" man="1"/>
    <brk id="82" max="6" man="1"/>
    <brk id="123" max="6"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3DEE8-5F99-4364-AACD-242D8C4BB143}">
  <sheetPr codeName="Sayfa13">
    <tabColor theme="5" tint="-0.249977111117893"/>
  </sheetPr>
  <dimension ref="A2:U57"/>
  <sheetViews>
    <sheetView workbookViewId="0">
      <selection activeCell="H17" sqref="H17"/>
    </sheetView>
  </sheetViews>
  <sheetFormatPr defaultColWidth="9.125" defaultRowHeight="14.25"/>
  <cols>
    <col min="1" max="1" width="3.625" style="12" customWidth="1"/>
    <col min="2" max="2" width="6.625" style="12" customWidth="1"/>
    <col min="3" max="3" width="9.125" style="12"/>
    <col min="4" max="4" width="5.375" style="12" customWidth="1"/>
    <col min="5" max="7" width="9.125" style="12"/>
    <col min="8" max="9" width="7.5" style="12" customWidth="1"/>
    <col min="10" max="10" width="12.625" style="12" customWidth="1"/>
    <col min="11" max="11" width="4.375" style="12" customWidth="1"/>
    <col min="12" max="16384" width="9.125" style="12"/>
  </cols>
  <sheetData>
    <row r="2" spans="1:17">
      <c r="B2" s="622"/>
      <c r="C2" s="622"/>
      <c r="D2" s="622"/>
      <c r="E2" s="631" t="s">
        <v>369</v>
      </c>
      <c r="F2" s="631"/>
      <c r="G2" s="631"/>
      <c r="H2" s="631"/>
      <c r="I2" s="622"/>
      <c r="J2" s="622"/>
    </row>
    <row r="3" spans="1:17">
      <c r="B3" s="622"/>
      <c r="C3" s="622"/>
      <c r="D3" s="622"/>
      <c r="E3" s="631"/>
      <c r="F3" s="631"/>
      <c r="G3" s="631"/>
      <c r="H3" s="631"/>
      <c r="I3" s="622"/>
      <c r="J3" s="622"/>
    </row>
    <row r="4" spans="1:17">
      <c r="B4" s="622"/>
      <c r="C4" s="622"/>
      <c r="D4" s="622"/>
      <c r="E4" s="631"/>
      <c r="F4" s="631"/>
      <c r="G4" s="631"/>
      <c r="H4" s="631"/>
      <c r="I4" s="622"/>
      <c r="J4" s="622"/>
    </row>
    <row r="5" spans="1:17">
      <c r="B5" s="622"/>
      <c r="C5" s="622"/>
      <c r="D5" s="622"/>
      <c r="E5" s="631"/>
      <c r="F5" s="631"/>
      <c r="G5" s="631"/>
      <c r="H5" s="631"/>
      <c r="I5" s="622"/>
      <c r="J5" s="622"/>
    </row>
    <row r="6" spans="1:17">
      <c r="G6" s="622" t="s">
        <v>370</v>
      </c>
      <c r="H6" s="622"/>
      <c r="I6" s="632">
        <f ca="1">TODAY()</f>
        <v>46024</v>
      </c>
      <c r="J6" s="622"/>
    </row>
    <row r="7" spans="1:17">
      <c r="B7" s="630" t="s">
        <v>371</v>
      </c>
      <c r="C7" s="630"/>
      <c r="D7" s="630"/>
      <c r="E7" s="630"/>
      <c r="F7" s="630"/>
      <c r="G7" s="630"/>
      <c r="H7" s="630"/>
      <c r="I7" s="630"/>
      <c r="J7" s="630"/>
    </row>
    <row r="8" spans="1:17" ht="9" customHeight="1">
      <c r="B8" s="630"/>
      <c r="C8" s="630"/>
      <c r="D8" s="630"/>
      <c r="E8" s="630"/>
      <c r="F8" s="630"/>
      <c r="G8" s="630"/>
      <c r="H8" s="630"/>
      <c r="I8" s="630"/>
      <c r="J8" s="630"/>
    </row>
    <row r="9" spans="1:17">
      <c r="B9" s="630" t="s">
        <v>372</v>
      </c>
      <c r="C9" s="630"/>
      <c r="D9" s="633"/>
      <c r="E9" s="634"/>
      <c r="F9" s="634"/>
      <c r="G9" s="634"/>
      <c r="H9" s="634"/>
      <c r="I9" s="634"/>
      <c r="J9" s="635"/>
    </row>
    <row r="10" spans="1:17" ht="9" customHeight="1">
      <c r="B10" s="630"/>
      <c r="C10" s="630"/>
      <c r="D10" s="636"/>
      <c r="E10" s="637"/>
      <c r="F10" s="637"/>
      <c r="G10" s="637"/>
      <c r="H10" s="637"/>
      <c r="I10" s="637"/>
      <c r="J10" s="638"/>
    </row>
    <row r="12" spans="1:17">
      <c r="A12" s="639" t="s">
        <v>98</v>
      </c>
      <c r="B12" s="640" t="s">
        <v>373</v>
      </c>
      <c r="C12" s="640" t="s">
        <v>374</v>
      </c>
      <c r="D12" s="640" t="s">
        <v>375</v>
      </c>
      <c r="E12" s="640"/>
      <c r="F12" s="640" t="s">
        <v>376</v>
      </c>
      <c r="G12" s="640" t="s">
        <v>377</v>
      </c>
      <c r="H12" s="640" t="s">
        <v>378</v>
      </c>
      <c r="I12" s="640" t="s">
        <v>379</v>
      </c>
      <c r="J12" s="640" t="s">
        <v>380</v>
      </c>
    </row>
    <row r="13" spans="1:17">
      <c r="A13" s="639"/>
      <c r="B13" s="640"/>
      <c r="C13" s="640"/>
      <c r="D13" s="640"/>
      <c r="E13" s="640"/>
      <c r="F13" s="640"/>
      <c r="G13" s="640"/>
      <c r="H13" s="640"/>
      <c r="I13" s="640"/>
      <c r="J13" s="640"/>
    </row>
    <row r="14" spans="1:17">
      <c r="A14" s="17" t="s">
        <v>381</v>
      </c>
      <c r="B14" s="18" t="s">
        <v>382</v>
      </c>
      <c r="C14" s="19" t="s">
        <v>383</v>
      </c>
      <c r="D14" s="628" t="s">
        <v>384</v>
      </c>
      <c r="E14" s="629"/>
      <c r="F14" s="19" t="s">
        <v>385</v>
      </c>
      <c r="G14" s="19" t="s">
        <v>386</v>
      </c>
      <c r="H14" s="20" t="s">
        <v>387</v>
      </c>
      <c r="I14" s="21" t="s">
        <v>388</v>
      </c>
      <c r="J14" s="19" t="s">
        <v>389</v>
      </c>
      <c r="M14" s="626" t="s">
        <v>390</v>
      </c>
      <c r="N14" s="626" t="s">
        <v>21</v>
      </c>
      <c r="O14" s="626"/>
      <c r="P14" s="626" t="s">
        <v>22</v>
      </c>
      <c r="Q14" s="626"/>
    </row>
    <row r="15" spans="1:17">
      <c r="M15" s="626"/>
      <c r="N15" s="626"/>
      <c r="O15" s="626"/>
      <c r="P15" s="626"/>
      <c r="Q15" s="626"/>
    </row>
    <row r="16" spans="1:17" ht="20.100000000000001" customHeight="1">
      <c r="A16" s="623">
        <v>1</v>
      </c>
      <c r="B16" s="13">
        <v>1</v>
      </c>
      <c r="C16" s="14" t="s">
        <v>391</v>
      </c>
      <c r="D16" s="624" t="s">
        <v>392</v>
      </c>
      <c r="E16" s="624"/>
      <c r="F16" s="22" t="s">
        <v>393</v>
      </c>
      <c r="G16" s="13">
        <v>1</v>
      </c>
      <c r="H16" s="14">
        <f>3+(7.5*(N16/1000))+(N16/1000)*((P16+0.3)/1000)*0.42</f>
        <v>13.166911199999999</v>
      </c>
      <c r="I16" s="14">
        <f>H16+0.75</f>
        <v>13.916911199999999</v>
      </c>
      <c r="J16" s="14" t="str">
        <f>"20 x 19 x "&amp;(N16/10)+10&amp;" cm"</f>
        <v>20 x 19 x 130 cm</v>
      </c>
      <c r="M16" s="622">
        <v>1</v>
      </c>
      <c r="N16" s="625">
        <f>xHesaplama!D27</f>
        <v>1200</v>
      </c>
      <c r="O16" s="625"/>
      <c r="P16" s="625">
        <f>xHesaplama!E27</f>
        <v>2315</v>
      </c>
      <c r="Q16" s="625"/>
    </row>
    <row r="17" spans="1:21" ht="20.100000000000001" customHeight="1">
      <c r="A17" s="623"/>
      <c r="B17" s="13">
        <v>2</v>
      </c>
      <c r="C17" s="14" t="s">
        <v>391</v>
      </c>
      <c r="D17" s="624" t="s">
        <v>392</v>
      </c>
      <c r="E17" s="624"/>
      <c r="F17" s="22" t="s">
        <v>394</v>
      </c>
      <c r="G17" s="13">
        <v>1</v>
      </c>
      <c r="H17" s="14">
        <f>(((P16/1000)-0.1)*2)*1.3</f>
        <v>5.7589999999999995</v>
      </c>
      <c r="I17" s="14">
        <f>H17+0.5</f>
        <v>6.2589999999999995</v>
      </c>
      <c r="J17" s="14" t="str">
        <f>"10 x 12 x "&amp;P16/10&amp;" cm"</f>
        <v>10 x 12 x 231,5 cm</v>
      </c>
      <c r="M17" s="622"/>
      <c r="N17" s="625"/>
      <c r="O17" s="625"/>
      <c r="P17" s="625"/>
      <c r="Q17" s="625"/>
      <c r="S17" s="627"/>
      <c r="T17" s="627"/>
      <c r="U17" s="627"/>
    </row>
    <row r="18" spans="1:21" ht="20.100000000000001" customHeight="1">
      <c r="A18" s="623">
        <v>2</v>
      </c>
      <c r="B18" s="13">
        <v>3</v>
      </c>
      <c r="C18" s="14" t="s">
        <v>391</v>
      </c>
      <c r="D18" s="624" t="s">
        <v>392</v>
      </c>
      <c r="E18" s="624"/>
      <c r="F18" s="22" t="s">
        <v>393</v>
      </c>
      <c r="G18" s="13">
        <v>1</v>
      </c>
      <c r="H18" s="14">
        <f>3+(7.5*(N18/1000))+(N18/1000)*((P18+0.3)/1000)*0.42</f>
        <v>3</v>
      </c>
      <c r="I18" s="14">
        <f>H18+0.75</f>
        <v>3.75</v>
      </c>
      <c r="J18" s="14" t="str">
        <f t="shared" ref="J18" si="0">"20 x 19 x "&amp;(N18/10)+10&amp;" cm"</f>
        <v>20 x 19 x 10 cm</v>
      </c>
      <c r="M18" s="622">
        <v>2</v>
      </c>
      <c r="N18" s="625">
        <f>xHesaplama!D28</f>
        <v>0</v>
      </c>
      <c r="O18" s="625"/>
      <c r="P18" s="625">
        <f>xHesaplama!E28</f>
        <v>0</v>
      </c>
      <c r="Q18" s="625"/>
      <c r="S18" s="627"/>
      <c r="T18" s="627"/>
      <c r="U18" s="627"/>
    </row>
    <row r="19" spans="1:21" ht="20.100000000000001" customHeight="1">
      <c r="A19" s="623"/>
      <c r="B19" s="13">
        <v>4</v>
      </c>
      <c r="C19" s="14" t="s">
        <v>391</v>
      </c>
      <c r="D19" s="624" t="s">
        <v>392</v>
      </c>
      <c r="E19" s="624"/>
      <c r="F19" s="22" t="s">
        <v>394</v>
      </c>
      <c r="G19" s="13">
        <v>1</v>
      </c>
      <c r="H19" s="14">
        <f>(((P18/1000)-0.1)*2)*1.3</f>
        <v>-0.26</v>
      </c>
      <c r="I19" s="14">
        <f>H19+0.5</f>
        <v>0.24</v>
      </c>
      <c r="J19" s="14" t="str">
        <f t="shared" ref="J19" si="1">"10 x 12 x "&amp;P18/10&amp;" cm"</f>
        <v>10 x 12 x 0 cm</v>
      </c>
      <c r="M19" s="622"/>
      <c r="N19" s="625"/>
      <c r="O19" s="625"/>
      <c r="P19" s="625"/>
      <c r="Q19" s="625"/>
    </row>
    <row r="20" spans="1:21" ht="20.100000000000001" customHeight="1">
      <c r="A20" s="623">
        <v>3</v>
      </c>
      <c r="B20" s="13">
        <v>5</v>
      </c>
      <c r="C20" s="14" t="s">
        <v>391</v>
      </c>
      <c r="D20" s="624" t="s">
        <v>392</v>
      </c>
      <c r="E20" s="624"/>
      <c r="F20" s="22" t="s">
        <v>393</v>
      </c>
      <c r="G20" s="13">
        <v>1</v>
      </c>
      <c r="H20" s="14">
        <f t="shared" ref="H20" si="2">3+(7.5*(N20/1000))+(N20/1000)*((P20+0.3)/1000)*0.42</f>
        <v>3</v>
      </c>
      <c r="I20" s="14">
        <f t="shared" ref="I20" si="3">H20+0.75</f>
        <v>3.75</v>
      </c>
      <c r="J20" s="14" t="str">
        <f t="shared" ref="J20" si="4">"20 x 19 x "&amp;(N20/10)+10&amp;" cm"</f>
        <v>20 x 19 x 10 cm</v>
      </c>
      <c r="M20" s="622">
        <v>3</v>
      </c>
      <c r="N20" s="625">
        <f>xHesaplama!D29</f>
        <v>0</v>
      </c>
      <c r="O20" s="625"/>
      <c r="P20" s="625">
        <f>xHesaplama!E29</f>
        <v>0</v>
      </c>
      <c r="Q20" s="625"/>
    </row>
    <row r="21" spans="1:21" ht="20.100000000000001" customHeight="1">
      <c r="A21" s="623"/>
      <c r="B21" s="13">
        <v>6</v>
      </c>
      <c r="C21" s="14" t="s">
        <v>391</v>
      </c>
      <c r="D21" s="624" t="s">
        <v>392</v>
      </c>
      <c r="E21" s="624"/>
      <c r="F21" s="22" t="s">
        <v>394</v>
      </c>
      <c r="G21" s="13">
        <v>1</v>
      </c>
      <c r="H21" s="14">
        <f t="shared" ref="H21" si="5">(((P20/1000)-0.1)*2)*1.3</f>
        <v>-0.26</v>
      </c>
      <c r="I21" s="14">
        <f t="shared" ref="I21" si="6">H21+0.5</f>
        <v>0.24</v>
      </c>
      <c r="J21" s="14" t="str">
        <f t="shared" ref="J21" si="7">"10 x 12 x "&amp;P20/10&amp;" cm"</f>
        <v>10 x 12 x 0 cm</v>
      </c>
      <c r="M21" s="622"/>
      <c r="N21" s="625"/>
      <c r="O21" s="625"/>
      <c r="P21" s="625"/>
      <c r="Q21" s="625"/>
    </row>
    <row r="22" spans="1:21" ht="20.100000000000001" customHeight="1">
      <c r="A22" s="623">
        <v>4</v>
      </c>
      <c r="B22" s="13">
        <v>7</v>
      </c>
      <c r="C22" s="14" t="s">
        <v>391</v>
      </c>
      <c r="D22" s="624" t="s">
        <v>392</v>
      </c>
      <c r="E22" s="624"/>
      <c r="F22" s="22" t="s">
        <v>393</v>
      </c>
      <c r="G22" s="13">
        <v>1</v>
      </c>
      <c r="H22" s="14">
        <f t="shared" ref="H22" si="8">3+(7.5*(N22/1000))+(N22/1000)*((P22+0.3)/1000)*0.42</f>
        <v>3</v>
      </c>
      <c r="I22" s="14">
        <f t="shared" ref="I22" si="9">H22+0.75</f>
        <v>3.75</v>
      </c>
      <c r="J22" s="14" t="str">
        <f t="shared" ref="J22" si="10">"20 x 19 x "&amp;(N22/10)+10&amp;" cm"</f>
        <v>20 x 19 x 10 cm</v>
      </c>
      <c r="M22" s="622">
        <v>4</v>
      </c>
      <c r="N22" s="625">
        <f>xHesaplama!D30</f>
        <v>0</v>
      </c>
      <c r="O22" s="625"/>
      <c r="P22" s="625">
        <f>xHesaplama!E30</f>
        <v>0</v>
      </c>
      <c r="Q22" s="625"/>
    </row>
    <row r="23" spans="1:21" ht="20.100000000000001" customHeight="1">
      <c r="A23" s="623"/>
      <c r="B23" s="13">
        <v>8</v>
      </c>
      <c r="C23" s="14" t="s">
        <v>391</v>
      </c>
      <c r="D23" s="624" t="s">
        <v>392</v>
      </c>
      <c r="E23" s="624"/>
      <c r="F23" s="22" t="s">
        <v>394</v>
      </c>
      <c r="G23" s="13">
        <v>1</v>
      </c>
      <c r="H23" s="14">
        <f t="shared" ref="H23" si="11">(((P22/1000)-0.1)*2)*1.3</f>
        <v>-0.26</v>
      </c>
      <c r="I23" s="14">
        <f t="shared" ref="I23" si="12">H23+0.5</f>
        <v>0.24</v>
      </c>
      <c r="J23" s="14" t="str">
        <f t="shared" ref="J23" si="13">"10 x 12 x "&amp;P22/10&amp;" cm"</f>
        <v>10 x 12 x 0 cm</v>
      </c>
      <c r="M23" s="622"/>
      <c r="N23" s="625"/>
      <c r="O23" s="625"/>
      <c r="P23" s="625"/>
      <c r="Q23" s="625"/>
    </row>
    <row r="24" spans="1:21" ht="20.100000000000001" customHeight="1">
      <c r="A24" s="623">
        <v>5</v>
      </c>
      <c r="B24" s="13">
        <v>9</v>
      </c>
      <c r="C24" s="14" t="s">
        <v>391</v>
      </c>
      <c r="D24" s="624" t="s">
        <v>392</v>
      </c>
      <c r="E24" s="624"/>
      <c r="F24" s="22" t="s">
        <v>393</v>
      </c>
      <c r="G24" s="13">
        <v>1</v>
      </c>
      <c r="H24" s="14">
        <f t="shared" ref="H24" si="14">3+(7.5*(N24/1000))+(N24/1000)*((P24+0.3)/1000)*0.42</f>
        <v>3</v>
      </c>
      <c r="I24" s="14">
        <f t="shared" ref="I24" si="15">H24+0.75</f>
        <v>3.75</v>
      </c>
      <c r="J24" s="14" t="str">
        <f t="shared" ref="J24" si="16">"20 x 19 x "&amp;(N24/10)+10&amp;" cm"</f>
        <v>20 x 19 x 10 cm</v>
      </c>
      <c r="M24" s="622">
        <v>5</v>
      </c>
      <c r="N24" s="625">
        <f>xHesaplama!D31</f>
        <v>0</v>
      </c>
      <c r="O24" s="625"/>
      <c r="P24" s="625">
        <f>xHesaplama!E31</f>
        <v>0</v>
      </c>
      <c r="Q24" s="625"/>
    </row>
    <row r="25" spans="1:21" ht="20.100000000000001" customHeight="1">
      <c r="A25" s="623"/>
      <c r="B25" s="13">
        <v>10</v>
      </c>
      <c r="C25" s="14" t="s">
        <v>391</v>
      </c>
      <c r="D25" s="624" t="s">
        <v>392</v>
      </c>
      <c r="E25" s="624"/>
      <c r="F25" s="22" t="s">
        <v>394</v>
      </c>
      <c r="G25" s="13">
        <v>1</v>
      </c>
      <c r="H25" s="14">
        <f t="shared" ref="H25" si="17">(((P24/1000)-0.1)*2)*1.3</f>
        <v>-0.26</v>
      </c>
      <c r="I25" s="14">
        <f t="shared" ref="I25" si="18">H25+0.5</f>
        <v>0.24</v>
      </c>
      <c r="J25" s="14" t="str">
        <f t="shared" ref="J25" si="19">"10 x 12 x "&amp;P24/10&amp;" cm"</f>
        <v>10 x 12 x 0 cm</v>
      </c>
      <c r="M25" s="622"/>
      <c r="N25" s="625"/>
      <c r="O25" s="625"/>
      <c r="P25" s="625"/>
      <c r="Q25" s="625"/>
    </row>
    <row r="26" spans="1:21" ht="20.100000000000001" customHeight="1">
      <c r="A26" s="623">
        <v>6</v>
      </c>
      <c r="B26" s="13">
        <v>11</v>
      </c>
      <c r="C26" s="14" t="s">
        <v>391</v>
      </c>
      <c r="D26" s="624" t="s">
        <v>392</v>
      </c>
      <c r="E26" s="624"/>
      <c r="F26" s="22" t="s">
        <v>393</v>
      </c>
      <c r="G26" s="13">
        <v>1</v>
      </c>
      <c r="H26" s="14">
        <f t="shared" ref="H26" si="20">3+(7.5*(N26/1000))+(N26/1000)*((P26+0.3)/1000)*0.42</f>
        <v>3</v>
      </c>
      <c r="I26" s="14">
        <f t="shared" ref="I26" si="21">H26+0.75</f>
        <v>3.75</v>
      </c>
      <c r="J26" s="14" t="str">
        <f t="shared" ref="J26" si="22">"20 x 19 x "&amp;(N26/10)+10&amp;" cm"</f>
        <v>20 x 19 x 10 cm</v>
      </c>
      <c r="M26" s="622">
        <v>6</v>
      </c>
      <c r="N26" s="625">
        <f>xHesaplama!D32</f>
        <v>0</v>
      </c>
      <c r="O26" s="625"/>
      <c r="P26" s="625">
        <f>xHesaplama!E32</f>
        <v>0</v>
      </c>
      <c r="Q26" s="625"/>
    </row>
    <row r="27" spans="1:21" ht="20.100000000000001" customHeight="1">
      <c r="A27" s="623"/>
      <c r="B27" s="13">
        <v>12</v>
      </c>
      <c r="C27" s="14" t="s">
        <v>391</v>
      </c>
      <c r="D27" s="624" t="s">
        <v>392</v>
      </c>
      <c r="E27" s="624"/>
      <c r="F27" s="22" t="s">
        <v>394</v>
      </c>
      <c r="G27" s="13">
        <v>1</v>
      </c>
      <c r="H27" s="14">
        <f t="shared" ref="H27" si="23">(((P26/1000)-0.1)*2)*1.3</f>
        <v>-0.26</v>
      </c>
      <c r="I27" s="14">
        <f t="shared" ref="I27" si="24">H27+0.5</f>
        <v>0.24</v>
      </c>
      <c r="J27" s="14" t="str">
        <f t="shared" ref="J27" si="25">"10 x 12 x "&amp;P26/10&amp;" cm"</f>
        <v>10 x 12 x 0 cm</v>
      </c>
      <c r="M27" s="622"/>
      <c r="N27" s="625"/>
      <c r="O27" s="625"/>
      <c r="P27" s="625"/>
      <c r="Q27" s="625"/>
    </row>
    <row r="28" spans="1:21" ht="20.100000000000001" customHeight="1">
      <c r="A28" s="623">
        <v>7</v>
      </c>
      <c r="B28" s="13">
        <v>13</v>
      </c>
      <c r="C28" s="14" t="s">
        <v>391</v>
      </c>
      <c r="D28" s="624" t="s">
        <v>392</v>
      </c>
      <c r="E28" s="624"/>
      <c r="F28" s="22" t="s">
        <v>393</v>
      </c>
      <c r="G28" s="13">
        <v>1</v>
      </c>
      <c r="H28" s="14">
        <f t="shared" ref="H28" si="26">3+(7.5*(N28/1000))+(N28/1000)*((P28+0.3)/1000)*0.42</f>
        <v>3</v>
      </c>
      <c r="I28" s="14">
        <f t="shared" ref="I28" si="27">H28+0.75</f>
        <v>3.75</v>
      </c>
      <c r="J28" s="14" t="str">
        <f t="shared" ref="J28" si="28">"20 x 19 x "&amp;(N28/10)+10&amp;" cm"</f>
        <v>20 x 19 x 10 cm</v>
      </c>
      <c r="M28" s="622">
        <v>7</v>
      </c>
      <c r="N28" s="625">
        <f>xHesaplama!D33</f>
        <v>0</v>
      </c>
      <c r="O28" s="625"/>
      <c r="P28" s="625">
        <f>xHesaplama!E33</f>
        <v>0</v>
      </c>
      <c r="Q28" s="625"/>
    </row>
    <row r="29" spans="1:21" ht="20.100000000000001" customHeight="1">
      <c r="A29" s="623"/>
      <c r="B29" s="13">
        <v>14</v>
      </c>
      <c r="C29" s="14" t="s">
        <v>391</v>
      </c>
      <c r="D29" s="624" t="s">
        <v>392</v>
      </c>
      <c r="E29" s="624"/>
      <c r="F29" s="22" t="s">
        <v>394</v>
      </c>
      <c r="G29" s="13">
        <v>1</v>
      </c>
      <c r="H29" s="14">
        <f t="shared" ref="H29" si="29">(((P28/1000)-0.1)*2)*1.3</f>
        <v>-0.26</v>
      </c>
      <c r="I29" s="14">
        <f t="shared" ref="I29" si="30">H29+0.5</f>
        <v>0.24</v>
      </c>
      <c r="J29" s="14" t="str">
        <f t="shared" ref="J29" si="31">"10 x 12 x "&amp;P28/10&amp;" cm"</f>
        <v>10 x 12 x 0 cm</v>
      </c>
      <c r="M29" s="622"/>
      <c r="N29" s="625"/>
      <c r="O29" s="625"/>
      <c r="P29" s="625"/>
      <c r="Q29" s="625"/>
    </row>
    <row r="30" spans="1:21" ht="20.100000000000001" customHeight="1">
      <c r="A30" s="623">
        <v>8</v>
      </c>
      <c r="B30" s="13">
        <v>15</v>
      </c>
      <c r="C30" s="14" t="s">
        <v>391</v>
      </c>
      <c r="D30" s="624" t="s">
        <v>392</v>
      </c>
      <c r="E30" s="624"/>
      <c r="F30" s="22" t="s">
        <v>393</v>
      </c>
      <c r="G30" s="13">
        <v>1</v>
      </c>
      <c r="H30" s="14">
        <f t="shared" ref="H30" si="32">3+(7.5*(N30/1000))+(N30/1000)*((P30+0.3)/1000)*0.42</f>
        <v>3</v>
      </c>
      <c r="I30" s="14">
        <f t="shared" ref="I30" si="33">H30+0.75</f>
        <v>3.75</v>
      </c>
      <c r="J30" s="14" t="str">
        <f t="shared" ref="J30" si="34">"20 x 19 x "&amp;(N30/10)+10&amp;" cm"</f>
        <v>20 x 19 x 10 cm</v>
      </c>
      <c r="M30" s="622">
        <v>8</v>
      </c>
      <c r="N30" s="625">
        <f>xHesaplama!D34</f>
        <v>0</v>
      </c>
      <c r="O30" s="625"/>
      <c r="P30" s="625">
        <f>xHesaplama!E34</f>
        <v>0</v>
      </c>
      <c r="Q30" s="625"/>
    </row>
    <row r="31" spans="1:21" ht="20.100000000000001" customHeight="1">
      <c r="A31" s="623"/>
      <c r="B31" s="13">
        <v>16</v>
      </c>
      <c r="C31" s="14" t="s">
        <v>391</v>
      </c>
      <c r="D31" s="624" t="s">
        <v>392</v>
      </c>
      <c r="E31" s="624"/>
      <c r="F31" s="22" t="s">
        <v>394</v>
      </c>
      <c r="G31" s="13">
        <v>1</v>
      </c>
      <c r="H31" s="14">
        <f t="shared" ref="H31" si="35">(((P30/1000)-0.1)*2)*1.3</f>
        <v>-0.26</v>
      </c>
      <c r="I31" s="14">
        <f t="shared" ref="I31" si="36">H31+0.5</f>
        <v>0.24</v>
      </c>
      <c r="J31" s="14" t="str">
        <f t="shared" ref="J31" si="37">"10 x 12 x "&amp;P30/10&amp;" cm"</f>
        <v>10 x 12 x 0 cm</v>
      </c>
      <c r="M31" s="622"/>
      <c r="N31" s="625"/>
      <c r="O31" s="625"/>
      <c r="P31" s="625"/>
      <c r="Q31" s="625"/>
    </row>
    <row r="32" spans="1:21" ht="20.100000000000001" customHeight="1">
      <c r="A32" s="623">
        <v>9</v>
      </c>
      <c r="B32" s="13">
        <v>17</v>
      </c>
      <c r="C32" s="14" t="s">
        <v>391</v>
      </c>
      <c r="D32" s="624" t="s">
        <v>392</v>
      </c>
      <c r="E32" s="624"/>
      <c r="F32" s="22" t="s">
        <v>393</v>
      </c>
      <c r="G32" s="13">
        <v>1</v>
      </c>
      <c r="H32" s="14">
        <f t="shared" ref="H32" si="38">3+(7.5*(N32/1000))+(N32/1000)*((P32+0.3)/1000)*0.42</f>
        <v>3</v>
      </c>
      <c r="I32" s="14">
        <f t="shared" ref="I32" si="39">H32+0.75</f>
        <v>3.75</v>
      </c>
      <c r="J32" s="14" t="str">
        <f t="shared" ref="J32" si="40">"20 x 19 x "&amp;(N32/10)+10&amp;" cm"</f>
        <v>20 x 19 x 10 cm</v>
      </c>
      <c r="M32" s="622">
        <v>9</v>
      </c>
      <c r="N32" s="625">
        <f>xHesaplama!D35</f>
        <v>0</v>
      </c>
      <c r="O32" s="625"/>
      <c r="P32" s="625">
        <f>xHesaplama!E35</f>
        <v>0</v>
      </c>
      <c r="Q32" s="625"/>
    </row>
    <row r="33" spans="1:17" ht="20.100000000000001" customHeight="1">
      <c r="A33" s="623"/>
      <c r="B33" s="13">
        <v>18</v>
      </c>
      <c r="C33" s="14" t="s">
        <v>391</v>
      </c>
      <c r="D33" s="624" t="s">
        <v>392</v>
      </c>
      <c r="E33" s="624"/>
      <c r="F33" s="22" t="s">
        <v>394</v>
      </c>
      <c r="G33" s="13">
        <v>1</v>
      </c>
      <c r="H33" s="14">
        <f t="shared" ref="H33" si="41">(((P32/1000)-0.1)*2)*1.3</f>
        <v>-0.26</v>
      </c>
      <c r="I33" s="14">
        <f t="shared" ref="I33" si="42">H33+0.5</f>
        <v>0.24</v>
      </c>
      <c r="J33" s="14" t="str">
        <f t="shared" ref="J33" si="43">"10 x 12 x "&amp;P32/10&amp;" cm"</f>
        <v>10 x 12 x 0 cm</v>
      </c>
      <c r="M33" s="622"/>
      <c r="N33" s="625"/>
      <c r="O33" s="625"/>
      <c r="P33" s="625"/>
      <c r="Q33" s="625"/>
    </row>
    <row r="34" spans="1:17" ht="20.100000000000001" customHeight="1">
      <c r="A34" s="623">
        <v>10</v>
      </c>
      <c r="B34" s="13">
        <v>19</v>
      </c>
      <c r="C34" s="14" t="s">
        <v>391</v>
      </c>
      <c r="D34" s="624" t="s">
        <v>392</v>
      </c>
      <c r="E34" s="624"/>
      <c r="F34" s="22" t="s">
        <v>393</v>
      </c>
      <c r="G34" s="13">
        <v>1</v>
      </c>
      <c r="H34" s="14">
        <f t="shared" ref="H34" si="44">3+(7.5*(N34/1000))+(N34/1000)*((P34+0.3)/1000)*0.42</f>
        <v>3</v>
      </c>
      <c r="I34" s="14">
        <f t="shared" ref="I34" si="45">H34+0.75</f>
        <v>3.75</v>
      </c>
      <c r="J34" s="14" t="str">
        <f t="shared" ref="J34" si="46">"20 x 19 x "&amp;(N34/10)+10&amp;" cm"</f>
        <v>20 x 19 x 10 cm</v>
      </c>
      <c r="M34" s="622">
        <v>10</v>
      </c>
      <c r="N34" s="625">
        <f>xHesaplama!D36</f>
        <v>0</v>
      </c>
      <c r="O34" s="625"/>
      <c r="P34" s="625">
        <f>xHesaplama!E36</f>
        <v>0</v>
      </c>
      <c r="Q34" s="625"/>
    </row>
    <row r="35" spans="1:17" ht="20.100000000000001" customHeight="1">
      <c r="A35" s="623"/>
      <c r="B35" s="13">
        <v>20</v>
      </c>
      <c r="C35" s="14" t="s">
        <v>391</v>
      </c>
      <c r="D35" s="624" t="s">
        <v>392</v>
      </c>
      <c r="E35" s="624"/>
      <c r="F35" s="22" t="s">
        <v>394</v>
      </c>
      <c r="G35" s="13">
        <v>1</v>
      </c>
      <c r="H35" s="14">
        <f t="shared" ref="H35" si="47">(((P34/1000)-0.1)*2)*1.3</f>
        <v>-0.26</v>
      </c>
      <c r="I35" s="14">
        <f t="shared" ref="I35" si="48">H35+0.5</f>
        <v>0.24</v>
      </c>
      <c r="J35" s="14" t="str">
        <f t="shared" ref="J35" si="49">"10 x 12 x "&amp;P34/10&amp;" cm"</f>
        <v>10 x 12 x 0 cm</v>
      </c>
      <c r="M35" s="622"/>
      <c r="N35" s="625"/>
      <c r="O35" s="625"/>
      <c r="P35" s="625"/>
      <c r="Q35" s="625"/>
    </row>
    <row r="36" spans="1:17" ht="20.100000000000001" customHeight="1">
      <c r="A36" s="623">
        <v>11</v>
      </c>
      <c r="B36" s="13">
        <v>21</v>
      </c>
      <c r="C36" s="14" t="s">
        <v>391</v>
      </c>
      <c r="D36" s="624" t="s">
        <v>392</v>
      </c>
      <c r="E36" s="624"/>
      <c r="F36" s="22" t="s">
        <v>393</v>
      </c>
      <c r="G36" s="13">
        <v>1</v>
      </c>
      <c r="H36" s="14">
        <f t="shared" ref="H36" si="50">3+(7.5*(N36/1000))+(N36/1000)*((P36+0.3)/1000)*0.42</f>
        <v>3</v>
      </c>
      <c r="I36" s="14">
        <f t="shared" ref="I36" si="51">H36+0.75</f>
        <v>3.75</v>
      </c>
      <c r="J36" s="14" t="str">
        <f t="shared" ref="J36" si="52">"20 x 19 x "&amp;(N36/10)+10&amp;" cm"</f>
        <v>20 x 19 x 10 cm</v>
      </c>
      <c r="M36" s="622">
        <v>11</v>
      </c>
      <c r="N36" s="625">
        <f>xHesaplama!D37</f>
        <v>0</v>
      </c>
      <c r="O36" s="625"/>
      <c r="P36" s="625">
        <f>xHesaplama!E37</f>
        <v>0</v>
      </c>
      <c r="Q36" s="625"/>
    </row>
    <row r="37" spans="1:17" ht="20.100000000000001" customHeight="1">
      <c r="A37" s="623"/>
      <c r="B37" s="13">
        <v>22</v>
      </c>
      <c r="C37" s="14" t="s">
        <v>391</v>
      </c>
      <c r="D37" s="624" t="s">
        <v>392</v>
      </c>
      <c r="E37" s="624"/>
      <c r="F37" s="22" t="s">
        <v>394</v>
      </c>
      <c r="G37" s="13">
        <v>1</v>
      </c>
      <c r="H37" s="14">
        <f t="shared" ref="H37" si="53">(((P36/1000)-0.1)*2)*1.3</f>
        <v>-0.26</v>
      </c>
      <c r="I37" s="14">
        <f t="shared" ref="I37" si="54">H37+0.5</f>
        <v>0.24</v>
      </c>
      <c r="J37" s="14" t="str">
        <f t="shared" ref="J37" si="55">"10 x 12 x "&amp;P36/10&amp;" cm"</f>
        <v>10 x 12 x 0 cm</v>
      </c>
      <c r="M37" s="622"/>
      <c r="N37" s="625"/>
      <c r="O37" s="625"/>
      <c r="P37" s="625"/>
      <c r="Q37" s="625"/>
    </row>
    <row r="38" spans="1:17" ht="20.100000000000001" customHeight="1">
      <c r="A38" s="623">
        <v>12</v>
      </c>
      <c r="B38" s="13">
        <v>23</v>
      </c>
      <c r="C38" s="14" t="s">
        <v>391</v>
      </c>
      <c r="D38" s="624" t="s">
        <v>392</v>
      </c>
      <c r="E38" s="624"/>
      <c r="F38" s="22" t="s">
        <v>393</v>
      </c>
      <c r="G38" s="13">
        <v>1</v>
      </c>
      <c r="H38" s="14">
        <f t="shared" ref="H38" si="56">3+(7.5*(N38/1000))+(N38/1000)*((P38+0.3)/1000)*0.42</f>
        <v>3</v>
      </c>
      <c r="I38" s="14">
        <f t="shared" ref="I38" si="57">H38+0.75</f>
        <v>3.75</v>
      </c>
      <c r="J38" s="14" t="str">
        <f t="shared" ref="J38" si="58">"20 x 19 x "&amp;(N38/10)+10&amp;" cm"</f>
        <v>20 x 19 x 10 cm</v>
      </c>
      <c r="M38" s="622">
        <v>12</v>
      </c>
      <c r="N38" s="625">
        <f>xHesaplama!D38</f>
        <v>0</v>
      </c>
      <c r="O38" s="625"/>
      <c r="P38" s="625">
        <f>xHesaplama!E38</f>
        <v>0</v>
      </c>
      <c r="Q38" s="625"/>
    </row>
    <row r="39" spans="1:17" ht="20.100000000000001" customHeight="1">
      <c r="A39" s="623"/>
      <c r="B39" s="13">
        <v>24</v>
      </c>
      <c r="C39" s="14" t="s">
        <v>391</v>
      </c>
      <c r="D39" s="624" t="s">
        <v>392</v>
      </c>
      <c r="E39" s="624"/>
      <c r="F39" s="22" t="s">
        <v>394</v>
      </c>
      <c r="G39" s="13">
        <v>1</v>
      </c>
      <c r="H39" s="14">
        <f t="shared" ref="H39" si="59">(((P38/1000)-0.1)*2)*1.3</f>
        <v>-0.26</v>
      </c>
      <c r="I39" s="14">
        <f t="shared" ref="I39" si="60">H39+0.5</f>
        <v>0.24</v>
      </c>
      <c r="J39" s="14" t="str">
        <f t="shared" ref="J39" si="61">"10 x 12 x "&amp;P38/10&amp;" cm"</f>
        <v>10 x 12 x 0 cm</v>
      </c>
      <c r="M39" s="622"/>
      <c r="N39" s="625"/>
      <c r="O39" s="625"/>
      <c r="P39" s="625"/>
      <c r="Q39" s="625"/>
    </row>
    <row r="40" spans="1:17" ht="20.100000000000001" customHeight="1">
      <c r="A40" s="623">
        <v>13</v>
      </c>
      <c r="B40" s="13">
        <v>25</v>
      </c>
      <c r="C40" s="14" t="s">
        <v>391</v>
      </c>
      <c r="D40" s="624" t="s">
        <v>392</v>
      </c>
      <c r="E40" s="624"/>
      <c r="F40" s="22" t="s">
        <v>393</v>
      </c>
      <c r="G40" s="13">
        <v>1</v>
      </c>
      <c r="H40" s="14">
        <f t="shared" ref="H40" si="62">3+(7.5*(N40/1000))+(N40/1000)*((P40+0.3)/1000)*0.42</f>
        <v>3</v>
      </c>
      <c r="I40" s="14">
        <f t="shared" ref="I40" si="63">H40+0.75</f>
        <v>3.75</v>
      </c>
      <c r="J40" s="14" t="str">
        <f t="shared" ref="J40" si="64">"20 x 19 x "&amp;(N40/10)+10&amp;" cm"</f>
        <v>20 x 19 x 10 cm</v>
      </c>
      <c r="M40" s="622">
        <v>13</v>
      </c>
      <c r="N40" s="625">
        <f>xHesaplama!D39</f>
        <v>0</v>
      </c>
      <c r="O40" s="625"/>
      <c r="P40" s="625">
        <f>xHesaplama!E39</f>
        <v>0</v>
      </c>
      <c r="Q40" s="625"/>
    </row>
    <row r="41" spans="1:17" ht="20.100000000000001" customHeight="1">
      <c r="A41" s="623"/>
      <c r="B41" s="13">
        <v>26</v>
      </c>
      <c r="C41" s="14" t="s">
        <v>391</v>
      </c>
      <c r="D41" s="624" t="s">
        <v>392</v>
      </c>
      <c r="E41" s="624"/>
      <c r="F41" s="22" t="s">
        <v>394</v>
      </c>
      <c r="G41" s="13">
        <v>1</v>
      </c>
      <c r="H41" s="14">
        <f t="shared" ref="H41" si="65">(((P40/1000)-0.1)*2)*1.3</f>
        <v>-0.26</v>
      </c>
      <c r="I41" s="14">
        <f t="shared" ref="I41" si="66">H41+0.5</f>
        <v>0.24</v>
      </c>
      <c r="J41" s="14" t="str">
        <f t="shared" ref="J41" si="67">"10 x 12 x "&amp;P40/10&amp;" cm"</f>
        <v>10 x 12 x 0 cm</v>
      </c>
      <c r="M41" s="622"/>
      <c r="N41" s="625"/>
      <c r="O41" s="625"/>
      <c r="P41" s="625"/>
      <c r="Q41" s="625"/>
    </row>
    <row r="42" spans="1:17" ht="20.100000000000001" customHeight="1">
      <c r="A42" s="623">
        <v>14</v>
      </c>
      <c r="B42" s="13">
        <v>27</v>
      </c>
      <c r="C42" s="14" t="s">
        <v>391</v>
      </c>
      <c r="D42" s="624" t="s">
        <v>392</v>
      </c>
      <c r="E42" s="624"/>
      <c r="F42" s="22" t="s">
        <v>393</v>
      </c>
      <c r="G42" s="13">
        <v>1</v>
      </c>
      <c r="H42" s="14">
        <f t="shared" ref="H42" si="68">3+(7.5*(N42/1000))+(N42/1000)*((P42+0.3)/1000)*0.42</f>
        <v>3</v>
      </c>
      <c r="I42" s="14">
        <f t="shared" ref="I42" si="69">H42+0.75</f>
        <v>3.75</v>
      </c>
      <c r="J42" s="14" t="str">
        <f t="shared" ref="J42" si="70">"20 x 19 x "&amp;(N42/10)+10&amp;" cm"</f>
        <v>20 x 19 x 10 cm</v>
      </c>
      <c r="M42" s="622">
        <v>14</v>
      </c>
      <c r="N42" s="625">
        <f>xHesaplama!D40</f>
        <v>0</v>
      </c>
      <c r="O42" s="625"/>
      <c r="P42" s="625">
        <f>xHesaplama!E40</f>
        <v>0</v>
      </c>
      <c r="Q42" s="625"/>
    </row>
    <row r="43" spans="1:17" ht="20.100000000000001" customHeight="1">
      <c r="A43" s="623"/>
      <c r="B43" s="13">
        <v>28</v>
      </c>
      <c r="C43" s="14" t="s">
        <v>391</v>
      </c>
      <c r="D43" s="624" t="s">
        <v>392</v>
      </c>
      <c r="E43" s="624"/>
      <c r="F43" s="22" t="s">
        <v>394</v>
      </c>
      <c r="G43" s="13">
        <v>1</v>
      </c>
      <c r="H43" s="14">
        <f t="shared" ref="H43" si="71">(((P42/1000)-0.1)*2)*1.3</f>
        <v>-0.26</v>
      </c>
      <c r="I43" s="14">
        <f t="shared" ref="I43" si="72">H43+0.5</f>
        <v>0.24</v>
      </c>
      <c r="J43" s="14" t="str">
        <f t="shared" ref="J43" si="73">"10 x 12 x "&amp;P42/10&amp;" cm"</f>
        <v>10 x 12 x 0 cm</v>
      </c>
      <c r="M43" s="622"/>
      <c r="N43" s="625"/>
      <c r="O43" s="625"/>
      <c r="P43" s="625"/>
      <c r="Q43" s="625"/>
    </row>
    <row r="44" spans="1:17" ht="20.100000000000001" customHeight="1">
      <c r="A44" s="623">
        <v>15</v>
      </c>
      <c r="B44" s="13">
        <v>29</v>
      </c>
      <c r="C44" s="14" t="s">
        <v>391</v>
      </c>
      <c r="D44" s="624" t="s">
        <v>392</v>
      </c>
      <c r="E44" s="624"/>
      <c r="F44" s="22" t="s">
        <v>393</v>
      </c>
      <c r="G44" s="13">
        <v>1</v>
      </c>
      <c r="H44" s="14">
        <f t="shared" ref="H44" si="74">3+(7.5*(N44/1000))+(N44/1000)*((P44+0.3)/1000)*0.42</f>
        <v>3</v>
      </c>
      <c r="I44" s="14">
        <f t="shared" ref="I44" si="75">H44+0.75</f>
        <v>3.75</v>
      </c>
      <c r="J44" s="14" t="str">
        <f t="shared" ref="J44" si="76">"20 x 19 x "&amp;(N44/10)+10&amp;" cm"</f>
        <v>20 x 19 x 10 cm</v>
      </c>
      <c r="M44" s="622">
        <v>15</v>
      </c>
      <c r="N44" s="625">
        <f>xHesaplama!D41</f>
        <v>0</v>
      </c>
      <c r="O44" s="625"/>
      <c r="P44" s="625">
        <f>xHesaplama!E41</f>
        <v>0</v>
      </c>
      <c r="Q44" s="625"/>
    </row>
    <row r="45" spans="1:17" ht="20.100000000000001" customHeight="1">
      <c r="A45" s="623"/>
      <c r="B45" s="13">
        <v>30</v>
      </c>
      <c r="C45" s="14" t="s">
        <v>391</v>
      </c>
      <c r="D45" s="624" t="s">
        <v>392</v>
      </c>
      <c r="E45" s="624"/>
      <c r="F45" s="22" t="s">
        <v>394</v>
      </c>
      <c r="G45" s="13">
        <v>1</v>
      </c>
      <c r="H45" s="14">
        <f t="shared" ref="H45" si="77">(((P44/1000)-0.1)*2)*1.3</f>
        <v>-0.26</v>
      </c>
      <c r="I45" s="14">
        <f t="shared" ref="I45" si="78">H45+0.5</f>
        <v>0.24</v>
      </c>
      <c r="J45" s="14" t="str">
        <f t="shared" ref="J45" si="79">"10 x 12 x "&amp;P44/10&amp;" cm"</f>
        <v>10 x 12 x 0 cm</v>
      </c>
      <c r="M45" s="622"/>
      <c r="N45" s="625"/>
      <c r="O45" s="625"/>
      <c r="P45" s="625"/>
      <c r="Q45" s="625"/>
    </row>
    <row r="46" spans="1:17" ht="20.100000000000001" customHeight="1">
      <c r="A46" s="623">
        <v>16</v>
      </c>
      <c r="B46" s="13">
        <v>31</v>
      </c>
      <c r="C46" s="14" t="s">
        <v>391</v>
      </c>
      <c r="D46" s="624" t="s">
        <v>392</v>
      </c>
      <c r="E46" s="624"/>
      <c r="F46" s="22" t="s">
        <v>393</v>
      </c>
      <c r="G46" s="13">
        <v>1</v>
      </c>
      <c r="H46" s="14">
        <f t="shared" ref="H46" si="80">3+(7.5*(N46/1000))+(N46/1000)*((P46+0.3)/1000)*0.42</f>
        <v>3</v>
      </c>
      <c r="I46" s="14">
        <f t="shared" ref="I46" si="81">H46+0.75</f>
        <v>3.75</v>
      </c>
      <c r="J46" s="14" t="str">
        <f t="shared" ref="J46" si="82">"20 x 19 x "&amp;(N46/10)+10&amp;" cm"</f>
        <v>20 x 19 x 10 cm</v>
      </c>
      <c r="M46" s="622">
        <v>16</v>
      </c>
      <c r="N46" s="625">
        <f>xHesaplama!D42</f>
        <v>0</v>
      </c>
      <c r="O46" s="625"/>
      <c r="P46" s="625">
        <f>xHesaplama!E42</f>
        <v>0</v>
      </c>
      <c r="Q46" s="625"/>
    </row>
    <row r="47" spans="1:17" ht="20.100000000000001" customHeight="1">
      <c r="A47" s="623"/>
      <c r="B47" s="13">
        <v>32</v>
      </c>
      <c r="C47" s="14" t="s">
        <v>391</v>
      </c>
      <c r="D47" s="624" t="s">
        <v>392</v>
      </c>
      <c r="E47" s="624"/>
      <c r="F47" s="22" t="s">
        <v>394</v>
      </c>
      <c r="G47" s="13">
        <v>1</v>
      </c>
      <c r="H47" s="14">
        <f t="shared" ref="H47" si="83">(((P46/1000)-0.1)*2)*1.3</f>
        <v>-0.26</v>
      </c>
      <c r="I47" s="14">
        <f t="shared" ref="I47" si="84">H47+0.5</f>
        <v>0.24</v>
      </c>
      <c r="J47" s="14" t="str">
        <f t="shared" ref="J47" si="85">"10 x 12 x "&amp;P46/10&amp;" cm"</f>
        <v>10 x 12 x 0 cm</v>
      </c>
      <c r="M47" s="622"/>
      <c r="N47" s="625"/>
      <c r="O47" s="625"/>
      <c r="P47" s="625"/>
      <c r="Q47" s="625"/>
    </row>
    <row r="48" spans="1:17" ht="20.100000000000001" customHeight="1">
      <c r="A48" s="623">
        <v>17</v>
      </c>
      <c r="B48" s="13">
        <v>33</v>
      </c>
      <c r="C48" s="14" t="s">
        <v>391</v>
      </c>
      <c r="D48" s="624" t="s">
        <v>392</v>
      </c>
      <c r="E48" s="624"/>
      <c r="F48" s="22" t="s">
        <v>393</v>
      </c>
      <c r="G48" s="13">
        <v>1</v>
      </c>
      <c r="H48" s="14">
        <f t="shared" ref="H48" si="86">3+(7.5*(N48/1000))+(N48/1000)*((P48+0.3)/1000)*0.42</f>
        <v>3</v>
      </c>
      <c r="I48" s="14">
        <f t="shared" ref="I48" si="87">H48+0.75</f>
        <v>3.75</v>
      </c>
      <c r="J48" s="14" t="str">
        <f t="shared" ref="J48" si="88">"20 x 19 x "&amp;(N48/10)+10&amp;" cm"</f>
        <v>20 x 19 x 10 cm</v>
      </c>
      <c r="M48" s="622">
        <v>17</v>
      </c>
      <c r="N48" s="625">
        <f>xHesaplama!D43</f>
        <v>0</v>
      </c>
      <c r="O48" s="625"/>
      <c r="P48" s="625">
        <f>xHesaplama!E43</f>
        <v>0</v>
      </c>
      <c r="Q48" s="625"/>
    </row>
    <row r="49" spans="1:17" ht="20.100000000000001" customHeight="1">
      <c r="A49" s="623"/>
      <c r="B49" s="13">
        <v>34</v>
      </c>
      <c r="C49" s="14" t="s">
        <v>391</v>
      </c>
      <c r="D49" s="624" t="s">
        <v>392</v>
      </c>
      <c r="E49" s="624"/>
      <c r="F49" s="22" t="s">
        <v>394</v>
      </c>
      <c r="G49" s="13">
        <v>1</v>
      </c>
      <c r="H49" s="14">
        <f t="shared" ref="H49" si="89">(((P48/1000)-0.1)*2)*1.3</f>
        <v>-0.26</v>
      </c>
      <c r="I49" s="14">
        <f t="shared" ref="I49" si="90">H49+0.5</f>
        <v>0.24</v>
      </c>
      <c r="J49" s="14" t="str">
        <f t="shared" ref="J49" si="91">"10 x 12 x "&amp;P48/10&amp;" cm"</f>
        <v>10 x 12 x 0 cm</v>
      </c>
      <c r="M49" s="622"/>
      <c r="N49" s="625"/>
      <c r="O49" s="625"/>
      <c r="P49" s="625"/>
      <c r="Q49" s="625"/>
    </row>
    <row r="50" spans="1:17" ht="20.100000000000001" customHeight="1">
      <c r="A50" s="623">
        <v>18</v>
      </c>
      <c r="B50" s="13">
        <v>35</v>
      </c>
      <c r="C50" s="14" t="s">
        <v>391</v>
      </c>
      <c r="D50" s="624" t="s">
        <v>392</v>
      </c>
      <c r="E50" s="624"/>
      <c r="F50" s="22" t="s">
        <v>393</v>
      </c>
      <c r="G50" s="13">
        <v>1</v>
      </c>
      <c r="H50" s="14">
        <f t="shared" ref="H50" si="92">3+(7.5*(N50/1000))+(N50/1000)*((P50+0.3)/1000)*0.42</f>
        <v>3</v>
      </c>
      <c r="I50" s="14">
        <f t="shared" ref="I50" si="93">H50+0.75</f>
        <v>3.75</v>
      </c>
      <c r="J50" s="14" t="str">
        <f t="shared" ref="J50" si="94">"20 x 19 x "&amp;(N50/10)+10&amp;" cm"</f>
        <v>20 x 19 x 10 cm</v>
      </c>
      <c r="M50" s="622">
        <v>18</v>
      </c>
      <c r="N50" s="625">
        <f>xHesaplama!D44</f>
        <v>0</v>
      </c>
      <c r="O50" s="625"/>
      <c r="P50" s="625">
        <f>xHesaplama!E44</f>
        <v>0</v>
      </c>
      <c r="Q50" s="625"/>
    </row>
    <row r="51" spans="1:17" ht="20.100000000000001" customHeight="1">
      <c r="A51" s="623"/>
      <c r="B51" s="13">
        <v>36</v>
      </c>
      <c r="C51" s="14" t="s">
        <v>391</v>
      </c>
      <c r="D51" s="624" t="s">
        <v>392</v>
      </c>
      <c r="E51" s="624"/>
      <c r="F51" s="22" t="s">
        <v>394</v>
      </c>
      <c r="G51" s="13">
        <v>1</v>
      </c>
      <c r="H51" s="14">
        <f t="shared" ref="H51" si="95">(((P50/1000)-0.1)*2)*1.3</f>
        <v>-0.26</v>
      </c>
      <c r="I51" s="14">
        <f t="shared" ref="I51" si="96">H51+0.5</f>
        <v>0.24</v>
      </c>
      <c r="J51" s="14" t="str">
        <f t="shared" ref="J51" si="97">"10 x 12 x "&amp;P50/10&amp;" cm"</f>
        <v>10 x 12 x 0 cm</v>
      </c>
      <c r="M51" s="622"/>
      <c r="N51" s="625"/>
      <c r="O51" s="625"/>
      <c r="P51" s="625"/>
      <c r="Q51" s="625"/>
    </row>
    <row r="52" spans="1:17" ht="20.100000000000001" customHeight="1">
      <c r="A52" s="623">
        <v>19</v>
      </c>
      <c r="B52" s="13">
        <v>37</v>
      </c>
      <c r="C52" s="14" t="s">
        <v>391</v>
      </c>
      <c r="D52" s="624" t="s">
        <v>392</v>
      </c>
      <c r="E52" s="624"/>
      <c r="F52" s="22" t="s">
        <v>393</v>
      </c>
      <c r="G52" s="13">
        <v>1</v>
      </c>
      <c r="H52" s="14">
        <f t="shared" ref="H52" si="98">3+(7.5*(N52/1000))+(N52/1000)*((P52+0.3)/1000)*0.42</f>
        <v>3</v>
      </c>
      <c r="I52" s="14">
        <f t="shared" ref="I52" si="99">H52+0.75</f>
        <v>3.75</v>
      </c>
      <c r="J52" s="14" t="str">
        <f t="shared" ref="J52" si="100">"20 x 19 x "&amp;(N52/10)+10&amp;" cm"</f>
        <v>20 x 19 x 10 cm</v>
      </c>
      <c r="M52" s="622">
        <v>19</v>
      </c>
      <c r="N52" s="625">
        <f>xHesaplama!D45</f>
        <v>0</v>
      </c>
      <c r="O52" s="625"/>
      <c r="P52" s="625">
        <f>xHesaplama!E45</f>
        <v>0</v>
      </c>
      <c r="Q52" s="625"/>
    </row>
    <row r="53" spans="1:17" ht="20.100000000000001" customHeight="1">
      <c r="A53" s="623"/>
      <c r="B53" s="13">
        <v>38</v>
      </c>
      <c r="C53" s="14" t="s">
        <v>391</v>
      </c>
      <c r="D53" s="624" t="s">
        <v>392</v>
      </c>
      <c r="E53" s="624"/>
      <c r="F53" s="22" t="s">
        <v>394</v>
      </c>
      <c r="G53" s="13">
        <v>1</v>
      </c>
      <c r="H53" s="14">
        <f t="shared" ref="H53" si="101">(((P52/1000)-0.1)*2)*1.3</f>
        <v>-0.26</v>
      </c>
      <c r="I53" s="14">
        <f t="shared" ref="I53" si="102">H53+0.5</f>
        <v>0.24</v>
      </c>
      <c r="J53" s="14" t="str">
        <f t="shared" ref="J53" si="103">"10 x 12 x "&amp;P52/10&amp;" cm"</f>
        <v>10 x 12 x 0 cm</v>
      </c>
      <c r="M53" s="622"/>
      <c r="N53" s="625"/>
      <c r="O53" s="625"/>
      <c r="P53" s="625"/>
      <c r="Q53" s="625"/>
    </row>
    <row r="54" spans="1:17" ht="20.100000000000001" customHeight="1">
      <c r="A54" s="623">
        <v>20</v>
      </c>
      <c r="B54" s="13">
        <v>39</v>
      </c>
      <c r="C54" s="14" t="s">
        <v>391</v>
      </c>
      <c r="D54" s="624" t="s">
        <v>392</v>
      </c>
      <c r="E54" s="624"/>
      <c r="F54" s="22" t="s">
        <v>393</v>
      </c>
      <c r="G54" s="13">
        <v>1</v>
      </c>
      <c r="H54" s="14">
        <f t="shared" ref="H54" si="104">3+(7.5*(N54/1000))+(N54/1000)*((P54+0.3)/1000)*0.42</f>
        <v>3</v>
      </c>
      <c r="I54" s="14">
        <f t="shared" ref="I54" si="105">H54+0.75</f>
        <v>3.75</v>
      </c>
      <c r="J54" s="14" t="str">
        <f t="shared" ref="J54" si="106">"20 x 19 x "&amp;(N54/10)+10&amp;" cm"</f>
        <v>20 x 19 x 10 cm</v>
      </c>
      <c r="M54" s="622">
        <v>20</v>
      </c>
      <c r="N54" s="625">
        <f>xHesaplama!D46</f>
        <v>0</v>
      </c>
      <c r="O54" s="625"/>
      <c r="P54" s="625">
        <f>xHesaplama!E46</f>
        <v>0</v>
      </c>
      <c r="Q54" s="625"/>
    </row>
    <row r="55" spans="1:17" ht="20.100000000000001" customHeight="1">
      <c r="A55" s="623"/>
      <c r="B55" s="13">
        <v>40</v>
      </c>
      <c r="C55" s="14" t="s">
        <v>391</v>
      </c>
      <c r="D55" s="624" t="s">
        <v>392</v>
      </c>
      <c r="E55" s="624"/>
      <c r="F55" s="22" t="s">
        <v>394</v>
      </c>
      <c r="G55" s="13">
        <v>1</v>
      </c>
      <c r="H55" s="14">
        <f t="shared" ref="H55" si="107">(((P54/1000)-0.1)*2)*1.3</f>
        <v>-0.26</v>
      </c>
      <c r="I55" s="14">
        <f t="shared" ref="I55" si="108">H55+0.5</f>
        <v>0.24</v>
      </c>
      <c r="J55" s="14" t="str">
        <f t="shared" ref="J55" si="109">"10 x 12 x "&amp;P54/10&amp;" cm"</f>
        <v>10 x 12 x 0 cm</v>
      </c>
      <c r="M55" s="622"/>
      <c r="N55" s="625"/>
      <c r="O55" s="625"/>
      <c r="P55" s="625"/>
      <c r="Q55" s="625"/>
    </row>
    <row r="56" spans="1:17" ht="20.100000000000001" customHeight="1">
      <c r="B56" s="621" t="s">
        <v>395</v>
      </c>
      <c r="C56" s="621"/>
      <c r="D56" s="621"/>
      <c r="E56" s="621"/>
      <c r="F56" s="621"/>
      <c r="G56" s="622">
        <f>SUM(G16:G39)</f>
        <v>24</v>
      </c>
      <c r="H56" s="622">
        <f>SUM(H16:H55)</f>
        <v>70.985911200000004</v>
      </c>
      <c r="I56" s="622">
        <f>SUM(I16:I55)</f>
        <v>95.985911199999961</v>
      </c>
    </row>
    <row r="57" spans="1:17" ht="20.100000000000001" customHeight="1">
      <c r="B57" s="621"/>
      <c r="C57" s="621"/>
      <c r="D57" s="621"/>
      <c r="E57" s="621"/>
      <c r="F57" s="621"/>
      <c r="G57" s="622"/>
      <c r="H57" s="622"/>
      <c r="I57" s="622"/>
    </row>
  </sheetData>
  <mergeCells count="147">
    <mergeCell ref="N52:O53"/>
    <mergeCell ref="P52:Q53"/>
    <mergeCell ref="N54:O55"/>
    <mergeCell ref="P54:Q55"/>
    <mergeCell ref="N46:O47"/>
    <mergeCell ref="P46:Q47"/>
    <mergeCell ref="N48:O49"/>
    <mergeCell ref="P48:Q49"/>
    <mergeCell ref="N50:O51"/>
    <mergeCell ref="P50:Q51"/>
    <mergeCell ref="N40:O41"/>
    <mergeCell ref="P40:Q41"/>
    <mergeCell ref="N42:O43"/>
    <mergeCell ref="P42:Q43"/>
    <mergeCell ref="N44:O45"/>
    <mergeCell ref="P44:Q45"/>
    <mergeCell ref="A54:A55"/>
    <mergeCell ref="D54:E54"/>
    <mergeCell ref="D55:E55"/>
    <mergeCell ref="M40:M41"/>
    <mergeCell ref="M42:M43"/>
    <mergeCell ref="M44:M45"/>
    <mergeCell ref="M46:M47"/>
    <mergeCell ref="M48:M49"/>
    <mergeCell ref="M50:M51"/>
    <mergeCell ref="M52:M53"/>
    <mergeCell ref="M54:M55"/>
    <mergeCell ref="A50:A51"/>
    <mergeCell ref="D50:E50"/>
    <mergeCell ref="D51:E51"/>
    <mergeCell ref="A52:A53"/>
    <mergeCell ref="D52:E52"/>
    <mergeCell ref="D53:E53"/>
    <mergeCell ref="D46:E46"/>
    <mergeCell ref="A12:A13"/>
    <mergeCell ref="B12:B13"/>
    <mergeCell ref="C12:C13"/>
    <mergeCell ref="D12:E13"/>
    <mergeCell ref="F12:F13"/>
    <mergeCell ref="G12:G13"/>
    <mergeCell ref="H12:H13"/>
    <mergeCell ref="I12:I13"/>
    <mergeCell ref="J12:J13"/>
    <mergeCell ref="B7:C8"/>
    <mergeCell ref="D7:J8"/>
    <mergeCell ref="B2:D5"/>
    <mergeCell ref="E2:H5"/>
    <mergeCell ref="I2:J5"/>
    <mergeCell ref="G6:H6"/>
    <mergeCell ref="I6:J6"/>
    <mergeCell ref="B9:C10"/>
    <mergeCell ref="D9:J10"/>
    <mergeCell ref="M14:M15"/>
    <mergeCell ref="N14:O15"/>
    <mergeCell ref="P14:Q15"/>
    <mergeCell ref="D17:E17"/>
    <mergeCell ref="S17:U18"/>
    <mergeCell ref="A18:A19"/>
    <mergeCell ref="D18:E18"/>
    <mergeCell ref="M18:M19"/>
    <mergeCell ref="N18:O19"/>
    <mergeCell ref="P18:Q19"/>
    <mergeCell ref="D19:E19"/>
    <mergeCell ref="A16:A17"/>
    <mergeCell ref="D16:E16"/>
    <mergeCell ref="M16:M17"/>
    <mergeCell ref="N16:O17"/>
    <mergeCell ref="P16:Q17"/>
    <mergeCell ref="D14:E14"/>
    <mergeCell ref="D20:E20"/>
    <mergeCell ref="M20:M21"/>
    <mergeCell ref="N20:O21"/>
    <mergeCell ref="P20:Q21"/>
    <mergeCell ref="D21:E21"/>
    <mergeCell ref="A22:A23"/>
    <mergeCell ref="D22:E22"/>
    <mergeCell ref="M22:M23"/>
    <mergeCell ref="N22:O23"/>
    <mergeCell ref="P22:Q23"/>
    <mergeCell ref="D23:E23"/>
    <mergeCell ref="A20:A21"/>
    <mergeCell ref="A24:A25"/>
    <mergeCell ref="D24:E24"/>
    <mergeCell ref="M24:M25"/>
    <mergeCell ref="N24:O25"/>
    <mergeCell ref="P24:Q25"/>
    <mergeCell ref="D25:E25"/>
    <mergeCell ref="A26:A27"/>
    <mergeCell ref="D26:E26"/>
    <mergeCell ref="M26:M27"/>
    <mergeCell ref="N26:O27"/>
    <mergeCell ref="P26:Q27"/>
    <mergeCell ref="D27:E27"/>
    <mergeCell ref="A28:A29"/>
    <mergeCell ref="D28:E28"/>
    <mergeCell ref="M28:M29"/>
    <mergeCell ref="N28:O29"/>
    <mergeCell ref="P28:Q29"/>
    <mergeCell ref="D29:E29"/>
    <mergeCell ref="A30:A31"/>
    <mergeCell ref="D30:E30"/>
    <mergeCell ref="M30:M31"/>
    <mergeCell ref="N30:O31"/>
    <mergeCell ref="P30:Q31"/>
    <mergeCell ref="D31:E31"/>
    <mergeCell ref="A32:A33"/>
    <mergeCell ref="D32:E32"/>
    <mergeCell ref="M32:M33"/>
    <mergeCell ref="N32:O33"/>
    <mergeCell ref="P32:Q33"/>
    <mergeCell ref="D33:E33"/>
    <mergeCell ref="A34:A35"/>
    <mergeCell ref="D34:E34"/>
    <mergeCell ref="M34:M35"/>
    <mergeCell ref="N34:O35"/>
    <mergeCell ref="P34:Q35"/>
    <mergeCell ref="D35:E35"/>
    <mergeCell ref="M38:M39"/>
    <mergeCell ref="N38:O39"/>
    <mergeCell ref="P38:Q39"/>
    <mergeCell ref="D39:E39"/>
    <mergeCell ref="A36:A37"/>
    <mergeCell ref="D36:E36"/>
    <mergeCell ref="M36:M37"/>
    <mergeCell ref="N36:O37"/>
    <mergeCell ref="P36:Q37"/>
    <mergeCell ref="D37:E37"/>
    <mergeCell ref="B56:F57"/>
    <mergeCell ref="G56:G57"/>
    <mergeCell ref="H56:H57"/>
    <mergeCell ref="I56:I57"/>
    <mergeCell ref="A38:A39"/>
    <mergeCell ref="D38:E38"/>
    <mergeCell ref="A40:A41"/>
    <mergeCell ref="D40:E40"/>
    <mergeCell ref="D41:E41"/>
    <mergeCell ref="A42:A43"/>
    <mergeCell ref="D42:E42"/>
    <mergeCell ref="D43:E43"/>
    <mergeCell ref="A44:A45"/>
    <mergeCell ref="D44:E44"/>
    <mergeCell ref="D45:E45"/>
    <mergeCell ref="A46:A47"/>
    <mergeCell ref="D47:E47"/>
    <mergeCell ref="A48:A49"/>
    <mergeCell ref="D48:E48"/>
    <mergeCell ref="D49:E49"/>
  </mergeCells>
  <pageMargins left="0.25" right="0.25"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DFDD6-86B7-4BA0-AA41-AAC63F1D2C6C}">
  <sheetPr codeName="Sayfa7"/>
  <dimension ref="A1:BI96"/>
  <sheetViews>
    <sheetView topLeftCell="R1" zoomScale="85" zoomScaleNormal="85" workbookViewId="0">
      <selection activeCell="Z9" sqref="Z9"/>
    </sheetView>
  </sheetViews>
  <sheetFormatPr defaultRowHeight="14.25"/>
  <cols>
    <col min="1" max="1" width="29.625" bestFit="1" customWidth="1"/>
    <col min="2" max="3" width="29.625" customWidth="1"/>
    <col min="4" max="4" width="12.625" bestFit="1" customWidth="1"/>
    <col min="5" max="5" width="15.125" bestFit="1" customWidth="1"/>
    <col min="6" max="6" width="11.375" bestFit="1" customWidth="1"/>
    <col min="7" max="7" width="22.125" customWidth="1"/>
    <col min="8" max="8" width="21.375" customWidth="1"/>
    <col min="9" max="9" width="20.125" customWidth="1"/>
    <col min="10" max="10" width="21.125" bestFit="1" customWidth="1"/>
    <col min="11" max="11" width="19.875" customWidth="1"/>
    <col min="12" max="13" width="18.625" customWidth="1"/>
    <col min="14" max="14" width="18.5" customWidth="1"/>
    <col min="15" max="15" width="25.125" customWidth="1"/>
    <col min="16" max="16" width="22.125" bestFit="1" customWidth="1"/>
    <col min="17" max="19" width="24.625" customWidth="1"/>
    <col min="20" max="20" width="20.125" bestFit="1" customWidth="1"/>
    <col min="21" max="21" width="17.125" bestFit="1" customWidth="1"/>
    <col min="22" max="22" width="17.125" customWidth="1"/>
    <col min="23" max="23" width="13.125" customWidth="1"/>
    <col min="24" max="24" width="13.625" customWidth="1"/>
    <col min="25" max="25" width="24" customWidth="1"/>
    <col min="26" max="26" width="17.125" customWidth="1"/>
    <col min="27" max="27" width="19.375" customWidth="1"/>
    <col min="28" max="28" width="13.625" customWidth="1"/>
    <col min="31" max="31" width="27.25" customWidth="1"/>
    <col min="32" max="32" width="24" customWidth="1"/>
    <col min="33" max="34" width="12.125" customWidth="1"/>
    <col min="37" max="37" width="23.875" customWidth="1"/>
    <col min="40" max="59" width="29.875" customWidth="1"/>
    <col min="61" max="61" width="32.125" customWidth="1"/>
  </cols>
  <sheetData>
    <row r="1" spans="1:61" s="141" customFormat="1" ht="49.5" customHeight="1">
      <c r="A1" s="138" t="s">
        <v>99</v>
      </c>
      <c r="B1" s="138" t="s">
        <v>408</v>
      </c>
      <c r="C1" s="138" t="s">
        <v>477</v>
      </c>
      <c r="D1" s="139" t="s">
        <v>127</v>
      </c>
      <c r="E1" s="138" t="s">
        <v>185</v>
      </c>
      <c r="F1" s="140" t="s">
        <v>323</v>
      </c>
      <c r="G1" s="140" t="s">
        <v>194</v>
      </c>
      <c r="H1" s="140" t="s">
        <v>317</v>
      </c>
      <c r="I1" s="140" t="s">
        <v>318</v>
      </c>
      <c r="J1" s="140" t="s">
        <v>319</v>
      </c>
      <c r="K1" s="140" t="s">
        <v>320</v>
      </c>
      <c r="L1" s="140" t="s">
        <v>321</v>
      </c>
      <c r="M1" s="140" t="s">
        <v>322</v>
      </c>
      <c r="N1" s="140" t="s">
        <v>326</v>
      </c>
      <c r="O1" s="140" t="s">
        <v>324</v>
      </c>
      <c r="P1" s="140" t="s">
        <v>193</v>
      </c>
      <c r="Q1" s="140" t="s">
        <v>105</v>
      </c>
      <c r="R1" s="140" t="s">
        <v>619</v>
      </c>
      <c r="S1" s="140" t="s">
        <v>106</v>
      </c>
      <c r="T1" s="140" t="s">
        <v>107</v>
      </c>
      <c r="U1" s="140" t="s">
        <v>225</v>
      </c>
      <c r="V1" s="140" t="s">
        <v>618</v>
      </c>
      <c r="W1" s="140" t="s">
        <v>617</v>
      </c>
      <c r="X1" s="140" t="s">
        <v>31</v>
      </c>
      <c r="Y1" s="140" t="s">
        <v>230</v>
      </c>
      <c r="Z1" s="140" t="s">
        <v>363</v>
      </c>
      <c r="AA1" s="140" t="s">
        <v>620</v>
      </c>
      <c r="AB1" s="140" t="s">
        <v>621</v>
      </c>
      <c r="AE1" s="140" t="s">
        <v>105</v>
      </c>
      <c r="AF1" s="140" t="s">
        <v>833</v>
      </c>
      <c r="AG1" s="140" t="s">
        <v>832</v>
      </c>
      <c r="AH1" s="140"/>
      <c r="AN1" s="141">
        <v>1</v>
      </c>
      <c r="AO1" s="141">
        <v>2</v>
      </c>
      <c r="AP1" s="141">
        <v>3</v>
      </c>
      <c r="AQ1" s="141">
        <v>4</v>
      </c>
      <c r="AR1" s="141">
        <v>5</v>
      </c>
      <c r="AS1" s="141">
        <v>6</v>
      </c>
      <c r="AT1" s="141">
        <v>7</v>
      </c>
      <c r="AU1" s="141">
        <v>8</v>
      </c>
      <c r="AV1" s="141">
        <v>9</v>
      </c>
      <c r="AW1" s="141">
        <v>10</v>
      </c>
      <c r="AX1" s="141">
        <v>11</v>
      </c>
      <c r="AY1" s="141">
        <v>12</v>
      </c>
      <c r="AZ1" s="141">
        <v>13</v>
      </c>
      <c r="BA1" s="141">
        <v>14</v>
      </c>
      <c r="BB1" s="141">
        <v>15</v>
      </c>
      <c r="BC1" s="141">
        <v>16</v>
      </c>
      <c r="BD1" s="141">
        <v>17</v>
      </c>
      <c r="BE1" s="141">
        <v>18</v>
      </c>
      <c r="BF1" s="141">
        <v>19</v>
      </c>
      <c r="BG1" s="141">
        <v>20</v>
      </c>
      <c r="BI1" s="141" t="s">
        <v>990</v>
      </c>
    </row>
    <row r="2" spans="1:61" ht="49.5" customHeight="1">
      <c r="A2" t="s">
        <v>123</v>
      </c>
      <c r="B2">
        <v>110</v>
      </c>
      <c r="C2">
        <v>43</v>
      </c>
      <c r="D2" t="s">
        <v>611</v>
      </c>
      <c r="E2" s="6" t="s">
        <v>133</v>
      </c>
      <c r="F2" t="s">
        <v>194</v>
      </c>
      <c r="G2" t="s">
        <v>233</v>
      </c>
      <c r="H2" t="s">
        <v>919</v>
      </c>
      <c r="I2" t="s">
        <v>919</v>
      </c>
      <c r="J2" t="s">
        <v>919</v>
      </c>
      <c r="K2" t="s">
        <v>956</v>
      </c>
      <c r="L2" t="s">
        <v>958</v>
      </c>
      <c r="M2" t="s">
        <v>927</v>
      </c>
      <c r="N2" t="s">
        <v>962</v>
      </c>
      <c r="O2" t="s">
        <v>232</v>
      </c>
      <c r="P2" t="s">
        <v>965</v>
      </c>
      <c r="Q2" t="s">
        <v>196</v>
      </c>
      <c r="S2" t="s">
        <v>226</v>
      </c>
      <c r="T2" t="s">
        <v>896</v>
      </c>
      <c r="U2" t="s">
        <v>44</v>
      </c>
      <c r="V2" t="s">
        <v>194</v>
      </c>
      <c r="X2" t="s">
        <v>194</v>
      </c>
      <c r="Y2" t="s">
        <v>233</v>
      </c>
      <c r="Z2" s="15" t="s">
        <v>984</v>
      </c>
      <c r="AE2" t="s">
        <v>906</v>
      </c>
      <c r="AF2">
        <v>1</v>
      </c>
      <c r="AG2">
        <v>4000</v>
      </c>
      <c r="AH2" t="s">
        <v>501</v>
      </c>
      <c r="AI2">
        <f>'1PROJE'!E7</f>
        <v>1200</v>
      </c>
      <c r="AJ2">
        <f>'1PROJE'!F7</f>
        <v>2315</v>
      </c>
      <c r="AK2">
        <f>IF('1PROJE'!C7="Zipline® Sky (Tavan)",6000,LARGE(AI2:AJ2,1))</f>
        <v>2315</v>
      </c>
      <c r="AL2" t="str">
        <f>IF(AI2&lt;801,"A",IF(AK2&lt;801,"A",IF(AK2&lt;2000,"B",IF(AK2&lt;3000,"C",IF(AK2&lt;4000,"D",IF(AK2&lt;5000,"E","F"))))))</f>
        <v>C</v>
      </c>
      <c r="AN2" t="str" cm="1">
        <f t="array" ref="AN2:AN10">_xlfn._xlws.FILTER($AE$2:$AE$51,$AH$2:$AH$51=AL2,0)</f>
        <v>FERRINI ALICILI - 20NM</v>
      </c>
      <c r="AO2" t="str" cm="1">
        <f t="array" ref="AO2:AO5">_xlfn._xlws.FILTER($AE$2:$AE$51,$AH$2:$AH$51=AL3,0)</f>
        <v>BECKER ALICILI - 20NM ÖZEL</v>
      </c>
      <c r="AP2" t="str" cm="1">
        <f t="array" ref="AP2:AP5">_xlfn._xlws.FILTER($AE$2:$AE$51,$AH$2:$AH$51=AL4,0)</f>
        <v>BECKER ALICILI - 20NM ÖZEL</v>
      </c>
      <c r="AQ2" t="str" cm="1">
        <f t="array" ref="AQ2:AQ5">_xlfn._xlws.FILTER($AE$2:$AE$51,$AH$2:$AH$51=AL5,0)</f>
        <v>BECKER ALICILI - 20NM ÖZEL</v>
      </c>
      <c r="AR2" t="str" cm="1">
        <f t="array" ref="AR2:AR5">_xlfn._xlws.FILTER($AE$2:$AE$51,$AH$2:$AH$51=AL6,0)</f>
        <v>BECKER ALICILI - 20NM ÖZEL</v>
      </c>
      <c r="AS2" t="str" cm="1">
        <f t="array" ref="AS2:AS5">_xlfn._xlws.FILTER($AE$2:$AE$51,$AH$2:$AH$51=AL7,0)</f>
        <v>BECKER ALICILI - 20NM ÖZEL</v>
      </c>
      <c r="AT2" t="str" cm="1">
        <f t="array" ref="AT2:AT5">_xlfn._xlws.FILTER($AE$2:$AE$51,$AH$2:$AH$51=AL8,0)</f>
        <v>BECKER ALICILI - 20NM ÖZEL</v>
      </c>
      <c r="AU2" t="str" cm="1">
        <f t="array" ref="AU2:AU5">_xlfn._xlws.FILTER($AE$2:$AE$51,$AH$2:$AH$51=AL9,0)</f>
        <v>BECKER ALICILI - 20NM ÖZEL</v>
      </c>
      <c r="AV2" t="str" cm="1">
        <f t="array" ref="AV2:AV5">_xlfn._xlws.FILTER($AE$2:$AE$51,$AH$2:$AH$51=AL10,0)</f>
        <v>BECKER ALICILI - 20NM ÖZEL</v>
      </c>
      <c r="AW2" t="str" cm="1">
        <f t="array" ref="AW2:AW5">_xlfn._xlws.FILTER($AE$2:$AE$51,$AH$2:$AH$51=AL11,0)</f>
        <v>BECKER ALICILI - 20NM ÖZEL</v>
      </c>
      <c r="AX2" t="str" cm="1">
        <f t="array" ref="AX2:AX5">_xlfn._xlws.FILTER($AE$2:$AE$51,$AH$2:$AH$51=AL12,0)</f>
        <v>BECKER ALICILI - 20NM ÖZEL</v>
      </c>
      <c r="AY2" t="str" cm="1">
        <f t="array" ref="AY2:AY5">_xlfn._xlws.FILTER($AE$2:$AE$51,$AH$2:$AH$51=AL13,0)</f>
        <v>BECKER ALICILI - 20NM ÖZEL</v>
      </c>
      <c r="AZ2" t="str" cm="1">
        <f t="array" ref="AZ2:AZ5">_xlfn._xlws.FILTER($AE$2:$AE$51,$AH$2:$AH$51=AL14,0)</f>
        <v>BECKER ALICILI - 20NM ÖZEL</v>
      </c>
      <c r="BA2" t="str" cm="1">
        <f t="array" ref="BA2:BA5">_xlfn._xlws.FILTER($AE$2:$AE$51,$AH$2:$AH$51=AL15,0)</f>
        <v>BECKER ALICILI - 20NM ÖZEL</v>
      </c>
      <c r="BB2" t="str" cm="1">
        <f t="array" ref="BB2:BB5">_xlfn._xlws.FILTER($AE$2:$AE$51,$AH$2:$AH$51=AL16,0)</f>
        <v>BECKER ALICILI - 20NM ÖZEL</v>
      </c>
      <c r="BC2" t="str" cm="1">
        <f t="array" ref="BC2:BC5">_xlfn._xlws.FILTER($AE$2:$AE$51,$AH$2:$AH$51=AL17,0)</f>
        <v>BECKER ALICILI - 20NM ÖZEL</v>
      </c>
      <c r="BD2" t="str" cm="1">
        <f t="array" ref="BD2:BD5">_xlfn._xlws.FILTER($AE$2:$AE$51,$AH$2:$AH$51=AL18,0)</f>
        <v>BECKER ALICILI - 20NM ÖZEL</v>
      </c>
      <c r="BE2" t="str" cm="1">
        <f t="array" ref="BE2:BE5">_xlfn._xlws.FILTER($AE$2:$AE$51,$AH$2:$AH$51=AL19,0)</f>
        <v>BECKER ALICILI - 20NM ÖZEL</v>
      </c>
      <c r="BF2" t="str" cm="1">
        <f t="array" ref="BF2:BF5">_xlfn._xlws.FILTER($AE$2:$AE$51,$AH$2:$AH$51=AL20,0)</f>
        <v>BECKER ALICILI - 20NM ÖZEL</v>
      </c>
      <c r="BG2" t="str" cm="1">
        <f t="array" ref="BG2:BG5">_xlfn._xlws.FILTER($AE$2:$AE$51,$AH$2:$AH$51=AL21,0)</f>
        <v>BECKER ALICILI - 20NM ÖZEL</v>
      </c>
      <c r="BI2" t="s">
        <v>991</v>
      </c>
    </row>
    <row r="3" spans="1:61" ht="49.5" customHeight="1">
      <c r="A3" t="s">
        <v>124</v>
      </c>
      <c r="B3">
        <v>110</v>
      </c>
      <c r="C3">
        <v>43</v>
      </c>
      <c r="D3" t="s">
        <v>610</v>
      </c>
      <c r="E3" s="6" t="s">
        <v>134</v>
      </c>
      <c r="F3" t="s">
        <v>317</v>
      </c>
      <c r="G3" t="s">
        <v>240</v>
      </c>
      <c r="H3" t="s">
        <v>920</v>
      </c>
      <c r="I3" t="s">
        <v>939</v>
      </c>
      <c r="J3" t="s">
        <v>920</v>
      </c>
      <c r="K3" t="s">
        <v>957</v>
      </c>
      <c r="L3" t="s">
        <v>959</v>
      </c>
      <c r="M3" t="s">
        <v>958</v>
      </c>
      <c r="N3" t="s">
        <v>963</v>
      </c>
      <c r="P3" t="s">
        <v>966</v>
      </c>
      <c r="Q3" t="s">
        <v>197</v>
      </c>
      <c r="S3" t="s">
        <v>227</v>
      </c>
      <c r="T3" t="s">
        <v>897</v>
      </c>
      <c r="U3" t="s">
        <v>45</v>
      </c>
      <c r="V3" t="s">
        <v>317</v>
      </c>
      <c r="X3" t="s">
        <v>194</v>
      </c>
      <c r="Y3" t="s">
        <v>240</v>
      </c>
      <c r="Z3" t="s">
        <v>985</v>
      </c>
      <c r="AE3" t="s">
        <v>907</v>
      </c>
      <c r="AF3">
        <v>2</v>
      </c>
      <c r="AG3">
        <v>5000</v>
      </c>
      <c r="AH3" t="s">
        <v>502</v>
      </c>
      <c r="AI3">
        <f>'1PROJE'!E8</f>
        <v>0</v>
      </c>
      <c r="AJ3">
        <f>'1PROJE'!F8</f>
        <v>0</v>
      </c>
      <c r="AK3">
        <f>IF('1PROJE'!C8="Zipline® Sky (Tavan)",6000,LARGE(AI3:AJ3,1))</f>
        <v>0</v>
      </c>
      <c r="AL3" t="str">
        <f t="shared" ref="AL3:AL21" si="0">IF(AI3&lt;801,"A",IF(AK3&lt;801,"A",IF(AK3&lt;2000,"B",IF(AK3&lt;3000,"C",IF(AK3&lt;4000,"D",IF(AK3&lt;5000,"E","F"))))))</f>
        <v>A</v>
      </c>
      <c r="AN3" t="str">
        <v>SOMFY IO ALICILI - 60-20</v>
      </c>
      <c r="AO3" t="str">
        <v>FERRINI DÜZ KISA MOTOR</v>
      </c>
      <c r="AP3" t="str">
        <v>FERRINI DÜZ KISA MOTOR</v>
      </c>
      <c r="AQ3" t="str">
        <v>FERRINI DÜZ KISA MOTOR</v>
      </c>
      <c r="AR3" t="str">
        <v>FERRINI DÜZ KISA MOTOR</v>
      </c>
      <c r="AS3" t="str">
        <v>FERRINI DÜZ KISA MOTOR</v>
      </c>
      <c r="AT3" t="str">
        <v>FERRINI DÜZ KISA MOTOR</v>
      </c>
      <c r="AU3" t="str">
        <v>FERRINI DÜZ KISA MOTOR</v>
      </c>
      <c r="AV3" t="str">
        <v>FERRINI DÜZ KISA MOTOR</v>
      </c>
      <c r="AW3" t="str">
        <v>FERRINI DÜZ KISA MOTOR</v>
      </c>
      <c r="AX3" t="str">
        <v>FERRINI DÜZ KISA MOTOR</v>
      </c>
      <c r="AY3" t="str">
        <v>FERRINI DÜZ KISA MOTOR</v>
      </c>
      <c r="AZ3" t="str">
        <v>FERRINI DÜZ KISA MOTOR</v>
      </c>
      <c r="BA3" t="str">
        <v>FERRINI DÜZ KISA MOTOR</v>
      </c>
      <c r="BB3" t="str">
        <v>FERRINI DÜZ KISA MOTOR</v>
      </c>
      <c r="BC3" t="str">
        <v>FERRINI DÜZ KISA MOTOR</v>
      </c>
      <c r="BD3" t="str">
        <v>FERRINI DÜZ KISA MOTOR</v>
      </c>
      <c r="BE3" t="str">
        <v>FERRINI DÜZ KISA MOTOR</v>
      </c>
      <c r="BF3" t="str">
        <v>FERRINI DÜZ KISA MOTOR</v>
      </c>
      <c r="BG3" t="str">
        <v>FERRINI DÜZ KISA MOTOR</v>
      </c>
      <c r="BI3" t="s">
        <v>992</v>
      </c>
    </row>
    <row r="4" spans="1:61" ht="49.5" customHeight="1">
      <c r="A4" t="s">
        <v>125</v>
      </c>
      <c r="B4">
        <v>110</v>
      </c>
      <c r="C4">
        <v>43</v>
      </c>
      <c r="D4" t="s">
        <v>612</v>
      </c>
      <c r="E4" s="6" t="s">
        <v>135</v>
      </c>
      <c r="F4" t="s">
        <v>318</v>
      </c>
      <c r="G4" t="s">
        <v>248</v>
      </c>
      <c r="H4" t="s">
        <v>921</v>
      </c>
      <c r="I4" t="s">
        <v>928</v>
      </c>
      <c r="J4" t="s">
        <v>921</v>
      </c>
      <c r="L4" t="s">
        <v>922</v>
      </c>
      <c r="M4" t="s">
        <v>959</v>
      </c>
      <c r="N4" t="s">
        <v>964</v>
      </c>
      <c r="P4" t="s">
        <v>967</v>
      </c>
      <c r="Q4" t="s">
        <v>198</v>
      </c>
      <c r="S4" t="s">
        <v>228</v>
      </c>
      <c r="T4" t="s">
        <v>898</v>
      </c>
      <c r="U4" t="s">
        <v>43</v>
      </c>
      <c r="V4" t="s">
        <v>318</v>
      </c>
      <c r="X4" t="s">
        <v>194</v>
      </c>
      <c r="Y4" t="s">
        <v>248</v>
      </c>
      <c r="Z4" t="s">
        <v>986</v>
      </c>
      <c r="AE4" t="s">
        <v>908</v>
      </c>
      <c r="AF4">
        <v>3</v>
      </c>
      <c r="AG4">
        <v>6000</v>
      </c>
      <c r="AH4" t="s">
        <v>842</v>
      </c>
      <c r="AI4">
        <f>'1PROJE'!E9</f>
        <v>0</v>
      </c>
      <c r="AJ4">
        <f>'1PROJE'!F9</f>
        <v>0</v>
      </c>
      <c r="AK4">
        <f>IF('1PROJE'!C9="Zipline® Sky (Tavan)",6000,LARGE(AI4:AJ4,1))</f>
        <v>0</v>
      </c>
      <c r="AL4" t="str">
        <f t="shared" si="0"/>
        <v>A</v>
      </c>
      <c r="AN4" t="str">
        <v>ASA ALICILI - 20NM</v>
      </c>
      <c r="AO4" t="str">
        <v>MOTORSUZ</v>
      </c>
      <c r="AP4" t="str">
        <v>MOTORSUZ</v>
      </c>
      <c r="AQ4" t="str">
        <v>MOTORSUZ</v>
      </c>
      <c r="AR4" t="str">
        <v>MOTORSUZ</v>
      </c>
      <c r="AS4" t="str">
        <v>MOTORSUZ</v>
      </c>
      <c r="AT4" t="str">
        <v>MOTORSUZ</v>
      </c>
      <c r="AU4" t="str">
        <v>MOTORSUZ</v>
      </c>
      <c r="AV4" t="str">
        <v>MOTORSUZ</v>
      </c>
      <c r="AW4" t="str">
        <v>MOTORSUZ</v>
      </c>
      <c r="AX4" t="str">
        <v>MOTORSUZ</v>
      </c>
      <c r="AY4" t="str">
        <v>MOTORSUZ</v>
      </c>
      <c r="AZ4" t="str">
        <v>MOTORSUZ</v>
      </c>
      <c r="BA4" t="str">
        <v>MOTORSUZ</v>
      </c>
      <c r="BB4" t="str">
        <v>MOTORSUZ</v>
      </c>
      <c r="BC4" t="str">
        <v>MOTORSUZ</v>
      </c>
      <c r="BD4" t="str">
        <v>MOTORSUZ</v>
      </c>
      <c r="BE4" t="str">
        <v>MOTORSUZ</v>
      </c>
      <c r="BF4" t="str">
        <v>MOTORSUZ</v>
      </c>
      <c r="BG4" t="str">
        <v>MOTORSUZ</v>
      </c>
      <c r="BI4" t="s">
        <v>993</v>
      </c>
    </row>
    <row r="5" spans="1:61" ht="49.5" customHeight="1">
      <c r="A5" t="s">
        <v>128</v>
      </c>
      <c r="B5">
        <v>130</v>
      </c>
      <c r="C5">
        <v>43</v>
      </c>
      <c r="D5" t="s">
        <v>678</v>
      </c>
      <c r="E5" s="6" t="s">
        <v>136</v>
      </c>
      <c r="F5" t="s">
        <v>319</v>
      </c>
      <c r="G5" t="s">
        <v>255</v>
      </c>
      <c r="H5" t="s">
        <v>922</v>
      </c>
      <c r="J5" t="s">
        <v>922</v>
      </c>
      <c r="L5" t="s">
        <v>920</v>
      </c>
      <c r="M5" t="s">
        <v>960</v>
      </c>
      <c r="P5" t="s">
        <v>968</v>
      </c>
      <c r="Q5" t="s">
        <v>199</v>
      </c>
      <c r="S5" t="s">
        <v>229</v>
      </c>
      <c r="T5" t="s">
        <v>214</v>
      </c>
      <c r="U5" t="s">
        <v>46</v>
      </c>
      <c r="V5" t="s">
        <v>319</v>
      </c>
      <c r="X5" t="s">
        <v>194</v>
      </c>
      <c r="Y5" t="s">
        <v>255</v>
      </c>
      <c r="Z5" t="s">
        <v>987</v>
      </c>
      <c r="AE5" t="s">
        <v>909</v>
      </c>
      <c r="AF5">
        <v>4</v>
      </c>
      <c r="AG5">
        <v>4000</v>
      </c>
      <c r="AH5" t="s">
        <v>501</v>
      </c>
      <c r="AI5">
        <f>'1PROJE'!E10</f>
        <v>0</v>
      </c>
      <c r="AJ5">
        <f>'1PROJE'!F10</f>
        <v>0</v>
      </c>
      <c r="AK5">
        <f>IF('1PROJE'!C10="Zipline® Sky (Tavan)",6000,LARGE(AI5:AJ5,1))</f>
        <v>0</v>
      </c>
      <c r="AL5" t="str">
        <f t="shared" si="0"/>
        <v>A</v>
      </c>
      <c r="AN5" t="str">
        <v>SOMFY RTS ALICILI - BOOST35</v>
      </c>
      <c r="AO5" t="str">
        <v>FERRINI DÜZ KISA MOTOR + SOMFY ALICI</v>
      </c>
      <c r="AP5" t="str">
        <v>FERRINI DÜZ KISA MOTOR + SOMFY ALICI</v>
      </c>
      <c r="AQ5" t="str">
        <v>FERRINI DÜZ KISA MOTOR + SOMFY ALICI</v>
      </c>
      <c r="AR5" t="str">
        <v>FERRINI DÜZ KISA MOTOR + SOMFY ALICI</v>
      </c>
      <c r="AS5" t="str">
        <v>FERRINI DÜZ KISA MOTOR + SOMFY ALICI</v>
      </c>
      <c r="AT5" t="str">
        <v>FERRINI DÜZ KISA MOTOR + SOMFY ALICI</v>
      </c>
      <c r="AU5" t="str">
        <v>FERRINI DÜZ KISA MOTOR + SOMFY ALICI</v>
      </c>
      <c r="AV5" t="str">
        <v>FERRINI DÜZ KISA MOTOR + SOMFY ALICI</v>
      </c>
      <c r="AW5" t="str">
        <v>FERRINI DÜZ KISA MOTOR + SOMFY ALICI</v>
      </c>
      <c r="AX5" t="str">
        <v>FERRINI DÜZ KISA MOTOR + SOMFY ALICI</v>
      </c>
      <c r="AY5" t="str">
        <v>FERRINI DÜZ KISA MOTOR + SOMFY ALICI</v>
      </c>
      <c r="AZ5" t="str">
        <v>FERRINI DÜZ KISA MOTOR + SOMFY ALICI</v>
      </c>
      <c r="BA5" t="str">
        <v>FERRINI DÜZ KISA MOTOR + SOMFY ALICI</v>
      </c>
      <c r="BB5" t="str">
        <v>FERRINI DÜZ KISA MOTOR + SOMFY ALICI</v>
      </c>
      <c r="BC5" t="str">
        <v>FERRINI DÜZ KISA MOTOR + SOMFY ALICI</v>
      </c>
      <c r="BD5" t="str">
        <v>FERRINI DÜZ KISA MOTOR + SOMFY ALICI</v>
      </c>
      <c r="BE5" t="str">
        <v>FERRINI DÜZ KISA MOTOR + SOMFY ALICI</v>
      </c>
      <c r="BF5" t="str">
        <v>FERRINI DÜZ KISA MOTOR + SOMFY ALICI</v>
      </c>
      <c r="BG5" t="str">
        <v>FERRINI DÜZ KISA MOTOR + SOMFY ALICI</v>
      </c>
      <c r="BI5" t="s">
        <v>994</v>
      </c>
    </row>
    <row r="6" spans="1:61" ht="49.5" customHeight="1">
      <c r="A6" t="s">
        <v>120</v>
      </c>
      <c r="B6">
        <v>105</v>
      </c>
      <c r="C6">
        <v>45</v>
      </c>
      <c r="D6" t="s">
        <v>613</v>
      </c>
      <c r="E6" s="6" t="s">
        <v>137</v>
      </c>
      <c r="F6" t="s">
        <v>320</v>
      </c>
      <c r="G6" t="s">
        <v>260</v>
      </c>
      <c r="H6" t="s">
        <v>923</v>
      </c>
      <c r="J6" t="s">
        <v>923</v>
      </c>
      <c r="L6" t="s">
        <v>923</v>
      </c>
      <c r="M6" t="s">
        <v>961</v>
      </c>
      <c r="P6" t="s">
        <v>969</v>
      </c>
      <c r="Q6" t="s">
        <v>200</v>
      </c>
      <c r="T6" t="s">
        <v>215</v>
      </c>
      <c r="U6" t="s">
        <v>47</v>
      </c>
      <c r="V6" t="s">
        <v>320</v>
      </c>
      <c r="X6" t="s">
        <v>194</v>
      </c>
      <c r="Y6" t="s">
        <v>260</v>
      </c>
      <c r="Z6" t="s">
        <v>988</v>
      </c>
      <c r="AE6" t="s">
        <v>910</v>
      </c>
      <c r="AF6">
        <v>5</v>
      </c>
      <c r="AG6">
        <v>6000</v>
      </c>
      <c r="AH6" t="s">
        <v>842</v>
      </c>
      <c r="AI6">
        <f>'1PROJE'!E11</f>
        <v>0</v>
      </c>
      <c r="AJ6">
        <f>'1PROJE'!F11</f>
        <v>0</v>
      </c>
      <c r="AK6">
        <f>IF('1PROJE'!C11="Zipline® Sky (Tavan)",6000,LARGE(AI6:AJ6,1))</f>
        <v>0</v>
      </c>
      <c r="AL6" t="str">
        <f t="shared" si="0"/>
        <v>A</v>
      </c>
      <c r="AN6" t="str">
        <v>BECKER ALICILI - 20NM</v>
      </c>
      <c r="BI6" t="s">
        <v>995</v>
      </c>
    </row>
    <row r="7" spans="1:61" ht="49.5" customHeight="1">
      <c r="A7" t="s">
        <v>121</v>
      </c>
      <c r="B7">
        <v>105</v>
      </c>
      <c r="C7">
        <v>45</v>
      </c>
      <c r="D7" t="s">
        <v>804</v>
      </c>
      <c r="E7" s="6">
        <v>7016</v>
      </c>
      <c r="F7" t="s">
        <v>321</v>
      </c>
      <c r="G7" t="s">
        <v>265</v>
      </c>
      <c r="H7" t="s">
        <v>924</v>
      </c>
      <c r="J7" t="s">
        <v>924</v>
      </c>
      <c r="L7" t="s">
        <v>927</v>
      </c>
      <c r="P7" t="s">
        <v>970</v>
      </c>
      <c r="Q7" t="s">
        <v>201</v>
      </c>
      <c r="T7" t="s">
        <v>216</v>
      </c>
      <c r="V7" t="s">
        <v>321</v>
      </c>
      <c r="X7" t="s">
        <v>194</v>
      </c>
      <c r="Y7" t="s">
        <v>265</v>
      </c>
      <c r="Z7" t="s">
        <v>989</v>
      </c>
      <c r="AE7" t="s">
        <v>911</v>
      </c>
      <c r="AF7">
        <v>6</v>
      </c>
      <c r="AG7">
        <v>3000</v>
      </c>
      <c r="AH7" t="s">
        <v>500</v>
      </c>
      <c r="AI7">
        <f>'1PROJE'!E12</f>
        <v>0</v>
      </c>
      <c r="AJ7">
        <f>'1PROJE'!F12</f>
        <v>0</v>
      </c>
      <c r="AK7">
        <f>IF('1PROJE'!C12="Zipline® Sky (Tavan)",6000,LARGE(AI7:AJ7,1))</f>
        <v>0</v>
      </c>
      <c r="AL7" t="str">
        <f t="shared" si="0"/>
        <v>A</v>
      </c>
      <c r="AN7" t="str">
        <v>SOMFY DÜZ - BOOST 35</v>
      </c>
      <c r="BI7" t="s">
        <v>996</v>
      </c>
    </row>
    <row r="8" spans="1:61" ht="49.5" customHeight="1">
      <c r="A8" t="s">
        <v>122</v>
      </c>
      <c r="B8">
        <v>105</v>
      </c>
      <c r="C8">
        <v>45</v>
      </c>
      <c r="E8" s="6" t="s">
        <v>138</v>
      </c>
      <c r="F8" t="s">
        <v>322</v>
      </c>
      <c r="G8" t="s">
        <v>269</v>
      </c>
      <c r="H8" t="s">
        <v>925</v>
      </c>
      <c r="J8" t="s">
        <v>925</v>
      </c>
      <c r="P8" t="s">
        <v>971</v>
      </c>
      <c r="Q8" t="s">
        <v>202</v>
      </c>
      <c r="T8" t="s">
        <v>217</v>
      </c>
      <c r="V8" t="s">
        <v>322</v>
      </c>
      <c r="X8" t="s">
        <v>194</v>
      </c>
      <c r="Y8" t="s">
        <v>269</v>
      </c>
      <c r="Z8" t="s">
        <v>1066</v>
      </c>
      <c r="AE8" t="s">
        <v>912</v>
      </c>
      <c r="AF8">
        <v>7</v>
      </c>
      <c r="AG8">
        <v>4000</v>
      </c>
      <c r="AH8" t="s">
        <v>501</v>
      </c>
      <c r="AI8">
        <f>'1PROJE'!E13</f>
        <v>0</v>
      </c>
      <c r="AJ8">
        <f>'1PROJE'!F13</f>
        <v>0</v>
      </c>
      <c r="AK8">
        <f>IF('1PROJE'!C13="Zipline® Sky (Tavan)",6000,LARGE(AI8:AJ8,1))</f>
        <v>0</v>
      </c>
      <c r="AL8" t="str">
        <f t="shared" si="0"/>
        <v>A</v>
      </c>
      <c r="AN8" t="str">
        <v>BECKER ALICILI - 20NM ÖZEL</v>
      </c>
      <c r="BI8" t="s">
        <v>997</v>
      </c>
    </row>
    <row r="9" spans="1:61" ht="49.5" customHeight="1">
      <c r="A9" t="s">
        <v>126</v>
      </c>
      <c r="B9">
        <v>170</v>
      </c>
      <c r="C9">
        <v>63</v>
      </c>
      <c r="E9" s="6" t="s">
        <v>139</v>
      </c>
      <c r="F9" t="s">
        <v>326</v>
      </c>
      <c r="G9" t="s">
        <v>272</v>
      </c>
      <c r="H9" t="s">
        <v>926</v>
      </c>
      <c r="J9" t="s">
        <v>926</v>
      </c>
      <c r="P9" t="s">
        <v>972</v>
      </c>
      <c r="Q9" t="s">
        <v>203</v>
      </c>
      <c r="T9" t="s">
        <v>218</v>
      </c>
      <c r="V9" t="s">
        <v>326</v>
      </c>
      <c r="X9" t="s">
        <v>194</v>
      </c>
      <c r="Y9" t="s">
        <v>272</v>
      </c>
      <c r="Z9" t="s">
        <v>1064</v>
      </c>
      <c r="AE9" t="s">
        <v>913</v>
      </c>
      <c r="AF9">
        <v>8</v>
      </c>
      <c r="AG9">
        <v>6000</v>
      </c>
      <c r="AH9" t="s">
        <v>842</v>
      </c>
      <c r="AI9">
        <f>'1PROJE'!E14</f>
        <v>0</v>
      </c>
      <c r="AJ9">
        <f>'1PROJE'!F14</f>
        <v>0</v>
      </c>
      <c r="AK9">
        <f>IF('1PROJE'!C14="Zipline® Sky (Tavan)",6000,LARGE(AI9:AJ9,1))</f>
        <v>0</v>
      </c>
      <c r="AL9" t="str">
        <f t="shared" si="0"/>
        <v>A</v>
      </c>
      <c r="AN9" t="str">
        <v>MOTORSUZ</v>
      </c>
      <c r="BI9" t="s">
        <v>998</v>
      </c>
    </row>
    <row r="10" spans="1:61" ht="49.5" customHeight="1">
      <c r="A10" t="s">
        <v>624</v>
      </c>
      <c r="B10">
        <v>110</v>
      </c>
      <c r="C10">
        <v>43</v>
      </c>
      <c r="E10" s="6" t="s">
        <v>140</v>
      </c>
      <c r="F10" t="s">
        <v>324</v>
      </c>
      <c r="G10" t="s">
        <v>275</v>
      </c>
      <c r="H10" t="s">
        <v>927</v>
      </c>
      <c r="J10" t="s">
        <v>927</v>
      </c>
      <c r="Q10" t="s">
        <v>204</v>
      </c>
      <c r="T10" t="s">
        <v>219</v>
      </c>
      <c r="V10" t="s">
        <v>324</v>
      </c>
      <c r="X10" t="s">
        <v>194</v>
      </c>
      <c r="Y10" t="s">
        <v>275</v>
      </c>
      <c r="AE10" t="s">
        <v>204</v>
      </c>
      <c r="AF10">
        <v>9</v>
      </c>
      <c r="AG10">
        <v>4000</v>
      </c>
      <c r="AH10" t="s">
        <v>501</v>
      </c>
      <c r="AI10">
        <f>'1PROJE'!E15</f>
        <v>0</v>
      </c>
      <c r="AJ10">
        <f>'1PROJE'!F15</f>
        <v>0</v>
      </c>
      <c r="AK10">
        <f>IF('1PROJE'!C15="Zipline® Sky (Tavan)",6000,LARGE(AI10:AJ10,1))</f>
        <v>0</v>
      </c>
      <c r="AL10" t="str">
        <f t="shared" si="0"/>
        <v>A</v>
      </c>
      <c r="AN10" t="str">
        <v>FERRINI DÜZ - 30NM</v>
      </c>
      <c r="BI10" t="s">
        <v>999</v>
      </c>
    </row>
    <row r="11" spans="1:61" ht="49.5" customHeight="1">
      <c r="A11" t="s">
        <v>625</v>
      </c>
      <c r="B11">
        <v>110</v>
      </c>
      <c r="C11">
        <v>43</v>
      </c>
      <c r="E11" s="6" t="s">
        <v>141</v>
      </c>
      <c r="F11" t="s">
        <v>193</v>
      </c>
      <c r="G11" t="s">
        <v>885</v>
      </c>
      <c r="H11" t="s">
        <v>928</v>
      </c>
      <c r="J11" t="s">
        <v>928</v>
      </c>
      <c r="Q11" t="s">
        <v>205</v>
      </c>
      <c r="T11" t="s">
        <v>220</v>
      </c>
      <c r="V11" t="s">
        <v>193</v>
      </c>
      <c r="X11" t="s">
        <v>194</v>
      </c>
      <c r="Y11" t="s">
        <v>885</v>
      </c>
      <c r="AE11" t="s">
        <v>205</v>
      </c>
      <c r="AF11">
        <v>10</v>
      </c>
      <c r="AG11">
        <v>6000</v>
      </c>
      <c r="AH11" t="s">
        <v>842</v>
      </c>
      <c r="AI11">
        <f>'1PROJE'!E16</f>
        <v>0</v>
      </c>
      <c r="AJ11">
        <f>'1PROJE'!F16</f>
        <v>0</v>
      </c>
      <c r="AK11">
        <f>IF('1PROJE'!C16="Zipline® Sky (Tavan)",6000,LARGE(AI11:AJ11,1))</f>
        <v>0</v>
      </c>
      <c r="AL11" t="str">
        <f t="shared" si="0"/>
        <v>A</v>
      </c>
      <c r="BI11" t="s">
        <v>1000</v>
      </c>
    </row>
    <row r="12" spans="1:61" ht="49.5" customHeight="1">
      <c r="A12" t="s">
        <v>626</v>
      </c>
      <c r="B12">
        <v>110</v>
      </c>
      <c r="C12">
        <v>43</v>
      </c>
      <c r="E12" s="6" t="s">
        <v>142</v>
      </c>
      <c r="G12" t="s">
        <v>280</v>
      </c>
      <c r="H12" t="s">
        <v>929</v>
      </c>
      <c r="J12" t="s">
        <v>929</v>
      </c>
      <c r="Q12" t="s">
        <v>206</v>
      </c>
      <c r="T12" t="s">
        <v>221</v>
      </c>
      <c r="X12" t="s">
        <v>194</v>
      </c>
      <c r="Y12" t="s">
        <v>280</v>
      </c>
      <c r="AE12" t="s">
        <v>914</v>
      </c>
      <c r="AF12">
        <v>11</v>
      </c>
      <c r="AG12">
        <v>4000</v>
      </c>
      <c r="AH12" t="s">
        <v>501</v>
      </c>
      <c r="AI12">
        <f>'1PROJE'!E17</f>
        <v>0</v>
      </c>
      <c r="AJ12">
        <f>'1PROJE'!F17</f>
        <v>0</v>
      </c>
      <c r="AK12">
        <f>IF('1PROJE'!C17="Zipline® Sky (Tavan)",6000,LARGE(AI12:AJ12,1))</f>
        <v>0</v>
      </c>
      <c r="AL12" t="str">
        <f t="shared" si="0"/>
        <v>A</v>
      </c>
      <c r="BI12" t="s">
        <v>1001</v>
      </c>
    </row>
    <row r="13" spans="1:61" ht="49.5" customHeight="1">
      <c r="A13" t="s">
        <v>627</v>
      </c>
      <c r="B13">
        <v>110</v>
      </c>
      <c r="C13">
        <v>43</v>
      </c>
      <c r="E13" s="6" t="s">
        <v>143</v>
      </c>
      <c r="G13" t="s">
        <v>283</v>
      </c>
      <c r="H13" t="s">
        <v>930</v>
      </c>
      <c r="J13" t="s">
        <v>930</v>
      </c>
      <c r="Q13" t="s">
        <v>207</v>
      </c>
      <c r="T13" t="s">
        <v>222</v>
      </c>
      <c r="X13" t="s">
        <v>194</v>
      </c>
      <c r="Y13" t="s">
        <v>283</v>
      </c>
      <c r="AE13" t="s">
        <v>915</v>
      </c>
      <c r="AF13">
        <v>12</v>
      </c>
      <c r="AG13">
        <v>6000</v>
      </c>
      <c r="AH13" t="s">
        <v>842</v>
      </c>
      <c r="AI13">
        <f>'1PROJE'!E18</f>
        <v>0</v>
      </c>
      <c r="AJ13">
        <f>'1PROJE'!F18</f>
        <v>0</v>
      </c>
      <c r="AK13">
        <f>IF('1PROJE'!C18="Zipline® Sky (Tavan)",6000,LARGE(AI13:AJ13,1))</f>
        <v>0</v>
      </c>
      <c r="AL13" t="str">
        <f t="shared" si="0"/>
        <v>A</v>
      </c>
      <c r="BI13" t="s">
        <v>1002</v>
      </c>
    </row>
    <row r="14" spans="1:61" ht="49.5" customHeight="1">
      <c r="A14" t="s">
        <v>628</v>
      </c>
      <c r="B14">
        <v>110</v>
      </c>
      <c r="C14">
        <v>43</v>
      </c>
      <c r="E14" s="6" t="s">
        <v>144</v>
      </c>
      <c r="H14" t="s">
        <v>931</v>
      </c>
      <c r="J14" t="s">
        <v>931</v>
      </c>
      <c r="Q14" t="s">
        <v>208</v>
      </c>
      <c r="T14" t="s">
        <v>223</v>
      </c>
      <c r="X14" t="s">
        <v>186</v>
      </c>
      <c r="Y14" t="s">
        <v>234</v>
      </c>
      <c r="AE14" t="s">
        <v>916</v>
      </c>
      <c r="AF14">
        <v>13</v>
      </c>
      <c r="AG14" s="142">
        <v>100</v>
      </c>
      <c r="AH14" t="s">
        <v>498</v>
      </c>
      <c r="AI14">
        <f>'1PROJE'!E19</f>
        <v>0</v>
      </c>
      <c r="AJ14">
        <f>'1PROJE'!F19</f>
        <v>0</v>
      </c>
      <c r="AK14">
        <f>IF('1PROJE'!C19="Zipline® Sky (Tavan)",6000,LARGE(AI14:AJ14,1))</f>
        <v>0</v>
      </c>
      <c r="AL14" t="str">
        <f t="shared" si="0"/>
        <v>A</v>
      </c>
      <c r="BI14" t="s">
        <v>1003</v>
      </c>
    </row>
    <row r="15" spans="1:61" ht="49.5" customHeight="1">
      <c r="A15" t="s">
        <v>629</v>
      </c>
      <c r="B15">
        <v>110</v>
      </c>
      <c r="C15">
        <v>43</v>
      </c>
      <c r="E15" s="6" t="s">
        <v>145</v>
      </c>
      <c r="H15" t="s">
        <v>932</v>
      </c>
      <c r="J15" t="s">
        <v>932</v>
      </c>
      <c r="Q15" t="s">
        <v>209</v>
      </c>
      <c r="T15" t="s">
        <v>224</v>
      </c>
      <c r="X15" t="s">
        <v>186</v>
      </c>
      <c r="Y15" t="s">
        <v>241</v>
      </c>
      <c r="AE15" t="s">
        <v>209</v>
      </c>
      <c r="AF15">
        <v>14</v>
      </c>
      <c r="AG15">
        <v>4000</v>
      </c>
      <c r="AH15" t="s">
        <v>501</v>
      </c>
      <c r="AI15">
        <f>'1PROJE'!E20</f>
        <v>0</v>
      </c>
      <c r="AJ15">
        <f>'1PROJE'!F20</f>
        <v>0</v>
      </c>
      <c r="AK15">
        <f>IF('1PROJE'!C20="Zipline® Sky (Tavan)",6000,LARGE(AI15:AJ15,1))</f>
        <v>0</v>
      </c>
      <c r="AL15" t="str">
        <f t="shared" si="0"/>
        <v>A</v>
      </c>
      <c r="BI15" t="s">
        <v>1004</v>
      </c>
    </row>
    <row r="16" spans="1:61" ht="49.5" customHeight="1">
      <c r="A16" t="s">
        <v>894</v>
      </c>
      <c r="E16" s="6" t="s">
        <v>146</v>
      </c>
      <c r="H16" t="s">
        <v>933</v>
      </c>
      <c r="J16" t="s">
        <v>933</v>
      </c>
      <c r="Q16" t="s">
        <v>210</v>
      </c>
      <c r="T16" t="s">
        <v>881</v>
      </c>
      <c r="X16" t="s">
        <v>186</v>
      </c>
      <c r="Y16" t="s">
        <v>249</v>
      </c>
      <c r="AE16" t="s">
        <v>210</v>
      </c>
      <c r="AF16">
        <v>15</v>
      </c>
      <c r="AG16">
        <v>6000</v>
      </c>
      <c r="AH16" t="s">
        <v>842</v>
      </c>
      <c r="AI16">
        <f>'1PROJE'!E21</f>
        <v>0</v>
      </c>
      <c r="AJ16">
        <f>'1PROJE'!F21</f>
        <v>0</v>
      </c>
      <c r="AK16">
        <f>IF('1PROJE'!C21="Zipline® Sky (Tavan)",6000,LARGE(AI16:AJ16,1))</f>
        <v>0</v>
      </c>
      <c r="AL16" t="str">
        <f t="shared" si="0"/>
        <v>A</v>
      </c>
      <c r="BI16" t="s">
        <v>1005</v>
      </c>
    </row>
    <row r="17" spans="5:61" ht="49.5" customHeight="1">
      <c r="E17" s="6" t="s">
        <v>147</v>
      </c>
      <c r="H17" t="s">
        <v>934</v>
      </c>
      <c r="J17" t="s">
        <v>934</v>
      </c>
      <c r="Q17" t="s">
        <v>211</v>
      </c>
      <c r="T17" t="s">
        <v>882</v>
      </c>
      <c r="X17" t="s">
        <v>186</v>
      </c>
      <c r="Y17" t="s">
        <v>256</v>
      </c>
      <c r="AE17" t="s">
        <v>211</v>
      </c>
      <c r="AF17">
        <v>16</v>
      </c>
      <c r="AG17">
        <v>2000</v>
      </c>
      <c r="AH17" t="s">
        <v>499</v>
      </c>
      <c r="AI17">
        <f>'1PROJE'!E22</f>
        <v>0</v>
      </c>
      <c r="AJ17">
        <f>'1PROJE'!F22</f>
        <v>0</v>
      </c>
      <c r="AK17">
        <f>IF('1PROJE'!C22="Zipline® Sky (Tavan)",6000,LARGE(AI17:AJ17,1))</f>
        <v>0</v>
      </c>
      <c r="AL17" t="str">
        <f t="shared" si="0"/>
        <v>A</v>
      </c>
      <c r="BI17" t="s">
        <v>1006</v>
      </c>
    </row>
    <row r="18" spans="5:61" ht="49.5" customHeight="1">
      <c r="E18" s="6">
        <v>9006</v>
      </c>
      <c r="H18" t="s">
        <v>935</v>
      </c>
      <c r="J18" t="s">
        <v>935</v>
      </c>
      <c r="Q18" t="s">
        <v>212</v>
      </c>
      <c r="X18" t="s">
        <v>186</v>
      </c>
      <c r="Y18" t="s">
        <v>261</v>
      </c>
      <c r="AE18" t="s">
        <v>212</v>
      </c>
      <c r="AF18">
        <v>17</v>
      </c>
      <c r="AG18">
        <v>4000</v>
      </c>
      <c r="AH18" t="s">
        <v>501</v>
      </c>
      <c r="AI18">
        <f>'1PROJE'!E23</f>
        <v>0</v>
      </c>
      <c r="AJ18">
        <f>'1PROJE'!F23</f>
        <v>0</v>
      </c>
      <c r="AK18">
        <f>IF('1PROJE'!C23="Zipline® Sky (Tavan)",6000,LARGE(AI18:AJ18,1))</f>
        <v>0</v>
      </c>
      <c r="AL18" t="str">
        <f t="shared" si="0"/>
        <v>A</v>
      </c>
      <c r="BI18" t="s">
        <v>1007</v>
      </c>
    </row>
    <row r="19" spans="5:61" ht="49.5" customHeight="1">
      <c r="E19" s="6" t="s">
        <v>148</v>
      </c>
      <c r="H19" t="s">
        <v>936</v>
      </c>
      <c r="J19" t="s">
        <v>937</v>
      </c>
      <c r="Q19" t="s">
        <v>213</v>
      </c>
      <c r="X19" t="s">
        <v>186</v>
      </c>
      <c r="Y19" t="s">
        <v>266</v>
      </c>
      <c r="AE19" t="s">
        <v>213</v>
      </c>
      <c r="AF19">
        <v>18</v>
      </c>
      <c r="AG19">
        <v>6000</v>
      </c>
      <c r="AH19" t="s">
        <v>842</v>
      </c>
      <c r="AI19">
        <f>'1PROJE'!E24</f>
        <v>0</v>
      </c>
      <c r="AJ19">
        <f>'1PROJE'!F24</f>
        <v>0</v>
      </c>
      <c r="AK19">
        <f>IF('1PROJE'!C24="Zipline® Sky (Tavan)",6000,LARGE(AI19:AJ19,1))</f>
        <v>0</v>
      </c>
      <c r="AL19" t="str">
        <f t="shared" si="0"/>
        <v>A</v>
      </c>
      <c r="BI19" t="s">
        <v>1008</v>
      </c>
    </row>
    <row r="20" spans="5:61" ht="49.5" customHeight="1">
      <c r="E20" s="6" t="s">
        <v>149</v>
      </c>
      <c r="H20" t="s">
        <v>937</v>
      </c>
      <c r="J20" t="s">
        <v>938</v>
      </c>
      <c r="Q20" t="s">
        <v>195</v>
      </c>
      <c r="X20" t="s">
        <v>186</v>
      </c>
      <c r="Y20" t="s">
        <v>270</v>
      </c>
      <c r="AE20" t="s">
        <v>195</v>
      </c>
      <c r="AF20">
        <v>19</v>
      </c>
      <c r="AG20">
        <v>800</v>
      </c>
      <c r="AH20" t="s">
        <v>498</v>
      </c>
      <c r="AI20">
        <f>'1PROJE'!E25</f>
        <v>0</v>
      </c>
      <c r="AJ20">
        <f>'1PROJE'!F25</f>
        <v>0</v>
      </c>
      <c r="AK20">
        <f>IF('1PROJE'!C25="Zipline® Sky (Tavan)",6000,LARGE(AI20:AJ20,1))</f>
        <v>0</v>
      </c>
      <c r="AL20" t="str">
        <f t="shared" si="0"/>
        <v>A</v>
      </c>
      <c r="BI20" t="s">
        <v>1009</v>
      </c>
    </row>
    <row r="21" spans="5:61" ht="49.5" customHeight="1">
      <c r="E21" s="6" t="s">
        <v>150</v>
      </c>
      <c r="H21" t="s">
        <v>938</v>
      </c>
      <c r="J21" t="s">
        <v>940</v>
      </c>
      <c r="Q21" t="s">
        <v>806</v>
      </c>
      <c r="X21" t="s">
        <v>186</v>
      </c>
      <c r="Y21" t="s">
        <v>273</v>
      </c>
      <c r="AE21" t="s">
        <v>806</v>
      </c>
      <c r="AF21">
        <v>20</v>
      </c>
      <c r="AG21" s="142">
        <v>100</v>
      </c>
      <c r="AH21" t="s">
        <v>498</v>
      </c>
      <c r="AI21">
        <f>'1PROJE'!E26</f>
        <v>0</v>
      </c>
      <c r="AJ21">
        <f>'1PROJE'!F26</f>
        <v>0</v>
      </c>
      <c r="AK21">
        <f>IF('1PROJE'!C26="Zipline® Sky (Tavan)",6000,LARGE(AI21:AJ21,1))</f>
        <v>0</v>
      </c>
      <c r="AL21" t="str">
        <f t="shared" si="0"/>
        <v>A</v>
      </c>
      <c r="BI21" t="s">
        <v>1010</v>
      </c>
    </row>
    <row r="22" spans="5:61" ht="49.5" customHeight="1">
      <c r="E22" s="6">
        <v>9016</v>
      </c>
      <c r="J22" t="s">
        <v>941</v>
      </c>
      <c r="X22" t="s">
        <v>186</v>
      </c>
      <c r="Y22" t="s">
        <v>276</v>
      </c>
      <c r="AE22" t="s">
        <v>906</v>
      </c>
      <c r="AH22" t="s">
        <v>499</v>
      </c>
      <c r="BI22" t="s">
        <v>1011</v>
      </c>
    </row>
    <row r="23" spans="5:61" ht="49.5" customHeight="1">
      <c r="E23" s="6" t="s">
        <v>151</v>
      </c>
      <c r="J23" t="s">
        <v>942</v>
      </c>
      <c r="X23" t="s">
        <v>186</v>
      </c>
      <c r="Y23" t="s">
        <v>278</v>
      </c>
      <c r="AE23" t="s">
        <v>906</v>
      </c>
      <c r="AH23" t="s">
        <v>500</v>
      </c>
      <c r="BI23" t="s">
        <v>1012</v>
      </c>
    </row>
    <row r="24" spans="5:61" ht="49.5" customHeight="1">
      <c r="E24" s="6" t="s">
        <v>152</v>
      </c>
      <c r="J24" t="s">
        <v>943</v>
      </c>
      <c r="X24" t="s">
        <v>186</v>
      </c>
      <c r="Y24" t="s">
        <v>281</v>
      </c>
      <c r="AE24" t="s">
        <v>909</v>
      </c>
      <c r="AH24" t="s">
        <v>499</v>
      </c>
      <c r="AO24" t="s">
        <v>498</v>
      </c>
      <c r="AP24" t="s">
        <v>836</v>
      </c>
      <c r="BI24" t="s">
        <v>1013</v>
      </c>
    </row>
    <row r="25" spans="5:61" ht="49.5" customHeight="1">
      <c r="E25" s="6" t="s">
        <v>153</v>
      </c>
      <c r="J25" t="s">
        <v>944</v>
      </c>
      <c r="X25" t="s">
        <v>186</v>
      </c>
      <c r="Y25" t="s">
        <v>284</v>
      </c>
      <c r="AE25" t="s">
        <v>909</v>
      </c>
      <c r="AH25" t="s">
        <v>500</v>
      </c>
      <c r="AO25" t="s">
        <v>499</v>
      </c>
      <c r="AP25" t="s">
        <v>837</v>
      </c>
      <c r="BI25" t="s">
        <v>1014</v>
      </c>
    </row>
    <row r="26" spans="5:61" ht="49.5" customHeight="1">
      <c r="E26" s="6" t="s">
        <v>154</v>
      </c>
      <c r="J26" t="s">
        <v>945</v>
      </c>
      <c r="X26" t="s">
        <v>186</v>
      </c>
      <c r="Y26" t="s">
        <v>286</v>
      </c>
      <c r="AE26" t="s">
        <v>204</v>
      </c>
      <c r="AH26" t="s">
        <v>499</v>
      </c>
      <c r="AO26" t="s">
        <v>500</v>
      </c>
      <c r="AP26" t="s">
        <v>838</v>
      </c>
      <c r="BI26" t="s">
        <v>1015</v>
      </c>
    </row>
    <row r="27" spans="5:61" ht="49.5" customHeight="1">
      <c r="E27" s="6" t="s">
        <v>155</v>
      </c>
      <c r="J27" t="s">
        <v>946</v>
      </c>
      <c r="X27" t="s">
        <v>186</v>
      </c>
      <c r="Y27" t="s">
        <v>288</v>
      </c>
      <c r="AE27" t="s">
        <v>204</v>
      </c>
      <c r="AH27" t="s">
        <v>500</v>
      </c>
      <c r="AO27" t="s">
        <v>501</v>
      </c>
      <c r="AP27" t="s">
        <v>839</v>
      </c>
      <c r="BI27" t="s">
        <v>1016</v>
      </c>
    </row>
    <row r="28" spans="5:61" ht="49.5" customHeight="1">
      <c r="E28" s="6">
        <v>7006</v>
      </c>
      <c r="J28" t="s">
        <v>947</v>
      </c>
      <c r="X28" t="s">
        <v>186</v>
      </c>
      <c r="Y28" t="s">
        <v>290</v>
      </c>
      <c r="AE28" t="s">
        <v>914</v>
      </c>
      <c r="AH28" t="s">
        <v>499</v>
      </c>
      <c r="AO28" t="s">
        <v>502</v>
      </c>
      <c r="AP28" t="s">
        <v>840</v>
      </c>
      <c r="BI28" t="s">
        <v>1017</v>
      </c>
    </row>
    <row r="29" spans="5:61" ht="49.5" customHeight="1">
      <c r="E29" s="6">
        <v>7039</v>
      </c>
      <c r="J29" t="s">
        <v>948</v>
      </c>
      <c r="X29" t="s">
        <v>186</v>
      </c>
      <c r="Y29" t="s">
        <v>292</v>
      </c>
      <c r="AE29" t="s">
        <v>914</v>
      </c>
      <c r="AH29" t="s">
        <v>500</v>
      </c>
      <c r="AO29" t="s">
        <v>842</v>
      </c>
      <c r="AP29" t="s">
        <v>841</v>
      </c>
      <c r="BI29" t="s">
        <v>1018</v>
      </c>
    </row>
    <row r="30" spans="5:61" ht="49.5" customHeight="1">
      <c r="E30" s="6">
        <v>7021</v>
      </c>
      <c r="J30" t="s">
        <v>949</v>
      </c>
      <c r="X30" t="s">
        <v>186</v>
      </c>
      <c r="Y30" t="s">
        <v>294</v>
      </c>
      <c r="AE30" t="s">
        <v>209</v>
      </c>
      <c r="AH30" t="s">
        <v>499</v>
      </c>
      <c r="BI30" t="s">
        <v>1019</v>
      </c>
    </row>
    <row r="31" spans="5:61" ht="49.5" customHeight="1">
      <c r="E31" s="6" t="s">
        <v>156</v>
      </c>
      <c r="J31" t="s">
        <v>950</v>
      </c>
      <c r="X31" t="s">
        <v>186</v>
      </c>
      <c r="Y31" t="s">
        <v>296</v>
      </c>
      <c r="AE31" t="s">
        <v>209</v>
      </c>
      <c r="AH31" t="s">
        <v>500</v>
      </c>
      <c r="BI31" t="s">
        <v>1020</v>
      </c>
    </row>
    <row r="32" spans="5:61" ht="49.5" customHeight="1">
      <c r="E32" s="6" t="s">
        <v>157</v>
      </c>
      <c r="J32" t="s">
        <v>951</v>
      </c>
      <c r="X32" t="s">
        <v>186</v>
      </c>
      <c r="Y32" t="s">
        <v>298</v>
      </c>
      <c r="AE32" t="s">
        <v>916</v>
      </c>
      <c r="AH32" t="s">
        <v>499</v>
      </c>
      <c r="BI32" t="s">
        <v>1021</v>
      </c>
    </row>
    <row r="33" spans="5:61" ht="49.5" customHeight="1">
      <c r="E33" s="6" t="s">
        <v>158</v>
      </c>
      <c r="J33" t="s">
        <v>952</v>
      </c>
      <c r="X33" t="s">
        <v>186</v>
      </c>
      <c r="Y33" t="s">
        <v>300</v>
      </c>
      <c r="AE33" t="s">
        <v>916</v>
      </c>
      <c r="AH33" t="s">
        <v>500</v>
      </c>
      <c r="BI33" t="s">
        <v>1022</v>
      </c>
    </row>
    <row r="34" spans="5:61" ht="49.5" customHeight="1">
      <c r="E34" s="6" t="s">
        <v>159</v>
      </c>
      <c r="J34" t="s">
        <v>953</v>
      </c>
      <c r="X34" t="s">
        <v>187</v>
      </c>
      <c r="Y34" t="s">
        <v>235</v>
      </c>
      <c r="AE34" t="s">
        <v>916</v>
      </c>
      <c r="AH34" t="s">
        <v>501</v>
      </c>
      <c r="BI34" t="s">
        <v>1023</v>
      </c>
    </row>
    <row r="35" spans="5:61" ht="49.5" customHeight="1">
      <c r="E35" s="6">
        <v>8016</v>
      </c>
      <c r="J35" t="s">
        <v>954</v>
      </c>
      <c r="X35" t="s">
        <v>187</v>
      </c>
      <c r="Y35" t="s">
        <v>242</v>
      </c>
      <c r="AE35" t="s">
        <v>916</v>
      </c>
      <c r="AH35" t="s">
        <v>502</v>
      </c>
      <c r="BI35" t="s">
        <v>1024</v>
      </c>
    </row>
    <row r="36" spans="5:61" ht="49.5" customHeight="1">
      <c r="E36" s="6" t="s">
        <v>160</v>
      </c>
      <c r="J36" t="s">
        <v>955</v>
      </c>
      <c r="X36" t="s">
        <v>187</v>
      </c>
      <c r="Y36" t="s">
        <v>250</v>
      </c>
      <c r="AE36" t="s">
        <v>916</v>
      </c>
      <c r="AH36" t="s">
        <v>842</v>
      </c>
      <c r="BI36" t="s">
        <v>1025</v>
      </c>
    </row>
    <row r="37" spans="5:61" ht="49.5" customHeight="1">
      <c r="E37" s="6">
        <v>9007</v>
      </c>
      <c r="X37" t="s">
        <v>188</v>
      </c>
      <c r="Y37" t="s">
        <v>236</v>
      </c>
      <c r="AE37" t="s">
        <v>806</v>
      </c>
      <c r="AH37" t="s">
        <v>499</v>
      </c>
      <c r="BI37" t="s">
        <v>1026</v>
      </c>
    </row>
    <row r="38" spans="5:61" ht="49.5" customHeight="1">
      <c r="E38" s="6" t="s">
        <v>161</v>
      </c>
      <c r="X38" t="s">
        <v>188</v>
      </c>
      <c r="Y38" t="s">
        <v>243</v>
      </c>
      <c r="AE38" t="s">
        <v>806</v>
      </c>
      <c r="AH38" t="s">
        <v>500</v>
      </c>
      <c r="BI38" t="s">
        <v>1027</v>
      </c>
    </row>
    <row r="39" spans="5:61" ht="49.5" customHeight="1">
      <c r="E39" s="6" t="s">
        <v>162</v>
      </c>
      <c r="X39" t="s">
        <v>188</v>
      </c>
      <c r="Y39" t="s">
        <v>251</v>
      </c>
      <c r="AE39" t="s">
        <v>806</v>
      </c>
      <c r="AH39" t="s">
        <v>501</v>
      </c>
      <c r="BI39" t="s">
        <v>1028</v>
      </c>
    </row>
    <row r="40" spans="5:61" ht="49.5" customHeight="1">
      <c r="E40" s="6">
        <v>9001</v>
      </c>
      <c r="X40" t="s">
        <v>188</v>
      </c>
      <c r="Y40" t="s">
        <v>257</v>
      </c>
      <c r="AE40" t="s">
        <v>806</v>
      </c>
      <c r="AH40" t="s">
        <v>502</v>
      </c>
      <c r="BI40" t="s">
        <v>1029</v>
      </c>
    </row>
    <row r="41" spans="5:61" ht="49.5" customHeight="1">
      <c r="E41" s="6">
        <v>7022</v>
      </c>
      <c r="X41" t="s">
        <v>188</v>
      </c>
      <c r="Y41" t="s">
        <v>262</v>
      </c>
      <c r="AE41" t="s">
        <v>806</v>
      </c>
      <c r="AH41" t="s">
        <v>842</v>
      </c>
      <c r="BI41" t="s">
        <v>1030</v>
      </c>
    </row>
    <row r="42" spans="5:61" ht="49.5" customHeight="1">
      <c r="E42" s="6" t="s">
        <v>163</v>
      </c>
      <c r="X42" t="s">
        <v>188</v>
      </c>
      <c r="Y42" t="s">
        <v>267</v>
      </c>
      <c r="AE42" t="s">
        <v>910</v>
      </c>
      <c r="AH42" t="s">
        <v>502</v>
      </c>
      <c r="BI42" t="s">
        <v>1031</v>
      </c>
    </row>
    <row r="43" spans="5:61" ht="49.5" customHeight="1">
      <c r="E43" s="6">
        <v>7048</v>
      </c>
      <c r="X43" t="s">
        <v>188</v>
      </c>
      <c r="Y43" t="s">
        <v>271</v>
      </c>
      <c r="AE43" t="s">
        <v>913</v>
      </c>
      <c r="AH43" t="s">
        <v>502</v>
      </c>
      <c r="BI43" t="s">
        <v>1032</v>
      </c>
    </row>
    <row r="44" spans="5:61" ht="49.5" customHeight="1">
      <c r="E44" s="6" t="s">
        <v>164</v>
      </c>
      <c r="X44" t="s">
        <v>188</v>
      </c>
      <c r="Y44" t="s">
        <v>274</v>
      </c>
      <c r="AE44" t="s">
        <v>205</v>
      </c>
      <c r="AH44" t="s">
        <v>502</v>
      </c>
      <c r="BI44" t="s">
        <v>1033</v>
      </c>
    </row>
    <row r="45" spans="5:61" ht="49.5" customHeight="1">
      <c r="E45" s="6" t="s">
        <v>165</v>
      </c>
      <c r="X45" t="s">
        <v>188</v>
      </c>
      <c r="Y45" t="s">
        <v>277</v>
      </c>
      <c r="AE45" t="s">
        <v>915</v>
      </c>
      <c r="AH45" t="s">
        <v>502</v>
      </c>
      <c r="BI45" t="s">
        <v>1034</v>
      </c>
    </row>
    <row r="46" spans="5:61" ht="49.5" customHeight="1">
      <c r="E46" s="6" t="s">
        <v>166</v>
      </c>
      <c r="X46" t="s">
        <v>188</v>
      </c>
      <c r="Y46" t="s">
        <v>279</v>
      </c>
      <c r="AE46" t="s">
        <v>210</v>
      </c>
      <c r="AH46" t="s">
        <v>502</v>
      </c>
      <c r="BI46" t="s">
        <v>1035</v>
      </c>
    </row>
    <row r="47" spans="5:61" ht="49.5" customHeight="1">
      <c r="E47" s="6" t="s">
        <v>167</v>
      </c>
      <c r="X47" t="s">
        <v>188</v>
      </c>
      <c r="Y47" t="s">
        <v>282</v>
      </c>
      <c r="AE47" t="s">
        <v>213</v>
      </c>
      <c r="AH47" t="s">
        <v>502</v>
      </c>
      <c r="BI47" t="s">
        <v>1036</v>
      </c>
    </row>
    <row r="48" spans="5:61" ht="49.5" customHeight="1">
      <c r="E48" s="6" t="s">
        <v>168</v>
      </c>
      <c r="X48" t="s">
        <v>188</v>
      </c>
      <c r="Y48" t="s">
        <v>285</v>
      </c>
      <c r="AE48" t="s">
        <v>911</v>
      </c>
      <c r="AH48" t="s">
        <v>499</v>
      </c>
      <c r="BI48" t="s">
        <v>1037</v>
      </c>
    </row>
    <row r="49" spans="5:61" ht="49.5" customHeight="1">
      <c r="E49" s="6">
        <v>7013</v>
      </c>
      <c r="X49" t="s">
        <v>188</v>
      </c>
      <c r="Y49" t="s">
        <v>287</v>
      </c>
      <c r="AE49" t="s">
        <v>212</v>
      </c>
      <c r="AH49" t="s">
        <v>500</v>
      </c>
      <c r="BI49" t="s">
        <v>1038</v>
      </c>
    </row>
    <row r="50" spans="5:61" ht="49.5" customHeight="1">
      <c r="E50" s="6" t="s">
        <v>169</v>
      </c>
      <c r="X50" t="s">
        <v>188</v>
      </c>
      <c r="Y50" t="s">
        <v>289</v>
      </c>
      <c r="AE50" t="s">
        <v>213</v>
      </c>
      <c r="AH50" t="s">
        <v>502</v>
      </c>
      <c r="BI50" t="s">
        <v>1039</v>
      </c>
    </row>
    <row r="51" spans="5:61" ht="49.5" customHeight="1">
      <c r="E51" s="6" t="s">
        <v>170</v>
      </c>
      <c r="X51" t="s">
        <v>188</v>
      </c>
      <c r="Y51" t="s">
        <v>291</v>
      </c>
      <c r="AE51" t="s">
        <v>886</v>
      </c>
      <c r="AH51" t="s">
        <v>498</v>
      </c>
      <c r="BI51" t="s">
        <v>1040</v>
      </c>
    </row>
    <row r="52" spans="5:61" ht="49.5" customHeight="1">
      <c r="E52" s="6" t="s">
        <v>171</v>
      </c>
      <c r="X52" t="s">
        <v>188</v>
      </c>
      <c r="Y52" t="s">
        <v>293</v>
      </c>
      <c r="BI52" t="s">
        <v>1041</v>
      </c>
    </row>
    <row r="53" spans="5:61" ht="49.5" customHeight="1">
      <c r="E53" s="6">
        <v>1015</v>
      </c>
      <c r="X53" t="s">
        <v>188</v>
      </c>
      <c r="Y53" t="s">
        <v>295</v>
      </c>
      <c r="BI53" t="s">
        <v>1042</v>
      </c>
    </row>
    <row r="54" spans="5:61" ht="49.5" customHeight="1">
      <c r="E54" s="6" t="s">
        <v>172</v>
      </c>
      <c r="X54" t="s">
        <v>188</v>
      </c>
      <c r="Y54" t="s">
        <v>297</v>
      </c>
      <c r="BI54" t="s">
        <v>1043</v>
      </c>
    </row>
    <row r="55" spans="5:61" ht="49.5" customHeight="1">
      <c r="E55" s="6" t="s">
        <v>173</v>
      </c>
      <c r="X55" t="s">
        <v>188</v>
      </c>
      <c r="Y55" t="s">
        <v>299</v>
      </c>
      <c r="BI55" t="s">
        <v>1044</v>
      </c>
    </row>
    <row r="56" spans="5:61" ht="49.5" customHeight="1">
      <c r="E56" s="6" t="s">
        <v>174</v>
      </c>
      <c r="X56" t="s">
        <v>188</v>
      </c>
      <c r="Y56" t="s">
        <v>301</v>
      </c>
      <c r="BI56" t="s">
        <v>1045</v>
      </c>
    </row>
    <row r="57" spans="5:61" ht="49.5" customHeight="1">
      <c r="E57" s="6" t="s">
        <v>175</v>
      </c>
      <c r="X57" t="s">
        <v>188</v>
      </c>
      <c r="Y57" t="s">
        <v>302</v>
      </c>
      <c r="BI57" t="s">
        <v>1046</v>
      </c>
    </row>
    <row r="58" spans="5:61" ht="49.5" customHeight="1">
      <c r="E58" s="6">
        <v>9010</v>
      </c>
      <c r="X58" t="s">
        <v>188</v>
      </c>
      <c r="Y58" t="s">
        <v>303</v>
      </c>
      <c r="BI58" t="s">
        <v>1047</v>
      </c>
    </row>
    <row r="59" spans="5:61" ht="49.5" customHeight="1">
      <c r="E59" s="6" t="s">
        <v>176</v>
      </c>
      <c r="X59" t="s">
        <v>188</v>
      </c>
      <c r="Y59" t="s">
        <v>304</v>
      </c>
      <c r="BI59" t="s">
        <v>1048</v>
      </c>
    </row>
    <row r="60" spans="5:61" ht="49.5" customHeight="1">
      <c r="E60" s="6">
        <v>1013</v>
      </c>
      <c r="X60" t="s">
        <v>188</v>
      </c>
      <c r="Y60" t="s">
        <v>305</v>
      </c>
      <c r="BI60" t="s">
        <v>1049</v>
      </c>
    </row>
    <row r="61" spans="5:61" ht="49.5" customHeight="1">
      <c r="E61" s="6">
        <v>9005</v>
      </c>
      <c r="X61" t="s">
        <v>188</v>
      </c>
      <c r="Y61" t="s">
        <v>306</v>
      </c>
      <c r="BI61" t="s">
        <v>1050</v>
      </c>
    </row>
    <row r="62" spans="5:61" ht="49.5" customHeight="1">
      <c r="E62" s="6" t="s">
        <v>177</v>
      </c>
      <c r="X62" t="s">
        <v>188</v>
      </c>
      <c r="Y62" t="s">
        <v>307</v>
      </c>
      <c r="BI62" t="s">
        <v>1051</v>
      </c>
    </row>
    <row r="63" spans="5:61" ht="49.5" customHeight="1">
      <c r="E63" s="6">
        <v>1001</v>
      </c>
      <c r="X63" t="s">
        <v>188</v>
      </c>
      <c r="Y63" t="s">
        <v>308</v>
      </c>
      <c r="BI63" t="s">
        <v>1052</v>
      </c>
    </row>
    <row r="64" spans="5:61" ht="49.5" customHeight="1">
      <c r="E64" s="6" t="s">
        <v>178</v>
      </c>
      <c r="X64" t="s">
        <v>188</v>
      </c>
      <c r="Y64" t="s">
        <v>309</v>
      </c>
      <c r="BI64" t="s">
        <v>1053</v>
      </c>
    </row>
    <row r="65" spans="5:61" ht="49.5" customHeight="1">
      <c r="E65" s="6" t="s">
        <v>179</v>
      </c>
      <c r="X65" t="s">
        <v>188</v>
      </c>
      <c r="Y65" t="s">
        <v>310</v>
      </c>
      <c r="BI65" t="s">
        <v>1054</v>
      </c>
    </row>
    <row r="66" spans="5:61" ht="49.5" customHeight="1">
      <c r="E66" s="6">
        <v>5013</v>
      </c>
      <c r="X66" t="s">
        <v>188</v>
      </c>
      <c r="Y66" t="s">
        <v>311</v>
      </c>
      <c r="BI66" t="s">
        <v>1055</v>
      </c>
    </row>
    <row r="67" spans="5:61" ht="49.5" customHeight="1">
      <c r="E67" s="6" t="s">
        <v>180</v>
      </c>
      <c r="X67" t="s">
        <v>188</v>
      </c>
      <c r="Y67" t="s">
        <v>312</v>
      </c>
      <c r="BI67" t="s">
        <v>1056</v>
      </c>
    </row>
    <row r="68" spans="5:61" ht="49.5" customHeight="1">
      <c r="E68" s="6" t="s">
        <v>181</v>
      </c>
      <c r="X68" t="s">
        <v>188</v>
      </c>
      <c r="Y68" t="s">
        <v>313</v>
      </c>
      <c r="BI68" t="s">
        <v>1057</v>
      </c>
    </row>
    <row r="69" spans="5:61" ht="49.5" customHeight="1">
      <c r="E69" s="6">
        <v>8014</v>
      </c>
      <c r="X69" t="s">
        <v>188</v>
      </c>
      <c r="Y69" t="s">
        <v>314</v>
      </c>
      <c r="BI69" t="s">
        <v>1058</v>
      </c>
    </row>
    <row r="70" spans="5:61" ht="49.5" customHeight="1">
      <c r="E70" s="6" t="s">
        <v>182</v>
      </c>
      <c r="X70" t="s">
        <v>188</v>
      </c>
      <c r="Y70" t="s">
        <v>315</v>
      </c>
      <c r="BI70" t="s">
        <v>1059</v>
      </c>
    </row>
    <row r="71" spans="5:61" ht="49.5" customHeight="1">
      <c r="E71" s="6">
        <v>1019</v>
      </c>
      <c r="X71" t="s">
        <v>188</v>
      </c>
      <c r="Y71" t="s">
        <v>316</v>
      </c>
    </row>
    <row r="72" spans="5:61" ht="49.5" customHeight="1">
      <c r="E72" s="6">
        <v>7030</v>
      </c>
      <c r="X72" t="s">
        <v>189</v>
      </c>
      <c r="Y72" t="s">
        <v>237</v>
      </c>
    </row>
    <row r="73" spans="5:61" ht="49.5" customHeight="1">
      <c r="E73" s="6" t="s">
        <v>183</v>
      </c>
      <c r="X73" t="s">
        <v>189</v>
      </c>
      <c r="Y73" t="s">
        <v>244</v>
      </c>
    </row>
    <row r="74" spans="5:61" ht="49.5" customHeight="1">
      <c r="E74" s="6" t="s">
        <v>184</v>
      </c>
      <c r="X74" t="s">
        <v>190</v>
      </c>
      <c r="Y74" t="s">
        <v>238</v>
      </c>
    </row>
    <row r="75" spans="5:61" ht="49.5" customHeight="1">
      <c r="E75" s="6" t="s">
        <v>887</v>
      </c>
      <c r="X75" t="s">
        <v>190</v>
      </c>
      <c r="Y75" t="s">
        <v>245</v>
      </c>
    </row>
    <row r="76" spans="5:61" ht="49.5" customHeight="1">
      <c r="X76" t="s">
        <v>190</v>
      </c>
      <c r="Y76" t="s">
        <v>252</v>
      </c>
    </row>
    <row r="77" spans="5:61" ht="49.5" customHeight="1">
      <c r="X77" t="s">
        <v>190</v>
      </c>
      <c r="Y77" t="s">
        <v>258</v>
      </c>
    </row>
    <row r="78" spans="5:61" ht="49.5" customHeight="1">
      <c r="X78" t="s">
        <v>190</v>
      </c>
      <c r="Y78" t="s">
        <v>263</v>
      </c>
    </row>
    <row r="79" spans="5:61" ht="49.5" customHeight="1">
      <c r="X79" t="s">
        <v>190</v>
      </c>
      <c r="Y79" t="s">
        <v>268</v>
      </c>
    </row>
    <row r="80" spans="5:61" ht="49.5" customHeight="1">
      <c r="X80" t="s">
        <v>191</v>
      </c>
      <c r="Y80" t="s">
        <v>239</v>
      </c>
    </row>
    <row r="81" spans="24:25" ht="49.5" customHeight="1">
      <c r="X81" t="s">
        <v>191</v>
      </c>
      <c r="Y81" t="s">
        <v>246</v>
      </c>
    </row>
    <row r="82" spans="24:25" ht="49.5" customHeight="1">
      <c r="X82" t="s">
        <v>191</v>
      </c>
      <c r="Y82" t="s">
        <v>253</v>
      </c>
    </row>
    <row r="83" spans="24:25" ht="49.5" customHeight="1">
      <c r="X83" t="s">
        <v>191</v>
      </c>
      <c r="Y83" t="s">
        <v>259</v>
      </c>
    </row>
    <row r="84" spans="24:25" ht="49.5" customHeight="1">
      <c r="X84" t="s">
        <v>191</v>
      </c>
      <c r="Y84" t="s">
        <v>264</v>
      </c>
    </row>
    <row r="85" spans="24:25" ht="49.5" customHeight="1">
      <c r="X85" t="s">
        <v>192</v>
      </c>
      <c r="Y85" t="s">
        <v>325</v>
      </c>
    </row>
    <row r="86" spans="24:25" ht="49.5" customHeight="1">
      <c r="X86" t="s">
        <v>192</v>
      </c>
      <c r="Y86" t="s">
        <v>247</v>
      </c>
    </row>
    <row r="87" spans="24:25" ht="49.5" customHeight="1">
      <c r="X87" t="s">
        <v>192</v>
      </c>
      <c r="Y87" t="s">
        <v>254</v>
      </c>
    </row>
    <row r="88" spans="24:25" ht="49.5" customHeight="1">
      <c r="X88" t="s">
        <v>231</v>
      </c>
      <c r="Y88" t="s">
        <v>232</v>
      </c>
    </row>
    <row r="89" spans="24:25" ht="49.5" customHeight="1">
      <c r="X89" t="s">
        <v>193</v>
      </c>
      <c r="Y89" t="s">
        <v>965</v>
      </c>
    </row>
    <row r="90" spans="24:25" ht="49.5" customHeight="1">
      <c r="X90" t="s">
        <v>193</v>
      </c>
      <c r="Y90" t="s">
        <v>966</v>
      </c>
    </row>
    <row r="91" spans="24:25" ht="49.5" customHeight="1">
      <c r="X91" t="s">
        <v>193</v>
      </c>
      <c r="Y91" t="s">
        <v>967</v>
      </c>
    </row>
    <row r="92" spans="24:25" ht="49.5" customHeight="1">
      <c r="X92" t="s">
        <v>193</v>
      </c>
      <c r="Y92" t="s">
        <v>968</v>
      </c>
    </row>
    <row r="93" spans="24:25" ht="49.5" customHeight="1">
      <c r="X93" t="s">
        <v>193</v>
      </c>
      <c r="Y93" t="s">
        <v>969</v>
      </c>
    </row>
    <row r="94" spans="24:25" ht="49.5" customHeight="1">
      <c r="X94" t="s">
        <v>193</v>
      </c>
      <c r="Y94" t="s">
        <v>970</v>
      </c>
    </row>
    <row r="95" spans="24:25" ht="49.5" customHeight="1">
      <c r="X95" t="s">
        <v>193</v>
      </c>
      <c r="Y95" t="s">
        <v>971</v>
      </c>
    </row>
    <row r="96" spans="24:25" ht="49.5" customHeight="1">
      <c r="X96" t="s">
        <v>193</v>
      </c>
      <c r="Y96" t="s">
        <v>972</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3058D-01BD-469E-8F65-AD38A0EE9BD5}">
  <sheetPr codeName="Sayfa8">
    <tabColor theme="2" tint="-0.249977111117893"/>
    <pageSetUpPr fitToPage="1"/>
  </sheetPr>
  <dimension ref="A1:BK183"/>
  <sheetViews>
    <sheetView zoomScale="55" zoomScaleNormal="55" workbookViewId="0">
      <pane ySplit="1" topLeftCell="A2" activePane="bottomLeft" state="frozen"/>
      <selection activeCell="I23" sqref="I23"/>
      <selection pane="bottomLeft" activeCell="AM3" sqref="AM3"/>
    </sheetView>
  </sheetViews>
  <sheetFormatPr defaultColWidth="9.125" defaultRowHeight="24"/>
  <cols>
    <col min="1" max="1" width="19.125" style="29" bestFit="1" customWidth="1"/>
    <col min="2" max="2" width="29.625" style="29" customWidth="1"/>
    <col min="3" max="3" width="15.375" style="29" customWidth="1"/>
    <col min="4" max="4" width="20.125" style="29" hidden="1" customWidth="1"/>
    <col min="5" max="5" width="18.125" style="29" hidden="1" customWidth="1"/>
    <col min="6" max="6" width="21.375" style="29" hidden="1" customWidth="1"/>
    <col min="7" max="7" width="19.875" style="29" hidden="1" customWidth="1"/>
    <col min="8" max="8" width="20.125" style="29" hidden="1" customWidth="1"/>
    <col min="9" max="9" width="19.875" style="29" hidden="1" customWidth="1"/>
    <col min="10" max="10" width="21.375" style="29" hidden="1" customWidth="1"/>
    <col min="11" max="11" width="11.375" style="29" hidden="1" customWidth="1"/>
    <col min="12" max="12" width="18" style="29" hidden="1" customWidth="1"/>
    <col min="13" max="13" width="17.375" style="29" bestFit="1" customWidth="1"/>
    <col min="14" max="14" width="79.125" style="29" bestFit="1" customWidth="1"/>
    <col min="15" max="15" width="13.625" style="29" customWidth="1"/>
    <col min="16" max="16" width="21.125" style="29" customWidth="1"/>
    <col min="17" max="17" width="12.125" style="29" customWidth="1"/>
    <col min="18" max="18" width="21.625" style="35" customWidth="1"/>
    <col min="19" max="19" width="8.375" style="29" bestFit="1" customWidth="1"/>
    <col min="20" max="20" width="14.375" style="29" bestFit="1" customWidth="1"/>
    <col min="21" max="21" width="10.375" style="29" customWidth="1"/>
    <col min="22" max="22" width="12.125" style="29" customWidth="1"/>
    <col min="23" max="23" width="15.375" style="29" customWidth="1"/>
    <col min="24" max="24" width="20.125" style="29" customWidth="1"/>
    <col min="25" max="25" width="18.125" style="29" customWidth="1"/>
    <col min="26" max="26" width="21.375" style="29" customWidth="1"/>
    <col min="27" max="27" width="19.875" style="29" customWidth="1"/>
    <col min="28" max="28" width="20.125" style="29" customWidth="1"/>
    <col min="29" max="29" width="19.875" style="29" customWidth="1"/>
    <col min="30" max="30" width="21.375" style="29" customWidth="1"/>
    <col min="31" max="31" width="11.375" style="29" customWidth="1"/>
    <col min="32" max="32" width="18" style="29" customWidth="1"/>
    <col min="33" max="36" width="16.875" style="29" customWidth="1"/>
    <col min="37" max="37" width="22.375" style="29" customWidth="1"/>
    <col min="38" max="38" width="14.5" style="29" hidden="1" customWidth="1"/>
    <col min="39" max="39" width="14.125" style="29" customWidth="1"/>
    <col min="40" max="40" width="11.625" style="29" customWidth="1"/>
    <col min="41" max="41" width="9.125" style="29"/>
    <col min="42" max="42" width="15.125" style="29" customWidth="1"/>
    <col min="43" max="43" width="13.625" style="29" customWidth="1"/>
    <col min="44" max="44" width="20.125" style="29" customWidth="1"/>
    <col min="45" max="45" width="22.875" style="29" bestFit="1" customWidth="1"/>
    <col min="46" max="46" width="18.875" style="29" customWidth="1"/>
    <col min="47" max="47" width="19" style="29" customWidth="1"/>
    <col min="48" max="48" width="14.5" style="29" customWidth="1"/>
    <col min="49" max="51" width="13.875" style="29" customWidth="1"/>
    <col min="52" max="52" width="14.625" style="29" customWidth="1"/>
    <col min="53" max="53" width="12.625" style="29" customWidth="1"/>
    <col min="54" max="54" width="12.875" style="29" customWidth="1"/>
    <col min="55" max="55" width="14.625" style="29" customWidth="1"/>
    <col min="56" max="56" width="13.375" style="29" customWidth="1"/>
    <col min="57" max="57" width="16.125" style="29" customWidth="1"/>
    <col min="58" max="58" width="15.625" style="29" customWidth="1"/>
    <col min="59" max="59" width="16.125" style="29" customWidth="1"/>
    <col min="60" max="60" width="13.875" style="29" customWidth="1"/>
    <col min="61" max="61" width="15.125" style="29" customWidth="1"/>
    <col min="62" max="62" width="12.375" style="29" customWidth="1"/>
    <col min="63" max="63" width="12.375" style="28" customWidth="1"/>
    <col min="64" max="82" width="15.125" style="29" customWidth="1"/>
    <col min="83" max="85" width="9.125" style="29"/>
    <col min="86" max="86" width="8.625" style="29" customWidth="1"/>
    <col min="87" max="16384" width="9.125" style="29"/>
  </cols>
  <sheetData>
    <row r="1" spans="1:52" ht="192">
      <c r="A1" s="41" t="s">
        <v>33</v>
      </c>
      <c r="B1" s="41" t="s">
        <v>34</v>
      </c>
      <c r="C1" s="41" t="s">
        <v>631</v>
      </c>
      <c r="D1" s="41" t="s">
        <v>632</v>
      </c>
      <c r="E1" s="41" t="s">
        <v>633</v>
      </c>
      <c r="F1" s="41" t="s">
        <v>634</v>
      </c>
      <c r="G1" s="41" t="s">
        <v>635</v>
      </c>
      <c r="H1" s="41" t="s">
        <v>636</v>
      </c>
      <c r="I1" s="41" t="s">
        <v>128</v>
      </c>
      <c r="J1" s="41" t="s">
        <v>637</v>
      </c>
      <c r="K1" s="41" t="s">
        <v>118</v>
      </c>
      <c r="L1" s="41" t="s">
        <v>119</v>
      </c>
      <c r="M1" s="41" t="s">
        <v>13</v>
      </c>
      <c r="N1" s="41" t="s">
        <v>14</v>
      </c>
      <c r="O1" s="41" t="s">
        <v>409</v>
      </c>
      <c r="P1" s="41" t="s">
        <v>15</v>
      </c>
      <c r="Q1" s="41" t="s">
        <v>630</v>
      </c>
      <c r="R1" s="42" t="s">
        <v>17</v>
      </c>
      <c r="S1" s="43" t="s">
        <v>505</v>
      </c>
      <c r="T1" s="41" t="s">
        <v>23</v>
      </c>
      <c r="U1" s="41" t="s">
        <v>24</v>
      </c>
      <c r="V1" s="41" t="s">
        <v>25</v>
      </c>
      <c r="W1" s="41" t="s">
        <v>123</v>
      </c>
      <c r="X1" s="41" t="s">
        <v>124</v>
      </c>
      <c r="Y1" s="41" t="s">
        <v>125</v>
      </c>
      <c r="Z1" s="41" t="s">
        <v>128</v>
      </c>
      <c r="AA1" s="41" t="s">
        <v>120</v>
      </c>
      <c r="AB1" s="41" t="s">
        <v>121</v>
      </c>
      <c r="AC1" s="41" t="s">
        <v>122</v>
      </c>
      <c r="AD1" s="41" t="s">
        <v>126</v>
      </c>
      <c r="AE1" s="41" t="s">
        <v>624</v>
      </c>
      <c r="AF1" s="41" t="s">
        <v>625</v>
      </c>
      <c r="AG1" s="41" t="s">
        <v>626</v>
      </c>
      <c r="AH1" s="41" t="s">
        <v>627</v>
      </c>
      <c r="AI1" s="41" t="s">
        <v>628</v>
      </c>
      <c r="AJ1" s="41" t="s">
        <v>629</v>
      </c>
      <c r="AK1" s="30" t="s">
        <v>901</v>
      </c>
      <c r="AN1" s="35">
        <v>6.6</v>
      </c>
    </row>
    <row r="2" spans="1:52" ht="156.94999999999999" customHeight="1">
      <c r="A2" s="29" t="e" vm="1">
        <v>#VALUE!</v>
      </c>
      <c r="B2" s="29" t="str">
        <f>O2</f>
        <v>TVN01</v>
      </c>
      <c r="C2" s="41" t="s">
        <v>637</v>
      </c>
      <c r="E2" s="30"/>
      <c r="F2" s="30"/>
      <c r="J2" s="29">
        <v>1</v>
      </c>
      <c r="M2" s="40" t="s">
        <v>854</v>
      </c>
      <c r="N2" s="48" t="s">
        <v>18</v>
      </c>
      <c r="O2" s="30" t="s">
        <v>410</v>
      </c>
      <c r="P2" s="30" t="s">
        <v>686</v>
      </c>
      <c r="Q2" s="30">
        <v>2.532</v>
      </c>
      <c r="R2" s="35">
        <f>(Q2*$AN$1)</f>
        <v>16.711199999999998</v>
      </c>
      <c r="S2" s="30" t="s">
        <v>608</v>
      </c>
      <c r="T2" s="30" t="s">
        <v>21</v>
      </c>
      <c r="U2" s="32">
        <v>-15</v>
      </c>
      <c r="V2" s="30" t="s">
        <v>652</v>
      </c>
      <c r="Y2" s="30"/>
      <c r="Z2" s="30"/>
      <c r="AD2" s="29">
        <v>1</v>
      </c>
      <c r="AK2" s="29" t="s">
        <v>639</v>
      </c>
      <c r="AM2" s="58">
        <f>((AM6+1500)/1000)*AM5</f>
        <v>189.64000000000001</v>
      </c>
      <c r="AN2" s="35">
        <f>(AM6+1500)/1000/AQ2</f>
        <v>3.7330708661417331</v>
      </c>
      <c r="AP2" s="29" t="s">
        <v>647</v>
      </c>
      <c r="AQ2" s="29">
        <f>AM4/AM5</f>
        <v>1.1786542923433874</v>
      </c>
      <c r="AS2" s="29" t="s">
        <v>660</v>
      </c>
      <c r="AT2" s="35">
        <f>AU2/$AM$4</f>
        <v>1.0826771653543308</v>
      </c>
      <c r="AU2" s="39">
        <v>55</v>
      </c>
      <c r="AX2" s="641" t="s">
        <v>844</v>
      </c>
      <c r="AY2" s="641"/>
      <c r="AZ2" s="641"/>
    </row>
    <row r="3" spans="1:52" ht="156.94999999999999" customHeight="1">
      <c r="A3" s="29" t="e" vm="2">
        <v>#VALUE!</v>
      </c>
      <c r="B3" s="29" t="str">
        <f t="shared" ref="B3:B66" si="0">O3</f>
        <v>TVN02</v>
      </c>
      <c r="C3" s="41" t="s">
        <v>637</v>
      </c>
      <c r="E3" s="30"/>
      <c r="F3" s="30"/>
      <c r="J3" s="29">
        <v>1</v>
      </c>
      <c r="M3" s="40" t="s">
        <v>854</v>
      </c>
      <c r="N3" s="49" t="s">
        <v>19</v>
      </c>
      <c r="O3" s="30" t="s">
        <v>411</v>
      </c>
      <c r="P3" s="30" t="s">
        <v>687</v>
      </c>
      <c r="Q3" s="30">
        <v>1.34</v>
      </c>
      <c r="R3" s="35">
        <f>(Q3*$AN$1)</f>
        <v>8.8439999999999994</v>
      </c>
      <c r="S3" s="30" t="s">
        <v>608</v>
      </c>
      <c r="T3" s="30" t="s">
        <v>21</v>
      </c>
      <c r="U3" s="32">
        <v>-15</v>
      </c>
      <c r="V3" s="30" t="s">
        <v>652</v>
      </c>
      <c r="Y3" s="30"/>
      <c r="Z3" s="30"/>
      <c r="AD3" s="29">
        <v>1</v>
      </c>
      <c r="AK3" s="29" t="str">
        <f>'1PROJE'!R7</f>
        <v>STD. RAL</v>
      </c>
      <c r="AM3" s="29">
        <f>VLOOKUP(AK3,AS2:AT10,2,0)</f>
        <v>1.0826771653543308</v>
      </c>
      <c r="AN3" s="35">
        <f>AM3/AM4</f>
        <v>2.1312542625085251E-2</v>
      </c>
      <c r="AS3" s="29" t="s">
        <v>661</v>
      </c>
      <c r="AT3" s="35">
        <f>AU3/$AM$4</f>
        <v>1.4763779527559056</v>
      </c>
      <c r="AU3" s="39">
        <v>75</v>
      </c>
      <c r="AX3" s="152">
        <f>1.75/2</f>
        <v>0.875</v>
      </c>
      <c r="AY3" s="152">
        <v>2.1</v>
      </c>
      <c r="AZ3" s="152">
        <f>0.215*AN1+1</f>
        <v>2.4189999999999996</v>
      </c>
    </row>
    <row r="4" spans="1:52" ht="156.94999999999999" customHeight="1">
      <c r="A4" s="29" t="e" vm="3">
        <v>#VALUE!</v>
      </c>
      <c r="B4" s="29" t="str">
        <f t="shared" si="0"/>
        <v>TVN03</v>
      </c>
      <c r="C4" s="41" t="s">
        <v>637</v>
      </c>
      <c r="E4" s="30"/>
      <c r="F4" s="30"/>
      <c r="J4" s="29">
        <v>1</v>
      </c>
      <c r="M4" s="40" t="s">
        <v>854</v>
      </c>
      <c r="N4" s="49" t="s">
        <v>0</v>
      </c>
      <c r="O4" s="30" t="s">
        <v>412</v>
      </c>
      <c r="P4" s="30" t="s">
        <v>688</v>
      </c>
      <c r="Q4" s="30">
        <v>2.93</v>
      </c>
      <c r="R4" s="35">
        <f>(Q4*$AN$1)</f>
        <v>19.338000000000001</v>
      </c>
      <c r="S4" s="30" t="s">
        <v>608</v>
      </c>
      <c r="T4" s="30" t="s">
        <v>21</v>
      </c>
      <c r="U4" s="32">
        <v>-155</v>
      </c>
      <c r="V4" s="30" t="s">
        <v>652</v>
      </c>
      <c r="Y4" s="30"/>
      <c r="Z4" s="30"/>
      <c r="AD4" s="29">
        <v>1</v>
      </c>
      <c r="AK4" s="29" t="s">
        <v>640</v>
      </c>
      <c r="AM4" s="29">
        <f>'1PROJE'!P3</f>
        <v>50.8</v>
      </c>
      <c r="AS4" s="29" t="s">
        <v>662</v>
      </c>
      <c r="AT4" s="35">
        <f t="shared" ref="AT4:AT8" si="1">AU4/$AM$4</f>
        <v>1.3188976377952757</v>
      </c>
      <c r="AU4" s="39">
        <v>67</v>
      </c>
    </row>
    <row r="5" spans="1:52" ht="156.94999999999999" customHeight="1">
      <c r="A5" s="29" t="e" vm="4">
        <v>#VALUE!</v>
      </c>
      <c r="B5" s="29" t="str">
        <f t="shared" si="0"/>
        <v>TVN04</v>
      </c>
      <c r="C5" s="41" t="s">
        <v>637</v>
      </c>
      <c r="E5" s="30"/>
      <c r="F5" s="30"/>
      <c r="J5" s="29">
        <v>1</v>
      </c>
      <c r="M5" s="40" t="s">
        <v>854</v>
      </c>
      <c r="N5" s="49" t="s">
        <v>1</v>
      </c>
      <c r="O5" s="30" t="s">
        <v>413</v>
      </c>
      <c r="P5" s="30" t="s">
        <v>689</v>
      </c>
      <c r="Q5" s="30">
        <v>0.52800000000000002</v>
      </c>
      <c r="R5" s="35">
        <f>(Q5*$AN$1)</f>
        <v>3.4847999999999999</v>
      </c>
      <c r="S5" s="30" t="s">
        <v>608</v>
      </c>
      <c r="T5" s="30" t="s">
        <v>21</v>
      </c>
      <c r="U5" s="32">
        <v>-155</v>
      </c>
      <c r="V5" s="30" t="s">
        <v>652</v>
      </c>
      <c r="Y5" s="30"/>
      <c r="Z5" s="30"/>
      <c r="AD5" s="29">
        <v>1</v>
      </c>
      <c r="AK5" s="29" t="s">
        <v>641</v>
      </c>
      <c r="AM5" s="29">
        <f>'1PROJE'!Q3</f>
        <v>43.1</v>
      </c>
      <c r="AS5" s="29" t="s">
        <v>663</v>
      </c>
      <c r="AT5" s="35">
        <f t="shared" si="1"/>
        <v>1.3188976377952757</v>
      </c>
      <c r="AU5" s="39">
        <v>67</v>
      </c>
    </row>
    <row r="6" spans="1:52" ht="156.94999999999999" customHeight="1">
      <c r="A6" s="29" t="e" vm="5">
        <v>#VALUE!</v>
      </c>
      <c r="B6" s="29" t="str">
        <f t="shared" si="0"/>
        <v>TVN05</v>
      </c>
      <c r="C6" s="41" t="s">
        <v>637</v>
      </c>
      <c r="E6" s="30"/>
      <c r="F6" s="30"/>
      <c r="J6" s="29">
        <v>1</v>
      </c>
      <c r="M6" s="40" t="s">
        <v>854</v>
      </c>
      <c r="N6" s="49" t="s">
        <v>2</v>
      </c>
      <c r="O6" s="30" t="s">
        <v>414</v>
      </c>
      <c r="P6" s="30" t="s">
        <v>690</v>
      </c>
      <c r="Q6" s="30">
        <v>2.5</v>
      </c>
      <c r="R6" s="35">
        <f>(Q6*$AN$1)</f>
        <v>16.5</v>
      </c>
      <c r="S6" s="30" t="s">
        <v>608</v>
      </c>
      <c r="T6" s="30" t="s">
        <v>22</v>
      </c>
      <c r="U6" s="32">
        <v>-210</v>
      </c>
      <c r="V6" s="30" t="s">
        <v>28</v>
      </c>
      <c r="Y6" s="30"/>
      <c r="Z6" s="30"/>
      <c r="AD6" s="29">
        <v>1</v>
      </c>
      <c r="AK6" s="29" t="s">
        <v>642</v>
      </c>
      <c r="AM6" s="29">
        <v>2900</v>
      </c>
      <c r="AS6" s="29" t="s">
        <v>664</v>
      </c>
      <c r="AT6" s="35">
        <f t="shared" si="1"/>
        <v>1.0826771653543308</v>
      </c>
      <c r="AU6" s="39">
        <v>55</v>
      </c>
    </row>
    <row r="7" spans="1:52" ht="156.94999999999999" customHeight="1">
      <c r="A7" s="29" t="e" vm="6">
        <v>#VALUE!</v>
      </c>
      <c r="B7" s="29" t="str">
        <f t="shared" si="0"/>
        <v>GNL01</v>
      </c>
      <c r="C7" s="41" t="s">
        <v>637</v>
      </c>
      <c r="E7" s="30"/>
      <c r="F7" s="30"/>
      <c r="J7" s="29">
        <v>1</v>
      </c>
      <c r="M7" s="31" t="s">
        <v>4</v>
      </c>
      <c r="N7" s="49" t="s">
        <v>3</v>
      </c>
      <c r="O7" s="30" t="s">
        <v>415</v>
      </c>
      <c r="P7" s="30" t="s">
        <v>917</v>
      </c>
      <c r="Q7" s="30">
        <v>2.5</v>
      </c>
      <c r="R7" s="35">
        <f>2.9/AQ2</f>
        <v>2.4604330708661419</v>
      </c>
      <c r="S7" s="30" t="s">
        <v>608</v>
      </c>
      <c r="T7" s="30" t="s">
        <v>21</v>
      </c>
      <c r="U7" s="32">
        <v>-183</v>
      </c>
      <c r="V7" s="30" t="s">
        <v>29</v>
      </c>
      <c r="W7" s="30"/>
      <c r="Y7" s="30"/>
      <c r="Z7" s="30"/>
      <c r="AD7" s="29">
        <v>1</v>
      </c>
      <c r="AK7" s="29" t="s">
        <v>643</v>
      </c>
      <c r="AM7" s="29">
        <v>5</v>
      </c>
      <c r="AS7" s="29" t="s">
        <v>665</v>
      </c>
      <c r="AT7" s="35">
        <f t="shared" si="1"/>
        <v>1.1811023622047245</v>
      </c>
      <c r="AU7" s="39">
        <v>60</v>
      </c>
    </row>
    <row r="8" spans="1:52" ht="156.94999999999999" customHeight="1">
      <c r="A8" s="29" t="e" vm="6">
        <v>#VALUE!</v>
      </c>
      <c r="B8" s="29" t="str">
        <f t="shared" si="0"/>
        <v>GNL02</v>
      </c>
      <c r="C8" s="41" t="s">
        <v>637</v>
      </c>
      <c r="E8" s="30"/>
      <c r="F8" s="30"/>
      <c r="J8" s="29">
        <v>1</v>
      </c>
      <c r="M8" s="31" t="s">
        <v>4</v>
      </c>
      <c r="N8" s="49" t="s">
        <v>129</v>
      </c>
      <c r="O8" s="30" t="s">
        <v>416</v>
      </c>
      <c r="P8" s="30" t="s">
        <v>918</v>
      </c>
      <c r="Q8" s="29">
        <v>3.5</v>
      </c>
      <c r="R8" s="35">
        <v>7</v>
      </c>
      <c r="S8" s="30" t="s">
        <v>608</v>
      </c>
      <c r="T8" s="30" t="s">
        <v>21</v>
      </c>
      <c r="U8" s="32">
        <v>-183</v>
      </c>
      <c r="V8" s="30" t="s">
        <v>29</v>
      </c>
      <c r="Y8" s="30"/>
      <c r="Z8" s="30"/>
      <c r="AD8" s="29">
        <v>1</v>
      </c>
      <c r="AS8" s="29" t="s">
        <v>666</v>
      </c>
      <c r="AT8" s="35">
        <f t="shared" si="1"/>
        <v>1.1811023622047245</v>
      </c>
      <c r="AU8" s="39">
        <v>60</v>
      </c>
    </row>
    <row r="9" spans="1:52" ht="156.94999999999999" customHeight="1">
      <c r="A9" s="29" t="e" vm="7">
        <v>#VALUE!</v>
      </c>
      <c r="B9" s="29" t="str">
        <f t="shared" si="0"/>
        <v>GNL03</v>
      </c>
      <c r="C9" s="41" t="s">
        <v>637</v>
      </c>
      <c r="E9" s="30"/>
      <c r="F9" s="30"/>
      <c r="J9" s="29">
        <v>1</v>
      </c>
      <c r="M9" s="31" t="s">
        <v>5</v>
      </c>
      <c r="N9" s="49" t="s">
        <v>983</v>
      </c>
      <c r="O9" s="30" t="s">
        <v>417</v>
      </c>
      <c r="P9" s="30" t="s">
        <v>691</v>
      </c>
      <c r="Q9" s="29">
        <v>0.12</v>
      </c>
      <c r="R9" s="35">
        <v>2.2999999999999998</v>
      </c>
      <c r="S9" s="30" t="s">
        <v>608</v>
      </c>
      <c r="T9" s="30" t="s">
        <v>22</v>
      </c>
      <c r="U9" s="33">
        <v>-205</v>
      </c>
      <c r="V9" s="30" t="s">
        <v>28</v>
      </c>
      <c r="W9" s="30"/>
      <c r="Y9" s="30"/>
      <c r="Z9" s="30"/>
      <c r="AD9" s="29">
        <v>1</v>
      </c>
      <c r="AK9" s="27"/>
      <c r="AL9" s="27"/>
      <c r="AM9" s="27"/>
      <c r="AN9" s="27"/>
      <c r="AO9" s="27"/>
      <c r="AP9" s="27"/>
      <c r="AQ9" s="27"/>
      <c r="AR9" s="27"/>
      <c r="AS9" s="29" t="s">
        <v>667</v>
      </c>
      <c r="AT9" s="35"/>
      <c r="AU9" s="39">
        <v>75</v>
      </c>
      <c r="AV9" s="27"/>
      <c r="AW9" s="27"/>
    </row>
    <row r="10" spans="1:52" ht="156.94999999999999" customHeight="1">
      <c r="A10" s="29" t="e" vm="8">
        <v>#VALUE!</v>
      </c>
      <c r="B10" s="29" t="str">
        <f t="shared" si="0"/>
        <v>TVN06</v>
      </c>
      <c r="C10" s="41" t="s">
        <v>637</v>
      </c>
      <c r="E10" s="30"/>
      <c r="F10" s="30"/>
      <c r="J10" s="29">
        <v>1</v>
      </c>
      <c r="M10" s="40" t="s">
        <v>854</v>
      </c>
      <c r="N10" s="49" t="s">
        <v>694</v>
      </c>
      <c r="O10" s="30" t="s">
        <v>418</v>
      </c>
      <c r="P10" s="30" t="s">
        <v>692</v>
      </c>
      <c r="Q10" s="29">
        <v>1.26</v>
      </c>
      <c r="R10" s="35">
        <f>25.76+1</f>
        <v>26.76</v>
      </c>
      <c r="S10" s="30" t="s">
        <v>480</v>
      </c>
      <c r="T10" s="30" t="s">
        <v>480</v>
      </c>
      <c r="U10" s="32">
        <v>1</v>
      </c>
      <c r="V10" s="30" t="s">
        <v>26</v>
      </c>
      <c r="Y10" s="30"/>
      <c r="Z10" s="30"/>
      <c r="AD10" s="29">
        <v>1</v>
      </c>
      <c r="AS10" s="29" t="s">
        <v>669</v>
      </c>
      <c r="AT10" s="35"/>
      <c r="AU10" s="39" t="s">
        <v>668</v>
      </c>
    </row>
    <row r="11" spans="1:52" ht="156.94999999999999" customHeight="1">
      <c r="A11" s="29" t="e" vm="9">
        <v>#VALUE!</v>
      </c>
      <c r="B11" s="29" t="str">
        <f t="shared" si="0"/>
        <v>TVN07</v>
      </c>
      <c r="C11" s="41" t="s">
        <v>637</v>
      </c>
      <c r="E11" s="30"/>
      <c r="F11" s="30"/>
      <c r="J11" s="29">
        <v>1</v>
      </c>
      <c r="M11" s="40" t="s">
        <v>854</v>
      </c>
      <c r="N11" s="49" t="s">
        <v>883</v>
      </c>
      <c r="O11" s="30" t="s">
        <v>419</v>
      </c>
      <c r="P11" s="30" t="s">
        <v>693</v>
      </c>
      <c r="Q11" s="29">
        <v>0.52</v>
      </c>
      <c r="R11" s="35">
        <f>26.57+1</f>
        <v>27.57</v>
      </c>
      <c r="S11" s="30" t="s">
        <v>480</v>
      </c>
      <c r="T11" s="30" t="s">
        <v>480</v>
      </c>
      <c r="U11" s="32">
        <v>1</v>
      </c>
      <c r="V11" s="30" t="s">
        <v>27</v>
      </c>
      <c r="Y11" s="30"/>
      <c r="Z11" s="30"/>
      <c r="AD11" s="29">
        <v>1</v>
      </c>
      <c r="AS11" s="29" t="s">
        <v>888</v>
      </c>
      <c r="AT11" s="35">
        <f t="shared" ref="AT11" si="2">AU11/$AM$4</f>
        <v>1.4763779527559056</v>
      </c>
      <c r="AU11" s="29">
        <v>75</v>
      </c>
    </row>
    <row r="12" spans="1:52" ht="156.94999999999999" customHeight="1">
      <c r="A12" s="29" t="e" vm="10">
        <v>#VALUE!</v>
      </c>
      <c r="B12" s="29" t="str">
        <f t="shared" si="0"/>
        <v>TVN08</v>
      </c>
      <c r="C12" s="41" t="s">
        <v>637</v>
      </c>
      <c r="E12" s="30"/>
      <c r="F12" s="30"/>
      <c r="J12" s="29">
        <v>1</v>
      </c>
      <c r="M12" s="31" t="s">
        <v>6</v>
      </c>
      <c r="N12" s="49" t="s">
        <v>35</v>
      </c>
      <c r="O12" s="30" t="s">
        <v>420</v>
      </c>
      <c r="P12" s="30" t="s">
        <v>696</v>
      </c>
      <c r="Q12" s="29">
        <v>0.36699999999999999</v>
      </c>
      <c r="R12" s="35">
        <v>5.34</v>
      </c>
      <c r="S12" s="30" t="s">
        <v>357</v>
      </c>
      <c r="T12" s="30" t="s">
        <v>357</v>
      </c>
      <c r="U12" s="32">
        <v>1</v>
      </c>
      <c r="V12" s="30" t="s">
        <v>29</v>
      </c>
      <c r="Y12" s="30"/>
      <c r="Z12" s="30"/>
      <c r="AD12" s="29">
        <v>1</v>
      </c>
    </row>
    <row r="13" spans="1:52" ht="156.94999999999999" customHeight="1">
      <c r="A13" s="29" t="e" vm="11">
        <v>#VALUE!</v>
      </c>
      <c r="B13" s="29" t="str">
        <f t="shared" si="0"/>
        <v>TVN09</v>
      </c>
      <c r="C13" s="41" t="s">
        <v>637</v>
      </c>
      <c r="E13" s="30"/>
      <c r="F13" s="30"/>
      <c r="J13" s="29">
        <v>1</v>
      </c>
      <c r="M13" s="31" t="s">
        <v>6</v>
      </c>
      <c r="N13" s="49" t="s">
        <v>36</v>
      </c>
      <c r="O13" s="30" t="s">
        <v>421</v>
      </c>
      <c r="P13" s="30" t="s">
        <v>697</v>
      </c>
      <c r="Q13" s="29">
        <v>0.245</v>
      </c>
      <c r="R13" s="35">
        <v>3.65</v>
      </c>
      <c r="S13" s="30" t="s">
        <v>357</v>
      </c>
      <c r="T13" s="30" t="s">
        <v>357</v>
      </c>
      <c r="U13" s="32">
        <v>1</v>
      </c>
      <c r="V13" s="30" t="s">
        <v>29</v>
      </c>
      <c r="Y13" s="30"/>
      <c r="Z13" s="30"/>
      <c r="AD13" s="29">
        <v>1</v>
      </c>
    </row>
    <row r="14" spans="1:52" ht="156.94999999999999" customHeight="1" thickBot="1">
      <c r="A14" s="29" t="e" vm="12">
        <v>#VALUE!</v>
      </c>
      <c r="B14" s="29" t="str">
        <f t="shared" si="0"/>
        <v>TVN10</v>
      </c>
      <c r="C14" s="41" t="s">
        <v>637</v>
      </c>
      <c r="E14" s="30"/>
      <c r="F14" s="30"/>
      <c r="J14" s="30">
        <v>1</v>
      </c>
      <c r="K14" s="30"/>
      <c r="L14" s="30"/>
      <c r="M14" s="40" t="s">
        <v>854</v>
      </c>
      <c r="N14" s="49" t="s">
        <v>37</v>
      </c>
      <c r="O14" s="30" t="s">
        <v>422</v>
      </c>
      <c r="P14" s="30" t="s">
        <v>711</v>
      </c>
      <c r="Q14" s="30">
        <v>0.48</v>
      </c>
      <c r="R14" s="36">
        <f>17.14+1</f>
        <v>18.14</v>
      </c>
      <c r="S14" s="30" t="s">
        <v>480</v>
      </c>
      <c r="T14" s="30" t="s">
        <v>480</v>
      </c>
      <c r="U14" s="32">
        <v>1</v>
      </c>
      <c r="V14" s="30" t="s">
        <v>28</v>
      </c>
      <c r="Y14" s="30"/>
      <c r="Z14" s="30"/>
      <c r="AD14" s="30">
        <v>1</v>
      </c>
      <c r="AE14" s="30"/>
      <c r="AF14" s="30"/>
      <c r="AG14" s="30"/>
      <c r="AH14" s="30"/>
      <c r="AI14" s="30"/>
      <c r="AJ14" s="30"/>
      <c r="AK14" s="30"/>
      <c r="AL14" s="30"/>
      <c r="AM14" s="30"/>
    </row>
    <row r="15" spans="1:52" ht="156.94999999999999" customHeight="1" thickBot="1">
      <c r="A15" s="29" t="e" vm="13">
        <v>#VALUE!</v>
      </c>
      <c r="B15" s="29" t="str">
        <f t="shared" si="0"/>
        <v>GNL04</v>
      </c>
      <c r="C15" s="41" t="s">
        <v>637</v>
      </c>
      <c r="E15" s="30"/>
      <c r="F15" s="30"/>
      <c r="J15" s="30">
        <v>1</v>
      </c>
      <c r="K15" s="30"/>
      <c r="L15" s="30"/>
      <c r="M15" s="31" t="s">
        <v>7</v>
      </c>
      <c r="N15" s="49" t="s">
        <v>7</v>
      </c>
      <c r="O15" s="30" t="s">
        <v>423</v>
      </c>
      <c r="P15" s="30" t="s">
        <v>710</v>
      </c>
      <c r="Q15" s="30">
        <v>0.05</v>
      </c>
      <c r="R15" s="36">
        <v>0.83</v>
      </c>
      <c r="S15" s="30" t="s">
        <v>357</v>
      </c>
      <c r="T15" s="30" t="s">
        <v>357</v>
      </c>
      <c r="U15" s="32">
        <v>1</v>
      </c>
      <c r="V15" s="30" t="s">
        <v>29</v>
      </c>
      <c r="Y15" s="30"/>
      <c r="Z15" s="30"/>
      <c r="AD15" s="30">
        <v>1</v>
      </c>
      <c r="AE15" s="30"/>
      <c r="AF15" s="30"/>
      <c r="AG15" s="30"/>
      <c r="AH15" s="30"/>
      <c r="AI15" s="30"/>
      <c r="AJ15" s="30"/>
      <c r="AK15" s="30"/>
      <c r="AL15" s="30"/>
      <c r="AM15" s="30"/>
      <c r="AN15" s="30"/>
      <c r="AO15" s="30"/>
      <c r="AP15" s="30"/>
      <c r="AQ15" s="30"/>
      <c r="AR15" s="30"/>
      <c r="AS15" s="30"/>
      <c r="AT15" s="30"/>
      <c r="AU15" s="30"/>
      <c r="AV15" s="30"/>
      <c r="AW15" s="30"/>
      <c r="AX15" s="30"/>
      <c r="AY15" s="30"/>
      <c r="AZ15" s="30"/>
    </row>
    <row r="16" spans="1:52" ht="156.94999999999999" customHeight="1">
      <c r="A16" s="29" t="e" vm="14">
        <v>#VALUE!</v>
      </c>
      <c r="B16" s="29" t="str">
        <f t="shared" si="0"/>
        <v>TVN10K</v>
      </c>
      <c r="C16" s="41" t="s">
        <v>637</v>
      </c>
      <c r="E16" s="30"/>
      <c r="F16" s="30"/>
      <c r="J16" s="30">
        <v>1</v>
      </c>
      <c r="K16" s="30"/>
      <c r="L16" s="30"/>
      <c r="M16" s="31" t="s">
        <v>8</v>
      </c>
      <c r="N16" s="49" t="s">
        <v>38</v>
      </c>
      <c r="O16" s="30" t="s">
        <v>788</v>
      </c>
      <c r="P16" s="30" t="s">
        <v>712</v>
      </c>
      <c r="Q16" s="30">
        <v>0.4</v>
      </c>
      <c r="R16" s="36">
        <f>7.84/4</f>
        <v>1.96</v>
      </c>
      <c r="S16" s="30" t="s">
        <v>357</v>
      </c>
      <c r="T16" s="30" t="s">
        <v>357</v>
      </c>
      <c r="U16" s="32">
        <v>4</v>
      </c>
      <c r="V16" s="30" t="s">
        <v>27</v>
      </c>
      <c r="Y16" s="30"/>
      <c r="Z16" s="30"/>
      <c r="AD16" s="30">
        <v>1</v>
      </c>
      <c r="AE16" s="30"/>
      <c r="AF16" s="30"/>
      <c r="AG16" s="30"/>
      <c r="AS16" s="30"/>
      <c r="AT16" s="30"/>
      <c r="AU16" s="30"/>
      <c r="AV16" s="30"/>
      <c r="AW16" s="30"/>
      <c r="AX16" s="30"/>
      <c r="AY16" s="30"/>
      <c r="AZ16" s="30"/>
    </row>
    <row r="17" spans="1:33" ht="156.94999999999999" customHeight="1">
      <c r="A17" s="29" t="e" vm="15">
        <v>#VALUE!</v>
      </c>
      <c r="B17" s="29" t="str">
        <f t="shared" si="0"/>
        <v>GNL05</v>
      </c>
      <c r="C17" s="41" t="s">
        <v>637</v>
      </c>
      <c r="E17" s="30"/>
      <c r="F17" s="30"/>
      <c r="J17" s="30">
        <v>1</v>
      </c>
      <c r="K17" s="30"/>
      <c r="L17" s="30"/>
      <c r="M17" s="31" t="s">
        <v>9</v>
      </c>
      <c r="N17" s="49" t="s">
        <v>9</v>
      </c>
      <c r="O17" s="30" t="s">
        <v>424</v>
      </c>
      <c r="P17" s="30" t="s">
        <v>707</v>
      </c>
      <c r="Q17" s="30">
        <v>0.01</v>
      </c>
      <c r="R17" s="36">
        <v>2</v>
      </c>
      <c r="S17" s="30" t="s">
        <v>608</v>
      </c>
      <c r="T17" s="30" t="s">
        <v>22</v>
      </c>
      <c r="U17" s="32">
        <v>150</v>
      </c>
      <c r="V17" s="30" t="s">
        <v>31</v>
      </c>
      <c r="W17" s="30"/>
      <c r="Y17" s="30"/>
      <c r="Z17" s="30"/>
      <c r="AD17" s="30">
        <v>1</v>
      </c>
      <c r="AE17" s="30"/>
      <c r="AF17" s="30"/>
      <c r="AG17" s="30"/>
    </row>
    <row r="18" spans="1:33" ht="156.94999999999999" customHeight="1">
      <c r="A18" s="29" t="e" vm="16">
        <v>#VALUE!</v>
      </c>
      <c r="B18" s="29" t="str">
        <f t="shared" si="0"/>
        <v>TVN11</v>
      </c>
      <c r="C18" s="41" t="s">
        <v>637</v>
      </c>
      <c r="E18" s="30"/>
      <c r="F18" s="30"/>
      <c r="J18" s="30">
        <v>1</v>
      </c>
      <c r="K18" s="30"/>
      <c r="L18" s="30"/>
      <c r="M18" s="31" t="s">
        <v>10</v>
      </c>
      <c r="N18" s="49" t="s">
        <v>39</v>
      </c>
      <c r="O18" s="30" t="s">
        <v>425</v>
      </c>
      <c r="P18" s="30" t="s">
        <v>713</v>
      </c>
      <c r="Q18" s="30">
        <v>0.2</v>
      </c>
      <c r="R18" s="36">
        <v>0.57999999999999996</v>
      </c>
      <c r="S18" s="30" t="s">
        <v>357</v>
      </c>
      <c r="T18" s="30" t="s">
        <v>357</v>
      </c>
      <c r="U18" s="32">
        <v>1</v>
      </c>
      <c r="V18" s="30" t="s">
        <v>29</v>
      </c>
      <c r="Y18" s="30"/>
      <c r="Z18" s="30"/>
      <c r="AD18" s="30">
        <v>1</v>
      </c>
      <c r="AE18" s="30"/>
      <c r="AF18" s="30"/>
      <c r="AG18" s="30"/>
    </row>
    <row r="19" spans="1:33" ht="156.94999999999999" customHeight="1">
      <c r="A19" s="29" t="e" vm="17">
        <v>#VALUE!</v>
      </c>
      <c r="B19" s="29" t="str">
        <f t="shared" si="0"/>
        <v>TVN12</v>
      </c>
      <c r="C19" s="41" t="s">
        <v>637</v>
      </c>
      <c r="E19" s="30"/>
      <c r="F19" s="30"/>
      <c r="J19" s="30">
        <v>1</v>
      </c>
      <c r="K19" s="30"/>
      <c r="L19" s="30"/>
      <c r="M19" s="31" t="s">
        <v>6</v>
      </c>
      <c r="N19" s="49" t="s">
        <v>40</v>
      </c>
      <c r="O19" s="30" t="s">
        <v>426</v>
      </c>
      <c r="P19" s="30" t="s">
        <v>698</v>
      </c>
      <c r="Q19" s="30">
        <v>7.6999999999999999E-2</v>
      </c>
      <c r="R19" s="36">
        <v>1.61</v>
      </c>
      <c r="S19" s="30" t="s">
        <v>357</v>
      </c>
      <c r="T19" s="30" t="s">
        <v>357</v>
      </c>
      <c r="U19" s="32">
        <v>1</v>
      </c>
      <c r="V19" s="30" t="s">
        <v>29</v>
      </c>
      <c r="W19" s="30"/>
      <c r="Y19" s="30"/>
      <c r="Z19" s="30"/>
      <c r="AD19" s="30">
        <v>1</v>
      </c>
      <c r="AE19" s="30"/>
      <c r="AF19" s="30"/>
      <c r="AG19" s="34"/>
    </row>
    <row r="20" spans="1:33" ht="156.94999999999999" customHeight="1">
      <c r="A20" s="29" t="e" vm="18">
        <v>#VALUE!</v>
      </c>
      <c r="B20" s="29" t="str">
        <f t="shared" si="0"/>
        <v>GNL06</v>
      </c>
      <c r="C20" s="41" t="s">
        <v>637</v>
      </c>
      <c r="E20" s="30"/>
      <c r="F20" s="30"/>
      <c r="J20" s="32">
        <v>1</v>
      </c>
      <c r="K20" s="32"/>
      <c r="L20" s="32"/>
      <c r="M20" s="31" t="s">
        <v>5</v>
      </c>
      <c r="N20" s="49" t="s">
        <v>41</v>
      </c>
      <c r="O20" s="30" t="s">
        <v>427</v>
      </c>
      <c r="P20" s="30" t="s">
        <v>699</v>
      </c>
      <c r="Q20" s="30">
        <v>2E-3</v>
      </c>
      <c r="R20" s="36">
        <v>0.2</v>
      </c>
      <c r="S20" s="30" t="s">
        <v>357</v>
      </c>
      <c r="T20" s="30" t="s">
        <v>357</v>
      </c>
      <c r="U20" s="33" t="s">
        <v>638</v>
      </c>
      <c r="V20" s="30" t="s">
        <v>28</v>
      </c>
      <c r="W20" s="30"/>
      <c r="Y20" s="30"/>
      <c r="Z20" s="30"/>
      <c r="AD20" s="32">
        <v>1</v>
      </c>
      <c r="AE20" s="32"/>
      <c r="AF20" s="32"/>
      <c r="AG20" s="30"/>
    </row>
    <row r="21" spans="1:33" ht="156.94999999999999" customHeight="1">
      <c r="A21" s="29" t="e" vm="19">
        <v>#VALUE!</v>
      </c>
      <c r="B21" s="29" t="str">
        <f t="shared" si="0"/>
        <v>GNL07</v>
      </c>
      <c r="C21" s="41" t="s">
        <v>637</v>
      </c>
      <c r="E21" s="30"/>
      <c r="F21" s="30"/>
      <c r="J21" s="30">
        <v>1</v>
      </c>
      <c r="K21" s="30"/>
      <c r="L21" s="30"/>
      <c r="M21" s="31" t="s">
        <v>42</v>
      </c>
      <c r="N21" s="49" t="s">
        <v>42</v>
      </c>
      <c r="O21" s="30" t="s">
        <v>428</v>
      </c>
      <c r="P21" s="30" t="s">
        <v>700</v>
      </c>
      <c r="Q21" s="30">
        <v>0.02</v>
      </c>
      <c r="R21" s="36">
        <v>0.11</v>
      </c>
      <c r="S21" s="30" t="s">
        <v>608</v>
      </c>
      <c r="T21" s="30" t="s">
        <v>21</v>
      </c>
      <c r="U21" s="32" t="s">
        <v>481</v>
      </c>
      <c r="V21" s="30" t="s">
        <v>32</v>
      </c>
      <c r="W21" s="30"/>
      <c r="Y21" s="30"/>
      <c r="Z21" s="30"/>
      <c r="AD21" s="30">
        <v>1</v>
      </c>
      <c r="AE21" s="30"/>
      <c r="AF21" s="30"/>
      <c r="AG21" s="30"/>
    </row>
    <row r="22" spans="1:33" ht="156.94999999999999" customHeight="1">
      <c r="A22" s="29" t="e" vm="20">
        <v>#VALUE!</v>
      </c>
      <c r="B22" s="29" t="str">
        <f t="shared" si="0"/>
        <v>TVN13</v>
      </c>
      <c r="C22" s="41" t="s">
        <v>637</v>
      </c>
      <c r="E22" s="30"/>
      <c r="F22" s="30"/>
      <c r="J22" s="30">
        <v>1</v>
      </c>
      <c r="M22" s="31" t="s">
        <v>12</v>
      </c>
      <c r="N22" s="49" t="s">
        <v>12</v>
      </c>
      <c r="O22" s="30" t="s">
        <v>429</v>
      </c>
      <c r="P22" s="30" t="s">
        <v>701</v>
      </c>
      <c r="Q22" s="29">
        <v>0.375</v>
      </c>
      <c r="R22" s="35">
        <v>9.5</v>
      </c>
      <c r="S22" s="30" t="s">
        <v>357</v>
      </c>
      <c r="T22" s="30" t="s">
        <v>357</v>
      </c>
      <c r="U22" s="32">
        <v>2</v>
      </c>
      <c r="V22" s="30" t="s">
        <v>27</v>
      </c>
      <c r="Y22" s="30"/>
      <c r="Z22" s="30"/>
      <c r="AD22" s="30">
        <v>1</v>
      </c>
    </row>
    <row r="23" spans="1:33" ht="156.94999999999999" customHeight="1">
      <c r="A23" s="29" t="e" vm="21">
        <v>#VALUE!</v>
      </c>
      <c r="B23" s="29" t="str">
        <f t="shared" si="0"/>
        <v>GNL08</v>
      </c>
      <c r="C23" s="41" t="s">
        <v>637</v>
      </c>
      <c r="E23" s="30"/>
      <c r="F23" s="30"/>
      <c r="J23" s="30">
        <v>1</v>
      </c>
      <c r="M23" s="31" t="s">
        <v>11</v>
      </c>
      <c r="N23" s="49" t="s">
        <v>11</v>
      </c>
      <c r="O23" s="30" t="s">
        <v>430</v>
      </c>
      <c r="P23" s="30" t="s">
        <v>791</v>
      </c>
      <c r="Q23" s="29">
        <v>0.02</v>
      </c>
      <c r="R23" s="35">
        <v>1</v>
      </c>
      <c r="S23" s="30" t="s">
        <v>480</v>
      </c>
      <c r="T23" s="30" t="s">
        <v>480</v>
      </c>
      <c r="U23" s="32">
        <v>1</v>
      </c>
      <c r="V23" s="30"/>
      <c r="Y23" s="30"/>
      <c r="Z23" s="30"/>
      <c r="AD23" s="30">
        <v>1</v>
      </c>
    </row>
    <row r="24" spans="1:33" ht="156.94999999999999" customHeight="1">
      <c r="A24" s="29" t="e" vm="22">
        <v>#VALUE!</v>
      </c>
      <c r="B24" s="29" t="str">
        <f t="shared" si="0"/>
        <v>TVN14</v>
      </c>
      <c r="C24" s="41" t="s">
        <v>637</v>
      </c>
      <c r="E24" s="30"/>
      <c r="F24" s="30"/>
      <c r="J24" s="30">
        <v>1</v>
      </c>
      <c r="M24" s="40"/>
      <c r="N24" s="49" t="s">
        <v>899</v>
      </c>
      <c r="O24" s="30" t="s">
        <v>431</v>
      </c>
      <c r="P24" s="30" t="s">
        <v>900</v>
      </c>
      <c r="R24" s="35">
        <v>2.0499999999999998</v>
      </c>
      <c r="S24" s="30" t="s">
        <v>357</v>
      </c>
      <c r="T24" s="30" t="s">
        <v>357</v>
      </c>
      <c r="U24" s="33">
        <v>2</v>
      </c>
      <c r="V24" s="30"/>
      <c r="Y24" s="30"/>
      <c r="Z24" s="30"/>
      <c r="AD24" s="30">
        <v>1</v>
      </c>
    </row>
    <row r="25" spans="1:33" ht="156.94999999999999" customHeight="1">
      <c r="A25" s="29" t="e" vm="23">
        <v>#VALUE!</v>
      </c>
      <c r="B25" s="29" t="str">
        <f t="shared" si="0"/>
        <v>TVN15</v>
      </c>
      <c r="C25" s="41" t="s">
        <v>637</v>
      </c>
      <c r="E25" s="30"/>
      <c r="F25" s="30"/>
      <c r="J25" s="30">
        <v>1</v>
      </c>
      <c r="M25" s="40" t="s">
        <v>854</v>
      </c>
      <c r="N25" s="49" t="s">
        <v>44</v>
      </c>
      <c r="O25" s="30" t="s">
        <v>432</v>
      </c>
      <c r="P25" s="30"/>
      <c r="S25" s="30" t="s">
        <v>357</v>
      </c>
      <c r="T25" s="30" t="s">
        <v>357</v>
      </c>
      <c r="U25" s="33"/>
      <c r="V25" s="30"/>
      <c r="Y25" s="30"/>
      <c r="Z25" s="30"/>
      <c r="AD25" s="30">
        <v>1</v>
      </c>
    </row>
    <row r="26" spans="1:33" ht="156.94999999999999" customHeight="1">
      <c r="A26" s="29" t="e" vm="24">
        <v>#VALUE!</v>
      </c>
      <c r="B26" s="29" t="str">
        <f t="shared" si="0"/>
        <v>TVN16</v>
      </c>
      <c r="C26" s="41" t="s">
        <v>637</v>
      </c>
      <c r="E26" s="30"/>
      <c r="F26" s="30"/>
      <c r="J26" s="30">
        <v>1</v>
      </c>
      <c r="M26" s="40" t="s">
        <v>854</v>
      </c>
      <c r="N26" s="49" t="s">
        <v>45</v>
      </c>
      <c r="O26" s="30" t="s">
        <v>433</v>
      </c>
      <c r="P26" s="30"/>
      <c r="S26" s="30" t="s">
        <v>357</v>
      </c>
      <c r="T26" s="30" t="s">
        <v>357</v>
      </c>
      <c r="U26" s="33"/>
      <c r="V26" s="30"/>
      <c r="Y26" s="30"/>
      <c r="Z26" s="30"/>
      <c r="AD26" s="30">
        <v>1</v>
      </c>
    </row>
    <row r="27" spans="1:33" ht="156.94999999999999" customHeight="1">
      <c r="A27" s="29" t="e" vm="25">
        <v>#VALUE!</v>
      </c>
      <c r="B27" s="29" t="str">
        <f t="shared" si="0"/>
        <v>TVN17</v>
      </c>
      <c r="C27" s="41" t="s">
        <v>637</v>
      </c>
      <c r="E27" s="30"/>
      <c r="F27" s="30"/>
      <c r="J27" s="30">
        <v>1</v>
      </c>
      <c r="M27" s="40" t="s">
        <v>854</v>
      </c>
      <c r="N27" s="49" t="s">
        <v>43</v>
      </c>
      <c r="O27" s="30" t="s">
        <v>434</v>
      </c>
      <c r="P27" s="30"/>
      <c r="Q27" s="29">
        <v>1</v>
      </c>
      <c r="R27" s="35">
        <v>1</v>
      </c>
      <c r="S27" s="30" t="s">
        <v>357</v>
      </c>
      <c r="T27" s="30" t="s">
        <v>357</v>
      </c>
      <c r="U27" s="33">
        <v>0</v>
      </c>
      <c r="V27" s="30"/>
      <c r="X27" s="30"/>
      <c r="Y27" s="30"/>
      <c r="Z27" s="30"/>
      <c r="AA27" s="30"/>
      <c r="AD27" s="30">
        <v>1</v>
      </c>
    </row>
    <row r="28" spans="1:33" ht="156.94999999999999" customHeight="1">
      <c r="A28" s="29" t="e" vm="26">
        <v>#VALUE!</v>
      </c>
      <c r="B28" s="29" t="str">
        <f t="shared" si="0"/>
        <v>TVN18</v>
      </c>
      <c r="C28" s="41" t="s">
        <v>637</v>
      </c>
      <c r="E28" s="30"/>
      <c r="F28" s="30"/>
      <c r="J28" s="30">
        <v>1</v>
      </c>
      <c r="M28" s="40" t="s">
        <v>854</v>
      </c>
      <c r="N28" s="49" t="s">
        <v>46</v>
      </c>
      <c r="O28" s="30" t="s">
        <v>435</v>
      </c>
      <c r="P28" s="30" t="s">
        <v>702</v>
      </c>
      <c r="R28" s="35">
        <f>AX3+AY3+AZ3</f>
        <v>5.3940000000000001</v>
      </c>
      <c r="S28" s="30" t="s">
        <v>357</v>
      </c>
      <c r="T28" s="30" t="s">
        <v>357</v>
      </c>
      <c r="U28" s="33">
        <v>1</v>
      </c>
      <c r="V28" s="30"/>
      <c r="AA28" s="151"/>
      <c r="AD28" s="30">
        <v>1</v>
      </c>
    </row>
    <row r="29" spans="1:33" ht="156.94999999999999" customHeight="1">
      <c r="A29" s="29" t="e" vm="27">
        <v>#VALUE!</v>
      </c>
      <c r="B29" s="29" t="str">
        <f t="shared" si="0"/>
        <v>TVN19</v>
      </c>
      <c r="C29" s="41" t="s">
        <v>637</v>
      </c>
      <c r="E29" s="30"/>
      <c r="F29" s="30"/>
      <c r="J29" s="30">
        <v>1</v>
      </c>
      <c r="M29" s="40" t="s">
        <v>854</v>
      </c>
      <c r="N29" s="49" t="s">
        <v>47</v>
      </c>
      <c r="O29" s="30" t="s">
        <v>436</v>
      </c>
      <c r="P29" s="30"/>
      <c r="S29" s="30" t="s">
        <v>357</v>
      </c>
      <c r="T29" s="30" t="s">
        <v>357</v>
      </c>
      <c r="U29" s="33"/>
      <c r="V29" s="30"/>
      <c r="Y29" s="30"/>
      <c r="Z29" s="30"/>
      <c r="AD29" s="30">
        <v>1</v>
      </c>
    </row>
    <row r="30" spans="1:33" ht="156.94999999999999" customHeight="1">
      <c r="A30" s="29" t="e" vm="28">
        <v>#VALUE!</v>
      </c>
      <c r="B30" s="29" t="str">
        <f t="shared" si="0"/>
        <v>TVN20</v>
      </c>
      <c r="C30" s="41" t="s">
        <v>637</v>
      </c>
      <c r="E30" s="30"/>
      <c r="F30" s="30"/>
      <c r="J30" s="30">
        <v>1</v>
      </c>
      <c r="M30" s="31"/>
      <c r="N30" s="49" t="s">
        <v>48</v>
      </c>
      <c r="O30" s="30" t="s">
        <v>437</v>
      </c>
      <c r="P30" s="30" t="s">
        <v>703</v>
      </c>
      <c r="Q30" s="29">
        <v>0.05</v>
      </c>
      <c r="R30" s="35">
        <f>16.19/2</f>
        <v>8.0950000000000006</v>
      </c>
      <c r="S30" s="30" t="s">
        <v>357</v>
      </c>
      <c r="T30" s="30" t="s">
        <v>357</v>
      </c>
      <c r="U30" s="33">
        <v>2</v>
      </c>
      <c r="V30" s="30"/>
      <c r="Y30" s="30"/>
      <c r="Z30" s="30"/>
      <c r="AD30" s="30">
        <v>1</v>
      </c>
    </row>
    <row r="31" spans="1:33" ht="156.94999999999999" customHeight="1">
      <c r="A31" s="29" t="e" vm="29">
        <v>#VALUE!</v>
      </c>
      <c r="B31" s="29" t="str">
        <f t="shared" si="0"/>
        <v>TVN21</v>
      </c>
      <c r="C31" s="41" t="s">
        <v>637</v>
      </c>
      <c r="E31" s="30"/>
      <c r="F31" s="30"/>
      <c r="J31" s="30">
        <v>1</v>
      </c>
      <c r="M31" s="31"/>
      <c r="N31" s="49" t="s">
        <v>49</v>
      </c>
      <c r="O31" s="30" t="s">
        <v>438</v>
      </c>
      <c r="P31" s="30" t="s">
        <v>787</v>
      </c>
      <c r="Q31" s="29">
        <v>0.1</v>
      </c>
      <c r="R31" s="35">
        <v>16.350000000000001</v>
      </c>
      <c r="S31" s="30" t="s">
        <v>357</v>
      </c>
      <c r="T31" s="30" t="s">
        <v>357</v>
      </c>
      <c r="U31" s="33">
        <v>1</v>
      </c>
      <c r="V31" s="30"/>
      <c r="Y31" s="30"/>
      <c r="Z31" s="30"/>
      <c r="AD31" s="30">
        <v>1</v>
      </c>
    </row>
    <row r="32" spans="1:33" ht="156.94999999999999" customHeight="1">
      <c r="A32" s="29" t="e" vm="30">
        <v>#VALUE!</v>
      </c>
      <c r="B32" s="29" t="str">
        <f t="shared" si="0"/>
        <v>TVN22</v>
      </c>
      <c r="C32" s="41" t="s">
        <v>637</v>
      </c>
      <c r="E32" s="30"/>
      <c r="F32" s="30"/>
      <c r="J32" s="30">
        <v>1</v>
      </c>
      <c r="M32" s="31"/>
      <c r="N32" s="49" t="s">
        <v>50</v>
      </c>
      <c r="O32" s="30" t="s">
        <v>439</v>
      </c>
      <c r="P32" s="30" t="s">
        <v>704</v>
      </c>
      <c r="Q32" s="29">
        <v>0.05</v>
      </c>
      <c r="R32" s="35">
        <v>1.1299999999999999</v>
      </c>
      <c r="S32" s="30" t="s">
        <v>357</v>
      </c>
      <c r="T32" s="30" t="s">
        <v>357</v>
      </c>
      <c r="U32" s="33">
        <v>1</v>
      </c>
      <c r="V32" s="30"/>
      <c r="Y32" s="30"/>
      <c r="Z32" s="30"/>
      <c r="AD32" s="30">
        <v>1</v>
      </c>
    </row>
    <row r="33" spans="1:33" ht="156.94999999999999" customHeight="1">
      <c r="A33" s="29" t="e" vm="31">
        <v>#VALUE!</v>
      </c>
      <c r="B33" s="29" t="str">
        <f t="shared" si="0"/>
        <v>TVN23</v>
      </c>
      <c r="C33" s="41" t="s">
        <v>637</v>
      </c>
      <c r="E33" s="30"/>
      <c r="F33" s="30"/>
      <c r="J33" s="30">
        <v>1</v>
      </c>
      <c r="M33" s="31"/>
      <c r="N33" s="49" t="s">
        <v>51</v>
      </c>
      <c r="O33" s="30" t="s">
        <v>440</v>
      </c>
      <c r="P33" s="30" t="s">
        <v>705</v>
      </c>
      <c r="Q33" s="29">
        <v>0.03</v>
      </c>
      <c r="R33" s="35">
        <v>0.81</v>
      </c>
      <c r="S33" s="30" t="s">
        <v>480</v>
      </c>
      <c r="T33" s="30" t="s">
        <v>357</v>
      </c>
      <c r="U33" s="32">
        <v>2</v>
      </c>
      <c r="V33" s="30"/>
      <c r="Y33" s="30"/>
      <c r="Z33" s="30"/>
      <c r="AD33" s="30">
        <v>1</v>
      </c>
    </row>
    <row r="34" spans="1:33" ht="156.94999999999999" customHeight="1">
      <c r="A34" s="29" t="e" vm="32">
        <v>#VALUE!</v>
      </c>
      <c r="B34" s="29" t="str">
        <f t="shared" si="0"/>
        <v>TVN24</v>
      </c>
      <c r="C34" s="41" t="s">
        <v>637</v>
      </c>
      <c r="E34" s="30"/>
      <c r="F34" s="30"/>
      <c r="J34" s="30">
        <v>1</v>
      </c>
      <c r="M34" s="31"/>
      <c r="N34" s="49" t="s">
        <v>52</v>
      </c>
      <c r="O34" s="30" t="s">
        <v>441</v>
      </c>
      <c r="P34" s="30" t="s">
        <v>706</v>
      </c>
      <c r="Q34" s="29">
        <v>0.05</v>
      </c>
      <c r="R34" s="35">
        <v>11.78</v>
      </c>
      <c r="S34" s="30" t="s">
        <v>480</v>
      </c>
      <c r="T34" s="30" t="s">
        <v>357</v>
      </c>
      <c r="U34" s="32">
        <v>2</v>
      </c>
      <c r="V34" s="30"/>
      <c r="Y34" s="30"/>
      <c r="Z34" s="30"/>
      <c r="AD34" s="30">
        <v>1</v>
      </c>
    </row>
    <row r="35" spans="1:33" s="29" customFormat="1" ht="156.94999999999999" customHeight="1">
      <c r="B35" s="29" t="str">
        <f t="shared" si="0"/>
        <v>TVN25</v>
      </c>
      <c r="C35" s="41" t="s">
        <v>637</v>
      </c>
      <c r="E35" s="30"/>
      <c r="F35" s="30"/>
      <c r="J35" s="30"/>
      <c r="M35" s="31"/>
      <c r="N35" s="49" t="s">
        <v>708</v>
      </c>
      <c r="O35" s="30" t="s">
        <v>781</v>
      </c>
      <c r="P35" s="30" t="s">
        <v>709</v>
      </c>
      <c r="Q35" s="29">
        <v>0.01</v>
      </c>
      <c r="R35" s="35">
        <v>0.3</v>
      </c>
      <c r="S35" s="30" t="s">
        <v>608</v>
      </c>
      <c r="T35" s="30"/>
      <c r="U35" s="32" t="s">
        <v>784</v>
      </c>
      <c r="V35" s="30"/>
      <c r="Y35" s="30"/>
      <c r="Z35" s="30"/>
      <c r="AD35" s="30">
        <v>1</v>
      </c>
    </row>
    <row r="36" spans="1:33" ht="156.94999999999999" customHeight="1">
      <c r="A36" s="28"/>
      <c r="B36" s="29">
        <f t="shared" si="0"/>
        <v>0</v>
      </c>
      <c r="C36" s="41"/>
      <c r="E36" s="30"/>
      <c r="F36" s="30"/>
      <c r="M36" s="31"/>
      <c r="N36" s="31"/>
      <c r="O36" s="30"/>
      <c r="P36" s="30"/>
      <c r="T36" s="30"/>
      <c r="U36" s="32"/>
      <c r="V36" s="30"/>
      <c r="Y36" s="30"/>
      <c r="Z36" s="30"/>
    </row>
    <row r="37" spans="1:33" ht="156.94999999999999" customHeight="1">
      <c r="A37" s="29" t="e" vm="33">
        <v>#VALUE!</v>
      </c>
      <c r="B37" s="29" t="str">
        <f t="shared" si="0"/>
        <v>DKYA01</v>
      </c>
      <c r="C37" s="41" t="s">
        <v>815</v>
      </c>
      <c r="D37" s="29">
        <v>1</v>
      </c>
      <c r="E37" s="30">
        <v>1</v>
      </c>
      <c r="F37" s="30"/>
      <c r="M37" s="40" t="s">
        <v>854</v>
      </c>
      <c r="N37" s="50" t="s">
        <v>54</v>
      </c>
      <c r="O37" s="30" t="s">
        <v>442</v>
      </c>
      <c r="P37" s="30" t="s">
        <v>53</v>
      </c>
      <c r="Q37" s="29">
        <v>1.17</v>
      </c>
      <c r="R37" s="35">
        <f>(Q37*$AN$2)</f>
        <v>4.3676929133858273</v>
      </c>
      <c r="S37" s="30" t="s">
        <v>608</v>
      </c>
      <c r="T37" s="30" t="s">
        <v>21</v>
      </c>
      <c r="U37" s="32">
        <v>-8</v>
      </c>
      <c r="V37" s="30"/>
      <c r="Z37" s="30"/>
      <c r="AA37" s="29">
        <v>1</v>
      </c>
      <c r="AB37" s="29">
        <v>1</v>
      </c>
      <c r="AC37" s="30">
        <v>1</v>
      </c>
    </row>
    <row r="38" spans="1:33" ht="156.94999999999999" customHeight="1">
      <c r="A38" s="29" t="e" vm="34">
        <v>#VALUE!</v>
      </c>
      <c r="B38" s="29" t="str">
        <f t="shared" si="0"/>
        <v>DKYA02</v>
      </c>
      <c r="C38" s="41" t="s">
        <v>815</v>
      </c>
      <c r="D38" s="29">
        <v>1</v>
      </c>
      <c r="E38" s="30"/>
      <c r="F38" s="30"/>
      <c r="M38" s="40" t="s">
        <v>854</v>
      </c>
      <c r="N38" s="50" t="s">
        <v>80</v>
      </c>
      <c r="O38" s="30" t="s">
        <v>443</v>
      </c>
      <c r="P38" s="30" t="s">
        <v>55</v>
      </c>
      <c r="Q38" s="29">
        <v>0.875</v>
      </c>
      <c r="R38" s="35">
        <f t="shared" ref="R38:R40" si="3">(Q38*$AN$2)</f>
        <v>3.2664370078740164</v>
      </c>
      <c r="S38" s="30" t="s">
        <v>608</v>
      </c>
      <c r="T38" s="30" t="s">
        <v>21</v>
      </c>
      <c r="U38" s="32">
        <v>-8</v>
      </c>
      <c r="V38" s="30"/>
      <c r="Y38" s="30"/>
      <c r="Z38" s="30"/>
      <c r="AB38" s="29">
        <v>1</v>
      </c>
    </row>
    <row r="39" spans="1:33" ht="156.94999999999999" customHeight="1">
      <c r="A39" s="29" t="e" vm="35">
        <v>#VALUE!</v>
      </c>
      <c r="B39" s="29" t="str">
        <f t="shared" si="0"/>
        <v>DKYA03</v>
      </c>
      <c r="C39" s="41" t="s">
        <v>815</v>
      </c>
      <c r="E39" s="30"/>
      <c r="F39" s="30"/>
      <c r="M39" s="40" t="s">
        <v>854</v>
      </c>
      <c r="N39" s="50" t="s">
        <v>81</v>
      </c>
      <c r="O39" s="30" t="s">
        <v>444</v>
      </c>
      <c r="P39" s="30" t="s">
        <v>81</v>
      </c>
      <c r="Q39" s="29">
        <v>0.875</v>
      </c>
      <c r="R39" s="35">
        <f t="shared" si="3"/>
        <v>3.2664370078740164</v>
      </c>
      <c r="S39" s="30" t="s">
        <v>608</v>
      </c>
      <c r="T39" s="30" t="s">
        <v>21</v>
      </c>
      <c r="U39" s="32">
        <v>-8</v>
      </c>
      <c r="V39" s="30"/>
      <c r="Y39" s="30"/>
      <c r="Z39" s="30"/>
      <c r="AA39" s="29">
        <v>1</v>
      </c>
    </row>
    <row r="40" spans="1:33" ht="156.94999999999999" customHeight="1">
      <c r="A40" s="29" t="e" vm="36">
        <v>#VALUE!</v>
      </c>
      <c r="B40" s="29" t="str">
        <f t="shared" si="0"/>
        <v>DKYA04</v>
      </c>
      <c r="C40" s="41" t="s">
        <v>815</v>
      </c>
      <c r="E40" s="30">
        <v>1</v>
      </c>
      <c r="F40" s="30"/>
      <c r="M40" s="40" t="s">
        <v>854</v>
      </c>
      <c r="N40" s="50" t="s">
        <v>96</v>
      </c>
      <c r="O40" s="30" t="s">
        <v>445</v>
      </c>
      <c r="P40" s="30" t="s">
        <v>96</v>
      </c>
      <c r="Q40" s="29">
        <v>0.875</v>
      </c>
      <c r="R40" s="35">
        <f t="shared" si="3"/>
        <v>3.2664370078740164</v>
      </c>
      <c r="S40" s="30" t="s">
        <v>608</v>
      </c>
      <c r="T40" s="30" t="s">
        <v>21</v>
      </c>
      <c r="U40" s="32">
        <v>-8</v>
      </c>
      <c r="V40" s="30"/>
      <c r="Z40" s="30"/>
      <c r="AC40" s="30">
        <v>1</v>
      </c>
    </row>
    <row r="41" spans="1:33" ht="156.94999999999999" customHeight="1">
      <c r="A41" s="29" t="e" vm="37">
        <v>#VALUE!</v>
      </c>
      <c r="B41" s="29" t="str">
        <f t="shared" si="0"/>
        <v>DKYA05</v>
      </c>
      <c r="C41" s="41" t="s">
        <v>815</v>
      </c>
      <c r="D41" s="29">
        <v>1</v>
      </c>
      <c r="E41" s="30">
        <v>1</v>
      </c>
      <c r="F41" s="30"/>
      <c r="M41" s="40" t="s">
        <v>854</v>
      </c>
      <c r="N41" s="50" t="s">
        <v>30</v>
      </c>
      <c r="O41" s="30" t="s">
        <v>446</v>
      </c>
      <c r="P41" s="30" t="s">
        <v>56</v>
      </c>
      <c r="Q41" s="29">
        <v>0.192</v>
      </c>
      <c r="R41" s="35">
        <f>3.5/AQ2</f>
        <v>2.9694881889763782</v>
      </c>
      <c r="S41" s="30" t="s">
        <v>480</v>
      </c>
      <c r="T41" s="30" t="s">
        <v>480</v>
      </c>
      <c r="U41" s="32">
        <v>1</v>
      </c>
      <c r="V41" s="30"/>
      <c r="Z41" s="30"/>
      <c r="AA41" s="29">
        <v>1</v>
      </c>
      <c r="AB41" s="29">
        <v>1</v>
      </c>
      <c r="AC41" s="30">
        <v>1</v>
      </c>
    </row>
    <row r="42" spans="1:33" ht="156.94999999999999" customHeight="1">
      <c r="A42" s="29" t="e" vm="15">
        <v>#VALUE!</v>
      </c>
      <c r="B42" s="29" t="str">
        <f t="shared" si="0"/>
        <v>GNL05X</v>
      </c>
      <c r="C42" s="41" t="s">
        <v>815</v>
      </c>
      <c r="D42" s="29">
        <v>1</v>
      </c>
      <c r="E42" s="30">
        <v>1</v>
      </c>
      <c r="F42" s="30"/>
      <c r="J42" s="30"/>
      <c r="K42" s="30"/>
      <c r="L42" s="30"/>
      <c r="M42" s="31" t="s">
        <v>9</v>
      </c>
      <c r="N42" s="50" t="s">
        <v>9</v>
      </c>
      <c r="O42" s="30" t="s">
        <v>483</v>
      </c>
      <c r="P42" s="30" t="s">
        <v>9</v>
      </c>
      <c r="Q42" s="30">
        <v>0.01</v>
      </c>
      <c r="R42" s="36">
        <v>2</v>
      </c>
      <c r="S42" s="30" t="s">
        <v>608</v>
      </c>
      <c r="T42" s="30" t="s">
        <v>22</v>
      </c>
      <c r="U42" s="32">
        <v>195</v>
      </c>
      <c r="V42" s="30" t="s">
        <v>31</v>
      </c>
      <c r="Z42" s="30"/>
      <c r="AA42" s="29">
        <v>1</v>
      </c>
      <c r="AB42" s="29">
        <v>1</v>
      </c>
      <c r="AC42" s="30">
        <v>1</v>
      </c>
      <c r="AD42" s="30"/>
      <c r="AE42" s="30"/>
      <c r="AF42" s="30"/>
      <c r="AG42" s="30"/>
    </row>
    <row r="43" spans="1:33" ht="156.94999999999999" customHeight="1">
      <c r="A43" s="29" t="e" vm="6">
        <v>#VALUE!</v>
      </c>
      <c r="B43" s="29" t="str">
        <f t="shared" si="0"/>
        <v>GNL01X</v>
      </c>
      <c r="C43" s="41" t="s">
        <v>815</v>
      </c>
      <c r="D43" s="29">
        <v>1</v>
      </c>
      <c r="E43" s="30">
        <v>1</v>
      </c>
      <c r="F43" s="30"/>
      <c r="M43" s="31" t="s">
        <v>4</v>
      </c>
      <c r="N43" s="50" t="s">
        <v>3</v>
      </c>
      <c r="O43" s="30" t="s">
        <v>482</v>
      </c>
      <c r="P43" s="30" t="s">
        <v>917</v>
      </c>
      <c r="Q43" s="29">
        <v>2.5</v>
      </c>
      <c r="R43" s="35">
        <f>2.9/AQ2</f>
        <v>2.4604330708661419</v>
      </c>
      <c r="S43" s="30" t="s">
        <v>608</v>
      </c>
      <c r="T43" s="30" t="s">
        <v>21</v>
      </c>
      <c r="U43" s="32">
        <v>-120</v>
      </c>
      <c r="V43" s="30" t="s">
        <v>29</v>
      </c>
      <c r="Z43" s="30"/>
      <c r="AA43" s="29">
        <v>1</v>
      </c>
      <c r="AB43" s="29">
        <v>1</v>
      </c>
      <c r="AC43" s="30">
        <v>1</v>
      </c>
    </row>
    <row r="44" spans="1:33" ht="156.94999999999999" customHeight="1">
      <c r="A44" s="29" t="e" vm="38">
        <v>#VALUE!</v>
      </c>
      <c r="B44" s="29" t="str">
        <f t="shared" si="0"/>
        <v>DKYA06</v>
      </c>
      <c r="C44" s="41" t="s">
        <v>815</v>
      </c>
      <c r="D44" s="29">
        <v>1</v>
      </c>
      <c r="E44" s="30">
        <v>1</v>
      </c>
      <c r="F44" s="30"/>
      <c r="M44" s="31"/>
      <c r="N44" s="50" t="s">
        <v>58</v>
      </c>
      <c r="O44" s="30" t="s">
        <v>447</v>
      </c>
      <c r="P44" s="30" t="s">
        <v>57</v>
      </c>
      <c r="Q44" s="29">
        <v>0.1</v>
      </c>
      <c r="R44" s="35">
        <f>1.58/AQ2</f>
        <v>1.3405118110236223</v>
      </c>
      <c r="S44" s="30" t="s">
        <v>357</v>
      </c>
      <c r="T44" s="30" t="s">
        <v>357</v>
      </c>
      <c r="U44" s="32">
        <v>1</v>
      </c>
      <c r="V44" s="30"/>
      <c r="Z44" s="30"/>
      <c r="AA44" s="29">
        <v>1</v>
      </c>
      <c r="AB44" s="29">
        <v>1</v>
      </c>
      <c r="AC44" s="30">
        <v>1</v>
      </c>
    </row>
    <row r="45" spans="1:33" ht="156.94999999999999" customHeight="1">
      <c r="A45" s="29" t="e" vm="7">
        <v>#VALUE!</v>
      </c>
      <c r="B45" s="29" t="str">
        <f t="shared" si="0"/>
        <v>GNL03X</v>
      </c>
      <c r="C45" s="41" t="s">
        <v>815</v>
      </c>
      <c r="D45" s="29">
        <v>1</v>
      </c>
      <c r="E45" s="30">
        <v>1</v>
      </c>
      <c r="F45" s="30"/>
      <c r="M45" s="31"/>
      <c r="N45" s="50" t="s">
        <v>132</v>
      </c>
      <c r="O45" s="30" t="s">
        <v>682</v>
      </c>
      <c r="P45" s="30" t="s">
        <v>646</v>
      </c>
      <c r="Q45" s="29">
        <v>0.18</v>
      </c>
      <c r="R45" s="35">
        <f>0.69/AQ2</f>
        <v>0.58541338582677171</v>
      </c>
      <c r="S45" s="30" t="s">
        <v>608</v>
      </c>
      <c r="T45" s="30" t="s">
        <v>22</v>
      </c>
      <c r="U45" s="33">
        <v>-103</v>
      </c>
      <c r="V45" s="30"/>
      <c r="Z45" s="30"/>
      <c r="AA45" s="29">
        <v>1</v>
      </c>
      <c r="AB45" s="29">
        <v>1</v>
      </c>
      <c r="AC45" s="30">
        <v>1</v>
      </c>
    </row>
    <row r="46" spans="1:33" ht="156.94999999999999" customHeight="1">
      <c r="A46" s="29" t="e" vm="39">
        <v>#VALUE!</v>
      </c>
      <c r="B46" s="29" t="str">
        <f t="shared" si="0"/>
        <v>DKYA08</v>
      </c>
      <c r="C46" s="41" t="s">
        <v>815</v>
      </c>
      <c r="D46" s="29">
        <v>1</v>
      </c>
      <c r="E46" s="30">
        <v>1</v>
      </c>
      <c r="F46" s="30"/>
      <c r="M46" s="31"/>
      <c r="N46" s="50" t="s">
        <v>131</v>
      </c>
      <c r="O46" s="30" t="s">
        <v>449</v>
      </c>
      <c r="P46" s="30" t="s">
        <v>131</v>
      </c>
      <c r="Q46" s="30">
        <v>2E-3</v>
      </c>
      <c r="R46" s="35">
        <v>0.2</v>
      </c>
      <c r="S46" s="30" t="s">
        <v>357</v>
      </c>
      <c r="T46" s="30" t="s">
        <v>357</v>
      </c>
      <c r="U46" s="33" t="s">
        <v>638</v>
      </c>
      <c r="V46" s="30"/>
      <c r="Z46" s="30"/>
      <c r="AA46" s="29">
        <v>1</v>
      </c>
      <c r="AB46" s="29">
        <v>1</v>
      </c>
      <c r="AC46" s="30">
        <v>1</v>
      </c>
    </row>
    <row r="47" spans="1:33" ht="156.94999999999999" customHeight="1">
      <c r="A47" s="29" t="e" vm="40">
        <v>#VALUE!</v>
      </c>
      <c r="B47" s="29" t="str">
        <f t="shared" si="0"/>
        <v>DKYA09</v>
      </c>
      <c r="C47" s="41" t="s">
        <v>815</v>
      </c>
      <c r="D47" s="29">
        <v>1</v>
      </c>
      <c r="E47" s="30">
        <v>1</v>
      </c>
      <c r="F47" s="30"/>
      <c r="M47" s="31"/>
      <c r="N47" s="50" t="s">
        <v>60</v>
      </c>
      <c r="O47" s="30" t="s">
        <v>450</v>
      </c>
      <c r="P47" s="30" t="s">
        <v>59</v>
      </c>
      <c r="Q47" s="29">
        <v>0.02</v>
      </c>
      <c r="R47" s="35">
        <f>0.83/AQ2</f>
        <v>0.70419291338582679</v>
      </c>
      <c r="S47" s="30" t="s">
        <v>357</v>
      </c>
      <c r="T47" s="30" t="s">
        <v>357</v>
      </c>
      <c r="U47" s="32">
        <v>1</v>
      </c>
      <c r="V47" s="30"/>
      <c r="Z47" s="30"/>
      <c r="AA47" s="29">
        <v>1</v>
      </c>
      <c r="AB47" s="29">
        <v>1</v>
      </c>
      <c r="AC47" s="30">
        <v>1</v>
      </c>
    </row>
    <row r="48" spans="1:33" ht="156.94999999999999" customHeight="1">
      <c r="A48" s="29" t="e" vm="41">
        <v>#VALUE!</v>
      </c>
      <c r="B48" s="29" t="str">
        <f t="shared" si="0"/>
        <v>DKYA10</v>
      </c>
      <c r="C48" s="41" t="s">
        <v>815</v>
      </c>
      <c r="D48" s="29">
        <v>1</v>
      </c>
      <c r="E48" s="30">
        <v>1</v>
      </c>
      <c r="F48" s="30"/>
      <c r="M48" s="31"/>
      <c r="N48" s="50" t="s">
        <v>62</v>
      </c>
      <c r="O48" s="30" t="s">
        <v>451</v>
      </c>
      <c r="P48" s="30" t="s">
        <v>61</v>
      </c>
      <c r="Q48" s="29">
        <v>0.15</v>
      </c>
      <c r="R48" s="35">
        <f>0.9/AQ2</f>
        <v>0.76358267716535444</v>
      </c>
      <c r="S48" s="30" t="s">
        <v>357</v>
      </c>
      <c r="T48" s="30" t="s">
        <v>480</v>
      </c>
      <c r="U48" s="32">
        <v>1</v>
      </c>
      <c r="V48" s="30"/>
      <c r="Z48" s="30"/>
      <c r="AA48" s="29">
        <v>1</v>
      </c>
      <c r="AB48" s="29">
        <v>1</v>
      </c>
      <c r="AC48" s="30">
        <v>1</v>
      </c>
    </row>
    <row r="49" spans="1:33" ht="156.94999999999999" customHeight="1">
      <c r="A49" s="29" t="e" vm="42">
        <v>#VALUE!</v>
      </c>
      <c r="B49" s="29" t="str">
        <f t="shared" si="0"/>
        <v>DKYA11</v>
      </c>
      <c r="C49" s="41" t="s">
        <v>815</v>
      </c>
      <c r="D49" s="29">
        <v>1</v>
      </c>
      <c r="E49" s="30">
        <v>1</v>
      </c>
      <c r="F49" s="30"/>
      <c r="M49" s="40" t="s">
        <v>854</v>
      </c>
      <c r="N49" s="50" t="s">
        <v>64</v>
      </c>
      <c r="O49" s="30" t="s">
        <v>452</v>
      </c>
      <c r="P49" s="30" t="s">
        <v>63</v>
      </c>
      <c r="Q49" s="29">
        <v>0.71499999999999997</v>
      </c>
      <c r="R49" s="35">
        <f>(Q49*$AN$2)</f>
        <v>2.6691456692913391</v>
      </c>
      <c r="S49" s="30" t="s">
        <v>608</v>
      </c>
      <c r="T49" s="30" t="s">
        <v>21</v>
      </c>
      <c r="U49" s="32">
        <v>-122</v>
      </c>
      <c r="V49" s="30"/>
      <c r="Z49" s="30"/>
      <c r="AA49" s="29">
        <v>1</v>
      </c>
      <c r="AB49" s="29">
        <v>1</v>
      </c>
      <c r="AC49" s="30">
        <v>1</v>
      </c>
    </row>
    <row r="50" spans="1:33" ht="156.94999999999999" customHeight="1">
      <c r="A50" s="29" t="e" vm="43">
        <v>#VALUE!</v>
      </c>
      <c r="B50" s="29" t="str">
        <f t="shared" si="0"/>
        <v>DKYA12</v>
      </c>
      <c r="C50" s="41" t="s">
        <v>815</v>
      </c>
      <c r="D50" s="29">
        <v>1</v>
      </c>
      <c r="E50" s="30">
        <v>1</v>
      </c>
      <c r="F50" s="30"/>
      <c r="M50" s="31"/>
      <c r="N50" s="50" t="s">
        <v>97</v>
      </c>
      <c r="O50" s="30" t="s">
        <v>453</v>
      </c>
      <c r="P50" s="30" t="s">
        <v>65</v>
      </c>
      <c r="Q50" s="29">
        <v>2.5</v>
      </c>
      <c r="R50" s="35">
        <v>2</v>
      </c>
      <c r="S50" s="30" t="s">
        <v>608</v>
      </c>
      <c r="T50" s="30" t="s">
        <v>21</v>
      </c>
      <c r="U50" s="33">
        <v>-124</v>
      </c>
      <c r="V50" s="30"/>
      <c r="Z50" s="30"/>
      <c r="AA50" s="29">
        <v>1</v>
      </c>
      <c r="AB50" s="29">
        <v>1</v>
      </c>
      <c r="AC50" s="30">
        <v>1</v>
      </c>
    </row>
    <row r="51" spans="1:33" ht="156.94999999999999" customHeight="1">
      <c r="A51" s="29" t="e" vm="21">
        <v>#VALUE!</v>
      </c>
      <c r="B51" s="29" t="str">
        <f t="shared" si="0"/>
        <v>GNL08X</v>
      </c>
      <c r="C51" s="41" t="s">
        <v>815</v>
      </c>
      <c r="D51" s="29">
        <v>1</v>
      </c>
      <c r="E51" s="30">
        <v>1</v>
      </c>
      <c r="F51" s="30"/>
      <c r="M51" s="31" t="s">
        <v>11</v>
      </c>
      <c r="N51" s="50" t="s">
        <v>11</v>
      </c>
      <c r="O51" s="30" t="s">
        <v>484</v>
      </c>
      <c r="P51" s="30" t="s">
        <v>792</v>
      </c>
      <c r="Q51" s="29">
        <v>0.02</v>
      </c>
      <c r="R51" s="35">
        <v>1</v>
      </c>
      <c r="S51" s="30" t="s">
        <v>480</v>
      </c>
      <c r="T51" s="30" t="s">
        <v>480</v>
      </c>
      <c r="U51" s="32">
        <v>1</v>
      </c>
      <c r="V51" s="30"/>
      <c r="Z51" s="30"/>
      <c r="AA51" s="29">
        <v>1</v>
      </c>
      <c r="AB51" s="29">
        <v>1</v>
      </c>
      <c r="AC51" s="30">
        <v>1</v>
      </c>
    </row>
    <row r="52" spans="1:33" ht="156.94999999999999" customHeight="1">
      <c r="A52" s="29" t="e" vm="44">
        <v>#VALUE!</v>
      </c>
      <c r="B52" s="29" t="str">
        <f t="shared" si="0"/>
        <v>GNL09</v>
      </c>
      <c r="C52" s="41" t="s">
        <v>815</v>
      </c>
      <c r="D52" s="29">
        <v>1</v>
      </c>
      <c r="E52" s="30">
        <v>1</v>
      </c>
      <c r="F52" s="30"/>
      <c r="M52" s="31"/>
      <c r="N52" s="50" t="s">
        <v>66</v>
      </c>
      <c r="O52" s="30" t="s">
        <v>458</v>
      </c>
      <c r="P52" s="30" t="s">
        <v>66</v>
      </c>
      <c r="Q52" s="29">
        <v>0.01</v>
      </c>
      <c r="R52" s="35">
        <f>0.06/AQ2</f>
        <v>5.0905511811023624E-2</v>
      </c>
      <c r="S52" s="30" t="s">
        <v>608</v>
      </c>
      <c r="T52" s="30" t="s">
        <v>21</v>
      </c>
      <c r="U52" s="32">
        <v>-122</v>
      </c>
      <c r="V52" s="30"/>
      <c r="Z52" s="30"/>
      <c r="AA52" s="29">
        <v>1</v>
      </c>
      <c r="AB52" s="29">
        <v>1</v>
      </c>
      <c r="AC52" s="30">
        <v>1</v>
      </c>
    </row>
    <row r="53" spans="1:33" ht="156.94999999999999" customHeight="1">
      <c r="A53" s="29" t="e" vm="19">
        <v>#VALUE!</v>
      </c>
      <c r="B53" s="29" t="str">
        <f t="shared" si="0"/>
        <v>GNL07X</v>
      </c>
      <c r="C53" s="41" t="s">
        <v>815</v>
      </c>
      <c r="D53" s="29">
        <v>1</v>
      </c>
      <c r="E53" s="30">
        <v>1</v>
      </c>
      <c r="F53" s="30"/>
      <c r="J53" s="30"/>
      <c r="K53" s="30"/>
      <c r="L53" s="30"/>
      <c r="M53" s="31" t="s">
        <v>42</v>
      </c>
      <c r="N53" s="50" t="s">
        <v>42</v>
      </c>
      <c r="O53" s="30" t="s">
        <v>485</v>
      </c>
      <c r="P53" s="30" t="s">
        <v>42</v>
      </c>
      <c r="Q53" s="30">
        <v>0.02</v>
      </c>
      <c r="R53" s="36">
        <f>4/AM4</f>
        <v>7.874015748031496E-2</v>
      </c>
      <c r="S53" s="30" t="s">
        <v>608</v>
      </c>
      <c r="T53" s="30" t="s">
        <v>21</v>
      </c>
      <c r="U53" s="32" t="s">
        <v>486</v>
      </c>
      <c r="V53" s="30" t="s">
        <v>32</v>
      </c>
      <c r="Z53" s="30"/>
      <c r="AA53" s="29">
        <v>1</v>
      </c>
      <c r="AB53" s="29">
        <v>1</v>
      </c>
      <c r="AC53" s="30">
        <v>1</v>
      </c>
      <c r="AD53" s="30"/>
      <c r="AE53" s="30"/>
      <c r="AF53" s="30"/>
      <c r="AG53" s="30"/>
    </row>
    <row r="54" spans="1:33" ht="156.94999999999999" customHeight="1">
      <c r="A54" s="29" t="e" vm="45">
        <v>#VALUE!</v>
      </c>
      <c r="B54" s="29" t="str">
        <f t="shared" si="0"/>
        <v>DKYA13</v>
      </c>
      <c r="C54" s="41" t="s">
        <v>815</v>
      </c>
      <c r="D54" s="29">
        <v>1</v>
      </c>
      <c r="E54" s="30">
        <v>1</v>
      </c>
      <c r="F54" s="30"/>
      <c r="M54" s="31"/>
      <c r="N54" s="50" t="s">
        <v>68</v>
      </c>
      <c r="O54" s="30" t="s">
        <v>454</v>
      </c>
      <c r="P54" s="30" t="s">
        <v>67</v>
      </c>
      <c r="Q54" s="29">
        <v>1.6E-2</v>
      </c>
      <c r="R54" s="35">
        <f>0.49/AQ2</f>
        <v>0.41572834645669293</v>
      </c>
      <c r="S54" s="30" t="s">
        <v>357</v>
      </c>
      <c r="T54" s="30" t="s">
        <v>683</v>
      </c>
      <c r="U54" s="32">
        <v>2</v>
      </c>
      <c r="V54" s="30"/>
      <c r="Z54" s="30"/>
      <c r="AA54" s="29">
        <v>1</v>
      </c>
      <c r="AB54" s="29">
        <v>1</v>
      </c>
      <c r="AC54" s="30">
        <v>1</v>
      </c>
    </row>
    <row r="55" spans="1:33" ht="156.94999999999999" customHeight="1">
      <c r="A55" s="29" t="e" vm="46">
        <v>#VALUE!</v>
      </c>
      <c r="B55" s="29" t="str">
        <f t="shared" si="0"/>
        <v>DKYA14</v>
      </c>
      <c r="C55" s="41" t="s">
        <v>815</v>
      </c>
      <c r="D55" s="29">
        <v>1</v>
      </c>
      <c r="E55" s="30">
        <v>1</v>
      </c>
      <c r="F55" s="30"/>
      <c r="M55" s="40" t="s">
        <v>854</v>
      </c>
      <c r="N55" s="50" t="s">
        <v>70</v>
      </c>
      <c r="O55" s="30" t="s">
        <v>455</v>
      </c>
      <c r="P55" s="30" t="s">
        <v>69</v>
      </c>
      <c r="Q55" s="29">
        <v>0.75600000000000001</v>
      </c>
      <c r="R55" s="35">
        <f>(Q55*$AN$2)</f>
        <v>2.8222015748031501</v>
      </c>
      <c r="S55" s="30" t="s">
        <v>608</v>
      </c>
      <c r="T55" s="30" t="s">
        <v>22</v>
      </c>
      <c r="U55" s="32">
        <v>-108</v>
      </c>
      <c r="V55" s="30"/>
      <c r="Z55" s="30"/>
      <c r="AA55" s="29">
        <v>1</v>
      </c>
      <c r="AB55" s="29">
        <v>1</v>
      </c>
      <c r="AC55" s="30">
        <v>1</v>
      </c>
    </row>
    <row r="56" spans="1:33" ht="156.94999999999999" customHeight="1">
      <c r="A56" s="29" t="e" vm="47">
        <v>#VALUE!</v>
      </c>
      <c r="B56" s="29" t="str">
        <f t="shared" si="0"/>
        <v>DKYA15</v>
      </c>
      <c r="C56" s="41" t="s">
        <v>815</v>
      </c>
      <c r="D56" s="29">
        <v>1</v>
      </c>
      <c r="E56" s="30">
        <v>1</v>
      </c>
      <c r="F56" s="30"/>
      <c r="M56" s="40" t="s">
        <v>854</v>
      </c>
      <c r="N56" s="50" t="s">
        <v>72</v>
      </c>
      <c r="O56" s="30" t="s">
        <v>456</v>
      </c>
      <c r="P56" s="30" t="s">
        <v>71</v>
      </c>
      <c r="Q56" s="29">
        <v>0.378</v>
      </c>
      <c r="R56" s="35">
        <f>(Q56*$AN$2)</f>
        <v>1.4111007874015751</v>
      </c>
      <c r="S56" s="30" t="s">
        <v>608</v>
      </c>
      <c r="T56" s="30" t="s">
        <v>22</v>
      </c>
      <c r="U56" s="32">
        <v>-108</v>
      </c>
      <c r="V56" s="30"/>
      <c r="Z56" s="30"/>
      <c r="AA56" s="29">
        <v>1</v>
      </c>
      <c r="AB56" s="29">
        <v>1</v>
      </c>
      <c r="AC56" s="30">
        <v>1</v>
      </c>
    </row>
    <row r="57" spans="1:33" ht="156.94999999999999" customHeight="1">
      <c r="A57" s="29" t="e" vm="48">
        <v>#VALUE!</v>
      </c>
      <c r="B57" s="29" t="str">
        <f t="shared" si="0"/>
        <v>DKYA16</v>
      </c>
      <c r="C57" s="41" t="s">
        <v>815</v>
      </c>
      <c r="D57" s="29">
        <v>1</v>
      </c>
      <c r="E57" s="30">
        <v>1</v>
      </c>
      <c r="F57" s="30"/>
      <c r="M57" s="31"/>
      <c r="N57" s="50" t="s">
        <v>74</v>
      </c>
      <c r="O57" s="30" t="s">
        <v>457</v>
      </c>
      <c r="P57" s="30" t="s">
        <v>73</v>
      </c>
      <c r="Q57" s="29">
        <v>8.0000000000000002E-3</v>
      </c>
      <c r="R57" s="35">
        <f>0.4/AQ2</f>
        <v>0.33937007874015751</v>
      </c>
      <c r="S57" s="30" t="s">
        <v>480</v>
      </c>
      <c r="T57" s="30" t="s">
        <v>480</v>
      </c>
      <c r="U57" s="32">
        <v>1</v>
      </c>
      <c r="V57" s="30"/>
      <c r="Z57" s="30"/>
      <c r="AA57" s="29">
        <v>1</v>
      </c>
      <c r="AB57" s="29">
        <v>1</v>
      </c>
      <c r="AC57" s="30">
        <v>1</v>
      </c>
    </row>
    <row r="58" spans="1:33" ht="156.94999999999999" customHeight="1">
      <c r="A58" s="29" t="e" vm="49">
        <v>#VALUE!</v>
      </c>
      <c r="B58" s="29" t="str">
        <f t="shared" si="0"/>
        <v>GNL10</v>
      </c>
      <c r="C58" s="41" t="s">
        <v>815</v>
      </c>
      <c r="D58" s="29">
        <v>1</v>
      </c>
      <c r="E58" s="30">
        <v>1</v>
      </c>
      <c r="F58" s="30"/>
      <c r="M58" s="31"/>
      <c r="N58" s="50" t="s">
        <v>78</v>
      </c>
      <c r="O58" s="30" t="s">
        <v>459</v>
      </c>
      <c r="P58" s="30" t="s">
        <v>77</v>
      </c>
      <c r="Q58" s="29">
        <v>7.0000000000000007E-2</v>
      </c>
      <c r="R58" s="35">
        <f>0.92/AQ2</f>
        <v>0.78055118110236232</v>
      </c>
      <c r="S58" s="30" t="s">
        <v>357</v>
      </c>
      <c r="T58" s="30" t="s">
        <v>357</v>
      </c>
      <c r="U58" s="32">
        <v>2</v>
      </c>
      <c r="V58" s="30"/>
      <c r="Z58" s="30"/>
      <c r="AA58" s="29">
        <v>1</v>
      </c>
      <c r="AB58" s="29">
        <v>1</v>
      </c>
      <c r="AC58" s="30">
        <v>1</v>
      </c>
    </row>
    <row r="59" spans="1:33" ht="156.94999999999999" customHeight="1">
      <c r="A59" s="29" t="e" vm="50">
        <v>#VALUE!</v>
      </c>
      <c r="B59" s="29" t="str">
        <f t="shared" si="0"/>
        <v>GNL11</v>
      </c>
      <c r="C59" s="41" t="s">
        <v>815</v>
      </c>
      <c r="D59" s="29">
        <v>1</v>
      </c>
      <c r="E59" s="30">
        <v>1</v>
      </c>
      <c r="F59" s="30"/>
      <c r="M59" s="31"/>
      <c r="N59" s="50" t="s">
        <v>40</v>
      </c>
      <c r="O59" s="30" t="s">
        <v>476</v>
      </c>
      <c r="P59" s="30">
        <v>9761001</v>
      </c>
      <c r="Q59" s="29">
        <v>7.6999999999999999E-2</v>
      </c>
      <c r="R59" s="35">
        <v>1.45</v>
      </c>
      <c r="S59" s="30" t="s">
        <v>357</v>
      </c>
      <c r="T59" s="30" t="s">
        <v>357</v>
      </c>
      <c r="U59" s="32">
        <v>1</v>
      </c>
      <c r="V59" s="30"/>
      <c r="Z59" s="30"/>
      <c r="AA59" s="29">
        <v>1</v>
      </c>
      <c r="AB59" s="29">
        <v>1</v>
      </c>
      <c r="AC59" s="30">
        <v>1</v>
      </c>
    </row>
    <row r="60" spans="1:33" ht="156.94999999999999" customHeight="1">
      <c r="A60" s="28"/>
      <c r="B60" s="29">
        <f t="shared" si="0"/>
        <v>0</v>
      </c>
      <c r="E60" s="30"/>
      <c r="F60" s="30"/>
      <c r="M60" s="31"/>
      <c r="N60" s="31"/>
      <c r="O60" s="30"/>
      <c r="P60" s="30"/>
      <c r="T60" s="30"/>
      <c r="U60" s="32"/>
      <c r="V60" s="30"/>
      <c r="Y60" s="30"/>
      <c r="Z60" s="30"/>
    </row>
    <row r="61" spans="1:33" ht="156.94999999999999" customHeight="1">
      <c r="A61" s="29" t="e" vm="51">
        <v>#VALUE!</v>
      </c>
      <c r="B61" s="29" t="str">
        <f t="shared" si="0"/>
        <v>DKYB01</v>
      </c>
      <c r="C61" s="41" t="s">
        <v>812</v>
      </c>
      <c r="E61" s="30"/>
      <c r="F61" s="30">
        <v>1</v>
      </c>
      <c r="G61" s="29">
        <v>1</v>
      </c>
      <c r="H61" s="29">
        <v>1</v>
      </c>
      <c r="K61" s="29">
        <v>1</v>
      </c>
      <c r="L61" s="29">
        <v>1</v>
      </c>
      <c r="M61" s="31" t="s">
        <v>854</v>
      </c>
      <c r="N61" s="51" t="s">
        <v>54</v>
      </c>
      <c r="O61" s="30" t="s">
        <v>460</v>
      </c>
      <c r="P61" s="30" t="s">
        <v>83</v>
      </c>
      <c r="Q61" s="29">
        <v>1.3</v>
      </c>
      <c r="R61" s="35">
        <f>(Q61*$AN$2)</f>
        <v>4.8529921259842528</v>
      </c>
      <c r="S61" s="30" t="s">
        <v>608</v>
      </c>
      <c r="T61" s="30" t="s">
        <v>21</v>
      </c>
      <c r="U61" s="32">
        <v>-8</v>
      </c>
      <c r="V61" s="36"/>
      <c r="W61" s="30">
        <v>1</v>
      </c>
      <c r="X61" s="29">
        <v>1</v>
      </c>
      <c r="Y61" s="29">
        <v>1</v>
      </c>
    </row>
    <row r="62" spans="1:33" ht="156.94999999999999" customHeight="1">
      <c r="A62" s="29" t="e" vm="52">
        <v>#VALUE!</v>
      </c>
      <c r="B62" s="29" t="str">
        <f t="shared" si="0"/>
        <v>DKYB02</v>
      </c>
      <c r="C62" s="41" t="s">
        <v>812</v>
      </c>
      <c r="E62" s="30"/>
      <c r="F62" s="30">
        <v>1</v>
      </c>
      <c r="M62" s="31" t="s">
        <v>854</v>
      </c>
      <c r="N62" s="51" t="s">
        <v>79</v>
      </c>
      <c r="O62" s="30" t="s">
        <v>461</v>
      </c>
      <c r="P62" s="30" t="s">
        <v>84</v>
      </c>
      <c r="Q62" s="29">
        <v>1.02</v>
      </c>
      <c r="R62" s="35">
        <f t="shared" ref="R62:R64" si="4">(Q62*$AN$2)</f>
        <v>3.8077322834645679</v>
      </c>
      <c r="S62" s="30" t="s">
        <v>608</v>
      </c>
      <c r="T62" s="30" t="s">
        <v>21</v>
      </c>
      <c r="U62" s="32">
        <v>-8</v>
      </c>
      <c r="V62" s="30"/>
      <c r="W62" s="30">
        <v>1</v>
      </c>
      <c r="Y62" s="30"/>
    </row>
    <row r="63" spans="1:33" ht="156.94999999999999" customHeight="1">
      <c r="A63" s="29" t="e" vm="53">
        <v>#VALUE!</v>
      </c>
      <c r="B63" s="29" t="str">
        <f t="shared" si="0"/>
        <v>DKYB03</v>
      </c>
      <c r="C63" s="41" t="s">
        <v>812</v>
      </c>
      <c r="E63" s="30"/>
      <c r="F63" s="30"/>
      <c r="H63" s="29">
        <v>1</v>
      </c>
      <c r="M63" s="31" t="s">
        <v>854</v>
      </c>
      <c r="N63" s="51" t="s">
        <v>80</v>
      </c>
      <c r="O63" s="30" t="s">
        <v>462</v>
      </c>
      <c r="P63" s="30" t="s">
        <v>80</v>
      </c>
      <c r="Q63" s="29">
        <v>1.02</v>
      </c>
      <c r="R63" s="35">
        <f t="shared" si="4"/>
        <v>3.8077322834645679</v>
      </c>
      <c r="S63" s="30" t="s">
        <v>608</v>
      </c>
      <c r="T63" s="30" t="s">
        <v>21</v>
      </c>
      <c r="U63" s="32">
        <v>-8</v>
      </c>
      <c r="V63" s="30"/>
      <c r="X63" s="29">
        <v>1</v>
      </c>
      <c r="Y63" s="30"/>
      <c r="Z63" s="30"/>
    </row>
    <row r="64" spans="1:33" ht="156.94999999999999" customHeight="1">
      <c r="A64" s="29" t="e" vm="54">
        <v>#VALUE!</v>
      </c>
      <c r="B64" s="29" t="str">
        <f t="shared" si="0"/>
        <v>DKYB04</v>
      </c>
      <c r="C64" s="41" t="s">
        <v>812</v>
      </c>
      <c r="E64" s="30"/>
      <c r="F64" s="30"/>
      <c r="G64" s="29">
        <v>1</v>
      </c>
      <c r="M64" s="31" t="s">
        <v>854</v>
      </c>
      <c r="N64" s="51" t="s">
        <v>81</v>
      </c>
      <c r="O64" s="30" t="s">
        <v>463</v>
      </c>
      <c r="P64" s="30" t="s">
        <v>81</v>
      </c>
      <c r="Q64" s="29">
        <v>1.02</v>
      </c>
      <c r="R64" s="35">
        <f t="shared" si="4"/>
        <v>3.8077322834645679</v>
      </c>
      <c r="S64" s="30" t="s">
        <v>608</v>
      </c>
      <c r="T64" s="30" t="s">
        <v>21</v>
      </c>
      <c r="U64" s="32">
        <v>-8</v>
      </c>
      <c r="V64" s="30"/>
      <c r="Y64" s="29">
        <v>1</v>
      </c>
      <c r="Z64" s="30"/>
    </row>
    <row r="65" spans="1:33" ht="156.94999999999999" customHeight="1">
      <c r="A65" s="29" t="e" vm="18">
        <v>#VALUE!</v>
      </c>
      <c r="B65" s="29" t="str">
        <f t="shared" si="0"/>
        <v>GNL06Y</v>
      </c>
      <c r="C65" s="41" t="s">
        <v>812</v>
      </c>
      <c r="E65" s="30"/>
      <c r="F65" s="30">
        <v>1</v>
      </c>
      <c r="G65" s="29">
        <v>1</v>
      </c>
      <c r="H65" s="29">
        <v>1</v>
      </c>
      <c r="J65" s="32"/>
      <c r="K65" s="32"/>
      <c r="L65" s="32"/>
      <c r="M65" s="31" t="s">
        <v>5</v>
      </c>
      <c r="N65" s="51" t="s">
        <v>41</v>
      </c>
      <c r="O65" s="30" t="s">
        <v>489</v>
      </c>
      <c r="P65" s="30" t="s">
        <v>41</v>
      </c>
      <c r="Q65" s="30">
        <v>2E-3</v>
      </c>
      <c r="R65" s="35">
        <v>7.0000000000000007E-2</v>
      </c>
      <c r="S65" s="30" t="s">
        <v>357</v>
      </c>
      <c r="T65" s="30" t="s">
        <v>357</v>
      </c>
      <c r="U65" s="33" t="s">
        <v>638</v>
      </c>
      <c r="V65" s="30" t="s">
        <v>28</v>
      </c>
      <c r="W65" s="30">
        <v>1</v>
      </c>
      <c r="X65" s="29">
        <v>1</v>
      </c>
      <c r="Y65" s="29">
        <v>1</v>
      </c>
      <c r="AD65" s="32"/>
      <c r="AE65" s="32"/>
      <c r="AF65" s="32"/>
      <c r="AG65" s="30"/>
    </row>
    <row r="66" spans="1:33" ht="156.94999999999999" customHeight="1">
      <c r="A66" s="29" t="e" vm="6">
        <v>#VALUE!</v>
      </c>
      <c r="B66" s="29" t="str">
        <f t="shared" si="0"/>
        <v>GNL01Y</v>
      </c>
      <c r="C66" s="41" t="s">
        <v>812</v>
      </c>
      <c r="E66" s="30"/>
      <c r="F66" s="30">
        <v>1</v>
      </c>
      <c r="G66" s="29">
        <v>1</v>
      </c>
      <c r="H66" s="29">
        <v>1</v>
      </c>
      <c r="J66" s="29">
        <v>1</v>
      </c>
      <c r="M66" s="31" t="s">
        <v>4</v>
      </c>
      <c r="N66" s="51" t="s">
        <v>3</v>
      </c>
      <c r="O66" s="30" t="s">
        <v>490</v>
      </c>
      <c r="P66" s="30" t="s">
        <v>917</v>
      </c>
      <c r="Q66" s="29">
        <v>2.5</v>
      </c>
      <c r="R66" s="35">
        <f>2.9/AQ2</f>
        <v>2.4604330708661419</v>
      </c>
      <c r="S66" s="30" t="s">
        <v>608</v>
      </c>
      <c r="T66" s="30" t="s">
        <v>21</v>
      </c>
      <c r="U66" s="32">
        <v>-108</v>
      </c>
      <c r="V66" s="30" t="s">
        <v>29</v>
      </c>
      <c r="W66" s="30">
        <v>1</v>
      </c>
      <c r="X66" s="29">
        <v>1</v>
      </c>
      <c r="Y66" s="29">
        <v>1</v>
      </c>
    </row>
    <row r="67" spans="1:33" ht="156.94999999999999" customHeight="1">
      <c r="A67" s="29" t="e" vm="49">
        <v>#VALUE!</v>
      </c>
      <c r="B67" s="29" t="str">
        <f t="shared" ref="B67:B130" si="5">O67</f>
        <v>GNL10Y</v>
      </c>
      <c r="C67" s="41" t="s">
        <v>812</v>
      </c>
      <c r="E67" s="30"/>
      <c r="F67" s="30">
        <v>1</v>
      </c>
      <c r="G67" s="29">
        <v>1</v>
      </c>
      <c r="H67" s="29">
        <v>1</v>
      </c>
      <c r="M67" s="31"/>
      <c r="N67" s="51" t="s">
        <v>644</v>
      </c>
      <c r="O67" s="30" t="s">
        <v>491</v>
      </c>
      <c r="P67" s="30" t="s">
        <v>645</v>
      </c>
      <c r="Q67" s="29">
        <v>7.0000000000000007E-2</v>
      </c>
      <c r="R67" s="35">
        <v>0.86</v>
      </c>
      <c r="S67" s="30" t="s">
        <v>357</v>
      </c>
      <c r="T67" s="30" t="s">
        <v>357</v>
      </c>
      <c r="U67" s="32">
        <v>1</v>
      </c>
      <c r="V67" s="30"/>
      <c r="W67" s="30">
        <v>1</v>
      </c>
      <c r="X67" s="29">
        <v>1</v>
      </c>
      <c r="Y67" s="29">
        <v>1</v>
      </c>
    </row>
    <row r="68" spans="1:33" ht="156.94999999999999" customHeight="1">
      <c r="A68" s="29" t="e" vm="50">
        <v>#VALUE!</v>
      </c>
      <c r="B68" s="29" t="str">
        <f t="shared" si="5"/>
        <v>GNL11Y</v>
      </c>
      <c r="C68" s="41" t="s">
        <v>812</v>
      </c>
      <c r="E68" s="30"/>
      <c r="F68" s="30">
        <v>1</v>
      </c>
      <c r="G68" s="29">
        <v>1</v>
      </c>
      <c r="H68" s="29">
        <v>1</v>
      </c>
      <c r="M68" s="31"/>
      <c r="N68" s="51" t="s">
        <v>40</v>
      </c>
      <c r="O68" s="30" t="s">
        <v>492</v>
      </c>
      <c r="P68" s="30">
        <v>9761001</v>
      </c>
      <c r="Q68" s="29">
        <v>7.6999999999999999E-2</v>
      </c>
      <c r="R68" s="35">
        <v>0.5</v>
      </c>
      <c r="S68" s="30" t="s">
        <v>357</v>
      </c>
      <c r="T68" s="30" t="s">
        <v>357</v>
      </c>
      <c r="U68" s="32">
        <v>1</v>
      </c>
      <c r="V68" s="30"/>
      <c r="W68" s="30">
        <v>1</v>
      </c>
      <c r="X68" s="29">
        <v>1</v>
      </c>
      <c r="Y68" s="29">
        <v>1</v>
      </c>
    </row>
    <row r="69" spans="1:33" ht="156.94999999999999" customHeight="1">
      <c r="A69" s="29" t="e" vm="15">
        <v>#VALUE!</v>
      </c>
      <c r="B69" s="29" t="str">
        <f t="shared" si="5"/>
        <v>GNL05Y</v>
      </c>
      <c r="C69" s="41" t="s">
        <v>812</v>
      </c>
      <c r="E69" s="30"/>
      <c r="F69" s="30">
        <v>1</v>
      </c>
      <c r="G69" s="29">
        <v>1</v>
      </c>
      <c r="H69" s="29">
        <v>1</v>
      </c>
      <c r="J69" s="30"/>
      <c r="K69" s="30"/>
      <c r="L69" s="30"/>
      <c r="M69" s="31" t="s">
        <v>9</v>
      </c>
      <c r="N69" s="51" t="s">
        <v>9</v>
      </c>
      <c r="O69" s="30" t="s">
        <v>493</v>
      </c>
      <c r="P69" s="30" t="s">
        <v>9</v>
      </c>
      <c r="Q69" s="30">
        <v>0.01</v>
      </c>
      <c r="R69" s="36">
        <v>1.1499999999999999</v>
      </c>
      <c r="S69" s="30" t="s">
        <v>608</v>
      </c>
      <c r="T69" s="30" t="s">
        <v>22</v>
      </c>
      <c r="U69" s="32">
        <v>190</v>
      </c>
      <c r="V69" s="30" t="s">
        <v>31</v>
      </c>
      <c r="W69" s="30">
        <v>1</v>
      </c>
      <c r="X69" s="29">
        <v>1</v>
      </c>
      <c r="Y69" s="29">
        <v>1</v>
      </c>
      <c r="AD69" s="30"/>
      <c r="AE69" s="30"/>
      <c r="AF69" s="30"/>
      <c r="AG69" s="30"/>
    </row>
    <row r="70" spans="1:33" ht="156.94999999999999" customHeight="1">
      <c r="A70" s="29" t="e" vm="7">
        <v>#VALUE!</v>
      </c>
      <c r="B70" s="29" t="str">
        <f t="shared" si="5"/>
        <v>GNL03Y</v>
      </c>
      <c r="C70" s="41" t="s">
        <v>812</v>
      </c>
      <c r="E70" s="30"/>
      <c r="F70" s="30">
        <v>1</v>
      </c>
      <c r="G70" s="29">
        <v>1</v>
      </c>
      <c r="H70" s="29">
        <v>1</v>
      </c>
      <c r="M70" s="31" t="s">
        <v>5</v>
      </c>
      <c r="N70" s="51" t="s">
        <v>982</v>
      </c>
      <c r="O70" s="30" t="s">
        <v>494</v>
      </c>
      <c r="P70" s="30" t="s">
        <v>646</v>
      </c>
      <c r="Q70" s="29">
        <v>0.12</v>
      </c>
      <c r="R70" s="35">
        <v>0.6</v>
      </c>
      <c r="S70" s="30" t="s">
        <v>608</v>
      </c>
      <c r="T70" s="30" t="s">
        <v>22</v>
      </c>
      <c r="U70" s="33">
        <v>-120</v>
      </c>
      <c r="V70" s="30" t="s">
        <v>28</v>
      </c>
      <c r="W70" s="30">
        <v>1</v>
      </c>
      <c r="X70" s="29">
        <v>1</v>
      </c>
      <c r="Y70" s="29">
        <v>1</v>
      </c>
    </row>
    <row r="71" spans="1:33" ht="156.94999999999999" customHeight="1">
      <c r="A71" s="29" t="e" vm="21">
        <v>#VALUE!</v>
      </c>
      <c r="B71" s="29" t="str">
        <f t="shared" si="5"/>
        <v>GNL08Y</v>
      </c>
      <c r="C71" s="41" t="s">
        <v>812</v>
      </c>
      <c r="E71" s="30"/>
      <c r="F71" s="30">
        <v>1</v>
      </c>
      <c r="G71" s="29">
        <v>1</v>
      </c>
      <c r="H71" s="29">
        <v>1</v>
      </c>
      <c r="M71" s="31" t="s">
        <v>11</v>
      </c>
      <c r="N71" s="51" t="s">
        <v>11</v>
      </c>
      <c r="O71" s="30" t="s">
        <v>495</v>
      </c>
      <c r="P71" s="30" t="s">
        <v>793</v>
      </c>
      <c r="Q71" s="29">
        <v>0.02</v>
      </c>
      <c r="R71" s="35">
        <v>1</v>
      </c>
      <c r="S71" s="30" t="s">
        <v>480</v>
      </c>
      <c r="T71" s="30" t="s">
        <v>480</v>
      </c>
      <c r="U71" s="32">
        <v>1</v>
      </c>
      <c r="V71" s="30"/>
      <c r="W71" s="30">
        <v>1</v>
      </c>
      <c r="X71" s="29">
        <v>1</v>
      </c>
      <c r="Y71" s="29">
        <v>1</v>
      </c>
    </row>
    <row r="72" spans="1:33" ht="156.94999999999999" customHeight="1">
      <c r="A72" s="29" t="e" vm="44">
        <v>#VALUE!</v>
      </c>
      <c r="B72" s="29" t="str">
        <f t="shared" si="5"/>
        <v>GNL09Y</v>
      </c>
      <c r="C72" s="41" t="s">
        <v>812</v>
      </c>
      <c r="E72" s="30"/>
      <c r="F72" s="30">
        <v>1</v>
      </c>
      <c r="G72" s="29">
        <v>1</v>
      </c>
      <c r="H72" s="29">
        <v>1</v>
      </c>
      <c r="M72" s="31"/>
      <c r="N72" s="51" t="s">
        <v>66</v>
      </c>
      <c r="O72" s="30" t="s">
        <v>496</v>
      </c>
      <c r="P72" s="30" t="s">
        <v>66</v>
      </c>
      <c r="Q72" s="29">
        <v>0.01</v>
      </c>
      <c r="R72" s="35">
        <v>0.08</v>
      </c>
      <c r="S72" s="30" t="s">
        <v>608</v>
      </c>
      <c r="T72" s="30" t="s">
        <v>21</v>
      </c>
      <c r="U72" s="32">
        <v>-112</v>
      </c>
      <c r="V72" s="30"/>
      <c r="W72" s="30">
        <v>1</v>
      </c>
      <c r="X72" s="29">
        <v>1</v>
      </c>
      <c r="Y72" s="29">
        <v>1</v>
      </c>
    </row>
    <row r="73" spans="1:33" ht="156.94999999999999" customHeight="1">
      <c r="A73" s="29" t="e" vm="19">
        <v>#VALUE!</v>
      </c>
      <c r="B73" s="29" t="str">
        <f t="shared" si="5"/>
        <v>GNL07Y</v>
      </c>
      <c r="C73" s="41" t="s">
        <v>812</v>
      </c>
      <c r="E73" s="30"/>
      <c r="F73" s="30">
        <v>1</v>
      </c>
      <c r="G73" s="29">
        <v>1</v>
      </c>
      <c r="H73" s="29">
        <v>1</v>
      </c>
      <c r="J73" s="30"/>
      <c r="K73" s="30"/>
      <c r="L73" s="30"/>
      <c r="M73" s="31" t="s">
        <v>42</v>
      </c>
      <c r="N73" s="51" t="s">
        <v>42</v>
      </c>
      <c r="O73" s="30" t="s">
        <v>488</v>
      </c>
      <c r="P73" s="30" t="s">
        <v>42</v>
      </c>
      <c r="Q73" s="30">
        <v>0.02</v>
      </c>
      <c r="R73" s="36">
        <f>4/AM4</f>
        <v>7.874015748031496E-2</v>
      </c>
      <c r="S73" s="30" t="s">
        <v>608</v>
      </c>
      <c r="T73" s="30" t="s">
        <v>21</v>
      </c>
      <c r="U73" s="32" t="s">
        <v>487</v>
      </c>
      <c r="V73" s="30" t="s">
        <v>32</v>
      </c>
      <c r="W73" s="30">
        <v>1</v>
      </c>
      <c r="X73" s="29">
        <v>1</v>
      </c>
      <c r="Y73" s="29">
        <v>1</v>
      </c>
      <c r="AD73" s="30"/>
      <c r="AE73" s="30"/>
      <c r="AF73" s="30"/>
      <c r="AG73" s="30"/>
    </row>
    <row r="74" spans="1:33" ht="156.94999999999999" customHeight="1">
      <c r="A74" s="29" t="e" vm="55">
        <v>#VALUE!</v>
      </c>
      <c r="B74" s="29" t="str">
        <f t="shared" si="5"/>
        <v>DKYB05</v>
      </c>
      <c r="C74" s="41" t="s">
        <v>812</v>
      </c>
      <c r="E74" s="30"/>
      <c r="F74" s="30">
        <v>1</v>
      </c>
      <c r="G74" s="29">
        <v>1</v>
      </c>
      <c r="H74" s="29">
        <v>1</v>
      </c>
      <c r="M74" s="31" t="s">
        <v>854</v>
      </c>
      <c r="N74" s="51" t="s">
        <v>30</v>
      </c>
      <c r="O74" s="30" t="s">
        <v>464</v>
      </c>
      <c r="P74" s="30" t="s">
        <v>85</v>
      </c>
      <c r="Q74" s="29">
        <v>0.192</v>
      </c>
      <c r="R74" s="35">
        <v>4.5</v>
      </c>
      <c r="S74" s="30" t="s">
        <v>480</v>
      </c>
      <c r="T74" s="30" t="s">
        <v>480</v>
      </c>
      <c r="U74" s="32">
        <v>1</v>
      </c>
      <c r="V74" s="30"/>
      <c r="W74" s="30">
        <v>1</v>
      </c>
      <c r="X74" s="29">
        <v>1</v>
      </c>
      <c r="Y74" s="29">
        <v>1</v>
      </c>
    </row>
    <row r="75" spans="1:33" ht="156.94999999999999" customHeight="1">
      <c r="A75" s="29" t="e" vm="56">
        <v>#VALUE!</v>
      </c>
      <c r="B75" s="29" t="str">
        <f t="shared" si="5"/>
        <v>DKYB06</v>
      </c>
      <c r="C75" s="41" t="s">
        <v>812</v>
      </c>
      <c r="E75" s="30"/>
      <c r="F75" s="30">
        <v>1</v>
      </c>
      <c r="G75" s="29">
        <v>1</v>
      </c>
      <c r="H75" s="29">
        <v>1</v>
      </c>
      <c r="M75" s="31"/>
      <c r="N75" s="51" t="s">
        <v>35</v>
      </c>
      <c r="O75" s="30" t="s">
        <v>465</v>
      </c>
      <c r="P75" s="30" t="s">
        <v>86</v>
      </c>
      <c r="Q75" s="29">
        <v>0.2</v>
      </c>
      <c r="R75" s="35">
        <v>1.43</v>
      </c>
      <c r="S75" s="30" t="s">
        <v>357</v>
      </c>
      <c r="T75" s="30" t="s">
        <v>357</v>
      </c>
      <c r="U75" s="32">
        <v>1</v>
      </c>
      <c r="V75" s="30"/>
      <c r="W75" s="30">
        <v>1</v>
      </c>
      <c r="X75" s="29">
        <v>1</v>
      </c>
      <c r="Y75" s="29">
        <v>1</v>
      </c>
    </row>
    <row r="76" spans="1:33" ht="156.94999999999999" customHeight="1">
      <c r="A76" s="29" t="e" vm="57">
        <v>#VALUE!</v>
      </c>
      <c r="B76" s="29" t="str">
        <f t="shared" si="5"/>
        <v>DKYB07</v>
      </c>
      <c r="C76" s="41" t="s">
        <v>812</v>
      </c>
      <c r="E76" s="30"/>
      <c r="F76" s="30">
        <v>1</v>
      </c>
      <c r="G76" s="29">
        <v>1</v>
      </c>
      <c r="H76" s="29">
        <v>1</v>
      </c>
      <c r="M76" s="31"/>
      <c r="N76" s="51" t="s">
        <v>7</v>
      </c>
      <c r="O76" s="30" t="s">
        <v>466</v>
      </c>
      <c r="P76" s="30" t="s">
        <v>87</v>
      </c>
      <c r="Q76" s="29">
        <v>0.05</v>
      </c>
      <c r="R76" s="35">
        <f>1.17/AQ2</f>
        <v>0.99265748031496071</v>
      </c>
      <c r="S76" s="30" t="s">
        <v>357</v>
      </c>
      <c r="T76" s="30" t="s">
        <v>357</v>
      </c>
      <c r="U76" s="32">
        <v>1</v>
      </c>
      <c r="V76" s="30"/>
      <c r="W76" s="30">
        <v>1</v>
      </c>
      <c r="X76" s="29">
        <v>1</v>
      </c>
      <c r="Y76" s="29">
        <v>1</v>
      </c>
    </row>
    <row r="77" spans="1:33" ht="156.94999999999999" customHeight="1">
      <c r="A77" s="29" t="e" vm="58">
        <v>#VALUE!</v>
      </c>
      <c r="B77" s="29" t="str">
        <f t="shared" si="5"/>
        <v>DKYB08</v>
      </c>
      <c r="C77" s="41" t="s">
        <v>812</v>
      </c>
      <c r="E77" s="30"/>
      <c r="F77" s="30">
        <v>1</v>
      </c>
      <c r="G77" s="29">
        <v>1</v>
      </c>
      <c r="H77" s="29">
        <v>1</v>
      </c>
      <c r="M77" s="31"/>
      <c r="N77" s="51" t="s">
        <v>89</v>
      </c>
      <c r="O77" s="30" t="s">
        <v>467</v>
      </c>
      <c r="P77" s="30" t="s">
        <v>88</v>
      </c>
      <c r="Q77" s="29">
        <v>0.15</v>
      </c>
      <c r="R77" s="35">
        <v>1</v>
      </c>
      <c r="S77" s="30" t="s">
        <v>357</v>
      </c>
      <c r="T77" s="30" t="s">
        <v>357</v>
      </c>
      <c r="U77" s="32">
        <v>2</v>
      </c>
      <c r="V77" s="30"/>
      <c r="W77" s="30">
        <v>1</v>
      </c>
      <c r="X77" s="29">
        <v>1</v>
      </c>
      <c r="Y77" s="29">
        <v>1</v>
      </c>
    </row>
    <row r="78" spans="1:33" ht="156.94999999999999" customHeight="1">
      <c r="A78" s="29" t="e" vm="59">
        <v>#VALUE!</v>
      </c>
      <c r="B78" s="29" t="str">
        <f t="shared" si="5"/>
        <v>DKYB09</v>
      </c>
      <c r="C78" s="41" t="s">
        <v>812</v>
      </c>
      <c r="E78" s="30"/>
      <c r="F78" s="30">
        <v>1</v>
      </c>
      <c r="G78" s="29">
        <v>1</v>
      </c>
      <c r="H78" s="29">
        <v>1</v>
      </c>
      <c r="M78" s="31" t="s">
        <v>854</v>
      </c>
      <c r="N78" s="51" t="s">
        <v>64</v>
      </c>
      <c r="O78" s="30" t="s">
        <v>468</v>
      </c>
      <c r="P78" s="30" t="s">
        <v>90</v>
      </c>
      <c r="Q78" s="29">
        <v>1</v>
      </c>
      <c r="R78" s="35">
        <f t="shared" ref="R78" si="6">(Q78*$AN$2)</f>
        <v>3.7330708661417331</v>
      </c>
      <c r="S78" s="30" t="s">
        <v>608</v>
      </c>
      <c r="T78" s="30" t="s">
        <v>21</v>
      </c>
      <c r="U78" s="32">
        <v>-112</v>
      </c>
      <c r="V78" s="30"/>
      <c r="W78" s="30">
        <v>1</v>
      </c>
      <c r="X78" s="29">
        <v>1</v>
      </c>
      <c r="Y78" s="29">
        <v>1</v>
      </c>
    </row>
    <row r="79" spans="1:33" ht="156.94999999999999" customHeight="1">
      <c r="A79" s="29" t="e" vm="60">
        <v>#VALUE!</v>
      </c>
      <c r="B79" s="29" t="str">
        <f t="shared" si="5"/>
        <v>DKYB10</v>
      </c>
      <c r="C79" s="41" t="s">
        <v>812</v>
      </c>
      <c r="E79" s="30"/>
      <c r="F79" s="30">
        <v>1</v>
      </c>
      <c r="G79" s="29">
        <v>1</v>
      </c>
      <c r="H79" s="29">
        <v>1</v>
      </c>
      <c r="M79" s="31"/>
      <c r="N79" s="51" t="s">
        <v>82</v>
      </c>
      <c r="O79" s="30" t="s">
        <v>469</v>
      </c>
      <c r="P79" s="30" t="s">
        <v>65</v>
      </c>
      <c r="Q79" s="29">
        <v>3.15</v>
      </c>
      <c r="R79" s="35">
        <f>4.36/AQ2</f>
        <v>3.6991338582677171</v>
      </c>
      <c r="S79" s="30" t="s">
        <v>608</v>
      </c>
      <c r="T79" s="30" t="s">
        <v>21</v>
      </c>
      <c r="U79" s="33">
        <v>-115</v>
      </c>
      <c r="V79" s="30"/>
      <c r="W79" s="30">
        <v>1</v>
      </c>
      <c r="X79" s="29">
        <v>1</v>
      </c>
      <c r="Y79" s="29">
        <v>1</v>
      </c>
    </row>
    <row r="80" spans="1:33" ht="156.94999999999999" customHeight="1">
      <c r="A80" s="29" t="e" vm="45">
        <v>#VALUE!</v>
      </c>
      <c r="B80" s="29" t="str">
        <f t="shared" si="5"/>
        <v>DKYB11</v>
      </c>
      <c r="C80" s="41" t="s">
        <v>812</v>
      </c>
      <c r="E80" s="30"/>
      <c r="F80" s="30">
        <v>1</v>
      </c>
      <c r="G80" s="29">
        <v>1</v>
      </c>
      <c r="H80" s="29">
        <v>1</v>
      </c>
      <c r="M80" s="31"/>
      <c r="N80" s="51" t="s">
        <v>68</v>
      </c>
      <c r="O80" s="30" t="s">
        <v>470</v>
      </c>
      <c r="P80" s="30" t="s">
        <v>91</v>
      </c>
      <c r="Q80" s="29">
        <v>1.6E-2</v>
      </c>
      <c r="R80" s="35">
        <v>0.09</v>
      </c>
      <c r="S80" s="30" t="s">
        <v>357</v>
      </c>
      <c r="T80" s="30" t="s">
        <v>357</v>
      </c>
      <c r="U80" s="32">
        <v>4</v>
      </c>
      <c r="V80" s="30"/>
      <c r="W80" s="30">
        <v>1</v>
      </c>
      <c r="X80" s="29">
        <v>1</v>
      </c>
      <c r="Y80" s="29">
        <v>1</v>
      </c>
    </row>
    <row r="81" spans="1:33" ht="156.94999999999999" customHeight="1">
      <c r="A81" s="29" t="e" vm="61">
        <v>#VALUE!</v>
      </c>
      <c r="B81" s="29" t="str">
        <f t="shared" si="5"/>
        <v>DKYB12</v>
      </c>
      <c r="C81" s="41" t="s">
        <v>812</v>
      </c>
      <c r="E81" s="30"/>
      <c r="F81" s="30">
        <v>1</v>
      </c>
      <c r="G81" s="29">
        <v>1</v>
      </c>
      <c r="H81" s="29">
        <v>1</v>
      </c>
      <c r="M81" s="31" t="s">
        <v>854</v>
      </c>
      <c r="N81" s="51" t="s">
        <v>70</v>
      </c>
      <c r="O81" s="30" t="s">
        <v>471</v>
      </c>
      <c r="P81" s="30" t="s">
        <v>92</v>
      </c>
      <c r="Q81" s="29">
        <v>0.8</v>
      </c>
      <c r="R81" s="35">
        <f t="shared" ref="R81:R83" si="7">(Q81*$AN$2)</f>
        <v>2.9864566929133867</v>
      </c>
      <c r="S81" s="30" t="s">
        <v>608</v>
      </c>
      <c r="T81" s="30" t="s">
        <v>22</v>
      </c>
      <c r="U81" s="32">
        <v>-115</v>
      </c>
      <c r="V81" s="30"/>
      <c r="W81" s="30">
        <v>1</v>
      </c>
      <c r="X81" s="29">
        <v>1</v>
      </c>
      <c r="Y81" s="29">
        <v>1</v>
      </c>
    </row>
    <row r="82" spans="1:33" ht="156.94999999999999" customHeight="1">
      <c r="A82" s="29" t="e" vm="62">
        <v>#VALUE!</v>
      </c>
      <c r="B82" s="29" t="str">
        <f t="shared" si="5"/>
        <v>DKYB13</v>
      </c>
      <c r="C82" s="41" t="s">
        <v>812</v>
      </c>
      <c r="E82" s="30"/>
      <c r="F82" s="30">
        <v>1</v>
      </c>
      <c r="G82" s="29">
        <v>1</v>
      </c>
      <c r="H82" s="29">
        <v>1</v>
      </c>
      <c r="M82" s="31" t="s">
        <v>854</v>
      </c>
      <c r="N82" s="51" t="s">
        <v>72</v>
      </c>
      <c r="O82" s="30" t="s">
        <v>472</v>
      </c>
      <c r="P82" s="30" t="s">
        <v>93</v>
      </c>
      <c r="Q82" s="29">
        <v>0.5</v>
      </c>
      <c r="R82" s="35">
        <f t="shared" si="7"/>
        <v>1.8665354330708666</v>
      </c>
      <c r="S82" s="30" t="s">
        <v>608</v>
      </c>
      <c r="T82" s="30" t="s">
        <v>22</v>
      </c>
      <c r="U82" s="32">
        <v>-115</v>
      </c>
      <c r="V82" s="30"/>
      <c r="W82" s="30">
        <v>1</v>
      </c>
      <c r="X82" s="29">
        <v>1</v>
      </c>
      <c r="Y82" s="29">
        <v>1</v>
      </c>
    </row>
    <row r="83" spans="1:33" ht="156.94999999999999" customHeight="1">
      <c r="A83" s="29" t="e" vm="63">
        <v>#VALUE!</v>
      </c>
      <c r="B83" s="29" t="str">
        <f t="shared" si="5"/>
        <v>DKYB14</v>
      </c>
      <c r="C83" s="41" t="s">
        <v>812</v>
      </c>
      <c r="E83" s="30"/>
      <c r="F83" s="30">
        <v>1</v>
      </c>
      <c r="G83" s="29">
        <v>1</v>
      </c>
      <c r="H83" s="29">
        <v>1</v>
      </c>
      <c r="M83" s="31" t="s">
        <v>854</v>
      </c>
      <c r="N83" s="51" t="s">
        <v>95</v>
      </c>
      <c r="O83" s="30" t="s">
        <v>473</v>
      </c>
      <c r="P83" s="30" t="s">
        <v>94</v>
      </c>
      <c r="Q83" s="29">
        <v>0.1</v>
      </c>
      <c r="R83" s="35">
        <f t="shared" si="7"/>
        <v>0.37330708661417333</v>
      </c>
      <c r="S83" s="30" t="s">
        <v>608</v>
      </c>
      <c r="T83" s="30" t="s">
        <v>22</v>
      </c>
      <c r="U83" s="33">
        <v>-118</v>
      </c>
      <c r="V83" s="30"/>
      <c r="W83" s="30">
        <v>1</v>
      </c>
      <c r="X83" s="29">
        <v>1</v>
      </c>
      <c r="Y83" s="29">
        <v>1</v>
      </c>
    </row>
    <row r="84" spans="1:33" ht="156.94999999999999" customHeight="1">
      <c r="A84" s="29" t="e" vm="64">
        <v>#VALUE!</v>
      </c>
      <c r="B84" s="29" t="str">
        <f t="shared" si="5"/>
        <v>DKYB15</v>
      </c>
      <c r="C84" s="41" t="s">
        <v>812</v>
      </c>
      <c r="E84" s="30"/>
      <c r="F84" s="30">
        <v>1</v>
      </c>
      <c r="G84" s="29">
        <v>1</v>
      </c>
      <c r="H84" s="29">
        <v>1</v>
      </c>
      <c r="M84" s="31"/>
      <c r="N84" s="51" t="s">
        <v>74</v>
      </c>
      <c r="O84" s="30" t="s">
        <v>474</v>
      </c>
      <c r="P84" s="30" t="s">
        <v>73</v>
      </c>
      <c r="Q84" s="29">
        <v>8.0000000000000002E-3</v>
      </c>
      <c r="R84" s="35">
        <v>0.08</v>
      </c>
      <c r="S84" s="30" t="s">
        <v>357</v>
      </c>
      <c r="T84" s="30" t="s">
        <v>357</v>
      </c>
      <c r="U84" s="32">
        <v>2</v>
      </c>
      <c r="V84" s="30"/>
      <c r="W84" s="30">
        <v>1</v>
      </c>
      <c r="X84" s="29">
        <v>1</v>
      </c>
      <c r="Y84" s="29">
        <v>1</v>
      </c>
    </row>
    <row r="85" spans="1:33" ht="156.94999999999999" customHeight="1">
      <c r="A85" s="29" t="e" vm="65">
        <v>#VALUE!</v>
      </c>
      <c r="B85" s="29" t="str">
        <f t="shared" si="5"/>
        <v>DKYB16</v>
      </c>
      <c r="C85" s="41" t="s">
        <v>812</v>
      </c>
      <c r="E85" s="30"/>
      <c r="F85" s="30">
        <v>1</v>
      </c>
      <c r="G85" s="29">
        <v>1</v>
      </c>
      <c r="H85" s="29">
        <v>1</v>
      </c>
      <c r="M85" s="31"/>
      <c r="N85" s="51" t="s">
        <v>76</v>
      </c>
      <c r="O85" s="30" t="s">
        <v>475</v>
      </c>
      <c r="P85" s="30" t="s">
        <v>75</v>
      </c>
      <c r="Q85" s="29">
        <v>2E-3</v>
      </c>
      <c r="R85" s="35">
        <v>0</v>
      </c>
      <c r="S85" s="30" t="s">
        <v>357</v>
      </c>
      <c r="T85" s="30" t="s">
        <v>357</v>
      </c>
      <c r="U85" s="32">
        <v>2</v>
      </c>
      <c r="V85" s="30"/>
      <c r="W85" s="30">
        <v>1</v>
      </c>
      <c r="X85" s="29">
        <v>1</v>
      </c>
      <c r="Y85" s="29">
        <v>1</v>
      </c>
    </row>
    <row r="86" spans="1:33" ht="156.94999999999999" customHeight="1">
      <c r="A86" s="28"/>
      <c r="B86" s="29">
        <f t="shared" si="5"/>
        <v>0</v>
      </c>
      <c r="E86" s="30"/>
      <c r="F86" s="30"/>
      <c r="M86" s="31"/>
      <c r="N86" s="31"/>
      <c r="O86" s="30"/>
      <c r="P86" s="30"/>
      <c r="T86" s="30"/>
      <c r="U86" s="32"/>
      <c r="V86" s="30"/>
      <c r="Y86" s="30"/>
      <c r="Z86" s="30"/>
    </row>
    <row r="87" spans="1:33" ht="156.94999999999999" customHeight="1">
      <c r="A87" s="29" t="e" vm="51">
        <v>#VALUE!</v>
      </c>
      <c r="B87" s="29" t="str">
        <f t="shared" si="5"/>
        <v>DKYC01</v>
      </c>
      <c r="C87" s="41" t="s">
        <v>813</v>
      </c>
      <c r="E87" s="30"/>
      <c r="F87" s="30">
        <v>1</v>
      </c>
      <c r="G87" s="29">
        <v>1</v>
      </c>
      <c r="H87" s="29">
        <v>1</v>
      </c>
      <c r="K87" s="29">
        <v>1</v>
      </c>
      <c r="L87" s="29">
        <v>1</v>
      </c>
      <c r="M87" s="40" t="s">
        <v>854</v>
      </c>
      <c r="N87" s="51" t="s">
        <v>54</v>
      </c>
      <c r="O87" s="30" t="s">
        <v>714</v>
      </c>
      <c r="P87" s="30" t="s">
        <v>83</v>
      </c>
      <c r="Q87" s="29">
        <v>1.3</v>
      </c>
      <c r="R87" s="35">
        <f>(Q87*$AN$2)</f>
        <v>4.8529921259842528</v>
      </c>
      <c r="S87" s="30" t="s">
        <v>608</v>
      </c>
      <c r="T87" s="30" t="s">
        <v>21</v>
      </c>
      <c r="U87" s="32">
        <v>-8</v>
      </c>
      <c r="V87" s="36"/>
      <c r="W87" s="30"/>
      <c r="AE87" s="29">
        <v>1</v>
      </c>
      <c r="AF87" s="29">
        <v>1</v>
      </c>
      <c r="AG87" s="29">
        <v>1</v>
      </c>
    </row>
    <row r="88" spans="1:33" ht="156.94999999999999" customHeight="1">
      <c r="A88" s="29" t="e" vm="52">
        <v>#VALUE!</v>
      </c>
      <c r="B88" s="29" t="str">
        <f t="shared" si="5"/>
        <v>DKYC02</v>
      </c>
      <c r="C88" s="41" t="s">
        <v>813</v>
      </c>
      <c r="E88" s="30"/>
      <c r="F88" s="30">
        <v>1</v>
      </c>
      <c r="M88" s="40" t="s">
        <v>854</v>
      </c>
      <c r="N88" s="51" t="s">
        <v>79</v>
      </c>
      <c r="O88" s="30" t="s">
        <v>715</v>
      </c>
      <c r="P88" s="30" t="s">
        <v>84</v>
      </c>
      <c r="Q88" s="29">
        <v>1.02</v>
      </c>
      <c r="R88" s="35">
        <f t="shared" ref="R88:R90" si="8">(Q88*$AN$2)</f>
        <v>3.8077322834645679</v>
      </c>
      <c r="S88" s="30" t="s">
        <v>608</v>
      </c>
      <c r="T88" s="30" t="s">
        <v>21</v>
      </c>
      <c r="U88" s="32">
        <v>-8</v>
      </c>
      <c r="V88" s="30"/>
      <c r="W88" s="30"/>
      <c r="AE88" s="29">
        <v>1</v>
      </c>
    </row>
    <row r="89" spans="1:33" ht="156.94999999999999" customHeight="1">
      <c r="A89" s="29" t="e" vm="53">
        <v>#VALUE!</v>
      </c>
      <c r="B89" s="29" t="str">
        <f t="shared" si="5"/>
        <v>DKYC03</v>
      </c>
      <c r="C89" s="41" t="s">
        <v>813</v>
      </c>
      <c r="E89" s="30"/>
      <c r="F89" s="30"/>
      <c r="H89" s="29">
        <v>1</v>
      </c>
      <c r="M89" s="40" t="s">
        <v>854</v>
      </c>
      <c r="N89" s="51" t="s">
        <v>80</v>
      </c>
      <c r="O89" s="30" t="s">
        <v>716</v>
      </c>
      <c r="P89" s="30" t="s">
        <v>80</v>
      </c>
      <c r="Q89" s="29">
        <v>1.02</v>
      </c>
      <c r="R89" s="35">
        <f t="shared" si="8"/>
        <v>3.8077322834645679</v>
      </c>
      <c r="S89" s="30" t="s">
        <v>608</v>
      </c>
      <c r="T89" s="30" t="s">
        <v>21</v>
      </c>
      <c r="U89" s="32">
        <v>-8</v>
      </c>
      <c r="V89" s="30"/>
      <c r="W89" s="30"/>
      <c r="AF89" s="29">
        <v>1</v>
      </c>
    </row>
    <row r="90" spans="1:33" ht="156.94999999999999" customHeight="1">
      <c r="A90" s="29" t="e" vm="54">
        <v>#VALUE!</v>
      </c>
      <c r="B90" s="29" t="str">
        <f t="shared" si="5"/>
        <v>DKYC04</v>
      </c>
      <c r="C90" s="41" t="s">
        <v>813</v>
      </c>
      <c r="E90" s="30"/>
      <c r="F90" s="30"/>
      <c r="G90" s="29">
        <v>1</v>
      </c>
      <c r="M90" s="40" t="s">
        <v>854</v>
      </c>
      <c r="N90" s="51" t="s">
        <v>81</v>
      </c>
      <c r="O90" s="30" t="s">
        <v>717</v>
      </c>
      <c r="P90" s="30" t="s">
        <v>81</v>
      </c>
      <c r="Q90" s="29">
        <v>1.02</v>
      </c>
      <c r="R90" s="35">
        <f t="shared" si="8"/>
        <v>3.8077322834645679</v>
      </c>
      <c r="S90" s="30" t="s">
        <v>608</v>
      </c>
      <c r="T90" s="30" t="s">
        <v>21</v>
      </c>
      <c r="U90" s="32">
        <v>-8</v>
      </c>
      <c r="V90" s="30"/>
      <c r="W90" s="30"/>
      <c r="AG90" s="29">
        <v>1</v>
      </c>
    </row>
    <row r="91" spans="1:33" ht="156.94999999999999" customHeight="1">
      <c r="A91" s="29" t="e" vm="18">
        <v>#VALUE!</v>
      </c>
      <c r="B91" s="29" t="str">
        <f t="shared" si="5"/>
        <v>GNL06Z</v>
      </c>
      <c r="C91" s="41" t="s">
        <v>813</v>
      </c>
      <c r="E91" s="30"/>
      <c r="F91" s="30">
        <v>1</v>
      </c>
      <c r="G91" s="29">
        <v>1</v>
      </c>
      <c r="H91" s="29">
        <v>1</v>
      </c>
      <c r="J91" s="32"/>
      <c r="K91" s="32"/>
      <c r="L91" s="32"/>
      <c r="M91" s="31" t="s">
        <v>5</v>
      </c>
      <c r="N91" s="51" t="s">
        <v>41</v>
      </c>
      <c r="O91" s="30" t="s">
        <v>768</v>
      </c>
      <c r="P91" s="30" t="s">
        <v>41</v>
      </c>
      <c r="Q91" s="30">
        <v>2E-3</v>
      </c>
      <c r="R91" s="35">
        <v>0.2</v>
      </c>
      <c r="S91" s="30" t="s">
        <v>357</v>
      </c>
      <c r="T91" s="30" t="s">
        <v>357</v>
      </c>
      <c r="U91" s="33" t="s">
        <v>638</v>
      </c>
      <c r="V91" s="30" t="s">
        <v>28</v>
      </c>
      <c r="W91" s="30"/>
      <c r="AE91" s="29">
        <v>1</v>
      </c>
      <c r="AF91" s="29">
        <v>1</v>
      </c>
      <c r="AG91" s="29">
        <v>1</v>
      </c>
    </row>
    <row r="92" spans="1:33" ht="156.94999999999999" customHeight="1">
      <c r="A92" s="29" t="e" vm="6">
        <v>#VALUE!</v>
      </c>
      <c r="B92" s="29" t="str">
        <f t="shared" si="5"/>
        <v>GNL01Z</v>
      </c>
      <c r="C92" s="41" t="s">
        <v>813</v>
      </c>
      <c r="E92" s="30"/>
      <c r="F92" s="30">
        <v>1</v>
      </c>
      <c r="G92" s="29">
        <v>1</v>
      </c>
      <c r="H92" s="29">
        <v>1</v>
      </c>
      <c r="J92" s="29">
        <v>1</v>
      </c>
      <c r="M92" s="31" t="s">
        <v>4</v>
      </c>
      <c r="N92" s="51" t="s">
        <v>3</v>
      </c>
      <c r="O92" s="30" t="s">
        <v>769</v>
      </c>
      <c r="P92" s="30" t="s">
        <v>917</v>
      </c>
      <c r="Q92" s="29">
        <f>Q66</f>
        <v>2.5</v>
      </c>
      <c r="R92" s="35">
        <f>2.9/AQ2</f>
        <v>2.4604330708661419</v>
      </c>
      <c r="S92" s="30" t="s">
        <v>608</v>
      </c>
      <c r="T92" s="30" t="s">
        <v>21</v>
      </c>
      <c r="U92" s="32">
        <v>-108</v>
      </c>
      <c r="V92" s="30" t="s">
        <v>29</v>
      </c>
      <c r="W92" s="30"/>
      <c r="AE92" s="29">
        <v>1</v>
      </c>
      <c r="AF92" s="29">
        <v>1</v>
      </c>
      <c r="AG92" s="29">
        <v>1</v>
      </c>
    </row>
    <row r="93" spans="1:33" ht="156.94999999999999" customHeight="1">
      <c r="A93" s="29" t="e" vm="15">
        <v>#VALUE!</v>
      </c>
      <c r="B93" s="29" t="str">
        <f t="shared" si="5"/>
        <v>GNL05Z</v>
      </c>
      <c r="C93" s="41" t="s">
        <v>813</v>
      </c>
      <c r="E93" s="30"/>
      <c r="F93" s="30">
        <v>1</v>
      </c>
      <c r="G93" s="29">
        <v>1</v>
      </c>
      <c r="H93" s="29">
        <v>1</v>
      </c>
      <c r="J93" s="30"/>
      <c r="K93" s="30"/>
      <c r="L93" s="30"/>
      <c r="M93" s="31" t="s">
        <v>9</v>
      </c>
      <c r="N93" s="51" t="s">
        <v>9</v>
      </c>
      <c r="O93" s="30" t="s">
        <v>770</v>
      </c>
      <c r="P93" s="30" t="s">
        <v>9</v>
      </c>
      <c r="Q93" s="30">
        <f t="shared" ref="Q93:Q101" si="9">Q69</f>
        <v>0.01</v>
      </c>
      <c r="R93" s="36">
        <v>2</v>
      </c>
      <c r="S93" s="30" t="s">
        <v>608</v>
      </c>
      <c r="T93" s="30" t="s">
        <v>22</v>
      </c>
      <c r="U93" s="32">
        <v>190</v>
      </c>
      <c r="V93" s="30" t="s">
        <v>31</v>
      </c>
      <c r="W93" s="30"/>
      <c r="AE93" s="29">
        <v>1</v>
      </c>
      <c r="AF93" s="29">
        <v>1</v>
      </c>
      <c r="AG93" s="29">
        <v>1</v>
      </c>
    </row>
    <row r="94" spans="1:33" ht="156.94999999999999" customHeight="1">
      <c r="A94" s="29" t="e" vm="7">
        <v>#VALUE!</v>
      </c>
      <c r="B94" s="29" t="str">
        <f t="shared" si="5"/>
        <v>GNL03Z</v>
      </c>
      <c r="C94" s="41" t="s">
        <v>813</v>
      </c>
      <c r="E94" s="30"/>
      <c r="F94" s="30">
        <v>1</v>
      </c>
      <c r="G94" s="29">
        <v>1</v>
      </c>
      <c r="H94" s="29">
        <v>1</v>
      </c>
      <c r="M94" s="31" t="s">
        <v>5</v>
      </c>
      <c r="N94" s="51" t="s">
        <v>982</v>
      </c>
      <c r="O94" s="30" t="s">
        <v>771</v>
      </c>
      <c r="P94" s="30" t="s">
        <v>646</v>
      </c>
      <c r="Q94" s="29">
        <f t="shared" si="9"/>
        <v>0.12</v>
      </c>
      <c r="R94" s="35">
        <v>0.75</v>
      </c>
      <c r="S94" s="30" t="s">
        <v>608</v>
      </c>
      <c r="T94" s="30" t="s">
        <v>22</v>
      </c>
      <c r="U94" s="33">
        <v>-120</v>
      </c>
      <c r="V94" s="30" t="s">
        <v>28</v>
      </c>
      <c r="W94" s="30"/>
      <c r="AE94" s="29">
        <v>1</v>
      </c>
      <c r="AF94" s="29">
        <v>1</v>
      </c>
      <c r="AG94" s="29">
        <v>1</v>
      </c>
    </row>
    <row r="95" spans="1:33" ht="156.94999999999999" customHeight="1">
      <c r="A95" s="29" t="e" vm="21">
        <v>#VALUE!</v>
      </c>
      <c r="B95" s="29" t="str">
        <f t="shared" si="5"/>
        <v>GNL08Z</v>
      </c>
      <c r="C95" s="41" t="s">
        <v>813</v>
      </c>
      <c r="E95" s="30"/>
      <c r="F95" s="30">
        <v>1</v>
      </c>
      <c r="G95" s="29">
        <v>1</v>
      </c>
      <c r="H95" s="29">
        <v>1</v>
      </c>
      <c r="M95" s="31" t="s">
        <v>11</v>
      </c>
      <c r="N95" s="51" t="s">
        <v>11</v>
      </c>
      <c r="O95" s="30" t="s">
        <v>772</v>
      </c>
      <c r="P95" s="30" t="s">
        <v>794</v>
      </c>
      <c r="Q95" s="29">
        <f t="shared" si="9"/>
        <v>0.02</v>
      </c>
      <c r="R95" s="35">
        <v>1</v>
      </c>
      <c r="S95" s="30" t="s">
        <v>480</v>
      </c>
      <c r="T95" s="30" t="s">
        <v>480</v>
      </c>
      <c r="U95" s="32">
        <v>1</v>
      </c>
      <c r="V95" s="30"/>
      <c r="W95" s="30"/>
      <c r="AE95" s="29">
        <v>1</v>
      </c>
      <c r="AF95" s="29">
        <v>1</v>
      </c>
      <c r="AG95" s="29">
        <v>1</v>
      </c>
    </row>
    <row r="96" spans="1:33" ht="156.94999999999999" customHeight="1">
      <c r="A96" s="29" t="e" vm="44">
        <v>#VALUE!</v>
      </c>
      <c r="B96" s="29" t="str">
        <f t="shared" si="5"/>
        <v>GNL09Z</v>
      </c>
      <c r="C96" s="41" t="s">
        <v>813</v>
      </c>
      <c r="E96" s="30"/>
      <c r="F96" s="30">
        <v>1</v>
      </c>
      <c r="G96" s="29">
        <v>1</v>
      </c>
      <c r="H96" s="29">
        <v>1</v>
      </c>
      <c r="M96" s="31"/>
      <c r="N96" s="51" t="s">
        <v>66</v>
      </c>
      <c r="O96" s="30" t="s">
        <v>773</v>
      </c>
      <c r="P96" s="30" t="s">
        <v>66</v>
      </c>
      <c r="Q96" s="29">
        <f t="shared" si="9"/>
        <v>0.01</v>
      </c>
      <c r="R96" s="35">
        <f>0.06/AQ2</f>
        <v>5.0905511811023624E-2</v>
      </c>
      <c r="S96" s="30" t="s">
        <v>608</v>
      </c>
      <c r="T96" s="30" t="s">
        <v>21</v>
      </c>
      <c r="U96" s="32">
        <v>-112</v>
      </c>
      <c r="V96" s="30"/>
      <c r="W96" s="30"/>
      <c r="AE96" s="29">
        <v>1</v>
      </c>
      <c r="AF96" s="29">
        <v>1</v>
      </c>
      <c r="AG96" s="29">
        <v>1</v>
      </c>
    </row>
    <row r="97" spans="1:33" ht="156.94999999999999" customHeight="1">
      <c r="A97" s="29" t="e" vm="19">
        <v>#VALUE!</v>
      </c>
      <c r="B97" s="29" t="str">
        <f t="shared" si="5"/>
        <v>GNL07Z</v>
      </c>
      <c r="C97" s="41" t="s">
        <v>813</v>
      </c>
      <c r="E97" s="30"/>
      <c r="F97" s="30">
        <v>1</v>
      </c>
      <c r="G97" s="29">
        <v>1</v>
      </c>
      <c r="H97" s="29">
        <v>1</v>
      </c>
      <c r="J97" s="30"/>
      <c r="K97" s="30"/>
      <c r="L97" s="30"/>
      <c r="M97" s="31" t="s">
        <v>42</v>
      </c>
      <c r="N97" s="51" t="s">
        <v>42</v>
      </c>
      <c r="O97" s="30" t="s">
        <v>774</v>
      </c>
      <c r="P97" s="30" t="s">
        <v>42</v>
      </c>
      <c r="Q97" s="30">
        <f t="shared" si="9"/>
        <v>0.02</v>
      </c>
      <c r="R97" s="36">
        <f>4/AM4</f>
        <v>7.874015748031496E-2</v>
      </c>
      <c r="S97" s="30" t="s">
        <v>608</v>
      </c>
      <c r="T97" s="30" t="s">
        <v>21</v>
      </c>
      <c r="U97" s="32" t="s">
        <v>487</v>
      </c>
      <c r="V97" s="30" t="s">
        <v>32</v>
      </c>
      <c r="W97" s="30"/>
      <c r="AE97" s="29">
        <v>1</v>
      </c>
      <c r="AF97" s="29">
        <v>1</v>
      </c>
      <c r="AG97" s="29">
        <v>1</v>
      </c>
    </row>
    <row r="98" spans="1:33" ht="156.94999999999999" customHeight="1">
      <c r="A98" s="29" t="e" vm="55">
        <v>#VALUE!</v>
      </c>
      <c r="B98" s="29" t="str">
        <f t="shared" si="5"/>
        <v>DKYC05</v>
      </c>
      <c r="C98" s="41" t="s">
        <v>813</v>
      </c>
      <c r="E98" s="30"/>
      <c r="F98" s="30">
        <v>1</v>
      </c>
      <c r="G98" s="29">
        <v>1</v>
      </c>
      <c r="H98" s="29">
        <v>1</v>
      </c>
      <c r="M98" s="40" t="s">
        <v>854</v>
      </c>
      <c r="N98" s="51" t="s">
        <v>30</v>
      </c>
      <c r="O98" s="30" t="s">
        <v>718</v>
      </c>
      <c r="P98" s="30" t="s">
        <v>85</v>
      </c>
      <c r="Q98" s="29">
        <f t="shared" si="9"/>
        <v>0.192</v>
      </c>
      <c r="R98" s="35">
        <v>5.2</v>
      </c>
      <c r="S98" s="30" t="s">
        <v>480</v>
      </c>
      <c r="T98" s="30" t="s">
        <v>480</v>
      </c>
      <c r="U98" s="32">
        <v>1</v>
      </c>
      <c r="V98" s="30"/>
      <c r="W98" s="30"/>
      <c r="AE98" s="29">
        <v>1</v>
      </c>
      <c r="AF98" s="29">
        <v>1</v>
      </c>
      <c r="AG98" s="29">
        <v>1</v>
      </c>
    </row>
    <row r="99" spans="1:33" ht="156.94999999999999" customHeight="1">
      <c r="A99" s="29" t="e" vm="56">
        <v>#VALUE!</v>
      </c>
      <c r="B99" s="29" t="str">
        <f t="shared" si="5"/>
        <v>DKYC06</v>
      </c>
      <c r="C99" s="41" t="s">
        <v>813</v>
      </c>
      <c r="E99" s="30"/>
      <c r="F99" s="30">
        <v>1</v>
      </c>
      <c r="G99" s="29">
        <v>1</v>
      </c>
      <c r="H99" s="29">
        <v>1</v>
      </c>
      <c r="M99" s="31"/>
      <c r="N99" s="51" t="s">
        <v>35</v>
      </c>
      <c r="O99" s="30" t="s">
        <v>719</v>
      </c>
      <c r="P99" s="30" t="s">
        <v>86</v>
      </c>
      <c r="Q99" s="29">
        <f t="shared" si="9"/>
        <v>0.2</v>
      </c>
      <c r="R99" s="35">
        <v>1.43</v>
      </c>
      <c r="S99" s="30" t="s">
        <v>357</v>
      </c>
      <c r="T99" s="30" t="s">
        <v>357</v>
      </c>
      <c r="U99" s="32">
        <v>1</v>
      </c>
      <c r="V99" s="30"/>
      <c r="W99" s="30"/>
      <c r="AE99" s="29">
        <v>1</v>
      </c>
      <c r="AF99" s="29">
        <v>1</v>
      </c>
      <c r="AG99" s="29">
        <v>1</v>
      </c>
    </row>
    <row r="100" spans="1:33" ht="156.94999999999999" customHeight="1">
      <c r="A100" s="29" t="e" vm="57">
        <v>#VALUE!</v>
      </c>
      <c r="B100" s="29" t="str">
        <f t="shared" si="5"/>
        <v>DKYC07</v>
      </c>
      <c r="C100" s="41" t="s">
        <v>813</v>
      </c>
      <c r="E100" s="30"/>
      <c r="F100" s="30">
        <v>1</v>
      </c>
      <c r="G100" s="29">
        <v>1</v>
      </c>
      <c r="H100" s="29">
        <v>1</v>
      </c>
      <c r="M100" s="31"/>
      <c r="N100" s="51" t="s">
        <v>7</v>
      </c>
      <c r="O100" s="30" t="s">
        <v>720</v>
      </c>
      <c r="P100" s="30" t="s">
        <v>87</v>
      </c>
      <c r="Q100" s="29">
        <f t="shared" si="9"/>
        <v>0.05</v>
      </c>
      <c r="R100" s="35">
        <f>1.2/AQ2</f>
        <v>1.0181102362204726</v>
      </c>
      <c r="S100" s="30" t="s">
        <v>357</v>
      </c>
      <c r="T100" s="30" t="s">
        <v>357</v>
      </c>
      <c r="U100" s="32">
        <v>1</v>
      </c>
      <c r="V100" s="30"/>
      <c r="W100" s="30"/>
      <c r="AE100" s="29">
        <v>1</v>
      </c>
      <c r="AF100" s="29">
        <v>1</v>
      </c>
      <c r="AG100" s="29">
        <v>1</v>
      </c>
    </row>
    <row r="101" spans="1:33" ht="156.94999999999999" customHeight="1">
      <c r="A101" s="29" t="e" vm="58">
        <v>#VALUE!</v>
      </c>
      <c r="B101" s="29" t="str">
        <f t="shared" si="5"/>
        <v>DKYC08</v>
      </c>
      <c r="C101" s="41" t="s">
        <v>813</v>
      </c>
      <c r="E101" s="30"/>
      <c r="F101" s="30">
        <v>1</v>
      </c>
      <c r="G101" s="29">
        <v>1</v>
      </c>
      <c r="H101" s="29">
        <v>1</v>
      </c>
      <c r="M101" s="31"/>
      <c r="N101" s="51" t="s">
        <v>89</v>
      </c>
      <c r="O101" s="30" t="s">
        <v>721</v>
      </c>
      <c r="P101" s="30" t="s">
        <v>88</v>
      </c>
      <c r="Q101" s="29">
        <f t="shared" si="9"/>
        <v>0.15</v>
      </c>
      <c r="R101" s="35">
        <v>1.35</v>
      </c>
      <c r="S101" s="30" t="s">
        <v>357</v>
      </c>
      <c r="T101" s="30" t="s">
        <v>357</v>
      </c>
      <c r="U101" s="32">
        <v>2</v>
      </c>
      <c r="V101" s="30"/>
      <c r="W101" s="30"/>
      <c r="AE101" s="29">
        <v>1</v>
      </c>
      <c r="AF101" s="29">
        <v>1</v>
      </c>
      <c r="AG101" s="29">
        <v>1</v>
      </c>
    </row>
    <row r="102" spans="1:33" ht="156.94999999999999" customHeight="1">
      <c r="A102" s="29" t="e" vm="59">
        <v>#VALUE!</v>
      </c>
      <c r="B102" s="29" t="str">
        <f t="shared" si="5"/>
        <v>DKYC09</v>
      </c>
      <c r="C102" s="41" t="s">
        <v>813</v>
      </c>
      <c r="E102" s="30"/>
      <c r="F102" s="30">
        <v>1</v>
      </c>
      <c r="G102" s="29">
        <v>1</v>
      </c>
      <c r="H102" s="29">
        <v>1</v>
      </c>
      <c r="M102" s="40" t="s">
        <v>854</v>
      </c>
      <c r="N102" s="51" t="s">
        <v>64</v>
      </c>
      <c r="O102" s="30" t="s">
        <v>722</v>
      </c>
      <c r="P102" s="30" t="s">
        <v>90</v>
      </c>
      <c r="Q102" s="29">
        <v>1</v>
      </c>
      <c r="R102" s="35">
        <f t="shared" ref="R102" si="10">(Q102*$AN$2)</f>
        <v>3.7330708661417331</v>
      </c>
      <c r="S102" s="30" t="s">
        <v>608</v>
      </c>
      <c r="T102" s="30" t="s">
        <v>21</v>
      </c>
      <c r="U102" s="32">
        <v>-112</v>
      </c>
      <c r="V102" s="30"/>
      <c r="W102" s="30"/>
      <c r="AE102" s="29">
        <v>1</v>
      </c>
      <c r="AF102" s="29">
        <v>1</v>
      </c>
      <c r="AG102" s="29">
        <v>1</v>
      </c>
    </row>
    <row r="103" spans="1:33" ht="156.94999999999999" customHeight="1">
      <c r="A103" s="29" t="e" vm="60">
        <v>#VALUE!</v>
      </c>
      <c r="B103" s="29" t="str">
        <f t="shared" si="5"/>
        <v>DKYC10</v>
      </c>
      <c r="C103" s="41" t="s">
        <v>813</v>
      </c>
      <c r="E103" s="30"/>
      <c r="F103" s="30">
        <v>1</v>
      </c>
      <c r="G103" s="29">
        <v>1</v>
      </c>
      <c r="H103" s="29">
        <v>1</v>
      </c>
      <c r="M103" s="31"/>
      <c r="N103" s="51" t="s">
        <v>82</v>
      </c>
      <c r="O103" s="30" t="s">
        <v>723</v>
      </c>
      <c r="P103" s="30" t="s">
        <v>65</v>
      </c>
      <c r="Q103" s="29">
        <f>Q79</f>
        <v>3.15</v>
      </c>
      <c r="R103" s="35">
        <f>4.5/AQ2</f>
        <v>3.8179133858267722</v>
      </c>
      <c r="S103" s="30" t="s">
        <v>608</v>
      </c>
      <c r="T103" s="30" t="s">
        <v>21</v>
      </c>
      <c r="U103" s="33">
        <v>-115</v>
      </c>
      <c r="V103" s="30"/>
      <c r="W103" s="30"/>
      <c r="AE103" s="29">
        <v>1</v>
      </c>
      <c r="AF103" s="29">
        <v>1</v>
      </c>
      <c r="AG103" s="29">
        <v>1</v>
      </c>
    </row>
    <row r="104" spans="1:33" ht="156.94999999999999" customHeight="1">
      <c r="A104" s="29" t="e" vm="45">
        <v>#VALUE!</v>
      </c>
      <c r="B104" s="29" t="str">
        <f t="shared" si="5"/>
        <v>DKYC11</v>
      </c>
      <c r="C104" s="41" t="s">
        <v>813</v>
      </c>
      <c r="E104" s="30"/>
      <c r="F104" s="30">
        <v>1</v>
      </c>
      <c r="G104" s="29">
        <v>1</v>
      </c>
      <c r="H104" s="29">
        <v>1</v>
      </c>
      <c r="M104" s="31"/>
      <c r="N104" s="51" t="s">
        <v>68</v>
      </c>
      <c r="O104" s="30" t="s">
        <v>724</v>
      </c>
      <c r="P104" s="30" t="s">
        <v>91</v>
      </c>
      <c r="Q104" s="29">
        <f>Q80</f>
        <v>1.6E-2</v>
      </c>
      <c r="R104" s="35">
        <v>0.09</v>
      </c>
      <c r="S104" s="30" t="s">
        <v>357</v>
      </c>
      <c r="T104" s="30" t="s">
        <v>357</v>
      </c>
      <c r="U104" s="32">
        <v>4</v>
      </c>
      <c r="V104" s="30"/>
      <c r="W104" s="30"/>
      <c r="AE104" s="29">
        <v>1</v>
      </c>
      <c r="AF104" s="29">
        <v>1</v>
      </c>
      <c r="AG104" s="29">
        <v>1</v>
      </c>
    </row>
    <row r="105" spans="1:33" ht="156.94999999999999" customHeight="1">
      <c r="A105" s="29" t="e" vm="61">
        <v>#VALUE!</v>
      </c>
      <c r="B105" s="29" t="str">
        <f t="shared" si="5"/>
        <v>DKYC12</v>
      </c>
      <c r="C105" s="41" t="s">
        <v>813</v>
      </c>
      <c r="E105" s="30"/>
      <c r="F105" s="30">
        <v>1</v>
      </c>
      <c r="G105" s="29">
        <v>1</v>
      </c>
      <c r="H105" s="29">
        <v>1</v>
      </c>
      <c r="M105" s="40" t="s">
        <v>854</v>
      </c>
      <c r="N105" s="51" t="s">
        <v>70</v>
      </c>
      <c r="O105" s="30" t="s">
        <v>725</v>
      </c>
      <c r="P105" s="30" t="s">
        <v>92</v>
      </c>
      <c r="Q105" s="29">
        <v>0.8</v>
      </c>
      <c r="R105" s="35">
        <f t="shared" ref="R105:R107" si="11">(Q105*$AN$2)</f>
        <v>2.9864566929133867</v>
      </c>
      <c r="S105" s="30" t="s">
        <v>608</v>
      </c>
      <c r="T105" s="30" t="s">
        <v>22</v>
      </c>
      <c r="U105" s="32">
        <v>-115</v>
      </c>
      <c r="V105" s="30"/>
      <c r="W105" s="30"/>
      <c r="AE105" s="29">
        <v>1</v>
      </c>
      <c r="AF105" s="29">
        <v>1</v>
      </c>
      <c r="AG105" s="29">
        <v>1</v>
      </c>
    </row>
    <row r="106" spans="1:33" ht="156.94999999999999" customHeight="1">
      <c r="A106" s="29" t="e" vm="62">
        <v>#VALUE!</v>
      </c>
      <c r="B106" s="29" t="str">
        <f t="shared" si="5"/>
        <v>DKYC13</v>
      </c>
      <c r="C106" s="41" t="s">
        <v>813</v>
      </c>
      <c r="E106" s="30"/>
      <c r="F106" s="30">
        <v>1</v>
      </c>
      <c r="G106" s="29">
        <v>1</v>
      </c>
      <c r="H106" s="29">
        <v>1</v>
      </c>
      <c r="M106" s="40" t="s">
        <v>854</v>
      </c>
      <c r="N106" s="51" t="s">
        <v>72</v>
      </c>
      <c r="O106" s="30" t="s">
        <v>726</v>
      </c>
      <c r="P106" s="30" t="s">
        <v>93</v>
      </c>
      <c r="Q106" s="29">
        <v>0.5</v>
      </c>
      <c r="R106" s="35">
        <f t="shared" si="11"/>
        <v>1.8665354330708666</v>
      </c>
      <c r="S106" s="30" t="s">
        <v>608</v>
      </c>
      <c r="T106" s="30" t="s">
        <v>22</v>
      </c>
      <c r="U106" s="32">
        <v>-115</v>
      </c>
      <c r="V106" s="30"/>
      <c r="W106" s="30"/>
      <c r="AE106" s="29">
        <v>1</v>
      </c>
      <c r="AF106" s="29">
        <v>1</v>
      </c>
      <c r="AG106" s="29">
        <v>1</v>
      </c>
    </row>
    <row r="107" spans="1:33" ht="156.94999999999999" customHeight="1">
      <c r="A107" s="29" t="e" vm="63">
        <v>#VALUE!</v>
      </c>
      <c r="B107" s="29" t="str">
        <f t="shared" si="5"/>
        <v>DKYC14</v>
      </c>
      <c r="C107" s="41" t="s">
        <v>813</v>
      </c>
      <c r="E107" s="30"/>
      <c r="F107" s="30">
        <v>1</v>
      </c>
      <c r="G107" s="29">
        <v>1</v>
      </c>
      <c r="H107" s="29">
        <v>1</v>
      </c>
      <c r="M107" s="40" t="s">
        <v>854</v>
      </c>
      <c r="N107" s="51" t="s">
        <v>95</v>
      </c>
      <c r="O107" s="30" t="s">
        <v>727</v>
      </c>
      <c r="P107" s="30" t="s">
        <v>94</v>
      </c>
      <c r="Q107" s="29">
        <v>0.1</v>
      </c>
      <c r="R107" s="35">
        <f t="shared" si="11"/>
        <v>0.37330708661417333</v>
      </c>
      <c r="S107" s="30" t="s">
        <v>608</v>
      </c>
      <c r="T107" s="30" t="s">
        <v>22</v>
      </c>
      <c r="U107" s="33">
        <v>-118</v>
      </c>
      <c r="V107" s="30"/>
      <c r="W107" s="30"/>
      <c r="AE107" s="29">
        <v>1</v>
      </c>
      <c r="AF107" s="29">
        <v>1</v>
      </c>
      <c r="AG107" s="29">
        <v>1</v>
      </c>
    </row>
    <row r="108" spans="1:33" ht="156.94999999999999" customHeight="1">
      <c r="A108" s="29" t="e" vm="64">
        <v>#VALUE!</v>
      </c>
      <c r="B108" s="29" t="str">
        <f t="shared" si="5"/>
        <v>DKYC15</v>
      </c>
      <c r="C108" s="41" t="s">
        <v>813</v>
      </c>
      <c r="E108" s="30"/>
      <c r="F108" s="30">
        <v>1</v>
      </c>
      <c r="G108" s="29">
        <v>1</v>
      </c>
      <c r="H108" s="29">
        <v>1</v>
      </c>
      <c r="M108" s="31"/>
      <c r="N108" s="51" t="s">
        <v>74</v>
      </c>
      <c r="O108" s="30" t="s">
        <v>728</v>
      </c>
      <c r="P108" s="30" t="s">
        <v>73</v>
      </c>
      <c r="Q108" s="29">
        <f>Q84</f>
        <v>8.0000000000000002E-3</v>
      </c>
      <c r="R108" s="35">
        <v>0.08</v>
      </c>
      <c r="S108" s="30" t="s">
        <v>357</v>
      </c>
      <c r="T108" s="30" t="s">
        <v>357</v>
      </c>
      <c r="U108" s="32">
        <v>2</v>
      </c>
      <c r="V108" s="30"/>
      <c r="W108" s="30"/>
      <c r="AE108" s="29">
        <v>1</v>
      </c>
      <c r="AF108" s="29">
        <v>1</v>
      </c>
      <c r="AG108" s="29">
        <v>1</v>
      </c>
    </row>
    <row r="109" spans="1:33" ht="156.94999999999999" customHeight="1">
      <c r="A109" s="29" t="e" vm="65">
        <v>#VALUE!</v>
      </c>
      <c r="B109" s="29" t="str">
        <f t="shared" si="5"/>
        <v>DKYC16</v>
      </c>
      <c r="C109" s="41" t="s">
        <v>813</v>
      </c>
      <c r="E109" s="30"/>
      <c r="F109" s="30">
        <v>1</v>
      </c>
      <c r="G109" s="29">
        <v>1</v>
      </c>
      <c r="H109" s="29">
        <v>1</v>
      </c>
      <c r="M109" s="31"/>
      <c r="N109" s="51" t="s">
        <v>76</v>
      </c>
      <c r="O109" s="30" t="s">
        <v>729</v>
      </c>
      <c r="P109" s="30" t="s">
        <v>75</v>
      </c>
      <c r="Q109" s="29">
        <f>Q85</f>
        <v>2E-3</v>
      </c>
      <c r="R109" s="35">
        <v>0</v>
      </c>
      <c r="S109" s="30" t="s">
        <v>357</v>
      </c>
      <c r="T109" s="30" t="s">
        <v>357</v>
      </c>
      <c r="U109" s="32">
        <v>2</v>
      </c>
      <c r="V109" s="30"/>
      <c r="W109" s="30"/>
      <c r="AE109" s="29">
        <v>1</v>
      </c>
      <c r="AF109" s="29">
        <v>1</v>
      </c>
      <c r="AG109" s="29">
        <v>1</v>
      </c>
    </row>
    <row r="110" spans="1:33" ht="156.94999999999999" customHeight="1">
      <c r="B110" s="29" t="str">
        <f t="shared" si="5"/>
        <v>DKYC17</v>
      </c>
      <c r="C110" s="41" t="s">
        <v>813</v>
      </c>
      <c r="E110" s="30"/>
      <c r="F110" s="30"/>
      <c r="M110" s="30"/>
      <c r="N110" s="51" t="s">
        <v>730</v>
      </c>
      <c r="O110" s="30" t="s">
        <v>734</v>
      </c>
      <c r="P110" s="30" t="s">
        <v>759</v>
      </c>
      <c r="Q110" s="80">
        <v>0.3</v>
      </c>
      <c r="R110" s="35">
        <v>8.6999999999999993</v>
      </c>
      <c r="S110" s="30" t="s">
        <v>357</v>
      </c>
      <c r="T110" s="30" t="s">
        <v>357</v>
      </c>
      <c r="U110" s="32">
        <v>1</v>
      </c>
      <c r="V110" s="30"/>
      <c r="W110" s="30"/>
      <c r="AE110" s="29">
        <v>1</v>
      </c>
      <c r="AF110" s="29">
        <v>1</v>
      </c>
      <c r="AG110" s="29">
        <v>1</v>
      </c>
    </row>
    <row r="111" spans="1:33" ht="156.94999999999999" customHeight="1">
      <c r="B111" s="29" t="str">
        <f t="shared" si="5"/>
        <v>DKYC18</v>
      </c>
      <c r="C111" s="41" t="s">
        <v>813</v>
      </c>
      <c r="E111" s="30"/>
      <c r="F111" s="30"/>
      <c r="M111" s="30"/>
      <c r="N111" s="51" t="s">
        <v>731</v>
      </c>
      <c r="O111" s="30" t="s">
        <v>735</v>
      </c>
      <c r="P111" s="30" t="s">
        <v>760</v>
      </c>
      <c r="Q111" s="80">
        <v>0.2</v>
      </c>
      <c r="R111" s="35">
        <f>600/AM4</f>
        <v>11.811023622047244</v>
      </c>
      <c r="S111" s="30" t="s">
        <v>357</v>
      </c>
      <c r="T111" s="30" t="s">
        <v>357</v>
      </c>
      <c r="U111" s="32">
        <v>1</v>
      </c>
      <c r="V111" s="30"/>
      <c r="W111" s="30"/>
      <c r="AE111" s="29">
        <v>1</v>
      </c>
      <c r="AF111" s="29">
        <v>1</v>
      </c>
      <c r="AG111" s="29">
        <v>1</v>
      </c>
    </row>
    <row r="112" spans="1:33" ht="156.94999999999999" customHeight="1">
      <c r="B112" s="29" t="str">
        <f t="shared" si="5"/>
        <v>DKYC19</v>
      </c>
      <c r="C112" s="41" t="s">
        <v>813</v>
      </c>
      <c r="E112" s="30"/>
      <c r="F112" s="30"/>
      <c r="M112" s="30"/>
      <c r="N112" s="51" t="s">
        <v>732</v>
      </c>
      <c r="O112" s="30" t="s">
        <v>736</v>
      </c>
      <c r="P112" s="30" t="s">
        <v>761</v>
      </c>
      <c r="Q112" s="80">
        <v>1.6E-2</v>
      </c>
      <c r="R112" s="35">
        <f>50/AM4</f>
        <v>0.98425196850393704</v>
      </c>
      <c r="S112" s="30" t="s">
        <v>357</v>
      </c>
      <c r="T112" s="30" t="s">
        <v>357</v>
      </c>
      <c r="U112" s="32">
        <v>1</v>
      </c>
      <c r="V112" s="30"/>
      <c r="W112" s="30"/>
      <c r="AE112" s="29">
        <v>1</v>
      </c>
      <c r="AF112" s="29">
        <v>1</v>
      </c>
      <c r="AG112" s="29">
        <v>1</v>
      </c>
    </row>
    <row r="113" spans="1:36" ht="156.94999999999999" customHeight="1">
      <c r="B113" s="29" t="str">
        <f t="shared" si="5"/>
        <v>DKYC20</v>
      </c>
      <c r="C113" s="41" t="s">
        <v>813</v>
      </c>
      <c r="E113" s="30"/>
      <c r="F113" s="30"/>
      <c r="M113" s="30"/>
      <c r="N113" s="51" t="s">
        <v>733</v>
      </c>
      <c r="O113" s="30" t="s">
        <v>737</v>
      </c>
      <c r="P113" s="30" t="s">
        <v>762</v>
      </c>
      <c r="Q113" s="80">
        <v>1</v>
      </c>
      <c r="R113" s="35">
        <v>15.86</v>
      </c>
      <c r="S113" s="30" t="s">
        <v>357</v>
      </c>
      <c r="T113" s="30" t="s">
        <v>357</v>
      </c>
      <c r="U113" s="32">
        <v>1</v>
      </c>
      <c r="V113" s="30"/>
      <c r="W113" s="30"/>
      <c r="AE113" s="29">
        <v>1</v>
      </c>
      <c r="AF113" s="29">
        <v>1</v>
      </c>
      <c r="AG113" s="29">
        <v>1</v>
      </c>
    </row>
    <row r="114" spans="1:36" ht="156.94999999999999" customHeight="1">
      <c r="B114" s="29">
        <f t="shared" si="5"/>
        <v>0</v>
      </c>
      <c r="C114" s="41" t="s">
        <v>813</v>
      </c>
      <c r="E114" s="30"/>
      <c r="F114" s="30"/>
      <c r="M114" s="30"/>
      <c r="N114" s="51"/>
      <c r="O114" s="30"/>
      <c r="P114" s="30"/>
      <c r="S114" s="30"/>
      <c r="T114" s="30"/>
      <c r="U114" s="32"/>
      <c r="V114" s="30"/>
      <c r="W114" s="30"/>
    </row>
    <row r="115" spans="1:36" ht="156.94999999999999" customHeight="1">
      <c r="A115" s="29" t="e" vm="51">
        <v>#VALUE!</v>
      </c>
      <c r="B115" s="29" t="str">
        <f t="shared" si="5"/>
        <v>DKYD01</v>
      </c>
      <c r="C115" s="41" t="s">
        <v>814</v>
      </c>
      <c r="E115" s="30"/>
      <c r="F115" s="30">
        <v>1</v>
      </c>
      <c r="G115" s="29">
        <v>1</v>
      </c>
      <c r="H115" s="29">
        <v>1</v>
      </c>
      <c r="K115" s="29">
        <v>1</v>
      </c>
      <c r="L115" s="29">
        <v>1</v>
      </c>
      <c r="M115" s="40" t="s">
        <v>854</v>
      </c>
      <c r="N115" s="59" t="s">
        <v>54</v>
      </c>
      <c r="O115" s="30" t="s">
        <v>743</v>
      </c>
      <c r="P115" s="30" t="s">
        <v>83</v>
      </c>
      <c r="Q115" s="29">
        <v>1.3</v>
      </c>
      <c r="R115" s="35">
        <f>(Q115*$AN$2)</f>
        <v>4.8529921259842528</v>
      </c>
      <c r="S115" s="30" t="s">
        <v>608</v>
      </c>
      <c r="T115" s="30" t="s">
        <v>21</v>
      </c>
      <c r="U115" s="32">
        <v>-8</v>
      </c>
      <c r="V115" s="30"/>
      <c r="W115" s="30"/>
      <c r="AH115" s="29">
        <v>1</v>
      </c>
      <c r="AI115" s="29">
        <v>1</v>
      </c>
      <c r="AJ115" s="29">
        <v>1</v>
      </c>
    </row>
    <row r="116" spans="1:36" ht="156.94999999999999" customHeight="1">
      <c r="A116" s="29" t="e" vm="52">
        <v>#VALUE!</v>
      </c>
      <c r="B116" s="29" t="str">
        <f t="shared" si="5"/>
        <v>DKYD02</v>
      </c>
      <c r="C116" s="41" t="s">
        <v>814</v>
      </c>
      <c r="E116" s="30"/>
      <c r="F116" s="30">
        <v>1</v>
      </c>
      <c r="M116" s="40" t="s">
        <v>854</v>
      </c>
      <c r="N116" s="59" t="s">
        <v>79</v>
      </c>
      <c r="O116" s="30" t="s">
        <v>744</v>
      </c>
      <c r="P116" s="30" t="s">
        <v>84</v>
      </c>
      <c r="Q116" s="29">
        <v>1.02</v>
      </c>
      <c r="R116" s="35">
        <f t="shared" ref="R116:R118" si="12">(Q116*$AN$2)</f>
        <v>3.8077322834645679</v>
      </c>
      <c r="S116" s="30" t="s">
        <v>608</v>
      </c>
      <c r="T116" s="30" t="s">
        <v>21</v>
      </c>
      <c r="U116" s="32">
        <v>-8</v>
      </c>
      <c r="V116" s="30"/>
      <c r="W116" s="30"/>
      <c r="AH116" s="29">
        <v>1</v>
      </c>
    </row>
    <row r="117" spans="1:36" ht="156.94999999999999" customHeight="1">
      <c r="A117" s="29" t="e" vm="53">
        <v>#VALUE!</v>
      </c>
      <c r="B117" s="29" t="str">
        <f t="shared" si="5"/>
        <v>DKYD03</v>
      </c>
      <c r="C117" s="41" t="s">
        <v>814</v>
      </c>
      <c r="E117" s="30"/>
      <c r="F117" s="30"/>
      <c r="H117" s="29">
        <v>1</v>
      </c>
      <c r="M117" s="40" t="s">
        <v>854</v>
      </c>
      <c r="N117" s="59" t="s">
        <v>80</v>
      </c>
      <c r="O117" s="30" t="s">
        <v>745</v>
      </c>
      <c r="P117" s="30" t="s">
        <v>80</v>
      </c>
      <c r="Q117" s="29">
        <v>1.02</v>
      </c>
      <c r="R117" s="35">
        <f t="shared" si="12"/>
        <v>3.8077322834645679</v>
      </c>
      <c r="S117" s="30" t="s">
        <v>608</v>
      </c>
      <c r="T117" s="30" t="s">
        <v>21</v>
      </c>
      <c r="U117" s="32">
        <v>-8</v>
      </c>
      <c r="V117" s="30"/>
      <c r="W117" s="30"/>
      <c r="AI117" s="29">
        <v>1</v>
      </c>
    </row>
    <row r="118" spans="1:36" ht="156.94999999999999" customHeight="1">
      <c r="A118" s="29" t="e" vm="54">
        <v>#VALUE!</v>
      </c>
      <c r="B118" s="29" t="str">
        <f t="shared" si="5"/>
        <v>DKYD04</v>
      </c>
      <c r="C118" s="41" t="s">
        <v>814</v>
      </c>
      <c r="E118" s="30"/>
      <c r="F118" s="30"/>
      <c r="G118" s="29">
        <v>1</v>
      </c>
      <c r="M118" s="40" t="s">
        <v>854</v>
      </c>
      <c r="N118" s="59" t="s">
        <v>81</v>
      </c>
      <c r="O118" s="30" t="s">
        <v>746</v>
      </c>
      <c r="P118" s="30" t="s">
        <v>81</v>
      </c>
      <c r="Q118" s="29">
        <v>1.02</v>
      </c>
      <c r="R118" s="35">
        <f t="shared" si="12"/>
        <v>3.8077322834645679</v>
      </c>
      <c r="S118" s="30" t="s">
        <v>608</v>
      </c>
      <c r="T118" s="30" t="s">
        <v>21</v>
      </c>
      <c r="U118" s="32">
        <v>-8</v>
      </c>
      <c r="V118" s="30"/>
      <c r="W118" s="30"/>
      <c r="AJ118" s="29">
        <v>1</v>
      </c>
    </row>
    <row r="119" spans="1:36" ht="156.94999999999999" customHeight="1">
      <c r="A119" s="29" t="e" vm="6">
        <v>#VALUE!</v>
      </c>
      <c r="B119" s="29" t="str">
        <f t="shared" si="5"/>
        <v>GNL01Q</v>
      </c>
      <c r="C119" s="41" t="s">
        <v>814</v>
      </c>
      <c r="E119" s="30"/>
      <c r="F119" s="30">
        <v>1</v>
      </c>
      <c r="G119" s="29">
        <v>1</v>
      </c>
      <c r="H119" s="29">
        <v>1</v>
      </c>
      <c r="J119" s="29">
        <v>1</v>
      </c>
      <c r="M119" s="31" t="s">
        <v>4</v>
      </c>
      <c r="N119" s="59" t="s">
        <v>3</v>
      </c>
      <c r="O119" s="30" t="s">
        <v>775</v>
      </c>
      <c r="P119" s="30" t="s">
        <v>917</v>
      </c>
      <c r="Q119" s="29">
        <f>Q92</f>
        <v>2.5</v>
      </c>
      <c r="R119" s="35">
        <f>2.9/AQ2</f>
        <v>2.4604330708661419</v>
      </c>
      <c r="S119" s="30" t="s">
        <v>608</v>
      </c>
      <c r="T119" s="30" t="s">
        <v>21</v>
      </c>
      <c r="U119" s="32">
        <v>-105</v>
      </c>
      <c r="V119" s="30" t="s">
        <v>29</v>
      </c>
      <c r="W119" s="30"/>
      <c r="AH119" s="29">
        <v>1</v>
      </c>
      <c r="AI119" s="29">
        <v>1</v>
      </c>
      <c r="AJ119" s="29">
        <v>1</v>
      </c>
    </row>
    <row r="120" spans="1:36" ht="156.94999999999999" customHeight="1">
      <c r="A120" s="29" t="e" vm="21">
        <v>#VALUE!</v>
      </c>
      <c r="B120" s="29" t="str">
        <f t="shared" si="5"/>
        <v>GNL08Q</v>
      </c>
      <c r="C120" s="41" t="s">
        <v>814</v>
      </c>
      <c r="E120" s="30"/>
      <c r="F120" s="30">
        <v>1</v>
      </c>
      <c r="G120" s="29">
        <v>1</v>
      </c>
      <c r="H120" s="29">
        <v>1</v>
      </c>
      <c r="M120" s="31" t="s">
        <v>11</v>
      </c>
      <c r="N120" s="59" t="s">
        <v>11</v>
      </c>
      <c r="O120" s="30" t="s">
        <v>776</v>
      </c>
      <c r="P120" s="30" t="s">
        <v>795</v>
      </c>
      <c r="Q120" s="29">
        <f t="shared" ref="Q120:Q126" si="13">Q95</f>
        <v>0.02</v>
      </c>
      <c r="R120" s="35">
        <v>1</v>
      </c>
      <c r="S120" s="30" t="s">
        <v>480</v>
      </c>
      <c r="T120" s="30" t="s">
        <v>480</v>
      </c>
      <c r="U120" s="32">
        <v>1</v>
      </c>
      <c r="V120" s="30"/>
      <c r="W120" s="30"/>
      <c r="AH120" s="29">
        <v>1</v>
      </c>
      <c r="AI120" s="29">
        <v>1</v>
      </c>
      <c r="AJ120" s="29">
        <v>1</v>
      </c>
    </row>
    <row r="121" spans="1:36" ht="156.94999999999999" customHeight="1">
      <c r="A121" s="29" t="e" vm="44">
        <v>#VALUE!</v>
      </c>
      <c r="B121" s="29" t="str">
        <f t="shared" si="5"/>
        <v>GNL09Q</v>
      </c>
      <c r="C121" s="41" t="s">
        <v>814</v>
      </c>
      <c r="E121" s="30"/>
      <c r="F121" s="30">
        <v>1</v>
      </c>
      <c r="G121" s="29">
        <v>1</v>
      </c>
      <c r="H121" s="29">
        <v>1</v>
      </c>
      <c r="M121" s="31"/>
      <c r="N121" s="59" t="s">
        <v>66</v>
      </c>
      <c r="O121" s="30" t="s">
        <v>777</v>
      </c>
      <c r="P121" s="30" t="s">
        <v>66</v>
      </c>
      <c r="Q121" s="29">
        <f t="shared" si="13"/>
        <v>0.01</v>
      </c>
      <c r="R121" s="35">
        <f>0.06/AQ2</f>
        <v>5.0905511811023624E-2</v>
      </c>
      <c r="S121" s="30" t="s">
        <v>608</v>
      </c>
      <c r="T121" s="30" t="s">
        <v>21</v>
      </c>
      <c r="U121" s="32">
        <v>-112</v>
      </c>
      <c r="V121" s="30"/>
      <c r="W121" s="30"/>
      <c r="AH121" s="29">
        <v>1</v>
      </c>
      <c r="AI121" s="29">
        <v>1</v>
      </c>
      <c r="AJ121" s="29">
        <v>1</v>
      </c>
    </row>
    <row r="122" spans="1:36" ht="156.94999999999999" customHeight="1">
      <c r="A122" s="29" t="e" vm="19">
        <v>#VALUE!</v>
      </c>
      <c r="B122" s="29" t="str">
        <f t="shared" si="5"/>
        <v>GNL07Q</v>
      </c>
      <c r="C122" s="41" t="s">
        <v>814</v>
      </c>
      <c r="E122" s="30"/>
      <c r="F122" s="30">
        <v>1</v>
      </c>
      <c r="G122" s="29">
        <v>1</v>
      </c>
      <c r="H122" s="29">
        <v>1</v>
      </c>
      <c r="J122" s="30"/>
      <c r="K122" s="30"/>
      <c r="L122" s="30"/>
      <c r="M122" s="31" t="s">
        <v>42</v>
      </c>
      <c r="N122" s="59" t="s">
        <v>42</v>
      </c>
      <c r="O122" s="30" t="s">
        <v>778</v>
      </c>
      <c r="P122" s="30" t="s">
        <v>42</v>
      </c>
      <c r="Q122" s="30">
        <f t="shared" si="13"/>
        <v>0.02</v>
      </c>
      <c r="R122" s="36">
        <f>4/AM4</f>
        <v>7.874015748031496E-2</v>
      </c>
      <c r="S122" s="30" t="s">
        <v>608</v>
      </c>
      <c r="T122" s="30" t="s">
        <v>21</v>
      </c>
      <c r="U122" s="32" t="s">
        <v>487</v>
      </c>
      <c r="V122" s="30" t="s">
        <v>32</v>
      </c>
      <c r="W122" s="30"/>
      <c r="AH122" s="29">
        <v>1</v>
      </c>
      <c r="AI122" s="29">
        <v>1</v>
      </c>
      <c r="AJ122" s="29">
        <v>1</v>
      </c>
    </row>
    <row r="123" spans="1:36" ht="156.94999999999999" customHeight="1">
      <c r="A123" s="29" t="e" vm="55">
        <v>#VALUE!</v>
      </c>
      <c r="B123" s="29" t="str">
        <f t="shared" si="5"/>
        <v>DKYD05</v>
      </c>
      <c r="C123" s="41" t="s">
        <v>814</v>
      </c>
      <c r="E123" s="30"/>
      <c r="F123" s="30">
        <v>1</v>
      </c>
      <c r="G123" s="29">
        <v>1</v>
      </c>
      <c r="H123" s="29">
        <v>1</v>
      </c>
      <c r="M123" s="40" t="s">
        <v>854</v>
      </c>
      <c r="N123" s="59" t="s">
        <v>30</v>
      </c>
      <c r="O123" s="30" t="s">
        <v>747</v>
      </c>
      <c r="P123" s="30" t="s">
        <v>85</v>
      </c>
      <c r="Q123" s="29">
        <f t="shared" si="13"/>
        <v>0.192</v>
      </c>
      <c r="R123" s="35">
        <v>5.2</v>
      </c>
      <c r="S123" s="30" t="s">
        <v>480</v>
      </c>
      <c r="T123" s="30" t="s">
        <v>480</v>
      </c>
      <c r="U123" s="32">
        <v>1</v>
      </c>
      <c r="V123" s="30"/>
      <c r="W123" s="30"/>
      <c r="AH123" s="29">
        <v>1</v>
      </c>
      <c r="AI123" s="29">
        <v>1</v>
      </c>
      <c r="AJ123" s="29">
        <v>1</v>
      </c>
    </row>
    <row r="124" spans="1:36" ht="156.94999999999999" customHeight="1">
      <c r="A124" s="29" t="e" vm="56">
        <v>#VALUE!</v>
      </c>
      <c r="B124" s="29" t="str">
        <f t="shared" si="5"/>
        <v>DKYD06</v>
      </c>
      <c r="C124" s="41" t="s">
        <v>814</v>
      </c>
      <c r="E124" s="30"/>
      <c r="F124" s="30">
        <v>1</v>
      </c>
      <c r="G124" s="29">
        <v>1</v>
      </c>
      <c r="H124" s="29">
        <v>1</v>
      </c>
      <c r="M124" s="31"/>
      <c r="N124" s="59" t="s">
        <v>35</v>
      </c>
      <c r="O124" s="30" t="s">
        <v>748</v>
      </c>
      <c r="P124" s="30" t="s">
        <v>86</v>
      </c>
      <c r="Q124" s="29">
        <f t="shared" si="13"/>
        <v>0.2</v>
      </c>
      <c r="R124" s="35">
        <v>1.43</v>
      </c>
      <c r="S124" s="30" t="s">
        <v>357</v>
      </c>
      <c r="T124" s="30" t="s">
        <v>357</v>
      </c>
      <c r="U124" s="32">
        <v>1</v>
      </c>
      <c r="V124" s="30"/>
      <c r="W124" s="30"/>
      <c r="AH124" s="29">
        <v>1</v>
      </c>
      <c r="AI124" s="29">
        <v>1</v>
      </c>
      <c r="AJ124" s="29">
        <v>1</v>
      </c>
    </row>
    <row r="125" spans="1:36" ht="156.94999999999999" customHeight="1">
      <c r="A125" s="29" t="e" vm="57">
        <v>#VALUE!</v>
      </c>
      <c r="B125" s="29" t="str">
        <f t="shared" si="5"/>
        <v>DKYD07</v>
      </c>
      <c r="C125" s="41" t="s">
        <v>814</v>
      </c>
      <c r="E125" s="30"/>
      <c r="F125" s="30">
        <v>1</v>
      </c>
      <c r="G125" s="29">
        <v>1</v>
      </c>
      <c r="H125" s="29">
        <v>1</v>
      </c>
      <c r="M125" s="31"/>
      <c r="N125" s="59" t="s">
        <v>7</v>
      </c>
      <c r="O125" s="30" t="s">
        <v>749</v>
      </c>
      <c r="P125" s="30" t="s">
        <v>87</v>
      </c>
      <c r="Q125" s="29">
        <f t="shared" si="13"/>
        <v>0.05</v>
      </c>
      <c r="R125" s="35">
        <f>1.2/AQ2</f>
        <v>1.0181102362204726</v>
      </c>
      <c r="S125" s="30" t="s">
        <v>357</v>
      </c>
      <c r="T125" s="30" t="s">
        <v>357</v>
      </c>
      <c r="U125" s="32">
        <v>1</v>
      </c>
      <c r="V125" s="30"/>
      <c r="W125" s="30"/>
      <c r="AH125" s="29">
        <v>1</v>
      </c>
      <c r="AI125" s="29">
        <v>1</v>
      </c>
      <c r="AJ125" s="29">
        <v>1</v>
      </c>
    </row>
    <row r="126" spans="1:36" ht="156.94999999999999" customHeight="1">
      <c r="A126" s="29" t="e" vm="58">
        <v>#VALUE!</v>
      </c>
      <c r="B126" s="29" t="str">
        <f t="shared" si="5"/>
        <v>DKYD08</v>
      </c>
      <c r="C126" s="41" t="s">
        <v>814</v>
      </c>
      <c r="E126" s="30"/>
      <c r="F126" s="30">
        <v>1</v>
      </c>
      <c r="G126" s="29">
        <v>1</v>
      </c>
      <c r="H126" s="29">
        <v>1</v>
      </c>
      <c r="M126" s="31"/>
      <c r="N126" s="59" t="s">
        <v>89</v>
      </c>
      <c r="O126" s="30" t="s">
        <v>750</v>
      </c>
      <c r="P126" s="30" t="s">
        <v>88</v>
      </c>
      <c r="Q126" s="29">
        <f t="shared" si="13"/>
        <v>0.15</v>
      </c>
      <c r="R126" s="35">
        <v>1.35</v>
      </c>
      <c r="S126" s="30" t="s">
        <v>357</v>
      </c>
      <c r="T126" s="30" t="s">
        <v>357</v>
      </c>
      <c r="U126" s="32">
        <v>2</v>
      </c>
      <c r="V126" s="30"/>
      <c r="W126" s="30"/>
      <c r="AH126" s="29">
        <v>1</v>
      </c>
      <c r="AI126" s="29">
        <v>1</v>
      </c>
      <c r="AJ126" s="29">
        <v>1</v>
      </c>
    </row>
    <row r="127" spans="1:36" ht="156.94999999999999" customHeight="1">
      <c r="A127" s="29" t="e" vm="59">
        <v>#VALUE!</v>
      </c>
      <c r="B127" s="29" t="str">
        <f t="shared" si="5"/>
        <v>DKYD09</v>
      </c>
      <c r="C127" s="41" t="s">
        <v>814</v>
      </c>
      <c r="E127" s="30"/>
      <c r="F127" s="30">
        <v>1</v>
      </c>
      <c r="G127" s="29">
        <v>1</v>
      </c>
      <c r="H127" s="29">
        <v>1</v>
      </c>
      <c r="M127" s="40" t="s">
        <v>854</v>
      </c>
      <c r="N127" s="59" t="s">
        <v>64</v>
      </c>
      <c r="O127" s="30" t="s">
        <v>751</v>
      </c>
      <c r="P127" s="30" t="s">
        <v>90</v>
      </c>
      <c r="Q127" s="29">
        <v>1</v>
      </c>
      <c r="R127" s="35">
        <f t="shared" ref="R127" si="14">(Q127*$AN$2)</f>
        <v>3.7330708661417331</v>
      </c>
      <c r="S127" s="30" t="s">
        <v>608</v>
      </c>
      <c r="T127" s="30" t="s">
        <v>21</v>
      </c>
      <c r="U127" s="32">
        <v>-55</v>
      </c>
      <c r="V127" s="30"/>
      <c r="W127" s="30"/>
      <c r="AH127" s="29">
        <v>1</v>
      </c>
      <c r="AI127" s="29">
        <v>1</v>
      </c>
      <c r="AJ127" s="29">
        <v>1</v>
      </c>
    </row>
    <row r="128" spans="1:36" ht="156.94999999999999" customHeight="1">
      <c r="A128" s="29" t="e" vm="60">
        <v>#VALUE!</v>
      </c>
      <c r="B128" s="29" t="str">
        <f t="shared" si="5"/>
        <v>DKYD10</v>
      </c>
      <c r="C128" s="41" t="s">
        <v>814</v>
      </c>
      <c r="E128" s="30"/>
      <c r="F128" s="30">
        <v>1</v>
      </c>
      <c r="G128" s="29">
        <v>1</v>
      </c>
      <c r="H128" s="29">
        <v>1</v>
      </c>
      <c r="M128" s="31"/>
      <c r="N128" s="59" t="s">
        <v>82</v>
      </c>
      <c r="O128" s="30" t="s">
        <v>752</v>
      </c>
      <c r="P128" s="30" t="s">
        <v>65</v>
      </c>
      <c r="Q128" s="29">
        <f>Q103</f>
        <v>3.15</v>
      </c>
      <c r="R128" s="35">
        <f>4.5/AQ2</f>
        <v>3.8179133858267722</v>
      </c>
      <c r="S128" s="30" t="s">
        <v>608</v>
      </c>
      <c r="T128" s="30" t="s">
        <v>21</v>
      </c>
      <c r="U128" s="33">
        <v>-58</v>
      </c>
      <c r="V128" s="30"/>
      <c r="W128" s="30"/>
      <c r="AH128" s="29">
        <v>1</v>
      </c>
      <c r="AI128" s="29">
        <v>1</v>
      </c>
      <c r="AJ128" s="29">
        <v>1</v>
      </c>
    </row>
    <row r="129" spans="1:36" ht="156.94999999999999" customHeight="1">
      <c r="A129" s="29" t="e" vm="45">
        <v>#VALUE!</v>
      </c>
      <c r="B129" s="29" t="str">
        <f t="shared" si="5"/>
        <v>DKYD11</v>
      </c>
      <c r="C129" s="41" t="s">
        <v>814</v>
      </c>
      <c r="E129" s="30"/>
      <c r="F129" s="30">
        <v>1</v>
      </c>
      <c r="G129" s="29">
        <v>1</v>
      </c>
      <c r="H129" s="29">
        <v>1</v>
      </c>
      <c r="M129" s="31"/>
      <c r="N129" s="59" t="s">
        <v>68</v>
      </c>
      <c r="O129" s="30" t="s">
        <v>753</v>
      </c>
      <c r="P129" s="30" t="s">
        <v>91</v>
      </c>
      <c r="Q129" s="29">
        <f>Q104</f>
        <v>1.6E-2</v>
      </c>
      <c r="R129" s="35">
        <v>0.09</v>
      </c>
      <c r="S129" s="30" t="s">
        <v>357</v>
      </c>
      <c r="T129" s="30" t="s">
        <v>357</v>
      </c>
      <c r="U129" s="32">
        <v>4</v>
      </c>
      <c r="V129" s="30"/>
      <c r="W129" s="30"/>
      <c r="AH129" s="29">
        <v>1</v>
      </c>
      <c r="AI129" s="29">
        <v>1</v>
      </c>
      <c r="AJ129" s="29">
        <v>1</v>
      </c>
    </row>
    <row r="130" spans="1:36" ht="156.94999999999999" customHeight="1">
      <c r="A130" s="29" t="e" vm="50">
        <v>#VALUE!</v>
      </c>
      <c r="B130" s="29" t="str">
        <f t="shared" si="5"/>
        <v>GNL11Q</v>
      </c>
      <c r="C130" s="41" t="s">
        <v>814</v>
      </c>
      <c r="E130" s="30"/>
      <c r="F130" s="30">
        <v>1</v>
      </c>
      <c r="G130" s="29">
        <v>1</v>
      </c>
      <c r="H130" s="29">
        <v>1</v>
      </c>
      <c r="M130" s="31"/>
      <c r="N130" s="59" t="s">
        <v>40</v>
      </c>
      <c r="O130" s="30" t="s">
        <v>779</v>
      </c>
      <c r="P130" s="30">
        <v>9761001</v>
      </c>
      <c r="Q130" s="29">
        <f>Q68</f>
        <v>7.6999999999999999E-2</v>
      </c>
      <c r="R130" s="35">
        <v>1.45</v>
      </c>
      <c r="S130" s="30" t="s">
        <v>357</v>
      </c>
      <c r="T130" s="30" t="s">
        <v>357</v>
      </c>
      <c r="U130" s="32">
        <v>1</v>
      </c>
      <c r="V130" s="30"/>
      <c r="W130" s="30"/>
      <c r="AH130" s="29">
        <v>1</v>
      </c>
      <c r="AI130" s="29">
        <v>1</v>
      </c>
      <c r="AJ130" s="29">
        <v>1</v>
      </c>
    </row>
    <row r="131" spans="1:36" ht="156.94999999999999" customHeight="1">
      <c r="A131" s="29" t="e" vm="49">
        <v>#VALUE!</v>
      </c>
      <c r="B131" s="29" t="str">
        <f t="shared" ref="B131:B181" si="15">O131</f>
        <v>GNL10Q</v>
      </c>
      <c r="C131" s="41" t="s">
        <v>814</v>
      </c>
      <c r="E131" s="30"/>
      <c r="F131" s="30">
        <v>1</v>
      </c>
      <c r="G131" s="29">
        <v>1</v>
      </c>
      <c r="H131" s="29">
        <v>1</v>
      </c>
      <c r="M131" s="31"/>
      <c r="N131" s="59" t="s">
        <v>644</v>
      </c>
      <c r="O131" s="30" t="s">
        <v>780</v>
      </c>
      <c r="P131" s="30" t="s">
        <v>645</v>
      </c>
      <c r="Q131" s="29">
        <f>Q67</f>
        <v>7.0000000000000007E-2</v>
      </c>
      <c r="R131" s="35">
        <v>0.86</v>
      </c>
      <c r="S131" s="30" t="s">
        <v>357</v>
      </c>
      <c r="T131" s="30" t="s">
        <v>357</v>
      </c>
      <c r="U131" s="32">
        <v>1</v>
      </c>
      <c r="V131" s="30"/>
      <c r="W131" s="30"/>
      <c r="AH131" s="29">
        <v>1</v>
      </c>
      <c r="AI131" s="29">
        <v>1</v>
      </c>
      <c r="AJ131" s="29">
        <v>1</v>
      </c>
    </row>
    <row r="132" spans="1:36" ht="156.94999999999999" customHeight="1">
      <c r="B132" s="29" t="str">
        <f t="shared" si="15"/>
        <v>DKYD12</v>
      </c>
      <c r="C132" s="41" t="s">
        <v>814</v>
      </c>
      <c r="E132" s="30"/>
      <c r="F132" s="30"/>
      <c r="M132" s="30"/>
      <c r="N132" s="59" t="s">
        <v>738</v>
      </c>
      <c r="O132" s="30" t="s">
        <v>754</v>
      </c>
      <c r="P132" s="30" t="s">
        <v>763</v>
      </c>
      <c r="Q132" s="29">
        <v>0.08</v>
      </c>
      <c r="R132" s="35">
        <f>310/AM4</f>
        <v>6.1023622047244102</v>
      </c>
      <c r="S132" s="30" t="s">
        <v>357</v>
      </c>
      <c r="T132" s="30" t="s">
        <v>357</v>
      </c>
      <c r="U132" s="32">
        <v>2</v>
      </c>
      <c r="V132" s="30"/>
      <c r="W132" s="30"/>
      <c r="AH132" s="29">
        <v>1</v>
      </c>
      <c r="AI132" s="29">
        <v>1</v>
      </c>
      <c r="AJ132" s="29">
        <v>1</v>
      </c>
    </row>
    <row r="133" spans="1:36" ht="156.94999999999999" customHeight="1">
      <c r="B133" s="29" t="str">
        <f t="shared" si="15"/>
        <v>DKYD13</v>
      </c>
      <c r="C133" s="41" t="s">
        <v>814</v>
      </c>
      <c r="E133" s="30"/>
      <c r="F133" s="30"/>
      <c r="M133" s="30"/>
      <c r="N133" s="59" t="s">
        <v>739</v>
      </c>
      <c r="O133" s="30" t="s">
        <v>755</v>
      </c>
      <c r="P133" s="30" t="s">
        <v>764</v>
      </c>
      <c r="Q133" s="29">
        <v>0.08</v>
      </c>
      <c r="R133" s="35">
        <f>270/AM4</f>
        <v>5.3149606299212602</v>
      </c>
      <c r="S133" s="30" t="s">
        <v>357</v>
      </c>
      <c r="T133" s="30" t="s">
        <v>357</v>
      </c>
      <c r="U133" s="32">
        <v>2</v>
      </c>
      <c r="V133" s="30"/>
      <c r="W133" s="30"/>
      <c r="AH133" s="29">
        <v>1</v>
      </c>
      <c r="AI133" s="29">
        <v>1</v>
      </c>
      <c r="AJ133" s="29">
        <v>1</v>
      </c>
    </row>
    <row r="134" spans="1:36" ht="156.94999999999999" customHeight="1">
      <c r="B134" s="29" t="str">
        <f t="shared" si="15"/>
        <v>DKYD14</v>
      </c>
      <c r="C134" s="41" t="s">
        <v>814</v>
      </c>
      <c r="E134" s="30"/>
      <c r="F134" s="30"/>
      <c r="M134" s="30"/>
      <c r="N134" s="59" t="s">
        <v>740</v>
      </c>
      <c r="O134" s="30" t="s">
        <v>756</v>
      </c>
      <c r="P134" s="30" t="s">
        <v>765</v>
      </c>
      <c r="Q134" s="29">
        <v>0.1</v>
      </c>
      <c r="R134" s="35">
        <f>55/AM4</f>
        <v>1.0826771653543308</v>
      </c>
      <c r="S134" s="30" t="s">
        <v>357</v>
      </c>
      <c r="T134" s="30" t="s">
        <v>357</v>
      </c>
      <c r="U134" s="32">
        <v>2</v>
      </c>
      <c r="V134" s="30"/>
      <c r="W134" s="30"/>
      <c r="AH134" s="29">
        <v>1</v>
      </c>
      <c r="AI134" s="29">
        <v>1</v>
      </c>
      <c r="AJ134" s="29">
        <v>1</v>
      </c>
    </row>
    <row r="135" spans="1:36" ht="156.94999999999999" customHeight="1">
      <c r="B135" s="29" t="str">
        <f t="shared" si="15"/>
        <v>DKYD15</v>
      </c>
      <c r="C135" s="41" t="s">
        <v>814</v>
      </c>
      <c r="E135" s="30"/>
      <c r="F135" s="30"/>
      <c r="M135" s="30"/>
      <c r="N135" s="59" t="s">
        <v>741</v>
      </c>
      <c r="O135" s="30" t="s">
        <v>757</v>
      </c>
      <c r="P135" s="30" t="s">
        <v>766</v>
      </c>
      <c r="Q135" s="29">
        <v>0.1</v>
      </c>
      <c r="R135" s="35">
        <f>35/AM4</f>
        <v>0.6889763779527559</v>
      </c>
      <c r="S135" s="30" t="s">
        <v>357</v>
      </c>
      <c r="T135" s="30" t="s">
        <v>357</v>
      </c>
      <c r="U135" s="32">
        <v>2</v>
      </c>
      <c r="V135" s="30"/>
      <c r="W135" s="30"/>
      <c r="AH135" s="29">
        <v>1</v>
      </c>
      <c r="AI135" s="29">
        <v>1</v>
      </c>
      <c r="AJ135" s="29">
        <v>1</v>
      </c>
    </row>
    <row r="136" spans="1:36" ht="156.94999999999999" customHeight="1">
      <c r="B136" s="29" t="str">
        <f t="shared" si="15"/>
        <v>DKYD16</v>
      </c>
      <c r="C136" s="41" t="s">
        <v>814</v>
      </c>
      <c r="E136" s="30"/>
      <c r="F136" s="30"/>
      <c r="M136" s="30"/>
      <c r="N136" s="59" t="s">
        <v>742</v>
      </c>
      <c r="O136" s="30" t="s">
        <v>758</v>
      </c>
      <c r="P136" s="30" t="s">
        <v>767</v>
      </c>
      <c r="Q136" s="29">
        <v>0.2</v>
      </c>
      <c r="R136" s="35">
        <f>0.22/AQ2</f>
        <v>0.18665354330708664</v>
      </c>
      <c r="S136" s="30" t="s">
        <v>608</v>
      </c>
      <c r="T136" s="30" t="s">
        <v>22</v>
      </c>
      <c r="U136" s="32">
        <v>0</v>
      </c>
      <c r="V136" s="30"/>
      <c r="W136" s="30"/>
      <c r="AH136" s="29">
        <v>1</v>
      </c>
      <c r="AI136" s="29">
        <v>1</v>
      </c>
      <c r="AJ136" s="29">
        <v>1</v>
      </c>
    </row>
    <row r="137" spans="1:36" ht="92.45" customHeight="1">
      <c r="B137" s="29" t="str">
        <f t="shared" si="15"/>
        <v>COPACO</v>
      </c>
      <c r="M137" s="29" t="s">
        <v>31</v>
      </c>
      <c r="N137" s="44" t="s">
        <v>194</v>
      </c>
      <c r="O137" s="44" t="s">
        <v>194</v>
      </c>
      <c r="Q137" s="29">
        <v>0.64</v>
      </c>
      <c r="R137" s="35">
        <v>10</v>
      </c>
      <c r="S137" s="29" t="s">
        <v>817</v>
      </c>
    </row>
    <row r="138" spans="1:36" ht="92.45" customHeight="1">
      <c r="B138" s="29" t="str">
        <f t="shared" si="15"/>
        <v>SOLTİS_86</v>
      </c>
      <c r="M138" s="29" t="s">
        <v>31</v>
      </c>
      <c r="N138" s="44" t="s">
        <v>317</v>
      </c>
      <c r="O138" s="44" t="s">
        <v>317</v>
      </c>
      <c r="Q138" s="29">
        <v>0.372</v>
      </c>
      <c r="R138" s="35">
        <v>13</v>
      </c>
      <c r="S138" s="29" t="s">
        <v>817</v>
      </c>
    </row>
    <row r="139" spans="1:36" ht="92.45" customHeight="1">
      <c r="B139" s="29" t="str">
        <f t="shared" si="15"/>
        <v>SOLTİS_88</v>
      </c>
      <c r="M139" s="29" t="s">
        <v>31</v>
      </c>
      <c r="N139" s="44" t="s">
        <v>318</v>
      </c>
      <c r="O139" s="44" t="s">
        <v>318</v>
      </c>
      <c r="Q139" s="29">
        <v>0.372</v>
      </c>
      <c r="R139" s="35">
        <v>14.84</v>
      </c>
      <c r="S139" s="29" t="s">
        <v>817</v>
      </c>
    </row>
    <row r="140" spans="1:36" ht="92.45" customHeight="1">
      <c r="B140" s="29" t="str">
        <f t="shared" si="15"/>
        <v>SOLTİS_92</v>
      </c>
      <c r="M140" s="29" t="s">
        <v>31</v>
      </c>
      <c r="N140" s="44" t="s">
        <v>319</v>
      </c>
      <c r="O140" s="44" t="s">
        <v>319</v>
      </c>
      <c r="Q140" s="29">
        <v>0.372</v>
      </c>
      <c r="R140" s="35">
        <v>16</v>
      </c>
      <c r="S140" s="29" t="s">
        <v>817</v>
      </c>
    </row>
    <row r="141" spans="1:36" ht="92.45" customHeight="1">
      <c r="B141" s="29" t="str">
        <f t="shared" si="15"/>
        <v>BLACOUT_B92</v>
      </c>
      <c r="M141" s="29" t="s">
        <v>31</v>
      </c>
      <c r="N141" s="44" t="s">
        <v>320</v>
      </c>
      <c r="O141" s="44" t="s">
        <v>320</v>
      </c>
      <c r="Q141" s="29">
        <v>0.64</v>
      </c>
      <c r="R141" s="35" t="s">
        <v>674</v>
      </c>
      <c r="S141" s="29" t="s">
        <v>817</v>
      </c>
    </row>
    <row r="142" spans="1:36" ht="92.45" customHeight="1">
      <c r="B142" s="29" t="str">
        <f t="shared" si="15"/>
        <v>SOLTİS_96</v>
      </c>
      <c r="M142" s="29" t="s">
        <v>31</v>
      </c>
      <c r="N142" s="44" t="s">
        <v>321</v>
      </c>
      <c r="O142" s="44" t="s">
        <v>321</v>
      </c>
      <c r="Q142" s="29">
        <v>0.372</v>
      </c>
      <c r="R142" s="35">
        <v>14</v>
      </c>
      <c r="S142" s="29" t="s">
        <v>817</v>
      </c>
    </row>
    <row r="143" spans="1:36" ht="92.45" customHeight="1">
      <c r="B143" s="29" t="str">
        <f t="shared" si="15"/>
        <v>SOLTİS_W96</v>
      </c>
      <c r="M143" s="29" t="s">
        <v>31</v>
      </c>
      <c r="N143" s="44" t="s">
        <v>322</v>
      </c>
      <c r="O143" s="44" t="s">
        <v>322</v>
      </c>
      <c r="Q143" s="29">
        <v>0.64</v>
      </c>
      <c r="R143" s="35">
        <v>17.940000000000001</v>
      </c>
      <c r="S143" s="29" t="s">
        <v>817</v>
      </c>
    </row>
    <row r="144" spans="1:36" ht="92.45" customHeight="1">
      <c r="B144" s="29" t="str">
        <f t="shared" si="15"/>
        <v>OPAK_622</v>
      </c>
      <c r="M144" s="29" t="s">
        <v>31</v>
      </c>
      <c r="N144" s="44" t="s">
        <v>326</v>
      </c>
      <c r="O144" s="44" t="s">
        <v>326</v>
      </c>
      <c r="Q144" s="29">
        <v>0.64</v>
      </c>
      <c r="R144" s="35">
        <v>15</v>
      </c>
      <c r="S144" s="29" t="s">
        <v>817</v>
      </c>
    </row>
    <row r="145" spans="2:19" ht="92.45" customHeight="1">
      <c r="B145" s="29" t="str">
        <f t="shared" si="15"/>
        <v>ŞEFFAF_</v>
      </c>
      <c r="M145" s="29" t="s">
        <v>31</v>
      </c>
      <c r="N145" s="44" t="s">
        <v>324</v>
      </c>
      <c r="O145" s="44" t="s">
        <v>324</v>
      </c>
      <c r="Q145" s="29">
        <v>0.372</v>
      </c>
      <c r="R145" s="35">
        <v>17</v>
      </c>
      <c r="S145" s="29" t="s">
        <v>817</v>
      </c>
    </row>
    <row r="146" spans="2:19" ht="92.45" customHeight="1">
      <c r="B146" s="29" t="str">
        <f t="shared" si="15"/>
        <v>SCREEN</v>
      </c>
      <c r="M146" s="29" t="s">
        <v>31</v>
      </c>
      <c r="N146" s="44" t="s">
        <v>193</v>
      </c>
      <c r="O146" s="44" t="s">
        <v>193</v>
      </c>
      <c r="Q146" s="29">
        <v>0.372</v>
      </c>
      <c r="R146" s="35">
        <v>7</v>
      </c>
      <c r="S146" s="29" t="s">
        <v>817</v>
      </c>
    </row>
    <row r="147" spans="2:19" ht="72.599999999999994" customHeight="1">
      <c r="B147" s="29">
        <f t="shared" si="15"/>
        <v>0</v>
      </c>
      <c r="M147" s="29" t="s">
        <v>105</v>
      </c>
      <c r="N147" s="45" t="s">
        <v>906</v>
      </c>
      <c r="Q147" s="29">
        <v>2</v>
      </c>
      <c r="R147" s="35">
        <v>66</v>
      </c>
    </row>
    <row r="148" spans="2:19" ht="72.599999999999994" customHeight="1">
      <c r="B148" s="29">
        <f t="shared" si="15"/>
        <v>0</v>
      </c>
      <c r="M148" s="29" t="s">
        <v>105</v>
      </c>
      <c r="N148" s="45" t="s">
        <v>907</v>
      </c>
      <c r="Q148" s="29">
        <v>1.95</v>
      </c>
      <c r="R148" s="35">
        <v>82</v>
      </c>
    </row>
    <row r="149" spans="2:19" ht="72.599999999999994" customHeight="1">
      <c r="B149" s="29">
        <f t="shared" si="15"/>
        <v>0</v>
      </c>
      <c r="M149" s="29" t="s">
        <v>105</v>
      </c>
      <c r="N149" s="45" t="s">
        <v>908</v>
      </c>
      <c r="Q149" s="29">
        <v>2.5</v>
      </c>
      <c r="R149" s="35">
        <v>85</v>
      </c>
    </row>
    <row r="150" spans="2:19" ht="72.599999999999994" customHeight="1">
      <c r="B150" s="29">
        <f t="shared" si="15"/>
        <v>0</v>
      </c>
      <c r="M150" s="29" t="s">
        <v>105</v>
      </c>
      <c r="N150" s="45" t="s">
        <v>909</v>
      </c>
      <c r="Q150" s="29">
        <v>2</v>
      </c>
      <c r="R150" s="35">
        <v>38</v>
      </c>
    </row>
    <row r="151" spans="2:19" ht="72.599999999999994" customHeight="1">
      <c r="B151" s="29">
        <f t="shared" si="15"/>
        <v>0</v>
      </c>
      <c r="M151" s="29" t="s">
        <v>105</v>
      </c>
      <c r="N151" s="45" t="s">
        <v>910</v>
      </c>
      <c r="Q151" s="29">
        <v>2</v>
      </c>
      <c r="R151" s="35">
        <v>48</v>
      </c>
    </row>
    <row r="152" spans="2:19" ht="72.599999999999994" customHeight="1">
      <c r="B152" s="29">
        <f t="shared" si="15"/>
        <v>0</v>
      </c>
      <c r="M152" s="29" t="s">
        <v>105</v>
      </c>
      <c r="N152" s="45" t="s">
        <v>911</v>
      </c>
      <c r="Q152" s="29">
        <v>2</v>
      </c>
      <c r="R152" s="35">
        <v>25</v>
      </c>
    </row>
    <row r="153" spans="2:19" ht="72.599999999999994" customHeight="1">
      <c r="B153" s="29">
        <f t="shared" si="15"/>
        <v>0</v>
      </c>
      <c r="M153" s="29" t="s">
        <v>105</v>
      </c>
      <c r="N153" s="45" t="s">
        <v>912</v>
      </c>
      <c r="Q153" s="29">
        <v>2.35</v>
      </c>
      <c r="R153" s="35">
        <v>25</v>
      </c>
    </row>
    <row r="154" spans="2:19" ht="72.599999999999994" customHeight="1">
      <c r="B154" s="29">
        <f t="shared" si="15"/>
        <v>0</v>
      </c>
      <c r="M154" s="29" t="s">
        <v>105</v>
      </c>
      <c r="N154" s="45" t="s">
        <v>913</v>
      </c>
      <c r="Q154" s="29">
        <v>2.7</v>
      </c>
      <c r="R154" s="35">
        <v>27</v>
      </c>
    </row>
    <row r="155" spans="2:19" ht="72.599999999999994" customHeight="1">
      <c r="B155" s="29">
        <f t="shared" si="15"/>
        <v>0</v>
      </c>
      <c r="M155" s="29" t="s">
        <v>105</v>
      </c>
      <c r="N155" s="45" t="s">
        <v>204</v>
      </c>
      <c r="Q155" s="29">
        <v>1.95</v>
      </c>
      <c r="R155" s="35">
        <v>66</v>
      </c>
    </row>
    <row r="156" spans="2:19" ht="72.599999999999994" customHeight="1">
      <c r="B156" s="29">
        <f t="shared" si="15"/>
        <v>0</v>
      </c>
      <c r="M156" s="29" t="s">
        <v>105</v>
      </c>
      <c r="N156" s="45" t="s">
        <v>205</v>
      </c>
      <c r="Q156" s="29">
        <v>2.4500000000000002</v>
      </c>
      <c r="R156" s="35">
        <v>85</v>
      </c>
    </row>
    <row r="157" spans="2:19" ht="72.599999999999994" customHeight="1">
      <c r="B157" s="29">
        <f t="shared" si="15"/>
        <v>0</v>
      </c>
      <c r="M157" s="29" t="s">
        <v>105</v>
      </c>
      <c r="N157" s="45" t="s">
        <v>914</v>
      </c>
      <c r="Q157" s="29">
        <v>2</v>
      </c>
      <c r="R157" s="35">
        <v>85</v>
      </c>
    </row>
    <row r="158" spans="2:19" ht="72.599999999999994" customHeight="1">
      <c r="B158" s="29">
        <f t="shared" si="15"/>
        <v>0</v>
      </c>
      <c r="M158" s="29" t="s">
        <v>105</v>
      </c>
      <c r="N158" s="45" t="s">
        <v>915</v>
      </c>
      <c r="Q158" s="29">
        <v>2</v>
      </c>
      <c r="R158" s="35">
        <v>96</v>
      </c>
    </row>
    <row r="159" spans="2:19" ht="72.599999999999994" customHeight="1">
      <c r="B159" s="29">
        <f t="shared" si="15"/>
        <v>0</v>
      </c>
      <c r="M159" s="29" t="s">
        <v>105</v>
      </c>
      <c r="N159" s="45" t="s">
        <v>916</v>
      </c>
      <c r="Q159" s="29">
        <v>2</v>
      </c>
      <c r="R159" s="35">
        <v>110</v>
      </c>
    </row>
    <row r="160" spans="2:19" ht="72.599999999999994" customHeight="1">
      <c r="B160" s="29">
        <f t="shared" si="15"/>
        <v>0</v>
      </c>
      <c r="M160" s="29" t="s">
        <v>105</v>
      </c>
      <c r="N160" s="45" t="s">
        <v>209</v>
      </c>
      <c r="Q160" s="29">
        <v>1.95</v>
      </c>
      <c r="R160" s="35">
        <v>45</v>
      </c>
    </row>
    <row r="161" spans="2:18" ht="72.599999999999994" customHeight="1">
      <c r="B161" s="29">
        <f t="shared" si="15"/>
        <v>0</v>
      </c>
      <c r="M161" s="29" t="s">
        <v>105</v>
      </c>
      <c r="N161" s="45" t="s">
        <v>210</v>
      </c>
      <c r="Q161" s="29">
        <v>2.4500000000000002</v>
      </c>
      <c r="R161" s="35">
        <v>65</v>
      </c>
    </row>
    <row r="162" spans="2:18" ht="72.599999999999994" customHeight="1">
      <c r="B162" s="29">
        <f t="shared" si="15"/>
        <v>0</v>
      </c>
      <c r="M162" s="29" t="s">
        <v>105</v>
      </c>
      <c r="N162" s="45" t="s">
        <v>211</v>
      </c>
      <c r="Q162" s="29">
        <v>2</v>
      </c>
      <c r="R162" s="35">
        <v>15</v>
      </c>
    </row>
    <row r="163" spans="2:18" ht="72.599999999999994" customHeight="1">
      <c r="B163" s="29">
        <f t="shared" si="15"/>
        <v>0</v>
      </c>
      <c r="M163" s="29" t="s">
        <v>105</v>
      </c>
      <c r="N163" s="45" t="s">
        <v>212</v>
      </c>
      <c r="Q163" s="29">
        <v>2.35</v>
      </c>
      <c r="R163" s="35">
        <v>15</v>
      </c>
    </row>
    <row r="164" spans="2:18" ht="72.599999999999994" customHeight="1">
      <c r="B164" s="29">
        <f t="shared" si="15"/>
        <v>0</v>
      </c>
      <c r="M164" s="29" t="s">
        <v>105</v>
      </c>
      <c r="N164" s="45" t="s">
        <v>213</v>
      </c>
      <c r="Q164" s="29">
        <v>2.7</v>
      </c>
      <c r="R164" s="35">
        <v>17</v>
      </c>
    </row>
    <row r="165" spans="2:18" ht="72.599999999999994" customHeight="1">
      <c r="B165" s="29">
        <f t="shared" si="15"/>
        <v>0</v>
      </c>
      <c r="M165" s="29" t="s">
        <v>105</v>
      </c>
      <c r="N165" s="45" t="s">
        <v>195</v>
      </c>
      <c r="Q165" s="29">
        <v>2</v>
      </c>
      <c r="R165" s="35">
        <v>35</v>
      </c>
    </row>
    <row r="166" spans="2:18" ht="72.599999999999994" customHeight="1">
      <c r="B166" s="29">
        <f t="shared" si="15"/>
        <v>0</v>
      </c>
      <c r="M166" s="29" t="s">
        <v>105</v>
      </c>
      <c r="N166" s="45" t="s">
        <v>806</v>
      </c>
      <c r="Q166" s="29">
        <v>0</v>
      </c>
      <c r="R166" s="35">
        <v>10</v>
      </c>
    </row>
    <row r="167" spans="2:18" ht="72.599999999999994" customHeight="1">
      <c r="B167" s="29">
        <f t="shared" si="15"/>
        <v>0</v>
      </c>
      <c r="M167" s="29" t="s">
        <v>105</v>
      </c>
      <c r="N167" s="45" t="s">
        <v>886</v>
      </c>
      <c r="Q167" s="29">
        <v>2</v>
      </c>
      <c r="R167" s="35">
        <v>95</v>
      </c>
    </row>
    <row r="168" spans="2:18" ht="54.95" customHeight="1">
      <c r="B168" s="29">
        <f t="shared" si="15"/>
        <v>0</v>
      </c>
      <c r="M168" s="29" t="s">
        <v>107</v>
      </c>
      <c r="N168" s="47" t="s">
        <v>896</v>
      </c>
      <c r="Q168" s="29">
        <v>0.1</v>
      </c>
      <c r="R168" s="35">
        <v>45</v>
      </c>
    </row>
    <row r="169" spans="2:18" ht="54.95" customHeight="1">
      <c r="B169" s="29">
        <f t="shared" si="15"/>
        <v>0</v>
      </c>
      <c r="M169" s="29" t="s">
        <v>107</v>
      </c>
      <c r="N169" s="47" t="s">
        <v>897</v>
      </c>
      <c r="Q169" s="29">
        <v>0.1</v>
      </c>
      <c r="R169" s="35">
        <v>76</v>
      </c>
    </row>
    <row r="170" spans="2:18" ht="54.95" customHeight="1">
      <c r="B170" s="29">
        <f t="shared" si="15"/>
        <v>0</v>
      </c>
      <c r="M170" s="29" t="s">
        <v>107</v>
      </c>
      <c r="N170" s="47" t="s">
        <v>898</v>
      </c>
      <c r="Q170" s="29">
        <v>0.1</v>
      </c>
      <c r="R170" s="35">
        <v>208</v>
      </c>
    </row>
    <row r="171" spans="2:18" ht="54.95" customHeight="1">
      <c r="B171" s="29">
        <f t="shared" si="15"/>
        <v>0</v>
      </c>
      <c r="M171" s="29" t="s">
        <v>107</v>
      </c>
      <c r="N171" s="47" t="s">
        <v>214</v>
      </c>
      <c r="Q171" s="29">
        <v>0.1</v>
      </c>
      <c r="R171" s="35">
        <v>12</v>
      </c>
    </row>
    <row r="172" spans="2:18" ht="54.95" customHeight="1">
      <c r="B172" s="29">
        <f t="shared" si="15"/>
        <v>0</v>
      </c>
      <c r="M172" s="29" t="s">
        <v>107</v>
      </c>
      <c r="N172" s="47" t="s">
        <v>215</v>
      </c>
      <c r="Q172" s="29">
        <v>0.1</v>
      </c>
      <c r="R172" s="35">
        <v>15</v>
      </c>
    </row>
    <row r="173" spans="2:18" ht="54.95" customHeight="1">
      <c r="B173" s="29">
        <f t="shared" si="15"/>
        <v>0</v>
      </c>
      <c r="M173" s="29" t="s">
        <v>107</v>
      </c>
      <c r="N173" s="47" t="s">
        <v>216</v>
      </c>
      <c r="Q173" s="29">
        <v>0.1</v>
      </c>
      <c r="R173" s="35">
        <v>21</v>
      </c>
    </row>
    <row r="174" spans="2:18" ht="54.95" customHeight="1">
      <c r="B174" s="29">
        <f t="shared" si="15"/>
        <v>0</v>
      </c>
      <c r="M174" s="29" t="s">
        <v>107</v>
      </c>
      <c r="N174" s="47" t="s">
        <v>217</v>
      </c>
      <c r="Q174" s="29">
        <v>0.1</v>
      </c>
      <c r="R174" s="35">
        <v>23</v>
      </c>
    </row>
    <row r="175" spans="2:18" ht="54.95" customHeight="1">
      <c r="B175" s="29">
        <f t="shared" si="15"/>
        <v>0</v>
      </c>
      <c r="M175" s="29" t="s">
        <v>107</v>
      </c>
      <c r="N175" s="47" t="s">
        <v>218</v>
      </c>
      <c r="Q175" s="29">
        <v>0.1</v>
      </c>
      <c r="R175" s="35">
        <v>27</v>
      </c>
    </row>
    <row r="176" spans="2:18" ht="54.95" customHeight="1">
      <c r="B176" s="29">
        <f t="shared" si="15"/>
        <v>0</v>
      </c>
      <c r="M176" s="29" t="s">
        <v>107</v>
      </c>
      <c r="N176" s="47" t="s">
        <v>219</v>
      </c>
      <c r="Q176" s="29">
        <v>0.1</v>
      </c>
      <c r="R176" s="35">
        <v>38</v>
      </c>
    </row>
    <row r="177" spans="2:18" ht="54.95" customHeight="1">
      <c r="B177" s="29">
        <f t="shared" si="15"/>
        <v>0</v>
      </c>
      <c r="M177" s="29" t="s">
        <v>107</v>
      </c>
      <c r="N177" s="47" t="s">
        <v>220</v>
      </c>
      <c r="Q177" s="29">
        <v>0.1</v>
      </c>
      <c r="R177" s="35">
        <v>128</v>
      </c>
    </row>
    <row r="178" spans="2:18" ht="54.95" customHeight="1">
      <c r="B178" s="29">
        <f t="shared" si="15"/>
        <v>0</v>
      </c>
      <c r="M178" s="29" t="s">
        <v>107</v>
      </c>
      <c r="N178" s="47" t="s">
        <v>221</v>
      </c>
      <c r="Q178" s="29">
        <v>0.1</v>
      </c>
      <c r="R178" s="35">
        <v>45</v>
      </c>
    </row>
    <row r="179" spans="2:18" ht="54.95" customHeight="1">
      <c r="B179" s="29">
        <f t="shared" si="15"/>
        <v>0</v>
      </c>
      <c r="M179" s="29" t="s">
        <v>107</v>
      </c>
      <c r="N179" s="47" t="s">
        <v>222</v>
      </c>
      <c r="Q179" s="29">
        <v>0.1</v>
      </c>
      <c r="R179" s="35">
        <v>69</v>
      </c>
    </row>
    <row r="180" spans="2:18" ht="54.95" customHeight="1">
      <c r="B180" s="29">
        <f t="shared" si="15"/>
        <v>0</v>
      </c>
      <c r="M180" s="29" t="s">
        <v>107</v>
      </c>
      <c r="N180" s="47" t="s">
        <v>223</v>
      </c>
      <c r="Q180" s="29">
        <v>0.1</v>
      </c>
      <c r="R180" s="35">
        <v>118</v>
      </c>
    </row>
    <row r="181" spans="2:18" ht="54.95" customHeight="1">
      <c r="B181" s="29">
        <f t="shared" si="15"/>
        <v>0</v>
      </c>
      <c r="M181" s="29" t="s">
        <v>107</v>
      </c>
      <c r="N181" s="47" t="s">
        <v>224</v>
      </c>
      <c r="R181" s="35">
        <v>135</v>
      </c>
    </row>
    <row r="182" spans="2:18" ht="54.95" customHeight="1">
      <c r="B182" s="29">
        <f t="shared" ref="B182:B183" si="16">O182</f>
        <v>0</v>
      </c>
      <c r="M182" s="29" t="s">
        <v>107</v>
      </c>
      <c r="N182" s="47" t="s">
        <v>881</v>
      </c>
      <c r="Q182" s="29">
        <v>0.02</v>
      </c>
      <c r="R182" s="35">
        <v>2</v>
      </c>
    </row>
    <row r="183" spans="2:18" ht="54.95" customHeight="1">
      <c r="B183" s="29">
        <f t="shared" si="16"/>
        <v>0</v>
      </c>
      <c r="M183" s="29" t="s">
        <v>107</v>
      </c>
      <c r="N183" s="47" t="s">
        <v>882</v>
      </c>
      <c r="Q183" s="29">
        <v>0.02</v>
      </c>
      <c r="R183" s="35">
        <v>2</v>
      </c>
    </row>
  </sheetData>
  <mergeCells count="1">
    <mergeCell ref="AX2:AZ2"/>
  </mergeCells>
  <phoneticPr fontId="8" type="noConversion"/>
  <conditionalFormatting sqref="AT2 Z37:AF37 W38 Y38:AF38 X39:AF39 W40:X40 AD43:CF43 W60:AF60 AC61:AJ61 W61:Y62 AA62:AF62 W63:AA63 AC63:AF63 W64:Z64 AB64:AF64 W65:Y85 AC65:AF85 AD66:CF66 AD70:CF70 W137:AF1048576 Z40:AF59 W86:AF86 W87:Y136 AC87:AF136 C1:L86 W2:AF27 W29:AF36 W28 AA28:AF28 C137:L1048576 AD3:CF13 D87:L136">
    <cfRule type="cellIs" dxfId="22" priority="35" operator="equal">
      <formula>1</formula>
    </cfRule>
  </conditionalFormatting>
  <conditionalFormatting sqref="J2">
    <cfRule type="cellIs" dxfId="21" priority="39" operator="equal">
      <formula>1</formula>
    </cfRule>
  </conditionalFormatting>
  <conditionalFormatting sqref="J3:L6 V6:V13 J8:R9 J12:N13 P10:R13 J7:O7 R7 N3:N6 J10:L11 N10:N11">
    <cfRule type="cellIs" dxfId="20" priority="42" operator="equal">
      <formula>1</formula>
    </cfRule>
  </conditionalFormatting>
  <conditionalFormatting sqref="M61:M64">
    <cfRule type="cellIs" dxfId="19" priority="26" operator="equal">
      <formula>1</formula>
    </cfRule>
  </conditionalFormatting>
  <conditionalFormatting sqref="S3:T13 J43:T43 J66:T66 J70:T70">
    <cfRule type="cellIs" dxfId="18" priority="32" operator="equal">
      <formula>1</formula>
    </cfRule>
  </conditionalFormatting>
  <conditionalFormatting sqref="V43">
    <cfRule type="cellIs" dxfId="17" priority="38" operator="equal">
      <formula>1</formula>
    </cfRule>
  </conditionalFormatting>
  <conditionalFormatting sqref="V66">
    <cfRule type="cellIs" dxfId="16" priority="37" operator="equal">
      <formula>1</formula>
    </cfRule>
  </conditionalFormatting>
  <conditionalFormatting sqref="V70">
    <cfRule type="cellIs" dxfId="15" priority="36" operator="equal">
      <formula>1</formula>
    </cfRule>
  </conditionalFormatting>
  <conditionalFormatting sqref="AD2">
    <cfRule type="cellIs" dxfId="14" priority="34" operator="equal">
      <formula>1</formula>
    </cfRule>
  </conditionalFormatting>
  <conditionalFormatting sqref="BM15:BO15">
    <cfRule type="duplicateValues" dxfId="13" priority="44"/>
  </conditionalFormatting>
  <conditionalFormatting sqref="CC16:CD16">
    <cfRule type="iconSet" priority="43">
      <iconSet iconSet="3Arrows">
        <cfvo type="percent" val="0"/>
        <cfvo type="percent" val="33"/>
        <cfvo type="percent" val="67"/>
      </iconSet>
    </cfRule>
  </conditionalFormatting>
  <conditionalFormatting sqref="O45">
    <cfRule type="cellIs" dxfId="12" priority="20" operator="equal">
      <formula>1</formula>
    </cfRule>
  </conditionalFormatting>
  <conditionalFormatting sqref="J92:T92 J94:T94">
    <cfRule type="cellIs" dxfId="11" priority="17" operator="equal">
      <formula>1</formula>
    </cfRule>
  </conditionalFormatting>
  <conditionalFormatting sqref="V92">
    <cfRule type="cellIs" dxfId="10" priority="19" operator="equal">
      <formula>1</formula>
    </cfRule>
  </conditionalFormatting>
  <conditionalFormatting sqref="V94">
    <cfRule type="cellIs" dxfId="9" priority="18" operator="equal">
      <formula>1</formula>
    </cfRule>
  </conditionalFormatting>
  <conditionalFormatting sqref="J119:T119">
    <cfRule type="cellIs" dxfId="8" priority="10" operator="equal">
      <formula>1</formula>
    </cfRule>
  </conditionalFormatting>
  <conditionalFormatting sqref="V119">
    <cfRule type="cellIs" dxfId="7" priority="11" operator="equal">
      <formula>1</formula>
    </cfRule>
  </conditionalFormatting>
  <conditionalFormatting sqref="AG87:AJ136">
    <cfRule type="cellIs" dxfId="6" priority="6" operator="equal">
      <formula>1</formula>
    </cfRule>
  </conditionalFormatting>
  <conditionalFormatting sqref="M74">
    <cfRule type="cellIs" dxfId="5" priority="5" operator="equal">
      <formula>1</formula>
    </cfRule>
  </conditionalFormatting>
  <conditionalFormatting sqref="M78">
    <cfRule type="cellIs" dxfId="4" priority="4" operator="equal">
      <formula>1</formula>
    </cfRule>
  </conditionalFormatting>
  <conditionalFormatting sqref="M81">
    <cfRule type="cellIs" dxfId="3" priority="3" operator="equal">
      <formula>1</formula>
    </cfRule>
  </conditionalFormatting>
  <conditionalFormatting sqref="M82">
    <cfRule type="cellIs" dxfId="2" priority="2" operator="equal">
      <formula>1</formula>
    </cfRule>
  </conditionalFormatting>
  <conditionalFormatting sqref="M83">
    <cfRule type="cellIs" dxfId="1" priority="1" operator="equal">
      <formula>1</formula>
    </cfRule>
  </conditionalFormatting>
  <pageMargins left="0.7" right="0.7" top="0.75" bottom="0.75" header="0.3" footer="0.3"/>
  <pageSetup paperSize="9" scale="10" fitToHeight="0"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30CCC-3022-41B3-BE72-CDB90C6A9AFC}">
  <sheetPr codeName="Sayfa14">
    <tabColor rgb="FFFFFF00"/>
  </sheetPr>
  <dimension ref="B1:K1600"/>
  <sheetViews>
    <sheetView zoomScale="70" zoomScaleNormal="70" workbookViewId="0">
      <selection activeCell="N9" sqref="N9"/>
    </sheetView>
  </sheetViews>
  <sheetFormatPr defaultColWidth="9.125" defaultRowHeight="33.75"/>
  <cols>
    <col min="1" max="1" width="1.375" style="12" customWidth="1"/>
    <col min="2" max="2" width="19.625" style="258"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11" ht="69" customHeight="1" thickBot="1">
      <c r="B1" s="256" t="s">
        <v>869</v>
      </c>
      <c r="C1" s="248"/>
      <c r="D1" s="656"/>
      <c r="E1" s="656"/>
      <c r="F1" s="656"/>
      <c r="G1" s="656"/>
      <c r="H1" s="255" t="s">
        <v>684</v>
      </c>
    </row>
    <row r="2" spans="2:11" ht="31.5" customHeight="1" thickBot="1">
      <c r="B2" s="257" t="s">
        <v>870</v>
      </c>
      <c r="C2" s="248"/>
      <c r="D2" s="657" t="str">
        <f>'1PROJE'!$E$3</f>
        <v>GÜNEŞ PEN</v>
      </c>
      <c r="E2" s="658"/>
      <c r="F2" s="658"/>
      <c r="G2" s="659"/>
      <c r="J2" s="12" t="s">
        <v>973</v>
      </c>
      <c r="K2" s="12">
        <f>'1PROJE'!T7</f>
        <v>0</v>
      </c>
    </row>
    <row r="3" spans="2:11" ht="31.5" customHeight="1" thickBot="1">
      <c r="B3" s="257" t="s">
        <v>871</v>
      </c>
      <c r="C3" s="248"/>
      <c r="D3" s="644" t="str">
        <f>'1PROJE'!$F$3</f>
        <v>GÜRKAN BEY</v>
      </c>
      <c r="E3" s="645"/>
      <c r="F3" s="645"/>
      <c r="G3" s="646"/>
      <c r="J3" s="12" t="s">
        <v>974</v>
      </c>
      <c r="K3" s="12">
        <f>'1PROJE'!T8</f>
        <v>0</v>
      </c>
    </row>
    <row r="4" spans="2:11" ht="31.5" customHeight="1" thickBot="1">
      <c r="B4" s="257" t="s">
        <v>356</v>
      </c>
      <c r="C4" s="248"/>
      <c r="D4" s="647" t="str" cm="1">
        <f t="array" aca="1" ref="D4" ca="1">INDIRECT("xHesaplama!I"&amp;""&amp;ROW(D4)+70+7*0)</f>
        <v>Zipline® Neo 110 Wawe (Dikey)</v>
      </c>
      <c r="E4" s="648"/>
      <c r="F4" s="648"/>
      <c r="G4" s="649"/>
      <c r="J4" s="12" t="s">
        <v>975</v>
      </c>
      <c r="K4" s="12">
        <f>'1PROJE'!T9</f>
        <v>0</v>
      </c>
    </row>
    <row r="5" spans="2:11" ht="31.5" customHeight="1" thickBot="1">
      <c r="B5" s="257" t="s">
        <v>342</v>
      </c>
      <c r="C5" s="248"/>
      <c r="D5" s="650" t="str">
        <f>H1</f>
        <v>KUTU</v>
      </c>
      <c r="E5" s="651"/>
      <c r="F5" s="651"/>
      <c r="G5" s="652"/>
      <c r="J5" s="12" t="s">
        <v>976</v>
      </c>
      <c r="K5" s="12">
        <f>'1PROJE'!T10</f>
        <v>0</v>
      </c>
    </row>
    <row r="6" spans="2:11" ht="31.5" customHeight="1" thickBot="1">
      <c r="B6" s="257" t="s">
        <v>114</v>
      </c>
      <c r="C6" s="248"/>
      <c r="D6" s="653" t="str">
        <f>'1PROJE'!$G$3</f>
        <v>Z 5001</v>
      </c>
      <c r="E6" s="654"/>
      <c r="F6" s="654"/>
      <c r="G6" s="655"/>
      <c r="I6" s="250"/>
      <c r="J6" s="12" t="s">
        <v>977</v>
      </c>
      <c r="K6" s="12">
        <f>'1PROJE'!T11</f>
        <v>0</v>
      </c>
    </row>
    <row r="7" spans="2:11" ht="31.5" customHeight="1" thickBot="1">
      <c r="B7" s="257" t="s">
        <v>98</v>
      </c>
      <c r="D7" s="331" t="str" cm="1">
        <f t="array" aca="1" ref="D7" ca="1">INDIRECT("xHesaplama!H"&amp;""&amp;ROW(D4)+70+7*0)</f>
        <v>POZ 1.</v>
      </c>
      <c r="E7" s="332"/>
      <c r="F7" s="642">
        <f ca="1">VLOOKUP(LEFT(D7,6),$J$2:$K$21,2,0)</f>
        <v>0</v>
      </c>
      <c r="G7" s="643"/>
      <c r="J7" s="12" t="s">
        <v>978</v>
      </c>
      <c r="K7" s="12">
        <f>'1PROJE'!T12</f>
        <v>0</v>
      </c>
    </row>
    <row r="8" spans="2:11" ht="31.5" customHeight="1" thickBot="1">
      <c r="B8" s="257" t="s">
        <v>832</v>
      </c>
      <c r="D8" s="252" t="s">
        <v>359</v>
      </c>
      <c r="E8" s="253" cm="1">
        <f t="array" aca="1" ref="E8" ca="1">INDIRECT("xHesaplama!J"&amp;""&amp;ROW(D4)+70+7*0)</f>
        <v>1200</v>
      </c>
      <c r="F8" s="254" t="s">
        <v>358</v>
      </c>
      <c r="G8" s="253" cm="1">
        <f t="array" aca="1" ref="G8" ca="1">INDIRECT("xHesaplama!K"&amp;""&amp;ROW(D4)+70+7*0)</f>
        <v>2315</v>
      </c>
      <c r="J8" s="12" t="s">
        <v>979</v>
      </c>
      <c r="K8" s="12">
        <f>'1PROJE'!T13</f>
        <v>0</v>
      </c>
    </row>
    <row r="9" spans="2:11" ht="69" customHeight="1" thickBot="1">
      <c r="B9" s="256" t="s">
        <v>869</v>
      </c>
      <c r="C9" s="248"/>
      <c r="D9" s="656"/>
      <c r="E9" s="656"/>
      <c r="F9" s="656"/>
      <c r="G9" s="656"/>
      <c r="J9" s="12" t="s">
        <v>980</v>
      </c>
      <c r="K9" s="12">
        <f>'1PROJE'!T14</f>
        <v>0</v>
      </c>
    </row>
    <row r="10" spans="2:11" ht="31.5" customHeight="1" thickBot="1">
      <c r="B10" s="257" t="s">
        <v>870</v>
      </c>
      <c r="C10" s="248"/>
      <c r="D10" s="657" t="str">
        <f>'1PROJE'!$E$3</f>
        <v>GÜNEŞ PEN</v>
      </c>
      <c r="E10" s="658"/>
      <c r="F10" s="658"/>
      <c r="G10" s="659"/>
      <c r="J10" s="12" t="s">
        <v>981</v>
      </c>
      <c r="K10" s="12">
        <f>'1PROJE'!T15</f>
        <v>0</v>
      </c>
    </row>
    <row r="11" spans="2:11" ht="31.5" customHeight="1" thickBot="1">
      <c r="B11" s="257" t="s">
        <v>871</v>
      </c>
      <c r="C11" s="248"/>
      <c r="D11" s="644" t="str">
        <f>'1PROJE'!$F$3</f>
        <v>GÜRKAN BEY</v>
      </c>
      <c r="E11" s="645"/>
      <c r="F11" s="645"/>
      <c r="G11" s="646"/>
      <c r="J11" s="12" t="s">
        <v>402</v>
      </c>
      <c r="K11" s="12">
        <f>'1PROJE'!T16</f>
        <v>0</v>
      </c>
    </row>
    <row r="12" spans="2:11" ht="31.5" customHeight="1" thickBot="1">
      <c r="B12" s="257" t="s">
        <v>356</v>
      </c>
      <c r="C12" s="248"/>
      <c r="D12" s="647" t="e" cm="1">
        <f t="array" aca="1" ref="D12" ca="1">INDIRECT("xHesaplama!I"&amp;""&amp;ROW(D12)+70-7*ROUNDDOWN(ROW(D12)/8,0))</f>
        <v>#N/A</v>
      </c>
      <c r="E12" s="648"/>
      <c r="F12" s="648"/>
      <c r="G12" s="649"/>
      <c r="J12" s="12" t="s">
        <v>403</v>
      </c>
      <c r="K12" s="12">
        <f>'1PROJE'!T17</f>
        <v>0</v>
      </c>
    </row>
    <row r="13" spans="2:11" ht="31.5" customHeight="1" thickBot="1">
      <c r="B13" s="257" t="s">
        <v>342</v>
      </c>
      <c r="C13" s="248"/>
      <c r="D13" s="650" t="str">
        <f>$H$1</f>
        <v>KUTU</v>
      </c>
      <c r="E13" s="651"/>
      <c r="F13" s="651"/>
      <c r="G13" s="652"/>
      <c r="J13" s="12" t="s">
        <v>404</v>
      </c>
      <c r="K13" s="12">
        <f>'1PROJE'!T18</f>
        <v>0</v>
      </c>
    </row>
    <row r="14" spans="2:11" ht="31.5" customHeight="1" thickBot="1">
      <c r="B14" s="257" t="s">
        <v>114</v>
      </c>
      <c r="C14" s="248"/>
      <c r="D14" s="653" t="str">
        <f>'1PROJE'!$G$3</f>
        <v>Z 5001</v>
      </c>
      <c r="E14" s="654"/>
      <c r="F14" s="654"/>
      <c r="G14" s="655"/>
      <c r="I14" s="250"/>
      <c r="J14" s="12" t="s">
        <v>405</v>
      </c>
      <c r="K14" s="12">
        <f>'1PROJE'!T19</f>
        <v>0</v>
      </c>
    </row>
    <row r="15" spans="2:11" ht="31.5" customHeight="1" thickBot="1">
      <c r="B15" s="257" t="s">
        <v>98</v>
      </c>
      <c r="D15" s="331" cm="1">
        <f t="array" aca="1" ref="D15" ca="1">INDIRECT("xHesaplama!H"&amp;""&amp;ROW(D12)+70-7*ROUNDDOWN(ROW(D12)/8,0))</f>
        <v>0</v>
      </c>
      <c r="E15" s="332"/>
      <c r="F15" s="642" t="e">
        <f ca="1">VLOOKUP(LEFT(D15,6),$J$2:$K$21,2,0)</f>
        <v>#N/A</v>
      </c>
      <c r="G15" s="643"/>
      <c r="J15" s="12" t="s">
        <v>406</v>
      </c>
      <c r="K15" s="12">
        <f>'1PROJE'!T20</f>
        <v>0</v>
      </c>
    </row>
    <row r="16" spans="2:11" ht="31.5" customHeight="1" thickBot="1">
      <c r="B16" s="257" t="s">
        <v>832</v>
      </c>
      <c r="D16" s="252" t="s">
        <v>359</v>
      </c>
      <c r="E16" s="253" t="e" cm="1">
        <f t="array" aca="1" ref="E16" ca="1">INDIRECT("xHesaplama!J"&amp;""&amp;ROW(D12)+70-7*ROUNDDOWN(ROW(D12)/8,0))</f>
        <v>#N/A</v>
      </c>
      <c r="F16" s="254" t="s">
        <v>358</v>
      </c>
      <c r="G16" s="253" t="e" cm="1">
        <f t="array" aca="1" ref="G16" ca="1">INDIRECT("xHesaplama!K"&amp;""&amp;ROW(D12)+70-7*ROUNDDOWN(ROW(D12)/8,0))</f>
        <v>#N/A</v>
      </c>
      <c r="J16" s="12" t="s">
        <v>407</v>
      </c>
      <c r="K16" s="12">
        <f>'1PROJE'!T21</f>
        <v>0</v>
      </c>
    </row>
    <row r="17" spans="2:11" ht="69" customHeight="1" thickBot="1">
      <c r="B17" s="256" t="s">
        <v>869</v>
      </c>
      <c r="C17" s="248"/>
      <c r="D17" s="656"/>
      <c r="E17" s="656"/>
      <c r="F17" s="656"/>
      <c r="G17" s="656"/>
      <c r="J17" s="12" t="s">
        <v>655</v>
      </c>
      <c r="K17" s="12">
        <f>'1PROJE'!T22</f>
        <v>0</v>
      </c>
    </row>
    <row r="18" spans="2:11" ht="31.5" customHeight="1" thickBot="1">
      <c r="B18" s="257" t="s">
        <v>870</v>
      </c>
      <c r="C18" s="248"/>
      <c r="D18" s="657" t="str">
        <f>'1PROJE'!$E$3</f>
        <v>GÜNEŞ PEN</v>
      </c>
      <c r="E18" s="658"/>
      <c r="F18" s="658"/>
      <c r="G18" s="659"/>
      <c r="J18" s="12" t="s">
        <v>656</v>
      </c>
      <c r="K18" s="12">
        <f>'1PROJE'!T23</f>
        <v>0</v>
      </c>
    </row>
    <row r="19" spans="2:11" ht="31.5" customHeight="1" thickBot="1">
      <c r="B19" s="257" t="s">
        <v>871</v>
      </c>
      <c r="C19" s="248"/>
      <c r="D19" s="644" t="str">
        <f>'1PROJE'!$F$3</f>
        <v>GÜRKAN BEY</v>
      </c>
      <c r="E19" s="645"/>
      <c r="F19" s="645"/>
      <c r="G19" s="646"/>
      <c r="J19" s="12" t="s">
        <v>657</v>
      </c>
      <c r="K19" s="12">
        <f>'1PROJE'!T24</f>
        <v>0</v>
      </c>
    </row>
    <row r="20" spans="2:11" ht="31.5" customHeight="1" thickBot="1">
      <c r="B20" s="257" t="s">
        <v>356</v>
      </c>
      <c r="C20" s="248"/>
      <c r="D20" s="647" t="e" cm="1">
        <f t="array" aca="1" ref="D20" ca="1">INDIRECT("xHesaplama!I"&amp;""&amp;ROW(D20)+70-7*ROUNDDOWN(ROW(D20)/8,0))</f>
        <v>#N/A</v>
      </c>
      <c r="E20" s="648"/>
      <c r="F20" s="648"/>
      <c r="G20" s="649"/>
      <c r="J20" s="12" t="s">
        <v>658</v>
      </c>
      <c r="K20" s="12">
        <f>'1PROJE'!T25</f>
        <v>0</v>
      </c>
    </row>
    <row r="21" spans="2:11" ht="31.5" customHeight="1" thickBot="1">
      <c r="B21" s="257" t="s">
        <v>342</v>
      </c>
      <c r="C21" s="248"/>
      <c r="D21" s="650" t="str">
        <f>$H$1</f>
        <v>KUTU</v>
      </c>
      <c r="E21" s="651"/>
      <c r="F21" s="651"/>
      <c r="G21" s="652"/>
      <c r="J21" s="12" t="s">
        <v>659</v>
      </c>
      <c r="K21" s="12">
        <f>'1PROJE'!T26</f>
        <v>0</v>
      </c>
    </row>
    <row r="22" spans="2:11" ht="31.5" customHeight="1" thickBot="1">
      <c r="B22" s="257" t="s">
        <v>114</v>
      </c>
      <c r="C22" s="248"/>
      <c r="D22" s="653" t="str">
        <f>'1PROJE'!$G$3</f>
        <v>Z 5001</v>
      </c>
      <c r="E22" s="654"/>
      <c r="F22" s="654"/>
      <c r="G22" s="655"/>
      <c r="I22" s="250"/>
    </row>
    <row r="23" spans="2:11" ht="31.5" customHeight="1" thickBot="1">
      <c r="B23" s="257" t="s">
        <v>98</v>
      </c>
      <c r="D23" s="331" cm="1">
        <f t="array" aca="1" ref="D23" ca="1">INDIRECT("xHesaplama!H"&amp;""&amp;ROW(D20)+70-7*ROUNDDOWN(ROW(D20)/8,0))</f>
        <v>0</v>
      </c>
      <c r="E23" s="332"/>
      <c r="F23" s="642" t="e">
        <f ca="1">VLOOKUP(LEFT(D23,6),$J$2:$K$21,2,0)</f>
        <v>#N/A</v>
      </c>
      <c r="G23" s="643"/>
    </row>
    <row r="24" spans="2:11" ht="31.5" customHeight="1" thickBot="1">
      <c r="B24" s="257" t="s">
        <v>832</v>
      </c>
      <c r="D24" s="252" t="s">
        <v>359</v>
      </c>
      <c r="E24" s="253" t="e" cm="1">
        <f t="array" aca="1" ref="E24" ca="1">INDIRECT("xHesaplama!J"&amp;""&amp;ROW(D20)+70-7*ROUNDDOWN(ROW(D20)/8,0))</f>
        <v>#N/A</v>
      </c>
      <c r="F24" s="254" t="s">
        <v>358</v>
      </c>
      <c r="G24" s="253" t="e" cm="1">
        <f t="array" aca="1" ref="G24" ca="1">INDIRECT("xHesaplama!K"&amp;""&amp;ROW(D20)+70-7*ROUNDDOWN(ROW(D20)/8,0))</f>
        <v>#N/A</v>
      </c>
    </row>
    <row r="25" spans="2:11" ht="69" customHeight="1" thickBot="1">
      <c r="B25" s="256" t="s">
        <v>869</v>
      </c>
      <c r="C25" s="248"/>
      <c r="D25" s="656"/>
      <c r="E25" s="656"/>
      <c r="F25" s="656"/>
      <c r="G25" s="656"/>
    </row>
    <row r="26" spans="2:11" ht="31.5" customHeight="1" thickBot="1">
      <c r="B26" s="257" t="s">
        <v>870</v>
      </c>
      <c r="C26" s="248"/>
      <c r="D26" s="657" t="str">
        <f>'1PROJE'!$E$3</f>
        <v>GÜNEŞ PEN</v>
      </c>
      <c r="E26" s="658"/>
      <c r="F26" s="658"/>
      <c r="G26" s="659"/>
    </row>
    <row r="27" spans="2:11" ht="31.5" customHeight="1" thickBot="1">
      <c r="B27" s="257" t="s">
        <v>871</v>
      </c>
      <c r="C27" s="248"/>
      <c r="D27" s="644" t="str">
        <f>'1PROJE'!$F$3</f>
        <v>GÜRKAN BEY</v>
      </c>
      <c r="E27" s="645"/>
      <c r="F27" s="645"/>
      <c r="G27" s="646"/>
    </row>
    <row r="28" spans="2:11" ht="31.5" customHeight="1" thickBot="1">
      <c r="B28" s="257" t="s">
        <v>356</v>
      </c>
      <c r="C28" s="248"/>
      <c r="D28" s="647" t="e" cm="1">
        <f t="array" aca="1" ref="D28" ca="1">INDIRECT("xHesaplama!I"&amp;""&amp;ROW(D28)+70-7*ROUNDDOWN(ROW(D28)/8,0))</f>
        <v>#N/A</v>
      </c>
      <c r="E28" s="648"/>
      <c r="F28" s="648"/>
      <c r="G28" s="649"/>
    </row>
    <row r="29" spans="2:11" ht="31.5" customHeight="1" thickBot="1">
      <c r="B29" s="257" t="s">
        <v>342</v>
      </c>
      <c r="C29" s="248"/>
      <c r="D29" s="650" t="str">
        <f>$H$1</f>
        <v>KUTU</v>
      </c>
      <c r="E29" s="651"/>
      <c r="F29" s="651"/>
      <c r="G29" s="652"/>
    </row>
    <row r="30" spans="2:11" ht="31.5" customHeight="1" thickBot="1">
      <c r="B30" s="257" t="s">
        <v>114</v>
      </c>
      <c r="C30" s="248"/>
      <c r="D30" s="653" t="str">
        <f>'1PROJE'!$G$3</f>
        <v>Z 5001</v>
      </c>
      <c r="E30" s="654"/>
      <c r="F30" s="654"/>
      <c r="G30" s="655"/>
      <c r="I30" s="250"/>
    </row>
    <row r="31" spans="2:11" ht="31.5" customHeight="1" thickBot="1">
      <c r="B31" s="257" t="s">
        <v>98</v>
      </c>
      <c r="D31" s="331" cm="1">
        <f t="array" aca="1" ref="D31" ca="1">INDIRECT("xHesaplama!H"&amp;""&amp;ROW(D28)+70-7*ROUNDDOWN(ROW(D28)/8,0))</f>
        <v>0</v>
      </c>
      <c r="E31" s="332"/>
      <c r="F31" s="642" t="e">
        <f ca="1">VLOOKUP(LEFT(D31,6),$J$2:$K$21,2,0)</f>
        <v>#N/A</v>
      </c>
      <c r="G31" s="643"/>
    </row>
    <row r="32" spans="2:11" ht="31.5" customHeight="1" thickBot="1">
      <c r="B32" s="257" t="s">
        <v>832</v>
      </c>
      <c r="D32" s="252" t="s">
        <v>359</v>
      </c>
      <c r="E32" s="253" t="e" cm="1">
        <f t="array" aca="1" ref="E32" ca="1">INDIRECT("xHesaplama!J"&amp;""&amp;ROW(D28)+70-7*ROUNDDOWN(ROW(D28)/8,0))</f>
        <v>#N/A</v>
      </c>
      <c r="F32" s="254" t="s">
        <v>358</v>
      </c>
      <c r="G32" s="253" t="e" cm="1">
        <f t="array" aca="1" ref="G32" ca="1">INDIRECT("xHesaplama!K"&amp;""&amp;ROW(D28)+70-7*ROUNDDOWN(ROW(D28)/8,0))</f>
        <v>#N/A</v>
      </c>
    </row>
    <row r="33" spans="2:9" ht="69" customHeight="1" thickBot="1">
      <c r="B33" s="256" t="s">
        <v>869</v>
      </c>
      <c r="C33" s="248"/>
      <c r="D33" s="656"/>
      <c r="E33" s="656"/>
      <c r="F33" s="656"/>
      <c r="G33" s="656"/>
    </row>
    <row r="34" spans="2:9" ht="31.5" customHeight="1" thickBot="1">
      <c r="B34" s="257" t="s">
        <v>870</v>
      </c>
      <c r="C34" s="248"/>
      <c r="D34" s="657" t="str">
        <f>'1PROJE'!$E$3</f>
        <v>GÜNEŞ PEN</v>
      </c>
      <c r="E34" s="658"/>
      <c r="F34" s="658"/>
      <c r="G34" s="659"/>
    </row>
    <row r="35" spans="2:9" ht="31.5" customHeight="1" thickBot="1">
      <c r="B35" s="257" t="s">
        <v>871</v>
      </c>
      <c r="C35" s="248"/>
      <c r="D35" s="644" t="str">
        <f>'1PROJE'!$F$3</f>
        <v>GÜRKAN BEY</v>
      </c>
      <c r="E35" s="645"/>
      <c r="F35" s="645"/>
      <c r="G35" s="646"/>
    </row>
    <row r="36" spans="2:9" ht="31.5" customHeight="1" thickBot="1">
      <c r="B36" s="257" t="s">
        <v>356</v>
      </c>
      <c r="C36" s="248"/>
      <c r="D36" s="647" t="e" cm="1">
        <f t="array" aca="1" ref="D36" ca="1">INDIRECT("xHesaplama!I"&amp;""&amp;ROW(D36)+70-7*ROUNDDOWN(ROW(D36)/8,0))</f>
        <v>#N/A</v>
      </c>
      <c r="E36" s="648"/>
      <c r="F36" s="648"/>
      <c r="G36" s="649"/>
    </row>
    <row r="37" spans="2:9" ht="31.5" customHeight="1" thickBot="1">
      <c r="B37" s="257" t="s">
        <v>342</v>
      </c>
      <c r="C37" s="248"/>
      <c r="D37" s="650" t="str">
        <f>$H$1</f>
        <v>KUTU</v>
      </c>
      <c r="E37" s="651"/>
      <c r="F37" s="651"/>
      <c r="G37" s="652"/>
    </row>
    <row r="38" spans="2:9" ht="31.5" customHeight="1" thickBot="1">
      <c r="B38" s="257" t="s">
        <v>114</v>
      </c>
      <c r="C38" s="248"/>
      <c r="D38" s="653" t="str">
        <f>'1PROJE'!$G$3</f>
        <v>Z 5001</v>
      </c>
      <c r="E38" s="654"/>
      <c r="F38" s="654"/>
      <c r="G38" s="655"/>
      <c r="I38" s="250"/>
    </row>
    <row r="39" spans="2:9" ht="31.5" customHeight="1" thickBot="1">
      <c r="B39" s="257" t="s">
        <v>98</v>
      </c>
      <c r="D39" s="331" cm="1">
        <f t="array" aca="1" ref="D39" ca="1">INDIRECT("xHesaplama!H"&amp;""&amp;ROW(D36)+70-7*ROUNDDOWN(ROW(D36)/8,0))</f>
        <v>0</v>
      </c>
      <c r="E39" s="332"/>
      <c r="F39" s="642" t="e">
        <f ca="1">VLOOKUP(LEFT(D39,6),$J$2:$K$21,2,0)</f>
        <v>#N/A</v>
      </c>
      <c r="G39" s="643"/>
    </row>
    <row r="40" spans="2:9" ht="31.5" customHeight="1" thickBot="1">
      <c r="B40" s="257" t="s">
        <v>832</v>
      </c>
      <c r="D40" s="252" t="s">
        <v>359</v>
      </c>
      <c r="E40" s="253" t="e" cm="1">
        <f t="array" aca="1" ref="E40" ca="1">INDIRECT("xHesaplama!J"&amp;""&amp;ROW(D36)+70-7*ROUNDDOWN(ROW(D36)/8,0))</f>
        <v>#N/A</v>
      </c>
      <c r="F40" s="254" t="s">
        <v>358</v>
      </c>
      <c r="G40" s="253" t="e" cm="1">
        <f t="array" aca="1" ref="G40" ca="1">INDIRECT("xHesaplama!K"&amp;""&amp;ROW(D36)+70-7*ROUNDDOWN(ROW(D36)/8,0))</f>
        <v>#N/A</v>
      </c>
    </row>
    <row r="41" spans="2:9" ht="69" customHeight="1" thickBot="1">
      <c r="B41" s="256" t="s">
        <v>869</v>
      </c>
      <c r="C41" s="248"/>
      <c r="D41" s="656"/>
      <c r="E41" s="656"/>
      <c r="F41" s="656"/>
      <c r="G41" s="656"/>
    </row>
    <row r="42" spans="2:9" ht="31.5" customHeight="1" thickBot="1">
      <c r="B42" s="257" t="s">
        <v>870</v>
      </c>
      <c r="C42" s="248"/>
      <c r="D42" s="657" t="str">
        <f>'1PROJE'!$E$3</f>
        <v>GÜNEŞ PEN</v>
      </c>
      <c r="E42" s="658"/>
      <c r="F42" s="658"/>
      <c r="G42" s="659"/>
    </row>
    <row r="43" spans="2:9" ht="31.5" customHeight="1" thickBot="1">
      <c r="B43" s="257" t="s">
        <v>871</v>
      </c>
      <c r="C43" s="248"/>
      <c r="D43" s="644" t="str">
        <f>'1PROJE'!$F$3</f>
        <v>GÜRKAN BEY</v>
      </c>
      <c r="E43" s="645"/>
      <c r="F43" s="645"/>
      <c r="G43" s="646"/>
    </row>
    <row r="44" spans="2:9" ht="31.5" customHeight="1" thickBot="1">
      <c r="B44" s="257" t="s">
        <v>356</v>
      </c>
      <c r="C44" s="248"/>
      <c r="D44" s="647" t="e" cm="1">
        <f t="array" aca="1" ref="D44" ca="1">INDIRECT("xHesaplama!I"&amp;""&amp;ROW(D44)+70-7*ROUNDDOWN(ROW(D44)/8,0))</f>
        <v>#N/A</v>
      </c>
      <c r="E44" s="648"/>
      <c r="F44" s="648"/>
      <c r="G44" s="649"/>
    </row>
    <row r="45" spans="2:9" ht="31.5" customHeight="1" thickBot="1">
      <c r="B45" s="257" t="s">
        <v>342</v>
      </c>
      <c r="C45" s="248"/>
      <c r="D45" s="650" t="str">
        <f>$H$1</f>
        <v>KUTU</v>
      </c>
      <c r="E45" s="651"/>
      <c r="F45" s="651"/>
      <c r="G45" s="652"/>
    </row>
    <row r="46" spans="2:9" ht="31.5" customHeight="1" thickBot="1">
      <c r="B46" s="257" t="s">
        <v>114</v>
      </c>
      <c r="C46" s="248"/>
      <c r="D46" s="653" t="str">
        <f>'1PROJE'!$G$3</f>
        <v>Z 5001</v>
      </c>
      <c r="E46" s="654"/>
      <c r="F46" s="654"/>
      <c r="G46" s="655"/>
      <c r="I46" s="250"/>
    </row>
    <row r="47" spans="2:9" ht="31.5" customHeight="1" thickBot="1">
      <c r="B47" s="257" t="s">
        <v>98</v>
      </c>
      <c r="D47" s="331" cm="1">
        <f t="array" aca="1" ref="D47" ca="1">INDIRECT("xHesaplama!H"&amp;""&amp;ROW(D44)+70-7*ROUNDDOWN(ROW(D44)/8,0))</f>
        <v>0</v>
      </c>
      <c r="E47" s="332"/>
      <c r="F47" s="642" t="e">
        <f ca="1">VLOOKUP(LEFT(D47,6),$J$2:$K$21,2,0)</f>
        <v>#N/A</v>
      </c>
      <c r="G47" s="643"/>
    </row>
    <row r="48" spans="2:9" ht="31.5" customHeight="1" thickBot="1">
      <c r="B48" s="257" t="s">
        <v>832</v>
      </c>
      <c r="D48" s="252" t="s">
        <v>359</v>
      </c>
      <c r="E48" s="253" t="e" cm="1">
        <f t="array" aca="1" ref="E48" ca="1">INDIRECT("xHesaplama!J"&amp;""&amp;ROW(D44)+70-7*ROUNDDOWN(ROW(D44)/8,0))</f>
        <v>#N/A</v>
      </c>
      <c r="F48" s="254" t="s">
        <v>358</v>
      </c>
      <c r="G48" s="253" t="e" cm="1">
        <f t="array" aca="1" ref="G48" ca="1">INDIRECT("xHesaplama!K"&amp;""&amp;ROW(D44)+70-7*ROUNDDOWN(ROW(D44)/8,0))</f>
        <v>#N/A</v>
      </c>
    </row>
    <row r="49" spans="2:9" ht="69" customHeight="1" thickBot="1">
      <c r="B49" s="256" t="s">
        <v>869</v>
      </c>
      <c r="C49" s="248"/>
      <c r="D49" s="656"/>
      <c r="E49" s="656"/>
      <c r="F49" s="656"/>
      <c r="G49" s="656"/>
    </row>
    <row r="50" spans="2:9" ht="31.5" customHeight="1" thickBot="1">
      <c r="B50" s="257" t="s">
        <v>870</v>
      </c>
      <c r="C50" s="248"/>
      <c r="D50" s="657" t="str">
        <f>'1PROJE'!$E$3</f>
        <v>GÜNEŞ PEN</v>
      </c>
      <c r="E50" s="658"/>
      <c r="F50" s="658"/>
      <c r="G50" s="659"/>
    </row>
    <row r="51" spans="2:9" ht="31.5" customHeight="1" thickBot="1">
      <c r="B51" s="257" t="s">
        <v>871</v>
      </c>
      <c r="C51" s="248"/>
      <c r="D51" s="644" t="str">
        <f>'1PROJE'!$F$3</f>
        <v>GÜRKAN BEY</v>
      </c>
      <c r="E51" s="645"/>
      <c r="F51" s="645"/>
      <c r="G51" s="646"/>
    </row>
    <row r="52" spans="2:9" ht="31.5" customHeight="1" thickBot="1">
      <c r="B52" s="257" t="s">
        <v>356</v>
      </c>
      <c r="C52" s="248"/>
      <c r="D52" s="647" t="e" cm="1">
        <f t="array" aca="1" ref="D52" ca="1">INDIRECT("xHesaplama!I"&amp;""&amp;ROW(D52)+70-7*ROUNDDOWN(ROW(D52)/8,0))</f>
        <v>#N/A</v>
      </c>
      <c r="E52" s="648"/>
      <c r="F52" s="648"/>
      <c r="G52" s="649"/>
    </row>
    <row r="53" spans="2:9" ht="31.5" customHeight="1" thickBot="1">
      <c r="B53" s="257" t="s">
        <v>342</v>
      </c>
      <c r="C53" s="248"/>
      <c r="D53" s="650" t="str">
        <f>$H$1</f>
        <v>KUTU</v>
      </c>
      <c r="E53" s="651"/>
      <c r="F53" s="651"/>
      <c r="G53" s="652"/>
    </row>
    <row r="54" spans="2:9" ht="31.5" customHeight="1" thickBot="1">
      <c r="B54" s="257" t="s">
        <v>114</v>
      </c>
      <c r="C54" s="248"/>
      <c r="D54" s="653" t="str">
        <f>'1PROJE'!$G$3</f>
        <v>Z 5001</v>
      </c>
      <c r="E54" s="654"/>
      <c r="F54" s="654"/>
      <c r="G54" s="655"/>
      <c r="I54" s="250"/>
    </row>
    <row r="55" spans="2:9" ht="31.5" customHeight="1" thickBot="1">
      <c r="B55" s="257" t="s">
        <v>98</v>
      </c>
      <c r="D55" s="331" cm="1">
        <f t="array" aca="1" ref="D55" ca="1">INDIRECT("xHesaplama!H"&amp;""&amp;ROW(D52)+70-7*ROUNDDOWN(ROW(D52)/8,0))</f>
        <v>0</v>
      </c>
      <c r="E55" s="332"/>
      <c r="F55" s="642" t="e">
        <f ca="1">VLOOKUP(LEFT(D55,6),$J$2:$K$21,2,0)</f>
        <v>#N/A</v>
      </c>
      <c r="G55" s="643"/>
    </row>
    <row r="56" spans="2:9" ht="31.5" customHeight="1" thickBot="1">
      <c r="B56" s="257" t="s">
        <v>832</v>
      </c>
      <c r="D56" s="252" t="s">
        <v>359</v>
      </c>
      <c r="E56" s="253" t="e" cm="1">
        <f t="array" aca="1" ref="E56" ca="1">INDIRECT("xHesaplama!J"&amp;""&amp;ROW(D52)+70-7*ROUNDDOWN(ROW(D52)/8,0))</f>
        <v>#N/A</v>
      </c>
      <c r="F56" s="254" t="s">
        <v>358</v>
      </c>
      <c r="G56" s="253" t="e" cm="1">
        <f t="array" aca="1" ref="G56" ca="1">INDIRECT("xHesaplama!K"&amp;""&amp;ROW(D52)+70-7*ROUNDDOWN(ROW(D52)/8,0))</f>
        <v>#N/A</v>
      </c>
    </row>
    <row r="57" spans="2:9" ht="69" customHeight="1" thickBot="1">
      <c r="B57" s="256" t="s">
        <v>869</v>
      </c>
      <c r="C57" s="248"/>
      <c r="D57" s="656"/>
      <c r="E57" s="656"/>
      <c r="F57" s="656"/>
      <c r="G57" s="656"/>
    </row>
    <row r="58" spans="2:9" ht="31.5" customHeight="1" thickBot="1">
      <c r="B58" s="257" t="s">
        <v>870</v>
      </c>
      <c r="C58" s="248"/>
      <c r="D58" s="657" t="str">
        <f>'1PROJE'!$E$3</f>
        <v>GÜNEŞ PEN</v>
      </c>
      <c r="E58" s="658"/>
      <c r="F58" s="658"/>
      <c r="G58" s="659"/>
    </row>
    <row r="59" spans="2:9" ht="31.5" customHeight="1" thickBot="1">
      <c r="B59" s="257" t="s">
        <v>871</v>
      </c>
      <c r="C59" s="248"/>
      <c r="D59" s="644" t="str">
        <f>'1PROJE'!$F$3</f>
        <v>GÜRKAN BEY</v>
      </c>
      <c r="E59" s="645"/>
      <c r="F59" s="645"/>
      <c r="G59" s="646"/>
    </row>
    <row r="60" spans="2:9" ht="31.5" customHeight="1" thickBot="1">
      <c r="B60" s="257" t="s">
        <v>356</v>
      </c>
      <c r="C60" s="248"/>
      <c r="D60" s="647" t="e" cm="1">
        <f t="array" aca="1" ref="D60" ca="1">INDIRECT("xHesaplama!I"&amp;""&amp;ROW(D60)+70-7*ROUNDDOWN(ROW(D60)/8,0))</f>
        <v>#N/A</v>
      </c>
      <c r="E60" s="648"/>
      <c r="F60" s="648"/>
      <c r="G60" s="649"/>
    </row>
    <row r="61" spans="2:9" ht="31.5" customHeight="1" thickBot="1">
      <c r="B61" s="257" t="s">
        <v>342</v>
      </c>
      <c r="C61" s="248"/>
      <c r="D61" s="650" t="str">
        <f>$H$1</f>
        <v>KUTU</v>
      </c>
      <c r="E61" s="651"/>
      <c r="F61" s="651"/>
      <c r="G61" s="652"/>
    </row>
    <row r="62" spans="2:9" ht="31.5" customHeight="1" thickBot="1">
      <c r="B62" s="257" t="s">
        <v>114</v>
      </c>
      <c r="C62" s="248"/>
      <c r="D62" s="653" t="str">
        <f>'1PROJE'!$G$3</f>
        <v>Z 5001</v>
      </c>
      <c r="E62" s="654"/>
      <c r="F62" s="654"/>
      <c r="G62" s="655"/>
      <c r="I62" s="250"/>
    </row>
    <row r="63" spans="2:9" ht="31.5" customHeight="1" thickBot="1">
      <c r="B63" s="257" t="s">
        <v>98</v>
      </c>
      <c r="D63" s="331" cm="1">
        <f t="array" aca="1" ref="D63" ca="1">INDIRECT("xHesaplama!H"&amp;""&amp;ROW(D60)+70-7*ROUNDDOWN(ROW(D60)/8,0))</f>
        <v>0</v>
      </c>
      <c r="E63" s="332"/>
      <c r="F63" s="642" t="e">
        <f ca="1">VLOOKUP(LEFT(D63,6),$J$2:$K$21,2,0)</f>
        <v>#N/A</v>
      </c>
      <c r="G63" s="643"/>
    </row>
    <row r="64" spans="2:9" ht="31.5" customHeight="1" thickBot="1">
      <c r="B64" s="257" t="s">
        <v>832</v>
      </c>
      <c r="D64" s="252" t="s">
        <v>359</v>
      </c>
      <c r="E64" s="253" t="e" cm="1">
        <f t="array" aca="1" ref="E64" ca="1">INDIRECT("xHesaplama!J"&amp;""&amp;ROW(D60)+70-7*ROUNDDOWN(ROW(D60)/8,0))</f>
        <v>#N/A</v>
      </c>
      <c r="F64" s="254" t="s">
        <v>358</v>
      </c>
      <c r="G64" s="253" t="e" cm="1">
        <f t="array" aca="1" ref="G64" ca="1">INDIRECT("xHesaplama!K"&amp;""&amp;ROW(D60)+70-7*ROUNDDOWN(ROW(D60)/8,0))</f>
        <v>#N/A</v>
      </c>
    </row>
    <row r="65" spans="2:9" ht="69" customHeight="1" thickBot="1">
      <c r="B65" s="256" t="s">
        <v>869</v>
      </c>
      <c r="C65" s="248"/>
      <c r="D65" s="656"/>
      <c r="E65" s="656"/>
      <c r="F65" s="656"/>
      <c r="G65" s="656"/>
    </row>
    <row r="66" spans="2:9" ht="31.5" customHeight="1" thickBot="1">
      <c r="B66" s="257" t="s">
        <v>870</v>
      </c>
      <c r="C66" s="248"/>
      <c r="D66" s="657" t="str">
        <f>'1PROJE'!$E$3</f>
        <v>GÜNEŞ PEN</v>
      </c>
      <c r="E66" s="658"/>
      <c r="F66" s="658"/>
      <c r="G66" s="659"/>
    </row>
    <row r="67" spans="2:9" ht="31.5" customHeight="1" thickBot="1">
      <c r="B67" s="257" t="s">
        <v>871</v>
      </c>
      <c r="C67" s="248"/>
      <c r="D67" s="644" t="str">
        <f>'1PROJE'!$F$3</f>
        <v>GÜRKAN BEY</v>
      </c>
      <c r="E67" s="645"/>
      <c r="F67" s="645"/>
      <c r="G67" s="646"/>
    </row>
    <row r="68" spans="2:9" ht="31.5" customHeight="1" thickBot="1">
      <c r="B68" s="257" t="s">
        <v>356</v>
      </c>
      <c r="C68" s="248"/>
      <c r="D68" s="647" t="e" cm="1">
        <f t="array" aca="1" ref="D68" ca="1">INDIRECT("xHesaplama!I"&amp;""&amp;ROW(D68)+70-7*ROUNDDOWN(ROW(D68)/8,0))</f>
        <v>#N/A</v>
      </c>
      <c r="E68" s="648"/>
      <c r="F68" s="648"/>
      <c r="G68" s="649"/>
    </row>
    <row r="69" spans="2:9" ht="31.5" customHeight="1" thickBot="1">
      <c r="B69" s="257" t="s">
        <v>342</v>
      </c>
      <c r="C69" s="248"/>
      <c r="D69" s="650" t="str">
        <f>$H$1</f>
        <v>KUTU</v>
      </c>
      <c r="E69" s="651"/>
      <c r="F69" s="651"/>
      <c r="G69" s="652"/>
    </row>
    <row r="70" spans="2:9" ht="31.5" customHeight="1" thickBot="1">
      <c r="B70" s="257" t="s">
        <v>114</v>
      </c>
      <c r="C70" s="248"/>
      <c r="D70" s="653" t="str">
        <f>'1PROJE'!$G$3</f>
        <v>Z 5001</v>
      </c>
      <c r="E70" s="654"/>
      <c r="F70" s="654"/>
      <c r="G70" s="655"/>
      <c r="I70" s="250"/>
    </row>
    <row r="71" spans="2:9" ht="31.5" customHeight="1" thickBot="1">
      <c r="B71" s="257" t="s">
        <v>98</v>
      </c>
      <c r="D71" s="331" cm="1">
        <f t="array" aca="1" ref="D71" ca="1">INDIRECT("xHesaplama!H"&amp;""&amp;ROW(D68)+70-7*ROUNDDOWN(ROW(D68)/8,0))</f>
        <v>0</v>
      </c>
      <c r="E71" s="332"/>
      <c r="F71" s="642" t="e">
        <f ca="1">VLOOKUP(LEFT(D71,6),$J$2:$K$21,2,0)</f>
        <v>#N/A</v>
      </c>
      <c r="G71" s="643"/>
    </row>
    <row r="72" spans="2:9" ht="31.5" customHeight="1" thickBot="1">
      <c r="B72" s="257" t="s">
        <v>832</v>
      </c>
      <c r="D72" s="252" t="s">
        <v>359</v>
      </c>
      <c r="E72" s="253" t="e" cm="1">
        <f t="array" aca="1" ref="E72" ca="1">INDIRECT("xHesaplama!J"&amp;""&amp;ROW(D68)+70-7*ROUNDDOWN(ROW(D68)/8,0))</f>
        <v>#N/A</v>
      </c>
      <c r="F72" s="254" t="s">
        <v>358</v>
      </c>
      <c r="G72" s="253" t="e" cm="1">
        <f t="array" aca="1" ref="G72" ca="1">INDIRECT("xHesaplama!K"&amp;""&amp;ROW(D68)+70-7*ROUNDDOWN(ROW(D68)/8,0))</f>
        <v>#N/A</v>
      </c>
    </row>
    <row r="73" spans="2:9" ht="69" customHeight="1" thickBot="1">
      <c r="B73" s="256" t="s">
        <v>869</v>
      </c>
      <c r="C73" s="248"/>
      <c r="D73" s="656"/>
      <c r="E73" s="656"/>
      <c r="F73" s="656"/>
      <c r="G73" s="656"/>
    </row>
    <row r="74" spans="2:9" ht="31.5" customHeight="1" thickBot="1">
      <c r="B74" s="257" t="s">
        <v>870</v>
      </c>
      <c r="C74" s="248"/>
      <c r="D74" s="657" t="str">
        <f>'1PROJE'!$E$3</f>
        <v>GÜNEŞ PEN</v>
      </c>
      <c r="E74" s="658"/>
      <c r="F74" s="658"/>
      <c r="G74" s="659"/>
    </row>
    <row r="75" spans="2:9" ht="31.5" customHeight="1" thickBot="1">
      <c r="B75" s="257" t="s">
        <v>871</v>
      </c>
      <c r="C75" s="248"/>
      <c r="D75" s="644" t="str">
        <f>'1PROJE'!$F$3</f>
        <v>GÜRKAN BEY</v>
      </c>
      <c r="E75" s="645"/>
      <c r="F75" s="645"/>
      <c r="G75" s="646"/>
    </row>
    <row r="76" spans="2:9" ht="31.5" customHeight="1" thickBot="1">
      <c r="B76" s="257" t="s">
        <v>356</v>
      </c>
      <c r="C76" s="248"/>
      <c r="D76" s="647" t="e" cm="1">
        <f t="array" aca="1" ref="D76" ca="1">INDIRECT("xHesaplama!I"&amp;""&amp;ROW(D76)+70-7*ROUNDDOWN(ROW(D76)/8,0))</f>
        <v>#N/A</v>
      </c>
      <c r="E76" s="648"/>
      <c r="F76" s="648"/>
      <c r="G76" s="649"/>
    </row>
    <row r="77" spans="2:9" ht="31.5" customHeight="1" thickBot="1">
      <c r="B77" s="257" t="s">
        <v>342</v>
      </c>
      <c r="C77" s="248"/>
      <c r="D77" s="650" t="str">
        <f>$H$1</f>
        <v>KUTU</v>
      </c>
      <c r="E77" s="651"/>
      <c r="F77" s="651"/>
      <c r="G77" s="652"/>
    </row>
    <row r="78" spans="2:9" ht="31.5" customHeight="1" thickBot="1">
      <c r="B78" s="257" t="s">
        <v>114</v>
      </c>
      <c r="C78" s="248"/>
      <c r="D78" s="653" t="str">
        <f>'1PROJE'!$G$3</f>
        <v>Z 5001</v>
      </c>
      <c r="E78" s="654"/>
      <c r="F78" s="654"/>
      <c r="G78" s="655"/>
      <c r="I78" s="250"/>
    </row>
    <row r="79" spans="2:9" ht="31.5" customHeight="1" thickBot="1">
      <c r="B79" s="257" t="s">
        <v>98</v>
      </c>
      <c r="D79" s="331" cm="1">
        <f t="array" aca="1" ref="D79" ca="1">INDIRECT("xHesaplama!H"&amp;""&amp;ROW(D76)+70-7*ROUNDDOWN(ROW(D76)/8,0))</f>
        <v>0</v>
      </c>
      <c r="E79" s="332"/>
      <c r="F79" s="642" t="e">
        <f ca="1">VLOOKUP(LEFT(D79,6),$J$2:$K$21,2,0)</f>
        <v>#N/A</v>
      </c>
      <c r="G79" s="643"/>
    </row>
    <row r="80" spans="2:9" ht="31.5" customHeight="1" thickBot="1">
      <c r="B80" s="257" t="s">
        <v>832</v>
      </c>
      <c r="D80" s="252" t="s">
        <v>359</v>
      </c>
      <c r="E80" s="253" t="e" cm="1">
        <f t="array" aca="1" ref="E80" ca="1">INDIRECT("xHesaplama!J"&amp;""&amp;ROW(D76)+70-7*ROUNDDOWN(ROW(D76)/8,0))</f>
        <v>#N/A</v>
      </c>
      <c r="F80" s="254" t="s">
        <v>358</v>
      </c>
      <c r="G80" s="253" t="e" cm="1">
        <f t="array" aca="1" ref="G80" ca="1">INDIRECT("xHesaplama!K"&amp;""&amp;ROW(D76)+70-7*ROUNDDOWN(ROW(D76)/8,0))</f>
        <v>#N/A</v>
      </c>
    </row>
    <row r="81" spans="2:9" ht="69" customHeight="1" thickBot="1">
      <c r="B81" s="256" t="s">
        <v>869</v>
      </c>
      <c r="C81" s="248"/>
      <c r="D81" s="656"/>
      <c r="E81" s="656"/>
      <c r="F81" s="656"/>
      <c r="G81" s="656"/>
    </row>
    <row r="82" spans="2:9" ht="31.5" customHeight="1" thickBot="1">
      <c r="B82" s="257" t="s">
        <v>870</v>
      </c>
      <c r="C82" s="248"/>
      <c r="D82" s="657" t="str">
        <f>'1PROJE'!$E$3</f>
        <v>GÜNEŞ PEN</v>
      </c>
      <c r="E82" s="658"/>
      <c r="F82" s="658"/>
      <c r="G82" s="659"/>
    </row>
    <row r="83" spans="2:9" ht="31.5" customHeight="1" thickBot="1">
      <c r="B83" s="257" t="s">
        <v>871</v>
      </c>
      <c r="C83" s="248"/>
      <c r="D83" s="644" t="str">
        <f>'1PROJE'!$F$3</f>
        <v>GÜRKAN BEY</v>
      </c>
      <c r="E83" s="645"/>
      <c r="F83" s="645"/>
      <c r="G83" s="646"/>
    </row>
    <row r="84" spans="2:9" ht="31.5" customHeight="1" thickBot="1">
      <c r="B84" s="257" t="s">
        <v>356</v>
      </c>
      <c r="C84" s="248"/>
      <c r="D84" s="647" t="e" cm="1">
        <f t="array" aca="1" ref="D84" ca="1">INDIRECT("xHesaplama!I"&amp;""&amp;ROW(D84)+70-7*ROUNDDOWN(ROW(D84)/8,0))</f>
        <v>#N/A</v>
      </c>
      <c r="E84" s="648"/>
      <c r="F84" s="648"/>
      <c r="G84" s="649"/>
    </row>
    <row r="85" spans="2:9" ht="31.5" customHeight="1" thickBot="1">
      <c r="B85" s="257" t="s">
        <v>342</v>
      </c>
      <c r="C85" s="248"/>
      <c r="D85" s="650" t="str">
        <f>$H$1</f>
        <v>KUTU</v>
      </c>
      <c r="E85" s="651"/>
      <c r="F85" s="651"/>
      <c r="G85" s="652"/>
    </row>
    <row r="86" spans="2:9" ht="31.5" customHeight="1" thickBot="1">
      <c r="B86" s="257" t="s">
        <v>114</v>
      </c>
      <c r="C86" s="248"/>
      <c r="D86" s="653" t="str">
        <f>'1PROJE'!$G$3</f>
        <v>Z 5001</v>
      </c>
      <c r="E86" s="654"/>
      <c r="F86" s="654"/>
      <c r="G86" s="655"/>
      <c r="I86" s="250"/>
    </row>
    <row r="87" spans="2:9" ht="31.5" customHeight="1" thickBot="1">
      <c r="B87" s="257" t="s">
        <v>98</v>
      </c>
      <c r="D87" s="331" cm="1">
        <f t="array" aca="1" ref="D87" ca="1">INDIRECT("xHesaplama!H"&amp;""&amp;ROW(D84)+70-7*ROUNDDOWN(ROW(D84)/8,0))</f>
        <v>0</v>
      </c>
      <c r="E87" s="332"/>
      <c r="F87" s="642" t="e">
        <f ca="1">VLOOKUP(LEFT(D87,6),$J$2:$K$21,2,0)</f>
        <v>#N/A</v>
      </c>
      <c r="G87" s="643"/>
    </row>
    <row r="88" spans="2:9" ht="31.5" customHeight="1" thickBot="1">
      <c r="B88" s="257" t="s">
        <v>832</v>
      </c>
      <c r="D88" s="252" t="s">
        <v>359</v>
      </c>
      <c r="E88" s="253" t="e" cm="1">
        <f t="array" aca="1" ref="E88" ca="1">INDIRECT("xHesaplama!J"&amp;""&amp;ROW(D84)+70-7*ROUNDDOWN(ROW(D84)/8,0))</f>
        <v>#N/A</v>
      </c>
      <c r="F88" s="254" t="s">
        <v>358</v>
      </c>
      <c r="G88" s="253" t="e" cm="1">
        <f t="array" aca="1" ref="G88" ca="1">INDIRECT("xHesaplama!K"&amp;""&amp;ROW(D84)+70-7*ROUNDDOWN(ROW(D84)/8,0))</f>
        <v>#N/A</v>
      </c>
    </row>
    <row r="89" spans="2:9" ht="69" customHeight="1" thickBot="1">
      <c r="B89" s="256" t="s">
        <v>869</v>
      </c>
      <c r="C89" s="248"/>
      <c r="D89" s="656"/>
      <c r="E89" s="656"/>
      <c r="F89" s="656"/>
      <c r="G89" s="656"/>
    </row>
    <row r="90" spans="2:9" ht="31.5" customHeight="1" thickBot="1">
      <c r="B90" s="257" t="s">
        <v>870</v>
      </c>
      <c r="C90" s="248"/>
      <c r="D90" s="657" t="str">
        <f>'1PROJE'!$E$3</f>
        <v>GÜNEŞ PEN</v>
      </c>
      <c r="E90" s="658"/>
      <c r="F90" s="658"/>
      <c r="G90" s="659"/>
    </row>
    <row r="91" spans="2:9" ht="31.5" customHeight="1" thickBot="1">
      <c r="B91" s="257" t="s">
        <v>871</v>
      </c>
      <c r="C91" s="248"/>
      <c r="D91" s="644" t="str">
        <f>'1PROJE'!$F$3</f>
        <v>GÜRKAN BEY</v>
      </c>
      <c r="E91" s="645"/>
      <c r="F91" s="645"/>
      <c r="G91" s="646"/>
    </row>
    <row r="92" spans="2:9" ht="31.5" customHeight="1" thickBot="1">
      <c r="B92" s="257" t="s">
        <v>356</v>
      </c>
      <c r="C92" s="248"/>
      <c r="D92" s="647" t="e" cm="1">
        <f t="array" aca="1" ref="D92" ca="1">INDIRECT("xHesaplama!I"&amp;""&amp;ROW(D92)+70-7*ROUNDDOWN(ROW(D92)/8,0))</f>
        <v>#N/A</v>
      </c>
      <c r="E92" s="648"/>
      <c r="F92" s="648"/>
      <c r="G92" s="649"/>
    </row>
    <row r="93" spans="2:9" ht="31.5" customHeight="1" thickBot="1">
      <c r="B93" s="257" t="s">
        <v>342</v>
      </c>
      <c r="C93" s="248"/>
      <c r="D93" s="650" t="str">
        <f>$H$1</f>
        <v>KUTU</v>
      </c>
      <c r="E93" s="651"/>
      <c r="F93" s="651"/>
      <c r="G93" s="652"/>
    </row>
    <row r="94" spans="2:9" ht="31.5" customHeight="1" thickBot="1">
      <c r="B94" s="257" t="s">
        <v>114</v>
      </c>
      <c r="C94" s="248"/>
      <c r="D94" s="653" t="str">
        <f>'1PROJE'!$G$3</f>
        <v>Z 5001</v>
      </c>
      <c r="E94" s="654"/>
      <c r="F94" s="654"/>
      <c r="G94" s="655"/>
      <c r="I94" s="250"/>
    </row>
    <row r="95" spans="2:9" ht="31.5" customHeight="1" thickBot="1">
      <c r="B95" s="257" t="s">
        <v>98</v>
      </c>
      <c r="D95" s="331" cm="1">
        <f t="array" aca="1" ref="D95" ca="1">INDIRECT("xHesaplama!H"&amp;""&amp;ROW(D92)+70-7*ROUNDDOWN(ROW(D92)/8,0))</f>
        <v>0</v>
      </c>
      <c r="E95" s="332"/>
      <c r="F95" s="642" t="e">
        <f ca="1">VLOOKUP(LEFT(D95,6),$J$2:$K$21,2,0)</f>
        <v>#N/A</v>
      </c>
      <c r="G95" s="643"/>
    </row>
    <row r="96" spans="2:9" ht="31.5" customHeight="1" thickBot="1">
      <c r="B96" s="257" t="s">
        <v>832</v>
      </c>
      <c r="D96" s="252" t="s">
        <v>359</v>
      </c>
      <c r="E96" s="253" t="e" cm="1">
        <f t="array" aca="1" ref="E96" ca="1">INDIRECT("xHesaplama!J"&amp;""&amp;ROW(D92)+70-7*ROUNDDOWN(ROW(D92)/8,0))</f>
        <v>#N/A</v>
      </c>
      <c r="F96" s="254" t="s">
        <v>358</v>
      </c>
      <c r="G96" s="253" t="e" cm="1">
        <f t="array" aca="1" ref="G96" ca="1">INDIRECT("xHesaplama!K"&amp;""&amp;ROW(D92)+70-7*ROUNDDOWN(ROW(D92)/8,0))</f>
        <v>#N/A</v>
      </c>
    </row>
    <row r="97" spans="2:9" ht="69" customHeight="1" thickBot="1">
      <c r="B97" s="256" t="s">
        <v>869</v>
      </c>
      <c r="C97" s="248"/>
      <c r="D97" s="656"/>
      <c r="E97" s="656"/>
      <c r="F97" s="656"/>
      <c r="G97" s="656"/>
    </row>
    <row r="98" spans="2:9" ht="31.5" customHeight="1" thickBot="1">
      <c r="B98" s="257" t="s">
        <v>870</v>
      </c>
      <c r="C98" s="248"/>
      <c r="D98" s="657" t="str">
        <f>'1PROJE'!$E$3</f>
        <v>GÜNEŞ PEN</v>
      </c>
      <c r="E98" s="658"/>
      <c r="F98" s="658"/>
      <c r="G98" s="659"/>
    </row>
    <row r="99" spans="2:9" ht="31.5" customHeight="1" thickBot="1">
      <c r="B99" s="257" t="s">
        <v>871</v>
      </c>
      <c r="C99" s="248"/>
      <c r="D99" s="644" t="str">
        <f>'1PROJE'!$F$3</f>
        <v>GÜRKAN BEY</v>
      </c>
      <c r="E99" s="645"/>
      <c r="F99" s="645"/>
      <c r="G99" s="646"/>
    </row>
    <row r="100" spans="2:9" ht="31.5" customHeight="1" thickBot="1">
      <c r="B100" s="257" t="s">
        <v>356</v>
      </c>
      <c r="C100" s="248"/>
      <c r="D100" s="647" t="e" cm="1">
        <f t="array" aca="1" ref="D100" ca="1">INDIRECT("xHesaplama!I"&amp;""&amp;ROW(D100)+70-7*ROUNDDOWN(ROW(D100)/8,0))</f>
        <v>#N/A</v>
      </c>
      <c r="E100" s="648"/>
      <c r="F100" s="648"/>
      <c r="G100" s="649"/>
    </row>
    <row r="101" spans="2:9" ht="31.5" customHeight="1" thickBot="1">
      <c r="B101" s="257" t="s">
        <v>342</v>
      </c>
      <c r="C101" s="248"/>
      <c r="D101" s="650" t="str">
        <f>$H$1</f>
        <v>KUTU</v>
      </c>
      <c r="E101" s="651"/>
      <c r="F101" s="651"/>
      <c r="G101" s="652"/>
    </row>
    <row r="102" spans="2:9" ht="31.5" customHeight="1" thickBot="1">
      <c r="B102" s="257" t="s">
        <v>114</v>
      </c>
      <c r="C102" s="248"/>
      <c r="D102" s="653" t="str">
        <f>'1PROJE'!$G$3</f>
        <v>Z 5001</v>
      </c>
      <c r="E102" s="654"/>
      <c r="F102" s="654"/>
      <c r="G102" s="655"/>
      <c r="I102" s="250"/>
    </row>
    <row r="103" spans="2:9" ht="31.5" customHeight="1" thickBot="1">
      <c r="B103" s="257" t="s">
        <v>98</v>
      </c>
      <c r="D103" s="331" cm="1">
        <f t="array" aca="1" ref="D103" ca="1">INDIRECT("xHesaplama!H"&amp;""&amp;ROW(D100)+70-7*ROUNDDOWN(ROW(D100)/8,0))</f>
        <v>0</v>
      </c>
      <c r="E103" s="332"/>
      <c r="F103" s="642" t="e">
        <f ca="1">VLOOKUP(LEFT(D103,6),$J$2:$K$21,2,0)</f>
        <v>#N/A</v>
      </c>
      <c r="G103" s="643"/>
    </row>
    <row r="104" spans="2:9" ht="31.5" customHeight="1" thickBot="1">
      <c r="B104" s="257" t="s">
        <v>832</v>
      </c>
      <c r="D104" s="252" t="s">
        <v>359</v>
      </c>
      <c r="E104" s="253" t="e" cm="1">
        <f t="array" aca="1" ref="E104" ca="1">INDIRECT("xHesaplama!J"&amp;""&amp;ROW(D100)+70-7*ROUNDDOWN(ROW(D100)/8,0))</f>
        <v>#N/A</v>
      </c>
      <c r="F104" s="254" t="s">
        <v>358</v>
      </c>
      <c r="G104" s="253" t="e" cm="1">
        <f t="array" aca="1" ref="G104" ca="1">INDIRECT("xHesaplama!K"&amp;""&amp;ROW(D100)+70-7*ROUNDDOWN(ROW(D100)/8,0))</f>
        <v>#N/A</v>
      </c>
    </row>
    <row r="105" spans="2:9" ht="69" customHeight="1" thickBot="1">
      <c r="B105" s="256" t="s">
        <v>869</v>
      </c>
      <c r="C105" s="248"/>
      <c r="D105" s="656"/>
      <c r="E105" s="656"/>
      <c r="F105" s="656"/>
      <c r="G105" s="656"/>
    </row>
    <row r="106" spans="2:9" ht="31.5" customHeight="1" thickBot="1">
      <c r="B106" s="257" t="s">
        <v>870</v>
      </c>
      <c r="C106" s="248"/>
      <c r="D106" s="657" t="str">
        <f>'1PROJE'!$E$3</f>
        <v>GÜNEŞ PEN</v>
      </c>
      <c r="E106" s="658"/>
      <c r="F106" s="658"/>
      <c r="G106" s="659"/>
    </row>
    <row r="107" spans="2:9" ht="31.5" customHeight="1" thickBot="1">
      <c r="B107" s="257" t="s">
        <v>871</v>
      </c>
      <c r="C107" s="248"/>
      <c r="D107" s="644" t="str">
        <f>'1PROJE'!$F$3</f>
        <v>GÜRKAN BEY</v>
      </c>
      <c r="E107" s="645"/>
      <c r="F107" s="645"/>
      <c r="G107" s="646"/>
    </row>
    <row r="108" spans="2:9" ht="31.5" customHeight="1" thickBot="1">
      <c r="B108" s="257" t="s">
        <v>356</v>
      </c>
      <c r="C108" s="248"/>
      <c r="D108" s="647" t="e" cm="1">
        <f t="array" aca="1" ref="D108" ca="1">INDIRECT("xHesaplama!I"&amp;""&amp;ROW(D108)+70-7*ROUNDDOWN(ROW(D108)/8,0))</f>
        <v>#N/A</v>
      </c>
      <c r="E108" s="648"/>
      <c r="F108" s="648"/>
      <c r="G108" s="649"/>
    </row>
    <row r="109" spans="2:9" ht="31.5" customHeight="1" thickBot="1">
      <c r="B109" s="257" t="s">
        <v>342</v>
      </c>
      <c r="C109" s="248"/>
      <c r="D109" s="650" t="str">
        <f>$H$1</f>
        <v>KUTU</v>
      </c>
      <c r="E109" s="651"/>
      <c r="F109" s="651"/>
      <c r="G109" s="652"/>
    </row>
    <row r="110" spans="2:9" ht="31.5" customHeight="1" thickBot="1">
      <c r="B110" s="257" t="s">
        <v>114</v>
      </c>
      <c r="C110" s="248"/>
      <c r="D110" s="653" t="str">
        <f>'1PROJE'!$G$3</f>
        <v>Z 5001</v>
      </c>
      <c r="E110" s="654"/>
      <c r="F110" s="654"/>
      <c r="G110" s="655"/>
      <c r="I110" s="250"/>
    </row>
    <row r="111" spans="2:9" ht="31.5" customHeight="1" thickBot="1">
      <c r="B111" s="257" t="s">
        <v>98</v>
      </c>
      <c r="D111" s="331" cm="1">
        <f t="array" aca="1" ref="D111" ca="1">INDIRECT("xHesaplama!H"&amp;""&amp;ROW(D108)+70-7*ROUNDDOWN(ROW(D108)/8,0))</f>
        <v>0</v>
      </c>
      <c r="E111" s="332"/>
      <c r="F111" s="642" t="e">
        <f ca="1">VLOOKUP(LEFT(D111,6),$J$2:$K$21,2,0)</f>
        <v>#N/A</v>
      </c>
      <c r="G111" s="643"/>
    </row>
    <row r="112" spans="2:9" ht="31.5" customHeight="1" thickBot="1">
      <c r="B112" s="257" t="s">
        <v>832</v>
      </c>
      <c r="D112" s="252" t="s">
        <v>359</v>
      </c>
      <c r="E112" s="253" t="e" cm="1">
        <f t="array" aca="1" ref="E112" ca="1">INDIRECT("xHesaplama!J"&amp;""&amp;ROW(D108)+70-7*ROUNDDOWN(ROW(D108)/8,0))</f>
        <v>#N/A</v>
      </c>
      <c r="F112" s="254" t="s">
        <v>358</v>
      </c>
      <c r="G112" s="253" t="e" cm="1">
        <f t="array" aca="1" ref="G112" ca="1">INDIRECT("xHesaplama!K"&amp;""&amp;ROW(D108)+70-7*ROUNDDOWN(ROW(D108)/8,0))</f>
        <v>#N/A</v>
      </c>
    </row>
    <row r="113" spans="2:9" ht="69" customHeight="1" thickBot="1">
      <c r="B113" s="256" t="s">
        <v>869</v>
      </c>
      <c r="C113" s="248"/>
      <c r="D113" s="656"/>
      <c r="E113" s="656"/>
      <c r="F113" s="656"/>
      <c r="G113" s="656"/>
    </row>
    <row r="114" spans="2:9" ht="31.5" customHeight="1" thickBot="1">
      <c r="B114" s="257" t="s">
        <v>870</v>
      </c>
      <c r="C114" s="248"/>
      <c r="D114" s="657" t="str">
        <f>'1PROJE'!$E$3</f>
        <v>GÜNEŞ PEN</v>
      </c>
      <c r="E114" s="658"/>
      <c r="F114" s="658"/>
      <c r="G114" s="659"/>
    </row>
    <row r="115" spans="2:9" ht="31.5" customHeight="1" thickBot="1">
      <c r="B115" s="257" t="s">
        <v>871</v>
      </c>
      <c r="C115" s="248"/>
      <c r="D115" s="644" t="str">
        <f>'1PROJE'!$F$3</f>
        <v>GÜRKAN BEY</v>
      </c>
      <c r="E115" s="645"/>
      <c r="F115" s="645"/>
      <c r="G115" s="646"/>
    </row>
    <row r="116" spans="2:9" ht="31.5" customHeight="1" thickBot="1">
      <c r="B116" s="257" t="s">
        <v>356</v>
      </c>
      <c r="C116" s="248"/>
      <c r="D116" s="647" t="e" cm="1">
        <f t="array" aca="1" ref="D116" ca="1">INDIRECT("xHesaplama!I"&amp;""&amp;ROW(D116)+70-7*ROUNDDOWN(ROW(D116)/8,0))</f>
        <v>#N/A</v>
      </c>
      <c r="E116" s="648"/>
      <c r="F116" s="648"/>
      <c r="G116" s="649"/>
    </row>
    <row r="117" spans="2:9" ht="31.5" customHeight="1" thickBot="1">
      <c r="B117" s="257" t="s">
        <v>342</v>
      </c>
      <c r="C117" s="248"/>
      <c r="D117" s="650" t="str">
        <f>$H$1</f>
        <v>KUTU</v>
      </c>
      <c r="E117" s="651"/>
      <c r="F117" s="651"/>
      <c r="G117" s="652"/>
    </row>
    <row r="118" spans="2:9" ht="31.5" customHeight="1" thickBot="1">
      <c r="B118" s="257" t="s">
        <v>114</v>
      </c>
      <c r="C118" s="248"/>
      <c r="D118" s="653" t="str">
        <f>'1PROJE'!$G$3</f>
        <v>Z 5001</v>
      </c>
      <c r="E118" s="654"/>
      <c r="F118" s="654"/>
      <c r="G118" s="655"/>
      <c r="I118" s="250"/>
    </row>
    <row r="119" spans="2:9" ht="31.5" customHeight="1" thickBot="1">
      <c r="B119" s="257" t="s">
        <v>98</v>
      </c>
      <c r="D119" s="331" cm="1">
        <f t="array" aca="1" ref="D119" ca="1">INDIRECT("xHesaplama!H"&amp;""&amp;ROW(D116)+70-7*ROUNDDOWN(ROW(D116)/8,0))</f>
        <v>0</v>
      </c>
      <c r="E119" s="332"/>
      <c r="F119" s="642" t="e">
        <f ca="1">VLOOKUP(LEFT(D119,6),$J$2:$K$21,2,0)</f>
        <v>#N/A</v>
      </c>
      <c r="G119" s="643"/>
    </row>
    <row r="120" spans="2:9" ht="31.5" customHeight="1" thickBot="1">
      <c r="B120" s="257" t="s">
        <v>832</v>
      </c>
      <c r="D120" s="252" t="s">
        <v>359</v>
      </c>
      <c r="E120" s="253" t="e" cm="1">
        <f t="array" aca="1" ref="E120" ca="1">INDIRECT("xHesaplama!J"&amp;""&amp;ROW(D116)+70-7*ROUNDDOWN(ROW(D116)/8,0))</f>
        <v>#N/A</v>
      </c>
      <c r="F120" s="254" t="s">
        <v>358</v>
      </c>
      <c r="G120" s="253" t="e" cm="1">
        <f t="array" aca="1" ref="G120" ca="1">INDIRECT("xHesaplama!K"&amp;""&amp;ROW(D116)+70-7*ROUNDDOWN(ROW(D116)/8,0))</f>
        <v>#N/A</v>
      </c>
    </row>
    <row r="121" spans="2:9" ht="69" customHeight="1" thickBot="1">
      <c r="B121" s="256" t="s">
        <v>869</v>
      </c>
      <c r="C121" s="248"/>
      <c r="D121" s="656"/>
      <c r="E121" s="656"/>
      <c r="F121" s="656"/>
      <c r="G121" s="656"/>
    </row>
    <row r="122" spans="2:9" ht="31.5" customHeight="1" thickBot="1">
      <c r="B122" s="257" t="s">
        <v>870</v>
      </c>
      <c r="C122" s="248"/>
      <c r="D122" s="657" t="str">
        <f>'1PROJE'!$E$3</f>
        <v>GÜNEŞ PEN</v>
      </c>
      <c r="E122" s="658"/>
      <c r="F122" s="658"/>
      <c r="G122" s="659"/>
    </row>
    <row r="123" spans="2:9" ht="31.5" customHeight="1" thickBot="1">
      <c r="B123" s="257" t="s">
        <v>871</v>
      </c>
      <c r="C123" s="248"/>
      <c r="D123" s="644" t="str">
        <f>'1PROJE'!$F$3</f>
        <v>GÜRKAN BEY</v>
      </c>
      <c r="E123" s="645"/>
      <c r="F123" s="645"/>
      <c r="G123" s="646"/>
    </row>
    <row r="124" spans="2:9" ht="31.5" customHeight="1" thickBot="1">
      <c r="B124" s="257" t="s">
        <v>356</v>
      </c>
      <c r="C124" s="248"/>
      <c r="D124" s="647" t="e" cm="1">
        <f t="array" aca="1" ref="D124" ca="1">INDIRECT("xHesaplama!I"&amp;""&amp;ROW(D124)+70-7*ROUNDDOWN(ROW(D124)/8,0))</f>
        <v>#N/A</v>
      </c>
      <c r="E124" s="648"/>
      <c r="F124" s="648"/>
      <c r="G124" s="649"/>
    </row>
    <row r="125" spans="2:9" ht="31.5" customHeight="1" thickBot="1">
      <c r="B125" s="257" t="s">
        <v>342</v>
      </c>
      <c r="C125" s="248"/>
      <c r="D125" s="650" t="str">
        <f>$H$1</f>
        <v>KUTU</v>
      </c>
      <c r="E125" s="651"/>
      <c r="F125" s="651"/>
      <c r="G125" s="652"/>
    </row>
    <row r="126" spans="2:9" ht="31.5" customHeight="1" thickBot="1">
      <c r="B126" s="257" t="s">
        <v>114</v>
      </c>
      <c r="C126" s="248"/>
      <c r="D126" s="653" t="str">
        <f>'1PROJE'!$G$3</f>
        <v>Z 5001</v>
      </c>
      <c r="E126" s="654"/>
      <c r="F126" s="654"/>
      <c r="G126" s="655"/>
      <c r="I126" s="250"/>
    </row>
    <row r="127" spans="2:9" ht="31.5" customHeight="1" thickBot="1">
      <c r="B127" s="257" t="s">
        <v>98</v>
      </c>
      <c r="D127" s="331" cm="1">
        <f t="array" aca="1" ref="D127" ca="1">INDIRECT("xHesaplama!H"&amp;""&amp;ROW(D124)+70-7*ROUNDDOWN(ROW(D124)/8,0))</f>
        <v>0</v>
      </c>
      <c r="E127" s="332"/>
      <c r="F127" s="642" t="e">
        <f ca="1">VLOOKUP(LEFT(D127,6),$J$2:$K$21,2,0)</f>
        <v>#N/A</v>
      </c>
      <c r="G127" s="643"/>
    </row>
    <row r="128" spans="2:9" ht="31.5" customHeight="1" thickBot="1">
      <c r="B128" s="257" t="s">
        <v>832</v>
      </c>
      <c r="D128" s="252" t="s">
        <v>359</v>
      </c>
      <c r="E128" s="253" t="e" cm="1">
        <f t="array" aca="1" ref="E128" ca="1">INDIRECT("xHesaplama!J"&amp;""&amp;ROW(D124)+70-7*ROUNDDOWN(ROW(D124)/8,0))</f>
        <v>#N/A</v>
      </c>
      <c r="F128" s="254" t="s">
        <v>358</v>
      </c>
      <c r="G128" s="253" t="e" cm="1">
        <f t="array" aca="1" ref="G128" ca="1">INDIRECT("xHesaplama!K"&amp;""&amp;ROW(D124)+70-7*ROUNDDOWN(ROW(D124)/8,0))</f>
        <v>#N/A</v>
      </c>
    </row>
    <row r="129" spans="2:9" ht="69" customHeight="1" thickBot="1">
      <c r="B129" s="256" t="s">
        <v>869</v>
      </c>
      <c r="C129" s="248"/>
      <c r="D129" s="656"/>
      <c r="E129" s="656"/>
      <c r="F129" s="656"/>
      <c r="G129" s="656"/>
    </row>
    <row r="130" spans="2:9" ht="31.5" customHeight="1" thickBot="1">
      <c r="B130" s="257" t="s">
        <v>870</v>
      </c>
      <c r="C130" s="248"/>
      <c r="D130" s="657" t="str">
        <f>'1PROJE'!$E$3</f>
        <v>GÜNEŞ PEN</v>
      </c>
      <c r="E130" s="658"/>
      <c r="F130" s="658"/>
      <c r="G130" s="659"/>
    </row>
    <row r="131" spans="2:9" ht="31.5" customHeight="1" thickBot="1">
      <c r="B131" s="257" t="s">
        <v>871</v>
      </c>
      <c r="C131" s="248"/>
      <c r="D131" s="644" t="str">
        <f>'1PROJE'!$F$3</f>
        <v>GÜRKAN BEY</v>
      </c>
      <c r="E131" s="645"/>
      <c r="F131" s="645"/>
      <c r="G131" s="646"/>
    </row>
    <row r="132" spans="2:9" ht="31.5" customHeight="1" thickBot="1">
      <c r="B132" s="257" t="s">
        <v>356</v>
      </c>
      <c r="C132" s="248"/>
      <c r="D132" s="647" t="e" cm="1">
        <f t="array" aca="1" ref="D132" ca="1">INDIRECT("xHesaplama!I"&amp;""&amp;ROW(D132)+70-7*ROUNDDOWN(ROW(D132)/8,0))</f>
        <v>#N/A</v>
      </c>
      <c r="E132" s="648"/>
      <c r="F132" s="648"/>
      <c r="G132" s="649"/>
    </row>
    <row r="133" spans="2:9" ht="31.5" customHeight="1" thickBot="1">
      <c r="B133" s="257" t="s">
        <v>342</v>
      </c>
      <c r="C133" s="248"/>
      <c r="D133" s="650" t="str">
        <f>$H$1</f>
        <v>KUTU</v>
      </c>
      <c r="E133" s="651"/>
      <c r="F133" s="651"/>
      <c r="G133" s="652"/>
    </row>
    <row r="134" spans="2:9" ht="31.5" customHeight="1" thickBot="1">
      <c r="B134" s="257" t="s">
        <v>114</v>
      </c>
      <c r="C134" s="248"/>
      <c r="D134" s="653" t="str">
        <f>'1PROJE'!$G$3</f>
        <v>Z 5001</v>
      </c>
      <c r="E134" s="654"/>
      <c r="F134" s="654"/>
      <c r="G134" s="655"/>
      <c r="I134" s="250"/>
    </row>
    <row r="135" spans="2:9" ht="31.5" customHeight="1" thickBot="1">
      <c r="B135" s="257" t="s">
        <v>98</v>
      </c>
      <c r="D135" s="331" cm="1">
        <f t="array" aca="1" ref="D135" ca="1">INDIRECT("xHesaplama!H"&amp;""&amp;ROW(D132)+70-7*ROUNDDOWN(ROW(D132)/8,0))</f>
        <v>0</v>
      </c>
      <c r="E135" s="332"/>
      <c r="F135" s="642" t="e">
        <f ca="1">VLOOKUP(LEFT(D135,6),$J$2:$K$21,2,0)</f>
        <v>#N/A</v>
      </c>
      <c r="G135" s="643"/>
    </row>
    <row r="136" spans="2:9" ht="31.5" customHeight="1" thickBot="1">
      <c r="B136" s="257" t="s">
        <v>832</v>
      </c>
      <c r="D136" s="252" t="s">
        <v>359</v>
      </c>
      <c r="E136" s="253" t="e" cm="1">
        <f t="array" aca="1" ref="E136" ca="1">INDIRECT("xHesaplama!J"&amp;""&amp;ROW(D132)+70-7*ROUNDDOWN(ROW(D132)/8,0))</f>
        <v>#N/A</v>
      </c>
      <c r="F136" s="254" t="s">
        <v>358</v>
      </c>
      <c r="G136" s="253" t="e" cm="1">
        <f t="array" aca="1" ref="G136" ca="1">INDIRECT("xHesaplama!K"&amp;""&amp;ROW(D132)+70-7*ROUNDDOWN(ROW(D132)/8,0))</f>
        <v>#N/A</v>
      </c>
    </row>
    <row r="137" spans="2:9" ht="69" customHeight="1" thickBot="1">
      <c r="B137" s="256" t="s">
        <v>869</v>
      </c>
      <c r="C137" s="248"/>
      <c r="D137" s="656"/>
      <c r="E137" s="656"/>
      <c r="F137" s="656"/>
      <c r="G137" s="656"/>
    </row>
    <row r="138" spans="2:9" ht="31.5" customHeight="1" thickBot="1">
      <c r="B138" s="257" t="s">
        <v>870</v>
      </c>
      <c r="C138" s="248"/>
      <c r="D138" s="657" t="str">
        <f>'1PROJE'!$E$3</f>
        <v>GÜNEŞ PEN</v>
      </c>
      <c r="E138" s="658"/>
      <c r="F138" s="658"/>
      <c r="G138" s="659"/>
    </row>
    <row r="139" spans="2:9" ht="31.5" customHeight="1" thickBot="1">
      <c r="B139" s="257" t="s">
        <v>871</v>
      </c>
      <c r="C139" s="248"/>
      <c r="D139" s="644" t="str">
        <f>'1PROJE'!$F$3</f>
        <v>GÜRKAN BEY</v>
      </c>
      <c r="E139" s="645"/>
      <c r="F139" s="645"/>
      <c r="G139" s="646"/>
    </row>
    <row r="140" spans="2:9" ht="31.5" customHeight="1" thickBot="1">
      <c r="B140" s="257" t="s">
        <v>356</v>
      </c>
      <c r="C140" s="248"/>
      <c r="D140" s="647" t="e" cm="1">
        <f t="array" aca="1" ref="D140" ca="1">INDIRECT("xHesaplama!I"&amp;""&amp;ROW(D140)+70-7*ROUNDDOWN(ROW(D140)/8,0))</f>
        <v>#N/A</v>
      </c>
      <c r="E140" s="648"/>
      <c r="F140" s="648"/>
      <c r="G140" s="649"/>
    </row>
    <row r="141" spans="2:9" ht="31.5" customHeight="1" thickBot="1">
      <c r="B141" s="257" t="s">
        <v>342</v>
      </c>
      <c r="C141" s="248"/>
      <c r="D141" s="650" t="str">
        <f>$H$1</f>
        <v>KUTU</v>
      </c>
      <c r="E141" s="651"/>
      <c r="F141" s="651"/>
      <c r="G141" s="652"/>
    </row>
    <row r="142" spans="2:9" ht="31.5" customHeight="1" thickBot="1">
      <c r="B142" s="257" t="s">
        <v>114</v>
      </c>
      <c r="C142" s="248"/>
      <c r="D142" s="653" t="str">
        <f>'1PROJE'!$G$3</f>
        <v>Z 5001</v>
      </c>
      <c r="E142" s="654"/>
      <c r="F142" s="654"/>
      <c r="G142" s="655"/>
      <c r="I142" s="250"/>
    </row>
    <row r="143" spans="2:9" ht="31.5" customHeight="1" thickBot="1">
      <c r="B143" s="257" t="s">
        <v>98</v>
      </c>
      <c r="D143" s="331" cm="1">
        <f t="array" aca="1" ref="D143" ca="1">INDIRECT("xHesaplama!H"&amp;""&amp;ROW(D140)+70-7*ROUNDDOWN(ROW(D140)/8,0))</f>
        <v>0</v>
      </c>
      <c r="E143" s="332"/>
      <c r="F143" s="642" t="e">
        <f ca="1">VLOOKUP(LEFT(D143,6),$J$2:$K$21,2,0)</f>
        <v>#N/A</v>
      </c>
      <c r="G143" s="643"/>
    </row>
    <row r="144" spans="2:9" ht="31.5" customHeight="1" thickBot="1">
      <c r="B144" s="257" t="s">
        <v>832</v>
      </c>
      <c r="D144" s="252" t="s">
        <v>359</v>
      </c>
      <c r="E144" s="253" t="e" cm="1">
        <f t="array" aca="1" ref="E144" ca="1">INDIRECT("xHesaplama!J"&amp;""&amp;ROW(D140)+70-7*ROUNDDOWN(ROW(D140)/8,0))</f>
        <v>#N/A</v>
      </c>
      <c r="F144" s="254" t="s">
        <v>358</v>
      </c>
      <c r="G144" s="253" t="e" cm="1">
        <f t="array" aca="1" ref="G144" ca="1">INDIRECT("xHesaplama!K"&amp;""&amp;ROW(D140)+70-7*ROUNDDOWN(ROW(D140)/8,0))</f>
        <v>#N/A</v>
      </c>
    </row>
    <row r="145" spans="2:9" ht="69" customHeight="1" thickBot="1">
      <c r="B145" s="256" t="s">
        <v>869</v>
      </c>
      <c r="C145" s="248"/>
      <c r="D145" s="656"/>
      <c r="E145" s="656"/>
      <c r="F145" s="656"/>
      <c r="G145" s="656"/>
    </row>
    <row r="146" spans="2:9" ht="31.5" customHeight="1" thickBot="1">
      <c r="B146" s="257" t="s">
        <v>870</v>
      </c>
      <c r="C146" s="248"/>
      <c r="D146" s="657" t="str">
        <f>'1PROJE'!$E$3</f>
        <v>GÜNEŞ PEN</v>
      </c>
      <c r="E146" s="658"/>
      <c r="F146" s="658"/>
      <c r="G146" s="659"/>
    </row>
    <row r="147" spans="2:9" ht="31.5" customHeight="1" thickBot="1">
      <c r="B147" s="257" t="s">
        <v>871</v>
      </c>
      <c r="C147" s="248"/>
      <c r="D147" s="644" t="str">
        <f>'1PROJE'!$F$3</f>
        <v>GÜRKAN BEY</v>
      </c>
      <c r="E147" s="645"/>
      <c r="F147" s="645"/>
      <c r="G147" s="646"/>
    </row>
    <row r="148" spans="2:9" ht="31.5" customHeight="1" thickBot="1">
      <c r="B148" s="257" t="s">
        <v>356</v>
      </c>
      <c r="C148" s="248"/>
      <c r="D148" s="647" t="e" cm="1">
        <f t="array" aca="1" ref="D148" ca="1">INDIRECT("xHesaplama!I"&amp;""&amp;ROW(D148)+70-7*ROUNDDOWN(ROW(D148)/8,0))</f>
        <v>#N/A</v>
      </c>
      <c r="E148" s="648"/>
      <c r="F148" s="648"/>
      <c r="G148" s="649"/>
    </row>
    <row r="149" spans="2:9" ht="31.5" customHeight="1" thickBot="1">
      <c r="B149" s="257" t="s">
        <v>342</v>
      </c>
      <c r="C149" s="248"/>
      <c r="D149" s="650" t="str">
        <f>$H$1</f>
        <v>KUTU</v>
      </c>
      <c r="E149" s="651"/>
      <c r="F149" s="651"/>
      <c r="G149" s="652"/>
    </row>
    <row r="150" spans="2:9" ht="31.5" customHeight="1" thickBot="1">
      <c r="B150" s="257" t="s">
        <v>114</v>
      </c>
      <c r="C150" s="248"/>
      <c r="D150" s="653" t="str">
        <f>'1PROJE'!$G$3</f>
        <v>Z 5001</v>
      </c>
      <c r="E150" s="654"/>
      <c r="F150" s="654"/>
      <c r="G150" s="655"/>
      <c r="I150" s="250"/>
    </row>
    <row r="151" spans="2:9" ht="31.5" customHeight="1" thickBot="1">
      <c r="B151" s="257" t="s">
        <v>98</v>
      </c>
      <c r="D151" s="331" cm="1">
        <f t="array" aca="1" ref="D151" ca="1">INDIRECT("xHesaplama!H"&amp;""&amp;ROW(D148)+70-7*ROUNDDOWN(ROW(D148)/8,0))</f>
        <v>0</v>
      </c>
      <c r="E151" s="332"/>
      <c r="F151" s="642" t="e">
        <f ca="1">VLOOKUP(LEFT(D151,6),$J$2:$K$21,2,0)</f>
        <v>#N/A</v>
      </c>
      <c r="G151" s="643"/>
    </row>
    <row r="152" spans="2:9" ht="31.5" customHeight="1" thickBot="1">
      <c r="B152" s="257" t="s">
        <v>832</v>
      </c>
      <c r="D152" s="252" t="s">
        <v>359</v>
      </c>
      <c r="E152" s="253" t="e" cm="1">
        <f t="array" aca="1" ref="E152" ca="1">INDIRECT("xHesaplama!J"&amp;""&amp;ROW(D148)+70-7*ROUNDDOWN(ROW(D148)/8,0))</f>
        <v>#N/A</v>
      </c>
      <c r="F152" s="254" t="s">
        <v>358</v>
      </c>
      <c r="G152" s="253" t="e" cm="1">
        <f t="array" aca="1" ref="G152" ca="1">INDIRECT("xHesaplama!K"&amp;""&amp;ROW(D148)+70-7*ROUNDDOWN(ROW(D148)/8,0))</f>
        <v>#N/A</v>
      </c>
    </row>
    <row r="153" spans="2:9" ht="69" customHeight="1" thickBot="1">
      <c r="B153" s="256" t="s">
        <v>869</v>
      </c>
      <c r="C153" s="248"/>
      <c r="D153" s="656"/>
      <c r="E153" s="656"/>
      <c r="F153" s="656"/>
      <c r="G153" s="656"/>
    </row>
    <row r="154" spans="2:9" ht="31.5" customHeight="1" thickBot="1">
      <c r="B154" s="257" t="s">
        <v>870</v>
      </c>
      <c r="C154" s="248"/>
      <c r="D154" s="657" t="str">
        <f>'1PROJE'!$E$3</f>
        <v>GÜNEŞ PEN</v>
      </c>
      <c r="E154" s="658"/>
      <c r="F154" s="658"/>
      <c r="G154" s="659"/>
    </row>
    <row r="155" spans="2:9" ht="31.5" customHeight="1" thickBot="1">
      <c r="B155" s="257" t="s">
        <v>871</v>
      </c>
      <c r="C155" s="248"/>
      <c r="D155" s="644" t="str">
        <f>'1PROJE'!$F$3</f>
        <v>GÜRKAN BEY</v>
      </c>
      <c r="E155" s="645"/>
      <c r="F155" s="645"/>
      <c r="G155" s="646"/>
    </row>
    <row r="156" spans="2:9" ht="31.5" customHeight="1" thickBot="1">
      <c r="B156" s="257" t="s">
        <v>356</v>
      </c>
      <c r="C156" s="248"/>
      <c r="D156" s="647" t="e" cm="1">
        <f t="array" aca="1" ref="D156" ca="1">INDIRECT("xHesaplama!I"&amp;""&amp;ROW(D156)+70-7*ROUNDDOWN(ROW(D156)/8,0))</f>
        <v>#N/A</v>
      </c>
      <c r="E156" s="648"/>
      <c r="F156" s="648"/>
      <c r="G156" s="649"/>
    </row>
    <row r="157" spans="2:9" ht="31.5" customHeight="1" thickBot="1">
      <c r="B157" s="257" t="s">
        <v>342</v>
      </c>
      <c r="C157" s="248"/>
      <c r="D157" s="650" t="str">
        <f>$H$1</f>
        <v>KUTU</v>
      </c>
      <c r="E157" s="651"/>
      <c r="F157" s="651"/>
      <c r="G157" s="652"/>
    </row>
    <row r="158" spans="2:9" ht="31.5" customHeight="1" thickBot="1">
      <c r="B158" s="257" t="s">
        <v>114</v>
      </c>
      <c r="C158" s="248"/>
      <c r="D158" s="653" t="str">
        <f>'1PROJE'!$G$3</f>
        <v>Z 5001</v>
      </c>
      <c r="E158" s="654"/>
      <c r="F158" s="654"/>
      <c r="G158" s="655"/>
      <c r="I158" s="250"/>
    </row>
    <row r="159" spans="2:9" ht="31.5" customHeight="1" thickBot="1">
      <c r="B159" s="257" t="s">
        <v>98</v>
      </c>
      <c r="D159" s="331" cm="1">
        <f t="array" aca="1" ref="D159" ca="1">INDIRECT("xHesaplama!H"&amp;""&amp;ROW(D156)+70-7*ROUNDDOWN(ROW(D156)/8,0))</f>
        <v>0</v>
      </c>
      <c r="E159" s="332"/>
      <c r="F159" s="642" t="e">
        <f ca="1">VLOOKUP(LEFT(D159,6),$J$2:$K$21,2,0)</f>
        <v>#N/A</v>
      </c>
      <c r="G159" s="643"/>
    </row>
    <row r="160" spans="2:9" ht="31.5" customHeight="1" thickBot="1">
      <c r="B160" s="257" t="s">
        <v>832</v>
      </c>
      <c r="D160" s="252" t="s">
        <v>359</v>
      </c>
      <c r="E160" s="253" t="e" cm="1">
        <f t="array" aca="1" ref="E160" ca="1">INDIRECT("xHesaplama!J"&amp;""&amp;ROW(D156)+70-7*ROUNDDOWN(ROW(D156)/8,0))</f>
        <v>#N/A</v>
      </c>
      <c r="F160" s="254" t="s">
        <v>358</v>
      </c>
      <c r="G160" s="253" t="e" cm="1">
        <f t="array" aca="1" ref="G160" ca="1">INDIRECT("xHesaplama!K"&amp;""&amp;ROW(D156)+70-7*ROUNDDOWN(ROW(D156)/8,0))</f>
        <v>#N/A</v>
      </c>
    </row>
    <row r="161" spans="2:9" ht="69" customHeight="1" thickBot="1">
      <c r="B161" s="256" t="s">
        <v>869</v>
      </c>
      <c r="C161" s="248"/>
      <c r="D161" s="656"/>
      <c r="E161" s="656"/>
      <c r="F161" s="656"/>
      <c r="G161" s="656"/>
    </row>
    <row r="162" spans="2:9" ht="31.5" customHeight="1" thickBot="1">
      <c r="B162" s="257" t="s">
        <v>870</v>
      </c>
      <c r="C162" s="248"/>
      <c r="D162" s="657" t="str">
        <f>'1PROJE'!$E$3</f>
        <v>GÜNEŞ PEN</v>
      </c>
      <c r="E162" s="658"/>
      <c r="F162" s="658"/>
      <c r="G162" s="659"/>
    </row>
    <row r="163" spans="2:9" ht="31.5" customHeight="1" thickBot="1">
      <c r="B163" s="257" t="s">
        <v>871</v>
      </c>
      <c r="C163" s="248"/>
      <c r="D163" s="644" t="str">
        <f>'1PROJE'!$F$3</f>
        <v>GÜRKAN BEY</v>
      </c>
      <c r="E163" s="645"/>
      <c r="F163" s="645"/>
      <c r="G163" s="646"/>
    </row>
    <row r="164" spans="2:9" ht="31.5" customHeight="1" thickBot="1">
      <c r="B164" s="257" t="s">
        <v>356</v>
      </c>
      <c r="C164" s="248"/>
      <c r="D164" s="647" t="e" cm="1">
        <f t="array" aca="1" ref="D164" ca="1">INDIRECT("xHesaplama!I"&amp;""&amp;ROW(D164)+70-7*ROUNDDOWN(ROW(D164)/8,0))</f>
        <v>#N/A</v>
      </c>
      <c r="E164" s="648"/>
      <c r="F164" s="648"/>
      <c r="G164" s="649"/>
    </row>
    <row r="165" spans="2:9" ht="31.5" customHeight="1" thickBot="1">
      <c r="B165" s="257" t="s">
        <v>342</v>
      </c>
      <c r="C165" s="248"/>
      <c r="D165" s="650" t="str">
        <f>$H$1</f>
        <v>KUTU</v>
      </c>
      <c r="E165" s="651"/>
      <c r="F165" s="651"/>
      <c r="G165" s="652"/>
    </row>
    <row r="166" spans="2:9" ht="31.5" customHeight="1" thickBot="1">
      <c r="B166" s="257" t="s">
        <v>114</v>
      </c>
      <c r="C166" s="248"/>
      <c r="D166" s="653" t="str">
        <f>'1PROJE'!$G$3</f>
        <v>Z 5001</v>
      </c>
      <c r="E166" s="654"/>
      <c r="F166" s="654"/>
      <c r="G166" s="655"/>
      <c r="I166" s="250"/>
    </row>
    <row r="167" spans="2:9" ht="31.5" customHeight="1" thickBot="1">
      <c r="B167" s="257" t="s">
        <v>98</v>
      </c>
      <c r="D167" s="331" cm="1">
        <f t="array" aca="1" ref="D167" ca="1">INDIRECT("xHesaplama!H"&amp;""&amp;ROW(D164)+70-7*ROUNDDOWN(ROW(D164)/8,0))</f>
        <v>0</v>
      </c>
      <c r="E167" s="332"/>
      <c r="F167" s="642" t="e">
        <f ca="1">VLOOKUP(LEFT(D167,6),$J$2:$K$21,2,0)</f>
        <v>#N/A</v>
      </c>
      <c r="G167" s="643"/>
    </row>
    <row r="168" spans="2:9" ht="31.5" customHeight="1" thickBot="1">
      <c r="B168" s="257" t="s">
        <v>832</v>
      </c>
      <c r="D168" s="252" t="s">
        <v>359</v>
      </c>
      <c r="E168" s="253" t="e" cm="1">
        <f t="array" aca="1" ref="E168" ca="1">INDIRECT("xHesaplama!J"&amp;""&amp;ROW(D164)+70-7*ROUNDDOWN(ROW(D164)/8,0))</f>
        <v>#N/A</v>
      </c>
      <c r="F168" s="254" t="s">
        <v>358</v>
      </c>
      <c r="G168" s="253" t="e" cm="1">
        <f t="array" aca="1" ref="G168" ca="1">INDIRECT("xHesaplama!K"&amp;""&amp;ROW(D164)+70-7*ROUNDDOWN(ROW(D164)/8,0))</f>
        <v>#N/A</v>
      </c>
    </row>
    <row r="169" spans="2:9" ht="69" customHeight="1" thickBot="1">
      <c r="B169" s="256" t="s">
        <v>869</v>
      </c>
      <c r="C169" s="248"/>
      <c r="D169" s="656"/>
      <c r="E169" s="656"/>
      <c r="F169" s="656"/>
      <c r="G169" s="656"/>
    </row>
    <row r="170" spans="2:9" ht="31.5" customHeight="1" thickBot="1">
      <c r="B170" s="257" t="s">
        <v>870</v>
      </c>
      <c r="C170" s="248"/>
      <c r="D170" s="657" t="str">
        <f>'1PROJE'!$E$3</f>
        <v>GÜNEŞ PEN</v>
      </c>
      <c r="E170" s="658"/>
      <c r="F170" s="658"/>
      <c r="G170" s="659"/>
    </row>
    <row r="171" spans="2:9" ht="31.5" customHeight="1" thickBot="1">
      <c r="B171" s="257" t="s">
        <v>871</v>
      </c>
      <c r="C171" s="248"/>
      <c r="D171" s="644" t="str">
        <f>'1PROJE'!$F$3</f>
        <v>GÜRKAN BEY</v>
      </c>
      <c r="E171" s="645"/>
      <c r="F171" s="645"/>
      <c r="G171" s="646"/>
    </row>
    <row r="172" spans="2:9" ht="31.5" customHeight="1" thickBot="1">
      <c r="B172" s="257" t="s">
        <v>356</v>
      </c>
      <c r="C172" s="248"/>
      <c r="D172" s="647" t="e" cm="1">
        <f t="array" aca="1" ref="D172" ca="1">INDIRECT("xHesaplama!I"&amp;""&amp;ROW(D172)+70-7*ROUNDDOWN(ROW(D172)/8,0))</f>
        <v>#N/A</v>
      </c>
      <c r="E172" s="648"/>
      <c r="F172" s="648"/>
      <c r="G172" s="649"/>
    </row>
    <row r="173" spans="2:9" ht="31.5" customHeight="1" thickBot="1">
      <c r="B173" s="257" t="s">
        <v>342</v>
      </c>
      <c r="C173" s="248"/>
      <c r="D173" s="650" t="str">
        <f>$H$1</f>
        <v>KUTU</v>
      </c>
      <c r="E173" s="651"/>
      <c r="F173" s="651"/>
      <c r="G173" s="652"/>
    </row>
    <row r="174" spans="2:9" ht="31.5" customHeight="1" thickBot="1">
      <c r="B174" s="257" t="s">
        <v>114</v>
      </c>
      <c r="C174" s="248"/>
      <c r="D174" s="653" t="str">
        <f>'1PROJE'!$G$3</f>
        <v>Z 5001</v>
      </c>
      <c r="E174" s="654"/>
      <c r="F174" s="654"/>
      <c r="G174" s="655"/>
      <c r="I174" s="250"/>
    </row>
    <row r="175" spans="2:9" ht="31.5" customHeight="1" thickBot="1">
      <c r="B175" s="257" t="s">
        <v>98</v>
      </c>
      <c r="D175" s="331" cm="1">
        <f t="array" aca="1" ref="D175" ca="1">INDIRECT("xHesaplama!H"&amp;""&amp;ROW(D172)+70-7*ROUNDDOWN(ROW(D172)/8,0))</f>
        <v>0</v>
      </c>
      <c r="E175" s="332"/>
      <c r="F175" s="642" t="e">
        <f ca="1">VLOOKUP(LEFT(D175,6),$J$2:$K$21,2,0)</f>
        <v>#N/A</v>
      </c>
      <c r="G175" s="643"/>
    </row>
    <row r="176" spans="2:9" ht="31.5" customHeight="1" thickBot="1">
      <c r="B176" s="257" t="s">
        <v>832</v>
      </c>
      <c r="D176" s="252" t="s">
        <v>359</v>
      </c>
      <c r="E176" s="253" t="e" cm="1">
        <f t="array" aca="1" ref="E176" ca="1">INDIRECT("xHesaplama!J"&amp;""&amp;ROW(D172)+70-7*ROUNDDOWN(ROW(D172)/8,0))</f>
        <v>#N/A</v>
      </c>
      <c r="F176" s="254" t="s">
        <v>358</v>
      </c>
      <c r="G176" s="253" t="e" cm="1">
        <f t="array" aca="1" ref="G176" ca="1">INDIRECT("xHesaplama!K"&amp;""&amp;ROW(D172)+70-7*ROUNDDOWN(ROW(D172)/8,0))</f>
        <v>#N/A</v>
      </c>
    </row>
    <row r="177" spans="2:9" ht="69" customHeight="1" thickBot="1">
      <c r="B177" s="256" t="s">
        <v>869</v>
      </c>
      <c r="C177" s="248"/>
      <c r="D177" s="656"/>
      <c r="E177" s="656"/>
      <c r="F177" s="656"/>
      <c r="G177" s="656"/>
    </row>
    <row r="178" spans="2:9" ht="31.5" customHeight="1" thickBot="1">
      <c r="B178" s="257" t="s">
        <v>870</v>
      </c>
      <c r="C178" s="248"/>
      <c r="D178" s="657" t="str">
        <f>'1PROJE'!$E$3</f>
        <v>GÜNEŞ PEN</v>
      </c>
      <c r="E178" s="658"/>
      <c r="F178" s="658"/>
      <c r="G178" s="659"/>
    </row>
    <row r="179" spans="2:9" ht="31.5" customHeight="1" thickBot="1">
      <c r="B179" s="257" t="s">
        <v>871</v>
      </c>
      <c r="C179" s="248"/>
      <c r="D179" s="644" t="str">
        <f>'1PROJE'!$F$3</f>
        <v>GÜRKAN BEY</v>
      </c>
      <c r="E179" s="645"/>
      <c r="F179" s="645"/>
      <c r="G179" s="646"/>
    </row>
    <row r="180" spans="2:9" ht="31.5" customHeight="1" thickBot="1">
      <c r="B180" s="257" t="s">
        <v>356</v>
      </c>
      <c r="C180" s="248"/>
      <c r="D180" s="647" t="e" cm="1">
        <f t="array" aca="1" ref="D180" ca="1">INDIRECT("xHesaplama!I"&amp;""&amp;ROW(D180)+70-7*ROUNDDOWN(ROW(D180)/8,0))</f>
        <v>#N/A</v>
      </c>
      <c r="E180" s="648"/>
      <c r="F180" s="648"/>
      <c r="G180" s="649"/>
    </row>
    <row r="181" spans="2:9" ht="31.5" customHeight="1" thickBot="1">
      <c r="B181" s="257" t="s">
        <v>342</v>
      </c>
      <c r="C181" s="248"/>
      <c r="D181" s="650" t="str">
        <f>$H$1</f>
        <v>KUTU</v>
      </c>
      <c r="E181" s="651"/>
      <c r="F181" s="651"/>
      <c r="G181" s="652"/>
    </row>
    <row r="182" spans="2:9" ht="31.5" customHeight="1" thickBot="1">
      <c r="B182" s="257" t="s">
        <v>114</v>
      </c>
      <c r="C182" s="248"/>
      <c r="D182" s="653" t="str">
        <f>'1PROJE'!$G$3</f>
        <v>Z 5001</v>
      </c>
      <c r="E182" s="654"/>
      <c r="F182" s="654"/>
      <c r="G182" s="655"/>
      <c r="I182" s="250"/>
    </row>
    <row r="183" spans="2:9" ht="31.5" customHeight="1" thickBot="1">
      <c r="B183" s="257" t="s">
        <v>98</v>
      </c>
      <c r="D183" s="331" cm="1">
        <f t="array" aca="1" ref="D183" ca="1">INDIRECT("xHesaplama!H"&amp;""&amp;ROW(D180)+70-7*ROUNDDOWN(ROW(D180)/8,0))</f>
        <v>0</v>
      </c>
      <c r="E183" s="332"/>
      <c r="F183" s="642" t="e">
        <f ca="1">VLOOKUP(LEFT(D183,6),$J$2:$K$21,2,0)</f>
        <v>#N/A</v>
      </c>
      <c r="G183" s="643"/>
    </row>
    <row r="184" spans="2:9" ht="31.5" customHeight="1" thickBot="1">
      <c r="B184" s="257" t="s">
        <v>832</v>
      </c>
      <c r="D184" s="252" t="s">
        <v>359</v>
      </c>
      <c r="E184" s="253" t="e" cm="1">
        <f t="array" aca="1" ref="E184" ca="1">INDIRECT("xHesaplama!J"&amp;""&amp;ROW(D180)+70-7*ROUNDDOWN(ROW(D180)/8,0))</f>
        <v>#N/A</v>
      </c>
      <c r="F184" s="254" t="s">
        <v>358</v>
      </c>
      <c r="G184" s="253" t="e" cm="1">
        <f t="array" aca="1" ref="G184" ca="1">INDIRECT("xHesaplama!K"&amp;""&amp;ROW(D180)+70-7*ROUNDDOWN(ROW(D180)/8,0))</f>
        <v>#N/A</v>
      </c>
    </row>
    <row r="185" spans="2:9" ht="69" customHeight="1" thickBot="1">
      <c r="B185" s="256" t="s">
        <v>869</v>
      </c>
      <c r="C185" s="248"/>
      <c r="D185" s="656"/>
      <c r="E185" s="656"/>
      <c r="F185" s="656"/>
      <c r="G185" s="656"/>
    </row>
    <row r="186" spans="2:9" ht="31.5" customHeight="1" thickBot="1">
      <c r="B186" s="257" t="s">
        <v>870</v>
      </c>
      <c r="C186" s="248"/>
      <c r="D186" s="657" t="str">
        <f>'1PROJE'!$E$3</f>
        <v>GÜNEŞ PEN</v>
      </c>
      <c r="E186" s="658"/>
      <c r="F186" s="658"/>
      <c r="G186" s="659"/>
    </row>
    <row r="187" spans="2:9" ht="31.5" customHeight="1" thickBot="1">
      <c r="B187" s="257" t="s">
        <v>871</v>
      </c>
      <c r="C187" s="248"/>
      <c r="D187" s="644" t="str">
        <f>'1PROJE'!$F$3</f>
        <v>GÜRKAN BEY</v>
      </c>
      <c r="E187" s="645"/>
      <c r="F187" s="645"/>
      <c r="G187" s="646"/>
    </row>
    <row r="188" spans="2:9" ht="31.5" customHeight="1" thickBot="1">
      <c r="B188" s="257" t="s">
        <v>356</v>
      </c>
      <c r="C188" s="248"/>
      <c r="D188" s="647" t="e" cm="1">
        <f t="array" aca="1" ref="D188" ca="1">INDIRECT("xHesaplama!I"&amp;""&amp;ROW(D188)+70-7*ROUNDDOWN(ROW(D188)/8,0))</f>
        <v>#N/A</v>
      </c>
      <c r="E188" s="648"/>
      <c r="F188" s="648"/>
      <c r="G188" s="649"/>
    </row>
    <row r="189" spans="2:9" ht="31.5" customHeight="1" thickBot="1">
      <c r="B189" s="257" t="s">
        <v>342</v>
      </c>
      <c r="C189" s="248"/>
      <c r="D189" s="650" t="str">
        <f>$H$1</f>
        <v>KUTU</v>
      </c>
      <c r="E189" s="651"/>
      <c r="F189" s="651"/>
      <c r="G189" s="652"/>
    </row>
    <row r="190" spans="2:9" ht="31.5" customHeight="1" thickBot="1">
      <c r="B190" s="257" t="s">
        <v>114</v>
      </c>
      <c r="C190" s="248"/>
      <c r="D190" s="653" t="str">
        <f>'1PROJE'!$G$3</f>
        <v>Z 5001</v>
      </c>
      <c r="E190" s="654"/>
      <c r="F190" s="654"/>
      <c r="G190" s="655"/>
      <c r="I190" s="250"/>
    </row>
    <row r="191" spans="2:9" ht="31.5" customHeight="1" thickBot="1">
      <c r="B191" s="257" t="s">
        <v>98</v>
      </c>
      <c r="D191" s="331" cm="1">
        <f t="array" aca="1" ref="D191" ca="1">INDIRECT("xHesaplama!H"&amp;""&amp;ROW(D188)+70-7*ROUNDDOWN(ROW(D188)/8,0))</f>
        <v>0</v>
      </c>
      <c r="E191" s="332"/>
      <c r="F191" s="642" t="e">
        <f ca="1">VLOOKUP(LEFT(D191,6),$J$2:$K$21,2,0)</f>
        <v>#N/A</v>
      </c>
      <c r="G191" s="643"/>
    </row>
    <row r="192" spans="2:9" ht="31.5" customHeight="1" thickBot="1">
      <c r="B192" s="257" t="s">
        <v>832</v>
      </c>
      <c r="D192" s="252" t="s">
        <v>359</v>
      </c>
      <c r="E192" s="253" t="e" cm="1">
        <f t="array" aca="1" ref="E192" ca="1">INDIRECT("xHesaplama!J"&amp;""&amp;ROW(D188)+70-7*ROUNDDOWN(ROW(D188)/8,0))</f>
        <v>#N/A</v>
      </c>
      <c r="F192" s="254" t="s">
        <v>358</v>
      </c>
      <c r="G192" s="253" t="e" cm="1">
        <f t="array" aca="1" ref="G192" ca="1">INDIRECT("xHesaplama!K"&amp;""&amp;ROW(D188)+70-7*ROUNDDOWN(ROW(D188)/8,0))</f>
        <v>#N/A</v>
      </c>
    </row>
    <row r="193" spans="2:9" ht="69" customHeight="1" thickBot="1">
      <c r="B193" s="256" t="s">
        <v>869</v>
      </c>
      <c r="C193" s="248"/>
      <c r="D193" s="656"/>
      <c r="E193" s="656"/>
      <c r="F193" s="656"/>
      <c r="G193" s="656"/>
    </row>
    <row r="194" spans="2:9" ht="31.5" customHeight="1" thickBot="1">
      <c r="B194" s="257" t="s">
        <v>870</v>
      </c>
      <c r="C194" s="248"/>
      <c r="D194" s="657" t="str">
        <f>'1PROJE'!$E$3</f>
        <v>GÜNEŞ PEN</v>
      </c>
      <c r="E194" s="658"/>
      <c r="F194" s="658"/>
      <c r="G194" s="659"/>
    </row>
    <row r="195" spans="2:9" ht="31.5" customHeight="1" thickBot="1">
      <c r="B195" s="257" t="s">
        <v>871</v>
      </c>
      <c r="C195" s="248"/>
      <c r="D195" s="644" t="str">
        <f>'1PROJE'!$F$3</f>
        <v>GÜRKAN BEY</v>
      </c>
      <c r="E195" s="645"/>
      <c r="F195" s="645"/>
      <c r="G195" s="646"/>
    </row>
    <row r="196" spans="2:9" ht="31.5" customHeight="1" thickBot="1">
      <c r="B196" s="257" t="s">
        <v>356</v>
      </c>
      <c r="C196" s="248"/>
      <c r="D196" s="647" t="e" cm="1">
        <f t="array" aca="1" ref="D196" ca="1">INDIRECT("xHesaplama!I"&amp;""&amp;ROW(D196)+70-7*ROUNDDOWN(ROW(D196)/8,0))</f>
        <v>#N/A</v>
      </c>
      <c r="E196" s="648"/>
      <c r="F196" s="648"/>
      <c r="G196" s="649"/>
    </row>
    <row r="197" spans="2:9" ht="31.5" customHeight="1" thickBot="1">
      <c r="B197" s="257" t="s">
        <v>342</v>
      </c>
      <c r="C197" s="248"/>
      <c r="D197" s="650" t="str">
        <f>$H$1</f>
        <v>KUTU</v>
      </c>
      <c r="E197" s="651"/>
      <c r="F197" s="651"/>
      <c r="G197" s="652"/>
    </row>
    <row r="198" spans="2:9" ht="31.5" customHeight="1" thickBot="1">
      <c r="B198" s="257" t="s">
        <v>114</v>
      </c>
      <c r="C198" s="248"/>
      <c r="D198" s="653" t="str">
        <f>'1PROJE'!$G$3</f>
        <v>Z 5001</v>
      </c>
      <c r="E198" s="654"/>
      <c r="F198" s="654"/>
      <c r="G198" s="655"/>
      <c r="I198" s="250"/>
    </row>
    <row r="199" spans="2:9" ht="31.5" customHeight="1" thickBot="1">
      <c r="B199" s="257" t="s">
        <v>98</v>
      </c>
      <c r="D199" s="331" cm="1">
        <f t="array" aca="1" ref="D199" ca="1">INDIRECT("xHesaplama!H"&amp;""&amp;ROW(D196)+70-7*ROUNDDOWN(ROW(D196)/8,0))</f>
        <v>0</v>
      </c>
      <c r="E199" s="332"/>
      <c r="F199" s="642" t="e">
        <f ca="1">VLOOKUP(LEFT(D199,6),$J$2:$K$21,2,0)</f>
        <v>#N/A</v>
      </c>
      <c r="G199" s="643"/>
    </row>
    <row r="200" spans="2:9" ht="31.5" customHeight="1" thickBot="1">
      <c r="B200" s="257" t="s">
        <v>832</v>
      </c>
      <c r="D200" s="252" t="s">
        <v>359</v>
      </c>
      <c r="E200" s="253" t="e" cm="1">
        <f t="array" aca="1" ref="E200" ca="1">INDIRECT("xHesaplama!J"&amp;""&amp;ROW(D196)+70-7*ROUNDDOWN(ROW(D196)/8,0))</f>
        <v>#N/A</v>
      </c>
      <c r="F200" s="254" t="s">
        <v>358</v>
      </c>
      <c r="G200" s="253" t="e" cm="1">
        <f t="array" aca="1" ref="G200" ca="1">INDIRECT("xHesaplama!K"&amp;""&amp;ROW(D196)+70-7*ROUNDDOWN(ROW(D196)/8,0))</f>
        <v>#N/A</v>
      </c>
    </row>
    <row r="201" spans="2:9" ht="69" customHeight="1" thickBot="1">
      <c r="B201" s="256" t="s">
        <v>869</v>
      </c>
      <c r="C201" s="248"/>
      <c r="D201" s="656"/>
      <c r="E201" s="656"/>
      <c r="F201" s="656"/>
      <c r="G201" s="656"/>
    </row>
    <row r="202" spans="2:9" ht="31.5" customHeight="1" thickBot="1">
      <c r="B202" s="257" t="s">
        <v>870</v>
      </c>
      <c r="C202" s="248"/>
      <c r="D202" s="657" t="str">
        <f>'1PROJE'!$E$3</f>
        <v>GÜNEŞ PEN</v>
      </c>
      <c r="E202" s="658"/>
      <c r="F202" s="658"/>
      <c r="G202" s="659"/>
    </row>
    <row r="203" spans="2:9" ht="31.5" customHeight="1" thickBot="1">
      <c r="B203" s="257" t="s">
        <v>871</v>
      </c>
      <c r="C203" s="248"/>
      <c r="D203" s="644" t="str">
        <f>'1PROJE'!$F$3</f>
        <v>GÜRKAN BEY</v>
      </c>
      <c r="E203" s="645"/>
      <c r="F203" s="645"/>
      <c r="G203" s="646"/>
    </row>
    <row r="204" spans="2:9" ht="31.5" customHeight="1" thickBot="1">
      <c r="B204" s="257" t="s">
        <v>356</v>
      </c>
      <c r="C204" s="248"/>
      <c r="D204" s="647" t="e" cm="1">
        <f t="array" aca="1" ref="D204" ca="1">INDIRECT("xHesaplama!I"&amp;""&amp;ROW(D204)+70-7*ROUNDDOWN(ROW(D204)/8,0))</f>
        <v>#N/A</v>
      </c>
      <c r="E204" s="648"/>
      <c r="F204" s="648"/>
      <c r="G204" s="649"/>
    </row>
    <row r="205" spans="2:9" ht="31.5" customHeight="1" thickBot="1">
      <c r="B205" s="257" t="s">
        <v>342</v>
      </c>
      <c r="C205" s="248"/>
      <c r="D205" s="650" t="str">
        <f>$H$1</f>
        <v>KUTU</v>
      </c>
      <c r="E205" s="651"/>
      <c r="F205" s="651"/>
      <c r="G205" s="652"/>
    </row>
    <row r="206" spans="2:9" ht="31.5" customHeight="1" thickBot="1">
      <c r="B206" s="257" t="s">
        <v>114</v>
      </c>
      <c r="C206" s="248"/>
      <c r="D206" s="653" t="str">
        <f>'1PROJE'!$G$3</f>
        <v>Z 5001</v>
      </c>
      <c r="E206" s="654"/>
      <c r="F206" s="654"/>
      <c r="G206" s="655"/>
      <c r="I206" s="250"/>
    </row>
    <row r="207" spans="2:9" ht="31.5" customHeight="1" thickBot="1">
      <c r="B207" s="257" t="s">
        <v>98</v>
      </c>
      <c r="D207" s="331" cm="1">
        <f t="array" aca="1" ref="D207" ca="1">INDIRECT("xHesaplama!H"&amp;""&amp;ROW(D204)+70-7*ROUNDDOWN(ROW(D204)/8,0))</f>
        <v>0</v>
      </c>
      <c r="E207" s="332"/>
      <c r="F207" s="642" t="e">
        <f ca="1">VLOOKUP(LEFT(D207,6),$J$2:$K$21,2,0)</f>
        <v>#N/A</v>
      </c>
      <c r="G207" s="643"/>
    </row>
    <row r="208" spans="2:9" ht="31.5" customHeight="1" thickBot="1">
      <c r="B208" s="257" t="s">
        <v>832</v>
      </c>
      <c r="D208" s="252" t="s">
        <v>359</v>
      </c>
      <c r="E208" s="253" t="e" cm="1">
        <f t="array" aca="1" ref="E208" ca="1">INDIRECT("xHesaplama!J"&amp;""&amp;ROW(D204)+70-7*ROUNDDOWN(ROW(D204)/8,0))</f>
        <v>#N/A</v>
      </c>
      <c r="F208" s="254" t="s">
        <v>358</v>
      </c>
      <c r="G208" s="253" t="e" cm="1">
        <f t="array" aca="1" ref="G208" ca="1">INDIRECT("xHesaplama!K"&amp;""&amp;ROW(D204)+70-7*ROUNDDOWN(ROW(D204)/8,0))</f>
        <v>#N/A</v>
      </c>
    </row>
    <row r="209" spans="2:9" ht="69" customHeight="1" thickBot="1">
      <c r="B209" s="256" t="s">
        <v>869</v>
      </c>
      <c r="C209" s="248"/>
      <c r="D209" s="656"/>
      <c r="E209" s="656"/>
      <c r="F209" s="656"/>
      <c r="G209" s="656"/>
    </row>
    <row r="210" spans="2:9" ht="31.5" customHeight="1" thickBot="1">
      <c r="B210" s="257" t="s">
        <v>870</v>
      </c>
      <c r="C210" s="248"/>
      <c r="D210" s="657" t="str">
        <f>'1PROJE'!$E$3</f>
        <v>GÜNEŞ PEN</v>
      </c>
      <c r="E210" s="658"/>
      <c r="F210" s="658"/>
      <c r="G210" s="659"/>
    </row>
    <row r="211" spans="2:9" ht="31.5" customHeight="1" thickBot="1">
      <c r="B211" s="257" t="s">
        <v>871</v>
      </c>
      <c r="C211" s="248"/>
      <c r="D211" s="644" t="str">
        <f>'1PROJE'!$F$3</f>
        <v>GÜRKAN BEY</v>
      </c>
      <c r="E211" s="645"/>
      <c r="F211" s="645"/>
      <c r="G211" s="646"/>
    </row>
    <row r="212" spans="2:9" ht="31.5" customHeight="1" thickBot="1">
      <c r="B212" s="257" t="s">
        <v>356</v>
      </c>
      <c r="C212" s="248"/>
      <c r="D212" s="647" t="e" cm="1">
        <f t="array" aca="1" ref="D212" ca="1">INDIRECT("xHesaplama!I"&amp;""&amp;ROW(D212)+70-7*ROUNDDOWN(ROW(D212)/8,0))</f>
        <v>#N/A</v>
      </c>
      <c r="E212" s="648"/>
      <c r="F212" s="648"/>
      <c r="G212" s="649"/>
    </row>
    <row r="213" spans="2:9" ht="31.5" customHeight="1" thickBot="1">
      <c r="B213" s="257" t="s">
        <v>342</v>
      </c>
      <c r="C213" s="248"/>
      <c r="D213" s="650" t="str">
        <f>$H$1</f>
        <v>KUTU</v>
      </c>
      <c r="E213" s="651"/>
      <c r="F213" s="651"/>
      <c r="G213" s="652"/>
    </row>
    <row r="214" spans="2:9" ht="31.5" customHeight="1" thickBot="1">
      <c r="B214" s="257" t="s">
        <v>114</v>
      </c>
      <c r="C214" s="248"/>
      <c r="D214" s="653" t="str">
        <f>'1PROJE'!$G$3</f>
        <v>Z 5001</v>
      </c>
      <c r="E214" s="654"/>
      <c r="F214" s="654"/>
      <c r="G214" s="655"/>
      <c r="I214" s="250"/>
    </row>
    <row r="215" spans="2:9" ht="31.5" customHeight="1" thickBot="1">
      <c r="B215" s="257" t="s">
        <v>98</v>
      </c>
      <c r="D215" s="331" cm="1">
        <f t="array" aca="1" ref="D215" ca="1">INDIRECT("xHesaplama!H"&amp;""&amp;ROW(D212)+70-7*ROUNDDOWN(ROW(D212)/8,0))</f>
        <v>0</v>
      </c>
      <c r="E215" s="332"/>
      <c r="F215" s="642" t="e">
        <f ca="1">VLOOKUP(LEFT(D215,6),$J$2:$K$21,2,0)</f>
        <v>#N/A</v>
      </c>
      <c r="G215" s="643"/>
    </row>
    <row r="216" spans="2:9" ht="31.5" customHeight="1" thickBot="1">
      <c r="B216" s="257" t="s">
        <v>832</v>
      </c>
      <c r="D216" s="252" t="s">
        <v>359</v>
      </c>
      <c r="E216" s="253" t="e" cm="1">
        <f t="array" aca="1" ref="E216" ca="1">INDIRECT("xHesaplama!J"&amp;""&amp;ROW(D212)+70-7*ROUNDDOWN(ROW(D212)/8,0))</f>
        <v>#N/A</v>
      </c>
      <c r="F216" s="254" t="s">
        <v>358</v>
      </c>
      <c r="G216" s="253" t="e" cm="1">
        <f t="array" aca="1" ref="G216" ca="1">INDIRECT("xHesaplama!K"&amp;""&amp;ROW(D212)+70-7*ROUNDDOWN(ROW(D212)/8,0))</f>
        <v>#N/A</v>
      </c>
    </row>
    <row r="217" spans="2:9" ht="69" customHeight="1" thickBot="1">
      <c r="B217" s="256" t="s">
        <v>869</v>
      </c>
      <c r="C217" s="248"/>
      <c r="D217" s="656"/>
      <c r="E217" s="656"/>
      <c r="F217" s="656"/>
      <c r="G217" s="656"/>
    </row>
    <row r="218" spans="2:9" ht="31.5" customHeight="1" thickBot="1">
      <c r="B218" s="257" t="s">
        <v>870</v>
      </c>
      <c r="C218" s="248"/>
      <c r="D218" s="657" t="str">
        <f>'1PROJE'!$E$3</f>
        <v>GÜNEŞ PEN</v>
      </c>
      <c r="E218" s="658"/>
      <c r="F218" s="658"/>
      <c r="G218" s="659"/>
    </row>
    <row r="219" spans="2:9" ht="31.5" customHeight="1" thickBot="1">
      <c r="B219" s="257" t="s">
        <v>871</v>
      </c>
      <c r="C219" s="248"/>
      <c r="D219" s="644" t="str">
        <f>'1PROJE'!$F$3</f>
        <v>GÜRKAN BEY</v>
      </c>
      <c r="E219" s="645"/>
      <c r="F219" s="645"/>
      <c r="G219" s="646"/>
    </row>
    <row r="220" spans="2:9" ht="31.5" customHeight="1" thickBot="1">
      <c r="B220" s="257" t="s">
        <v>356</v>
      </c>
      <c r="C220" s="248"/>
      <c r="D220" s="647" t="e" cm="1">
        <f t="array" aca="1" ref="D220" ca="1">INDIRECT("xHesaplama!I"&amp;""&amp;ROW(D220)+70-7*ROUNDDOWN(ROW(D220)/8,0))</f>
        <v>#N/A</v>
      </c>
      <c r="E220" s="648"/>
      <c r="F220" s="648"/>
      <c r="G220" s="649"/>
    </row>
    <row r="221" spans="2:9" ht="31.5" customHeight="1" thickBot="1">
      <c r="B221" s="257" t="s">
        <v>342</v>
      </c>
      <c r="C221" s="248"/>
      <c r="D221" s="650" t="str">
        <f>$H$1</f>
        <v>KUTU</v>
      </c>
      <c r="E221" s="651"/>
      <c r="F221" s="651"/>
      <c r="G221" s="652"/>
    </row>
    <row r="222" spans="2:9" ht="31.5" customHeight="1" thickBot="1">
      <c r="B222" s="257" t="s">
        <v>114</v>
      </c>
      <c r="C222" s="248"/>
      <c r="D222" s="653" t="str">
        <f>'1PROJE'!$G$3</f>
        <v>Z 5001</v>
      </c>
      <c r="E222" s="654"/>
      <c r="F222" s="654"/>
      <c r="G222" s="655"/>
      <c r="I222" s="250"/>
    </row>
    <row r="223" spans="2:9" ht="31.5" customHeight="1" thickBot="1">
      <c r="B223" s="257" t="s">
        <v>98</v>
      </c>
      <c r="D223" s="331" cm="1">
        <f t="array" aca="1" ref="D223" ca="1">INDIRECT("xHesaplama!H"&amp;""&amp;ROW(D220)+70-7*ROUNDDOWN(ROW(D220)/8,0))</f>
        <v>0</v>
      </c>
      <c r="E223" s="332"/>
      <c r="F223" s="642" t="e">
        <f ca="1">VLOOKUP(LEFT(D223,6),$J$2:$K$21,2,0)</f>
        <v>#N/A</v>
      </c>
      <c r="G223" s="643"/>
    </row>
    <row r="224" spans="2:9" ht="31.5" customHeight="1" thickBot="1">
      <c r="B224" s="257" t="s">
        <v>832</v>
      </c>
      <c r="D224" s="252" t="s">
        <v>359</v>
      </c>
      <c r="E224" s="253" t="e" cm="1">
        <f t="array" aca="1" ref="E224" ca="1">INDIRECT("xHesaplama!J"&amp;""&amp;ROW(D220)+70-7*ROUNDDOWN(ROW(D220)/8,0))</f>
        <v>#N/A</v>
      </c>
      <c r="F224" s="254" t="s">
        <v>358</v>
      </c>
      <c r="G224" s="253" t="e" cm="1">
        <f t="array" aca="1" ref="G224" ca="1">INDIRECT("xHesaplama!K"&amp;""&amp;ROW(D220)+70-7*ROUNDDOWN(ROW(D220)/8,0))</f>
        <v>#N/A</v>
      </c>
    </row>
    <row r="225" spans="2:9" ht="69" customHeight="1" thickBot="1">
      <c r="B225" s="256" t="s">
        <v>869</v>
      </c>
      <c r="C225" s="248"/>
      <c r="D225" s="656"/>
      <c r="E225" s="656"/>
      <c r="F225" s="656"/>
      <c r="G225" s="656"/>
    </row>
    <row r="226" spans="2:9" ht="31.5" customHeight="1" thickBot="1">
      <c r="B226" s="257" t="s">
        <v>870</v>
      </c>
      <c r="C226" s="248"/>
      <c r="D226" s="657" t="str">
        <f>'1PROJE'!$E$3</f>
        <v>GÜNEŞ PEN</v>
      </c>
      <c r="E226" s="658"/>
      <c r="F226" s="658"/>
      <c r="G226" s="659"/>
    </row>
    <row r="227" spans="2:9" ht="31.5" customHeight="1" thickBot="1">
      <c r="B227" s="257" t="s">
        <v>871</v>
      </c>
      <c r="C227" s="248"/>
      <c r="D227" s="644" t="str">
        <f>'1PROJE'!$F$3</f>
        <v>GÜRKAN BEY</v>
      </c>
      <c r="E227" s="645"/>
      <c r="F227" s="645"/>
      <c r="G227" s="646"/>
    </row>
    <row r="228" spans="2:9" ht="31.5" customHeight="1" thickBot="1">
      <c r="B228" s="257" t="s">
        <v>356</v>
      </c>
      <c r="C228" s="248"/>
      <c r="D228" s="647" t="e" cm="1">
        <f t="array" aca="1" ref="D228" ca="1">INDIRECT("xHesaplama!I"&amp;""&amp;ROW(D228)+70-7*ROUNDDOWN(ROW(D228)/8,0))</f>
        <v>#N/A</v>
      </c>
      <c r="E228" s="648"/>
      <c r="F228" s="648"/>
      <c r="G228" s="649"/>
    </row>
    <row r="229" spans="2:9" ht="31.5" customHeight="1" thickBot="1">
      <c r="B229" s="257" t="s">
        <v>342</v>
      </c>
      <c r="C229" s="248"/>
      <c r="D229" s="650" t="str">
        <f>$H$1</f>
        <v>KUTU</v>
      </c>
      <c r="E229" s="651"/>
      <c r="F229" s="651"/>
      <c r="G229" s="652"/>
    </row>
    <row r="230" spans="2:9" ht="31.5" customHeight="1" thickBot="1">
      <c r="B230" s="257" t="s">
        <v>114</v>
      </c>
      <c r="C230" s="248"/>
      <c r="D230" s="653" t="str">
        <f>'1PROJE'!$G$3</f>
        <v>Z 5001</v>
      </c>
      <c r="E230" s="654"/>
      <c r="F230" s="654"/>
      <c r="G230" s="655"/>
      <c r="I230" s="250"/>
    </row>
    <row r="231" spans="2:9" ht="31.5" customHeight="1" thickBot="1">
      <c r="B231" s="257" t="s">
        <v>98</v>
      </c>
      <c r="D231" s="331" cm="1">
        <f t="array" aca="1" ref="D231" ca="1">INDIRECT("xHesaplama!H"&amp;""&amp;ROW(D228)+70-7*ROUNDDOWN(ROW(D228)/8,0))</f>
        <v>0</v>
      </c>
      <c r="E231" s="332"/>
      <c r="F231" s="642" t="e">
        <f ca="1">VLOOKUP(LEFT(D231,6),$J$2:$K$21,2,0)</f>
        <v>#N/A</v>
      </c>
      <c r="G231" s="643"/>
    </row>
    <row r="232" spans="2:9" ht="31.5" customHeight="1" thickBot="1">
      <c r="B232" s="257" t="s">
        <v>832</v>
      </c>
      <c r="D232" s="252" t="s">
        <v>359</v>
      </c>
      <c r="E232" s="253" t="e" cm="1">
        <f t="array" aca="1" ref="E232" ca="1">INDIRECT("xHesaplama!J"&amp;""&amp;ROW(D228)+70-7*ROUNDDOWN(ROW(D228)/8,0))</f>
        <v>#N/A</v>
      </c>
      <c r="F232" s="254" t="s">
        <v>358</v>
      </c>
      <c r="G232" s="253" t="e" cm="1">
        <f t="array" aca="1" ref="G232" ca="1">INDIRECT("xHesaplama!K"&amp;""&amp;ROW(D228)+70-7*ROUNDDOWN(ROW(D228)/8,0))</f>
        <v>#N/A</v>
      </c>
    </row>
    <row r="233" spans="2:9" ht="69" customHeight="1" thickBot="1">
      <c r="B233" s="256" t="s">
        <v>869</v>
      </c>
      <c r="C233" s="248"/>
      <c r="D233" s="656"/>
      <c r="E233" s="656"/>
      <c r="F233" s="656"/>
      <c r="G233" s="656"/>
    </row>
    <row r="234" spans="2:9" ht="31.5" customHeight="1" thickBot="1">
      <c r="B234" s="257" t="s">
        <v>870</v>
      </c>
      <c r="C234" s="248"/>
      <c r="D234" s="657" t="str">
        <f>'1PROJE'!$E$3</f>
        <v>GÜNEŞ PEN</v>
      </c>
      <c r="E234" s="658"/>
      <c r="F234" s="658"/>
      <c r="G234" s="659"/>
    </row>
    <row r="235" spans="2:9" ht="31.5" customHeight="1" thickBot="1">
      <c r="B235" s="257" t="s">
        <v>871</v>
      </c>
      <c r="C235" s="248"/>
      <c r="D235" s="644" t="str">
        <f>'1PROJE'!$F$3</f>
        <v>GÜRKAN BEY</v>
      </c>
      <c r="E235" s="645"/>
      <c r="F235" s="645"/>
      <c r="G235" s="646"/>
    </row>
    <row r="236" spans="2:9" ht="31.5" customHeight="1" thickBot="1">
      <c r="B236" s="257" t="s">
        <v>356</v>
      </c>
      <c r="C236" s="248"/>
      <c r="D236" s="647" t="e" cm="1">
        <f t="array" aca="1" ref="D236" ca="1">INDIRECT("xHesaplama!I"&amp;""&amp;ROW(D236)+70-7*ROUNDDOWN(ROW(D236)/8,0))</f>
        <v>#N/A</v>
      </c>
      <c r="E236" s="648"/>
      <c r="F236" s="648"/>
      <c r="G236" s="649"/>
    </row>
    <row r="237" spans="2:9" ht="31.5" customHeight="1" thickBot="1">
      <c r="B237" s="257" t="s">
        <v>342</v>
      </c>
      <c r="C237" s="248"/>
      <c r="D237" s="650" t="str">
        <f>$H$1</f>
        <v>KUTU</v>
      </c>
      <c r="E237" s="651"/>
      <c r="F237" s="651"/>
      <c r="G237" s="652"/>
    </row>
    <row r="238" spans="2:9" ht="31.5" customHeight="1" thickBot="1">
      <c r="B238" s="257" t="s">
        <v>114</v>
      </c>
      <c r="C238" s="248"/>
      <c r="D238" s="653" t="str">
        <f>'1PROJE'!$G$3</f>
        <v>Z 5001</v>
      </c>
      <c r="E238" s="654"/>
      <c r="F238" s="654"/>
      <c r="G238" s="655"/>
      <c r="I238" s="250"/>
    </row>
    <row r="239" spans="2:9" ht="31.5" customHeight="1" thickBot="1">
      <c r="B239" s="257" t="s">
        <v>98</v>
      </c>
      <c r="D239" s="331" cm="1">
        <f t="array" aca="1" ref="D239" ca="1">INDIRECT("xHesaplama!H"&amp;""&amp;ROW(D236)+70-7*ROUNDDOWN(ROW(D236)/8,0))</f>
        <v>0</v>
      </c>
      <c r="E239" s="332"/>
      <c r="F239" s="642" t="e">
        <f ca="1">VLOOKUP(LEFT(D239,6),$J$2:$K$21,2,0)</f>
        <v>#N/A</v>
      </c>
      <c r="G239" s="643"/>
    </row>
    <row r="240" spans="2:9" ht="31.5" customHeight="1" thickBot="1">
      <c r="B240" s="257" t="s">
        <v>832</v>
      </c>
      <c r="D240" s="252" t="s">
        <v>359</v>
      </c>
      <c r="E240" s="253" t="e" cm="1">
        <f t="array" aca="1" ref="E240" ca="1">INDIRECT("xHesaplama!J"&amp;""&amp;ROW(D236)+70-7*ROUNDDOWN(ROW(D236)/8,0))</f>
        <v>#N/A</v>
      </c>
      <c r="F240" s="254" t="s">
        <v>358</v>
      </c>
      <c r="G240" s="253" t="e" cm="1">
        <f t="array" aca="1" ref="G240" ca="1">INDIRECT("xHesaplama!K"&amp;""&amp;ROW(D236)+70-7*ROUNDDOWN(ROW(D236)/8,0))</f>
        <v>#N/A</v>
      </c>
    </row>
    <row r="241" spans="2:9" ht="69" customHeight="1" thickBot="1">
      <c r="B241" s="256" t="s">
        <v>869</v>
      </c>
      <c r="C241" s="248"/>
      <c r="D241" s="656"/>
      <c r="E241" s="656"/>
      <c r="F241" s="656"/>
      <c r="G241" s="656"/>
    </row>
    <row r="242" spans="2:9" ht="31.5" customHeight="1" thickBot="1">
      <c r="B242" s="257" t="s">
        <v>870</v>
      </c>
      <c r="C242" s="248"/>
      <c r="D242" s="657" t="str">
        <f>'1PROJE'!$E$3</f>
        <v>GÜNEŞ PEN</v>
      </c>
      <c r="E242" s="658"/>
      <c r="F242" s="658"/>
      <c r="G242" s="659"/>
    </row>
    <row r="243" spans="2:9" ht="31.5" customHeight="1" thickBot="1">
      <c r="B243" s="257" t="s">
        <v>871</v>
      </c>
      <c r="C243" s="248"/>
      <c r="D243" s="644" t="str">
        <f>'1PROJE'!$F$3</f>
        <v>GÜRKAN BEY</v>
      </c>
      <c r="E243" s="645"/>
      <c r="F243" s="645"/>
      <c r="G243" s="646"/>
    </row>
    <row r="244" spans="2:9" ht="31.5" customHeight="1" thickBot="1">
      <c r="B244" s="257" t="s">
        <v>356</v>
      </c>
      <c r="C244" s="248"/>
      <c r="D244" s="647" t="e" cm="1">
        <f t="array" aca="1" ref="D244" ca="1">INDIRECT("xHesaplama!I"&amp;""&amp;ROW(D244)+70-7*ROUNDDOWN(ROW(D244)/8,0))</f>
        <v>#N/A</v>
      </c>
      <c r="E244" s="648"/>
      <c r="F244" s="648"/>
      <c r="G244" s="649"/>
    </row>
    <row r="245" spans="2:9" ht="31.5" customHeight="1" thickBot="1">
      <c r="B245" s="257" t="s">
        <v>342</v>
      </c>
      <c r="C245" s="248"/>
      <c r="D245" s="650" t="str">
        <f>$H$1</f>
        <v>KUTU</v>
      </c>
      <c r="E245" s="651"/>
      <c r="F245" s="651"/>
      <c r="G245" s="652"/>
    </row>
    <row r="246" spans="2:9" ht="31.5" customHeight="1" thickBot="1">
      <c r="B246" s="257" t="s">
        <v>114</v>
      </c>
      <c r="C246" s="248"/>
      <c r="D246" s="653" t="str">
        <f>'1PROJE'!$G$3</f>
        <v>Z 5001</v>
      </c>
      <c r="E246" s="654"/>
      <c r="F246" s="654"/>
      <c r="G246" s="655"/>
      <c r="I246" s="250"/>
    </row>
    <row r="247" spans="2:9" ht="31.5" customHeight="1" thickBot="1">
      <c r="B247" s="257" t="s">
        <v>98</v>
      </c>
      <c r="D247" s="331" cm="1">
        <f t="array" aca="1" ref="D247" ca="1">INDIRECT("xHesaplama!H"&amp;""&amp;ROW(D244)+70-7*ROUNDDOWN(ROW(D244)/8,0))</f>
        <v>0</v>
      </c>
      <c r="E247" s="332"/>
      <c r="F247" s="642" t="e">
        <f ca="1">VLOOKUP(LEFT(D247,6),$J$2:$K$21,2,0)</f>
        <v>#N/A</v>
      </c>
      <c r="G247" s="643"/>
    </row>
    <row r="248" spans="2:9" ht="31.5" customHeight="1" thickBot="1">
      <c r="B248" s="257" t="s">
        <v>832</v>
      </c>
      <c r="D248" s="252" t="s">
        <v>359</v>
      </c>
      <c r="E248" s="253" t="e" cm="1">
        <f t="array" aca="1" ref="E248" ca="1">INDIRECT("xHesaplama!J"&amp;""&amp;ROW(D244)+70-7*ROUNDDOWN(ROW(D244)/8,0))</f>
        <v>#N/A</v>
      </c>
      <c r="F248" s="254" t="s">
        <v>358</v>
      </c>
      <c r="G248" s="253" t="e" cm="1">
        <f t="array" aca="1" ref="G248" ca="1">INDIRECT("xHesaplama!K"&amp;""&amp;ROW(D244)+70-7*ROUNDDOWN(ROW(D244)/8,0))</f>
        <v>#N/A</v>
      </c>
    </row>
    <row r="249" spans="2:9" ht="69" customHeight="1" thickBot="1">
      <c r="B249" s="256" t="s">
        <v>869</v>
      </c>
      <c r="C249" s="248"/>
      <c r="D249" s="656"/>
      <c r="E249" s="656"/>
      <c r="F249" s="656"/>
      <c r="G249" s="656"/>
    </row>
    <row r="250" spans="2:9" ht="31.5" customHeight="1" thickBot="1">
      <c r="B250" s="257" t="s">
        <v>870</v>
      </c>
      <c r="C250" s="248"/>
      <c r="D250" s="657" t="str">
        <f>'1PROJE'!$E$3</f>
        <v>GÜNEŞ PEN</v>
      </c>
      <c r="E250" s="658"/>
      <c r="F250" s="658"/>
      <c r="G250" s="659"/>
    </row>
    <row r="251" spans="2:9" ht="31.5" customHeight="1" thickBot="1">
      <c r="B251" s="257" t="s">
        <v>871</v>
      </c>
      <c r="C251" s="248"/>
      <c r="D251" s="644" t="str">
        <f>'1PROJE'!$F$3</f>
        <v>GÜRKAN BEY</v>
      </c>
      <c r="E251" s="645"/>
      <c r="F251" s="645"/>
      <c r="G251" s="646"/>
    </row>
    <row r="252" spans="2:9" ht="31.5" customHeight="1" thickBot="1">
      <c r="B252" s="257" t="s">
        <v>356</v>
      </c>
      <c r="C252" s="248"/>
      <c r="D252" s="647" t="e" cm="1">
        <f t="array" aca="1" ref="D252" ca="1">INDIRECT("xHesaplama!I"&amp;""&amp;ROW(D252)+70-7*ROUNDDOWN(ROW(D252)/8,0))</f>
        <v>#N/A</v>
      </c>
      <c r="E252" s="648"/>
      <c r="F252" s="648"/>
      <c r="G252" s="649"/>
    </row>
    <row r="253" spans="2:9" ht="31.5" customHeight="1" thickBot="1">
      <c r="B253" s="257" t="s">
        <v>342</v>
      </c>
      <c r="C253" s="248"/>
      <c r="D253" s="650" t="str">
        <f>$H$1</f>
        <v>KUTU</v>
      </c>
      <c r="E253" s="651"/>
      <c r="F253" s="651"/>
      <c r="G253" s="652"/>
    </row>
    <row r="254" spans="2:9" ht="31.5" customHeight="1" thickBot="1">
      <c r="B254" s="257" t="s">
        <v>114</v>
      </c>
      <c r="C254" s="248"/>
      <c r="D254" s="653" t="str">
        <f>'1PROJE'!$G$3</f>
        <v>Z 5001</v>
      </c>
      <c r="E254" s="654"/>
      <c r="F254" s="654"/>
      <c r="G254" s="655"/>
      <c r="I254" s="250"/>
    </row>
    <row r="255" spans="2:9" ht="31.5" customHeight="1" thickBot="1">
      <c r="B255" s="257" t="s">
        <v>98</v>
      </c>
      <c r="D255" s="331" cm="1">
        <f t="array" aca="1" ref="D255" ca="1">INDIRECT("xHesaplama!H"&amp;""&amp;ROW(D252)+70-7*ROUNDDOWN(ROW(D252)/8,0))</f>
        <v>0</v>
      </c>
      <c r="E255" s="332"/>
      <c r="F255" s="642" t="e">
        <f ca="1">VLOOKUP(LEFT(D255,6),$J$2:$K$21,2,0)</f>
        <v>#N/A</v>
      </c>
      <c r="G255" s="643"/>
    </row>
    <row r="256" spans="2:9" ht="31.5" customHeight="1" thickBot="1">
      <c r="B256" s="257" t="s">
        <v>832</v>
      </c>
      <c r="D256" s="252" t="s">
        <v>359</v>
      </c>
      <c r="E256" s="253" t="e" cm="1">
        <f t="array" aca="1" ref="E256" ca="1">INDIRECT("xHesaplama!J"&amp;""&amp;ROW(D252)+70-7*ROUNDDOWN(ROW(D252)/8,0))</f>
        <v>#N/A</v>
      </c>
      <c r="F256" s="254" t="s">
        <v>358</v>
      </c>
      <c r="G256" s="253" t="e" cm="1">
        <f t="array" aca="1" ref="G256" ca="1">INDIRECT("xHesaplama!K"&amp;""&amp;ROW(D252)+70-7*ROUNDDOWN(ROW(D252)/8,0))</f>
        <v>#N/A</v>
      </c>
    </row>
    <row r="257" spans="2:9" ht="69" customHeight="1" thickBot="1">
      <c r="B257" s="256" t="s">
        <v>869</v>
      </c>
      <c r="C257" s="248"/>
      <c r="D257" s="656"/>
      <c r="E257" s="656"/>
      <c r="F257" s="656"/>
      <c r="G257" s="656"/>
    </row>
    <row r="258" spans="2:9" ht="31.5" customHeight="1" thickBot="1">
      <c r="B258" s="257" t="s">
        <v>870</v>
      </c>
      <c r="C258" s="248"/>
      <c r="D258" s="657" t="str">
        <f>'1PROJE'!$E$3</f>
        <v>GÜNEŞ PEN</v>
      </c>
      <c r="E258" s="658"/>
      <c r="F258" s="658"/>
      <c r="G258" s="659"/>
    </row>
    <row r="259" spans="2:9" ht="31.5" customHeight="1" thickBot="1">
      <c r="B259" s="257" t="s">
        <v>871</v>
      </c>
      <c r="C259" s="248"/>
      <c r="D259" s="644" t="str">
        <f>'1PROJE'!$F$3</f>
        <v>GÜRKAN BEY</v>
      </c>
      <c r="E259" s="645"/>
      <c r="F259" s="645"/>
      <c r="G259" s="646"/>
    </row>
    <row r="260" spans="2:9" ht="31.5" customHeight="1" thickBot="1">
      <c r="B260" s="257" t="s">
        <v>356</v>
      </c>
      <c r="C260" s="248"/>
      <c r="D260" s="647" t="e" cm="1">
        <f t="array" aca="1" ref="D260" ca="1">INDIRECT("xHesaplama!I"&amp;""&amp;ROW(D260)+70-7*ROUNDDOWN(ROW(D260)/8,0))</f>
        <v>#N/A</v>
      </c>
      <c r="E260" s="648"/>
      <c r="F260" s="648"/>
      <c r="G260" s="649"/>
    </row>
    <row r="261" spans="2:9" ht="31.5" customHeight="1" thickBot="1">
      <c r="B261" s="257" t="s">
        <v>342</v>
      </c>
      <c r="C261" s="248"/>
      <c r="D261" s="650" t="str">
        <f>$H$1</f>
        <v>KUTU</v>
      </c>
      <c r="E261" s="651"/>
      <c r="F261" s="651"/>
      <c r="G261" s="652"/>
    </row>
    <row r="262" spans="2:9" ht="31.5" customHeight="1" thickBot="1">
      <c r="B262" s="257" t="s">
        <v>114</v>
      </c>
      <c r="C262" s="248"/>
      <c r="D262" s="653" t="str">
        <f>'1PROJE'!$G$3</f>
        <v>Z 5001</v>
      </c>
      <c r="E262" s="654"/>
      <c r="F262" s="654"/>
      <c r="G262" s="655"/>
      <c r="I262" s="250"/>
    </row>
    <row r="263" spans="2:9" ht="31.5" customHeight="1" thickBot="1">
      <c r="B263" s="257" t="s">
        <v>98</v>
      </c>
      <c r="D263" s="331" cm="1">
        <f t="array" aca="1" ref="D263" ca="1">INDIRECT("xHesaplama!H"&amp;""&amp;ROW(D260)+70-7*ROUNDDOWN(ROW(D260)/8,0))</f>
        <v>0</v>
      </c>
      <c r="E263" s="332"/>
      <c r="F263" s="642" t="e">
        <f ca="1">VLOOKUP(LEFT(D263,6),$J$2:$K$21,2,0)</f>
        <v>#N/A</v>
      </c>
      <c r="G263" s="643"/>
    </row>
    <row r="264" spans="2:9" ht="31.5" customHeight="1" thickBot="1">
      <c r="B264" s="257" t="s">
        <v>832</v>
      </c>
      <c r="D264" s="252" t="s">
        <v>359</v>
      </c>
      <c r="E264" s="253" t="e" cm="1">
        <f t="array" aca="1" ref="E264" ca="1">INDIRECT("xHesaplama!J"&amp;""&amp;ROW(D260)+70-7*ROUNDDOWN(ROW(D260)/8,0))</f>
        <v>#N/A</v>
      </c>
      <c r="F264" s="254" t="s">
        <v>358</v>
      </c>
      <c r="G264" s="253" t="e" cm="1">
        <f t="array" aca="1" ref="G264" ca="1">INDIRECT("xHesaplama!K"&amp;""&amp;ROW(D260)+70-7*ROUNDDOWN(ROW(D260)/8,0))</f>
        <v>#N/A</v>
      </c>
    </row>
    <row r="265" spans="2:9" ht="69" customHeight="1" thickBot="1">
      <c r="B265" s="256" t="s">
        <v>869</v>
      </c>
      <c r="C265" s="248"/>
      <c r="D265" s="656"/>
      <c r="E265" s="656"/>
      <c r="F265" s="656"/>
      <c r="G265" s="656"/>
    </row>
    <row r="266" spans="2:9" ht="31.5" customHeight="1" thickBot="1">
      <c r="B266" s="257" t="s">
        <v>870</v>
      </c>
      <c r="C266" s="248"/>
      <c r="D266" s="657" t="str">
        <f>'1PROJE'!$E$3</f>
        <v>GÜNEŞ PEN</v>
      </c>
      <c r="E266" s="658"/>
      <c r="F266" s="658"/>
      <c r="G266" s="659"/>
    </row>
    <row r="267" spans="2:9" ht="31.5" customHeight="1" thickBot="1">
      <c r="B267" s="257" t="s">
        <v>871</v>
      </c>
      <c r="C267" s="248"/>
      <c r="D267" s="644" t="str">
        <f>'1PROJE'!$F$3</f>
        <v>GÜRKAN BEY</v>
      </c>
      <c r="E267" s="645"/>
      <c r="F267" s="645"/>
      <c r="G267" s="646"/>
    </row>
    <row r="268" spans="2:9" ht="31.5" customHeight="1" thickBot="1">
      <c r="B268" s="257" t="s">
        <v>356</v>
      </c>
      <c r="C268" s="248"/>
      <c r="D268" s="647" t="e" cm="1">
        <f t="array" aca="1" ref="D268" ca="1">INDIRECT("xHesaplama!I"&amp;""&amp;ROW(D268)+70-7*ROUNDDOWN(ROW(D268)/8,0))</f>
        <v>#N/A</v>
      </c>
      <c r="E268" s="648"/>
      <c r="F268" s="648"/>
      <c r="G268" s="649"/>
    </row>
    <row r="269" spans="2:9" ht="31.5" customHeight="1" thickBot="1">
      <c r="B269" s="257" t="s">
        <v>342</v>
      </c>
      <c r="C269" s="248"/>
      <c r="D269" s="650" t="str">
        <f>$H$1</f>
        <v>KUTU</v>
      </c>
      <c r="E269" s="651"/>
      <c r="F269" s="651"/>
      <c r="G269" s="652"/>
    </row>
    <row r="270" spans="2:9" ht="31.5" customHeight="1" thickBot="1">
      <c r="B270" s="257" t="s">
        <v>114</v>
      </c>
      <c r="C270" s="248"/>
      <c r="D270" s="653" t="str">
        <f>'1PROJE'!$G$3</f>
        <v>Z 5001</v>
      </c>
      <c r="E270" s="654"/>
      <c r="F270" s="654"/>
      <c r="G270" s="655"/>
      <c r="I270" s="250"/>
    </row>
    <row r="271" spans="2:9" ht="31.5" customHeight="1" thickBot="1">
      <c r="B271" s="257" t="s">
        <v>98</v>
      </c>
      <c r="D271" s="331" cm="1">
        <f t="array" aca="1" ref="D271" ca="1">INDIRECT("xHesaplama!H"&amp;""&amp;ROW(D268)+70-7*ROUNDDOWN(ROW(D268)/8,0))</f>
        <v>0</v>
      </c>
      <c r="E271" s="332"/>
      <c r="F271" s="642" t="e">
        <f ca="1">VLOOKUP(LEFT(D271,6),$J$2:$K$21,2,0)</f>
        <v>#N/A</v>
      </c>
      <c r="G271" s="643"/>
    </row>
    <row r="272" spans="2:9" ht="31.5" customHeight="1" thickBot="1">
      <c r="B272" s="257" t="s">
        <v>832</v>
      </c>
      <c r="D272" s="252" t="s">
        <v>359</v>
      </c>
      <c r="E272" s="253" t="e" cm="1">
        <f t="array" aca="1" ref="E272" ca="1">INDIRECT("xHesaplama!J"&amp;""&amp;ROW(D268)+70-7*ROUNDDOWN(ROW(D268)/8,0))</f>
        <v>#N/A</v>
      </c>
      <c r="F272" s="254" t="s">
        <v>358</v>
      </c>
      <c r="G272" s="253" t="e" cm="1">
        <f t="array" aca="1" ref="G272" ca="1">INDIRECT("xHesaplama!K"&amp;""&amp;ROW(D268)+70-7*ROUNDDOWN(ROW(D268)/8,0))</f>
        <v>#N/A</v>
      </c>
    </row>
    <row r="273" spans="2:9" ht="69" customHeight="1" thickBot="1">
      <c r="B273" s="256" t="s">
        <v>869</v>
      </c>
      <c r="C273" s="248"/>
      <c r="D273" s="656"/>
      <c r="E273" s="656"/>
      <c r="F273" s="656"/>
      <c r="G273" s="656"/>
    </row>
    <row r="274" spans="2:9" ht="31.5" customHeight="1" thickBot="1">
      <c r="B274" s="257" t="s">
        <v>870</v>
      </c>
      <c r="C274" s="248"/>
      <c r="D274" s="657" t="str">
        <f>'1PROJE'!$E$3</f>
        <v>GÜNEŞ PEN</v>
      </c>
      <c r="E274" s="658"/>
      <c r="F274" s="658"/>
      <c r="G274" s="659"/>
    </row>
    <row r="275" spans="2:9" ht="31.5" customHeight="1" thickBot="1">
      <c r="B275" s="257" t="s">
        <v>871</v>
      </c>
      <c r="C275" s="248"/>
      <c r="D275" s="644" t="str">
        <f>'1PROJE'!$F$3</f>
        <v>GÜRKAN BEY</v>
      </c>
      <c r="E275" s="645"/>
      <c r="F275" s="645"/>
      <c r="G275" s="646"/>
    </row>
    <row r="276" spans="2:9" ht="31.5" customHeight="1" thickBot="1">
      <c r="B276" s="257" t="s">
        <v>356</v>
      </c>
      <c r="C276" s="248"/>
      <c r="D276" s="647" t="e" cm="1">
        <f t="array" aca="1" ref="D276" ca="1">INDIRECT("xHesaplama!I"&amp;""&amp;ROW(D276)+70-7*ROUNDDOWN(ROW(D276)/8,0))</f>
        <v>#N/A</v>
      </c>
      <c r="E276" s="648"/>
      <c r="F276" s="648"/>
      <c r="G276" s="649"/>
    </row>
    <row r="277" spans="2:9" ht="31.5" customHeight="1" thickBot="1">
      <c r="B277" s="257" t="s">
        <v>342</v>
      </c>
      <c r="C277" s="248"/>
      <c r="D277" s="650" t="str">
        <f>$H$1</f>
        <v>KUTU</v>
      </c>
      <c r="E277" s="651"/>
      <c r="F277" s="651"/>
      <c r="G277" s="652"/>
    </row>
    <row r="278" spans="2:9" ht="31.5" customHeight="1" thickBot="1">
      <c r="B278" s="257" t="s">
        <v>114</v>
      </c>
      <c r="C278" s="248"/>
      <c r="D278" s="653" t="str">
        <f>'1PROJE'!$G$3</f>
        <v>Z 5001</v>
      </c>
      <c r="E278" s="654"/>
      <c r="F278" s="654"/>
      <c r="G278" s="655"/>
      <c r="I278" s="250"/>
    </row>
    <row r="279" spans="2:9" ht="31.5" customHeight="1" thickBot="1">
      <c r="B279" s="257" t="s">
        <v>98</v>
      </c>
      <c r="D279" s="331" cm="1">
        <f t="array" aca="1" ref="D279" ca="1">INDIRECT("xHesaplama!H"&amp;""&amp;ROW(D276)+70-7*ROUNDDOWN(ROW(D276)/8,0))</f>
        <v>0</v>
      </c>
      <c r="E279" s="332"/>
      <c r="F279" s="642" t="e">
        <f ca="1">VLOOKUP(LEFT(D279,6),$J$2:$K$21,2,0)</f>
        <v>#N/A</v>
      </c>
      <c r="G279" s="643"/>
    </row>
    <row r="280" spans="2:9" ht="31.5" customHeight="1" thickBot="1">
      <c r="B280" s="257" t="s">
        <v>832</v>
      </c>
      <c r="D280" s="252" t="s">
        <v>359</v>
      </c>
      <c r="E280" s="253" t="e" cm="1">
        <f t="array" aca="1" ref="E280" ca="1">INDIRECT("xHesaplama!J"&amp;""&amp;ROW(D276)+70-7*ROUNDDOWN(ROW(D276)/8,0))</f>
        <v>#N/A</v>
      </c>
      <c r="F280" s="254" t="s">
        <v>358</v>
      </c>
      <c r="G280" s="253" t="e" cm="1">
        <f t="array" aca="1" ref="G280" ca="1">INDIRECT("xHesaplama!K"&amp;""&amp;ROW(D276)+70-7*ROUNDDOWN(ROW(D276)/8,0))</f>
        <v>#N/A</v>
      </c>
    </row>
    <row r="281" spans="2:9" ht="69" customHeight="1" thickBot="1">
      <c r="B281" s="256" t="s">
        <v>869</v>
      </c>
      <c r="C281" s="248"/>
      <c r="D281" s="656"/>
      <c r="E281" s="656"/>
      <c r="F281" s="656"/>
      <c r="G281" s="656"/>
    </row>
    <row r="282" spans="2:9" ht="31.5" customHeight="1" thickBot="1">
      <c r="B282" s="257" t="s">
        <v>870</v>
      </c>
      <c r="C282" s="248"/>
      <c r="D282" s="657" t="str">
        <f>'1PROJE'!$E$3</f>
        <v>GÜNEŞ PEN</v>
      </c>
      <c r="E282" s="658"/>
      <c r="F282" s="658"/>
      <c r="G282" s="659"/>
    </row>
    <row r="283" spans="2:9" ht="31.5" customHeight="1" thickBot="1">
      <c r="B283" s="257" t="s">
        <v>871</v>
      </c>
      <c r="C283" s="248"/>
      <c r="D283" s="644" t="str">
        <f>'1PROJE'!$F$3</f>
        <v>GÜRKAN BEY</v>
      </c>
      <c r="E283" s="645"/>
      <c r="F283" s="645"/>
      <c r="G283" s="646"/>
    </row>
    <row r="284" spans="2:9" ht="31.5" customHeight="1" thickBot="1">
      <c r="B284" s="257" t="s">
        <v>356</v>
      </c>
      <c r="C284" s="248"/>
      <c r="D284" s="647" t="e" cm="1">
        <f t="array" aca="1" ref="D284" ca="1">INDIRECT("xHesaplama!I"&amp;""&amp;ROW(D284)+70-7*ROUNDDOWN(ROW(D284)/8,0))</f>
        <v>#N/A</v>
      </c>
      <c r="E284" s="648"/>
      <c r="F284" s="648"/>
      <c r="G284" s="649"/>
    </row>
    <row r="285" spans="2:9" ht="31.5" customHeight="1" thickBot="1">
      <c r="B285" s="257" t="s">
        <v>342</v>
      </c>
      <c r="C285" s="248"/>
      <c r="D285" s="650" t="str">
        <f>$H$1</f>
        <v>KUTU</v>
      </c>
      <c r="E285" s="651"/>
      <c r="F285" s="651"/>
      <c r="G285" s="652"/>
    </row>
    <row r="286" spans="2:9" ht="31.5" customHeight="1" thickBot="1">
      <c r="B286" s="257" t="s">
        <v>114</v>
      </c>
      <c r="C286" s="248"/>
      <c r="D286" s="653" t="str">
        <f>'1PROJE'!$G$3</f>
        <v>Z 5001</v>
      </c>
      <c r="E286" s="654"/>
      <c r="F286" s="654"/>
      <c r="G286" s="655"/>
      <c r="I286" s="250"/>
    </row>
    <row r="287" spans="2:9" ht="31.5" customHeight="1" thickBot="1">
      <c r="B287" s="257" t="s">
        <v>98</v>
      </c>
      <c r="D287" s="331" cm="1">
        <f t="array" aca="1" ref="D287" ca="1">INDIRECT("xHesaplama!H"&amp;""&amp;ROW(D284)+70-7*ROUNDDOWN(ROW(D284)/8,0))</f>
        <v>0</v>
      </c>
      <c r="E287" s="332"/>
      <c r="F287" s="642" t="e">
        <f ca="1">VLOOKUP(LEFT(D287,6),$J$2:$K$21,2,0)</f>
        <v>#N/A</v>
      </c>
      <c r="G287" s="643"/>
    </row>
    <row r="288" spans="2:9" ht="31.5" customHeight="1" thickBot="1">
      <c r="B288" s="257" t="s">
        <v>832</v>
      </c>
      <c r="D288" s="252" t="s">
        <v>359</v>
      </c>
      <c r="E288" s="253" t="e" cm="1">
        <f t="array" aca="1" ref="E288" ca="1">INDIRECT("xHesaplama!J"&amp;""&amp;ROW(D284)+70-7*ROUNDDOWN(ROW(D284)/8,0))</f>
        <v>#N/A</v>
      </c>
      <c r="F288" s="254" t="s">
        <v>358</v>
      </c>
      <c r="G288" s="253" t="e" cm="1">
        <f t="array" aca="1" ref="G288" ca="1">INDIRECT("xHesaplama!K"&amp;""&amp;ROW(D284)+70-7*ROUNDDOWN(ROW(D284)/8,0))</f>
        <v>#N/A</v>
      </c>
    </row>
    <row r="289" spans="2:9" ht="69" customHeight="1" thickBot="1">
      <c r="B289" s="256" t="s">
        <v>869</v>
      </c>
      <c r="C289" s="248"/>
      <c r="D289" s="656"/>
      <c r="E289" s="656"/>
      <c r="F289" s="656"/>
      <c r="G289" s="656"/>
    </row>
    <row r="290" spans="2:9" ht="31.5" customHeight="1" thickBot="1">
      <c r="B290" s="257" t="s">
        <v>870</v>
      </c>
      <c r="C290" s="248"/>
      <c r="D290" s="657" t="str">
        <f>'1PROJE'!$E$3</f>
        <v>GÜNEŞ PEN</v>
      </c>
      <c r="E290" s="658"/>
      <c r="F290" s="658"/>
      <c r="G290" s="659"/>
    </row>
    <row r="291" spans="2:9" ht="31.5" customHeight="1" thickBot="1">
      <c r="B291" s="257" t="s">
        <v>871</v>
      </c>
      <c r="C291" s="248"/>
      <c r="D291" s="644" t="str">
        <f>'1PROJE'!$F$3</f>
        <v>GÜRKAN BEY</v>
      </c>
      <c r="E291" s="645"/>
      <c r="F291" s="645"/>
      <c r="G291" s="646"/>
    </row>
    <row r="292" spans="2:9" ht="31.5" customHeight="1" thickBot="1">
      <c r="B292" s="257" t="s">
        <v>356</v>
      </c>
      <c r="C292" s="248"/>
      <c r="D292" s="647" t="e" cm="1">
        <f t="array" aca="1" ref="D292" ca="1">INDIRECT("xHesaplama!I"&amp;""&amp;ROW(D292)+70-7*ROUNDDOWN(ROW(D292)/8,0))</f>
        <v>#N/A</v>
      </c>
      <c r="E292" s="648"/>
      <c r="F292" s="648"/>
      <c r="G292" s="649"/>
    </row>
    <row r="293" spans="2:9" ht="31.5" customHeight="1" thickBot="1">
      <c r="B293" s="257" t="s">
        <v>342</v>
      </c>
      <c r="C293" s="248"/>
      <c r="D293" s="650" t="str">
        <f>$H$1</f>
        <v>KUTU</v>
      </c>
      <c r="E293" s="651"/>
      <c r="F293" s="651"/>
      <c r="G293" s="652"/>
    </row>
    <row r="294" spans="2:9" ht="31.5" customHeight="1" thickBot="1">
      <c r="B294" s="257" t="s">
        <v>114</v>
      </c>
      <c r="C294" s="248"/>
      <c r="D294" s="653" t="str">
        <f>'1PROJE'!$G$3</f>
        <v>Z 5001</v>
      </c>
      <c r="E294" s="654"/>
      <c r="F294" s="654"/>
      <c r="G294" s="655"/>
      <c r="I294" s="250"/>
    </row>
    <row r="295" spans="2:9" ht="31.5" customHeight="1" thickBot="1">
      <c r="B295" s="257" t="s">
        <v>98</v>
      </c>
      <c r="D295" s="331" cm="1">
        <f t="array" aca="1" ref="D295" ca="1">INDIRECT("xHesaplama!H"&amp;""&amp;ROW(D292)+70-7*ROUNDDOWN(ROW(D292)/8,0))</f>
        <v>0</v>
      </c>
      <c r="E295" s="332"/>
      <c r="F295" s="642" t="e">
        <f ca="1">VLOOKUP(LEFT(D295,6),$J$2:$K$21,2,0)</f>
        <v>#N/A</v>
      </c>
      <c r="G295" s="643"/>
    </row>
    <row r="296" spans="2:9" ht="31.5" customHeight="1" thickBot="1">
      <c r="B296" s="257" t="s">
        <v>832</v>
      </c>
      <c r="D296" s="252" t="s">
        <v>359</v>
      </c>
      <c r="E296" s="253" t="e" cm="1">
        <f t="array" aca="1" ref="E296" ca="1">INDIRECT("xHesaplama!J"&amp;""&amp;ROW(D292)+70-7*ROUNDDOWN(ROW(D292)/8,0))</f>
        <v>#N/A</v>
      </c>
      <c r="F296" s="254" t="s">
        <v>358</v>
      </c>
      <c r="G296" s="253" t="e" cm="1">
        <f t="array" aca="1" ref="G296" ca="1">INDIRECT("xHesaplama!K"&amp;""&amp;ROW(D292)+70-7*ROUNDDOWN(ROW(D292)/8,0))</f>
        <v>#N/A</v>
      </c>
    </row>
    <row r="297" spans="2:9" ht="69" customHeight="1" thickBot="1">
      <c r="B297" s="256" t="s">
        <v>869</v>
      </c>
      <c r="C297" s="248"/>
      <c r="D297" s="656"/>
      <c r="E297" s="656"/>
      <c r="F297" s="656"/>
      <c r="G297" s="656"/>
    </row>
    <row r="298" spans="2:9" ht="31.5" customHeight="1" thickBot="1">
      <c r="B298" s="257" t="s">
        <v>870</v>
      </c>
      <c r="C298" s="248"/>
      <c r="D298" s="657" t="str">
        <f>'1PROJE'!$E$3</f>
        <v>GÜNEŞ PEN</v>
      </c>
      <c r="E298" s="658"/>
      <c r="F298" s="658"/>
      <c r="G298" s="659"/>
    </row>
    <row r="299" spans="2:9" ht="31.5" customHeight="1" thickBot="1">
      <c r="B299" s="257" t="s">
        <v>871</v>
      </c>
      <c r="C299" s="248"/>
      <c r="D299" s="644" t="str">
        <f>'1PROJE'!$F$3</f>
        <v>GÜRKAN BEY</v>
      </c>
      <c r="E299" s="645"/>
      <c r="F299" s="645"/>
      <c r="G299" s="646"/>
    </row>
    <row r="300" spans="2:9" ht="31.5" customHeight="1" thickBot="1">
      <c r="B300" s="257" t="s">
        <v>356</v>
      </c>
      <c r="C300" s="248"/>
      <c r="D300" s="647" t="e" cm="1">
        <f t="array" aca="1" ref="D300" ca="1">INDIRECT("xHesaplama!I"&amp;""&amp;ROW(D300)+70-7*ROUNDDOWN(ROW(D300)/8,0))</f>
        <v>#N/A</v>
      </c>
      <c r="E300" s="648"/>
      <c r="F300" s="648"/>
      <c r="G300" s="649"/>
    </row>
    <row r="301" spans="2:9" ht="31.5" customHeight="1" thickBot="1">
      <c r="B301" s="257" t="s">
        <v>342</v>
      </c>
      <c r="C301" s="248"/>
      <c r="D301" s="650" t="str">
        <f>$H$1</f>
        <v>KUTU</v>
      </c>
      <c r="E301" s="651"/>
      <c r="F301" s="651"/>
      <c r="G301" s="652"/>
    </row>
    <row r="302" spans="2:9" ht="31.5" customHeight="1" thickBot="1">
      <c r="B302" s="257" t="s">
        <v>114</v>
      </c>
      <c r="C302" s="248"/>
      <c r="D302" s="653" t="str">
        <f>'1PROJE'!$G$3</f>
        <v>Z 5001</v>
      </c>
      <c r="E302" s="654"/>
      <c r="F302" s="654"/>
      <c r="G302" s="655"/>
      <c r="I302" s="250"/>
    </row>
    <row r="303" spans="2:9" ht="31.5" customHeight="1" thickBot="1">
      <c r="B303" s="257" t="s">
        <v>98</v>
      </c>
      <c r="D303" s="331" cm="1">
        <f t="array" aca="1" ref="D303" ca="1">INDIRECT("xHesaplama!H"&amp;""&amp;ROW(D300)+70-7*ROUNDDOWN(ROW(D300)/8,0))</f>
        <v>0</v>
      </c>
      <c r="E303" s="332"/>
      <c r="F303" s="642" t="e">
        <f ca="1">VLOOKUP(LEFT(D303,6),$J$2:$K$21,2,0)</f>
        <v>#N/A</v>
      </c>
      <c r="G303" s="643"/>
    </row>
    <row r="304" spans="2:9" ht="31.5" customHeight="1" thickBot="1">
      <c r="B304" s="257" t="s">
        <v>832</v>
      </c>
      <c r="D304" s="252" t="s">
        <v>359</v>
      </c>
      <c r="E304" s="253" t="e" cm="1">
        <f t="array" aca="1" ref="E304" ca="1">INDIRECT("xHesaplama!J"&amp;""&amp;ROW(D300)+70-7*ROUNDDOWN(ROW(D300)/8,0))</f>
        <v>#N/A</v>
      </c>
      <c r="F304" s="254" t="s">
        <v>358</v>
      </c>
      <c r="G304" s="253" t="e" cm="1">
        <f t="array" aca="1" ref="G304" ca="1">INDIRECT("xHesaplama!K"&amp;""&amp;ROW(D300)+70-7*ROUNDDOWN(ROW(D300)/8,0))</f>
        <v>#N/A</v>
      </c>
    </row>
    <row r="305" spans="2:9" ht="69" customHeight="1" thickBot="1">
      <c r="B305" s="256" t="s">
        <v>869</v>
      </c>
      <c r="C305" s="248"/>
      <c r="D305" s="656"/>
      <c r="E305" s="656"/>
      <c r="F305" s="656"/>
      <c r="G305" s="656"/>
    </row>
    <row r="306" spans="2:9" ht="31.5" customHeight="1" thickBot="1">
      <c r="B306" s="257" t="s">
        <v>870</v>
      </c>
      <c r="C306" s="248"/>
      <c r="D306" s="657" t="str">
        <f>'1PROJE'!$E$3</f>
        <v>GÜNEŞ PEN</v>
      </c>
      <c r="E306" s="658"/>
      <c r="F306" s="658"/>
      <c r="G306" s="659"/>
    </row>
    <row r="307" spans="2:9" ht="31.5" customHeight="1" thickBot="1">
      <c r="B307" s="257" t="s">
        <v>871</v>
      </c>
      <c r="C307" s="248"/>
      <c r="D307" s="644" t="str">
        <f>'1PROJE'!$F$3</f>
        <v>GÜRKAN BEY</v>
      </c>
      <c r="E307" s="645"/>
      <c r="F307" s="645"/>
      <c r="G307" s="646"/>
    </row>
    <row r="308" spans="2:9" ht="31.5" customHeight="1" thickBot="1">
      <c r="B308" s="257" t="s">
        <v>356</v>
      </c>
      <c r="C308" s="248"/>
      <c r="D308" s="647" t="e" cm="1">
        <f t="array" aca="1" ref="D308" ca="1">INDIRECT("xHesaplama!I"&amp;""&amp;ROW(D308)+70-7*ROUNDDOWN(ROW(D308)/8,0))</f>
        <v>#N/A</v>
      </c>
      <c r="E308" s="648"/>
      <c r="F308" s="648"/>
      <c r="G308" s="649"/>
    </row>
    <row r="309" spans="2:9" ht="31.5" customHeight="1" thickBot="1">
      <c r="B309" s="257" t="s">
        <v>342</v>
      </c>
      <c r="C309" s="248"/>
      <c r="D309" s="650" t="str">
        <f>$H$1</f>
        <v>KUTU</v>
      </c>
      <c r="E309" s="651"/>
      <c r="F309" s="651"/>
      <c r="G309" s="652"/>
    </row>
    <row r="310" spans="2:9" ht="31.5" customHeight="1" thickBot="1">
      <c r="B310" s="257" t="s">
        <v>114</v>
      </c>
      <c r="C310" s="248"/>
      <c r="D310" s="653" t="str">
        <f>'1PROJE'!$G$3</f>
        <v>Z 5001</v>
      </c>
      <c r="E310" s="654"/>
      <c r="F310" s="654"/>
      <c r="G310" s="655"/>
      <c r="I310" s="250"/>
    </row>
    <row r="311" spans="2:9" ht="31.5" customHeight="1" thickBot="1">
      <c r="B311" s="257" t="s">
        <v>98</v>
      </c>
      <c r="D311" s="331" cm="1">
        <f t="array" aca="1" ref="D311" ca="1">INDIRECT("xHesaplama!H"&amp;""&amp;ROW(D308)+70-7*ROUNDDOWN(ROW(D308)/8,0))</f>
        <v>0</v>
      </c>
      <c r="E311" s="332"/>
      <c r="F311" s="642" t="e">
        <f ca="1">VLOOKUP(LEFT(D311,6),$J$2:$K$21,2,0)</f>
        <v>#N/A</v>
      </c>
      <c r="G311" s="643"/>
    </row>
    <row r="312" spans="2:9" ht="31.5" customHeight="1" thickBot="1">
      <c r="B312" s="257" t="s">
        <v>832</v>
      </c>
      <c r="D312" s="252" t="s">
        <v>359</v>
      </c>
      <c r="E312" s="253" t="e" cm="1">
        <f t="array" aca="1" ref="E312" ca="1">INDIRECT("xHesaplama!J"&amp;""&amp;ROW(D308)+70-7*ROUNDDOWN(ROW(D308)/8,0))</f>
        <v>#N/A</v>
      </c>
      <c r="F312" s="254" t="s">
        <v>358</v>
      </c>
      <c r="G312" s="253" t="e" cm="1">
        <f t="array" aca="1" ref="G312" ca="1">INDIRECT("xHesaplama!K"&amp;""&amp;ROW(D308)+70-7*ROUNDDOWN(ROW(D308)/8,0))</f>
        <v>#N/A</v>
      </c>
    </row>
    <row r="313" spans="2:9" ht="69" customHeight="1" thickBot="1">
      <c r="B313" s="256" t="s">
        <v>869</v>
      </c>
      <c r="C313" s="248"/>
      <c r="D313" s="656"/>
      <c r="E313" s="656"/>
      <c r="F313" s="656"/>
      <c r="G313" s="656"/>
    </row>
    <row r="314" spans="2:9" ht="31.5" customHeight="1" thickBot="1">
      <c r="B314" s="257" t="s">
        <v>870</v>
      </c>
      <c r="C314" s="248"/>
      <c r="D314" s="657" t="str">
        <f>'1PROJE'!$E$3</f>
        <v>GÜNEŞ PEN</v>
      </c>
      <c r="E314" s="658"/>
      <c r="F314" s="658"/>
      <c r="G314" s="659"/>
    </row>
    <row r="315" spans="2:9" ht="31.5" customHeight="1" thickBot="1">
      <c r="B315" s="257" t="s">
        <v>871</v>
      </c>
      <c r="C315" s="248"/>
      <c r="D315" s="644" t="str">
        <f>'1PROJE'!$F$3</f>
        <v>GÜRKAN BEY</v>
      </c>
      <c r="E315" s="645"/>
      <c r="F315" s="645"/>
      <c r="G315" s="646"/>
    </row>
    <row r="316" spans="2:9" ht="31.5" customHeight="1" thickBot="1">
      <c r="B316" s="257" t="s">
        <v>356</v>
      </c>
      <c r="C316" s="248"/>
      <c r="D316" s="647" t="e" cm="1">
        <f t="array" aca="1" ref="D316" ca="1">INDIRECT("xHesaplama!I"&amp;""&amp;ROW(D316)+70-7*ROUNDDOWN(ROW(D316)/8,0))</f>
        <v>#N/A</v>
      </c>
      <c r="E316" s="648"/>
      <c r="F316" s="648"/>
      <c r="G316" s="649"/>
    </row>
    <row r="317" spans="2:9" ht="31.5" customHeight="1" thickBot="1">
      <c r="B317" s="257" t="s">
        <v>342</v>
      </c>
      <c r="C317" s="248"/>
      <c r="D317" s="650" t="str">
        <f>$H$1</f>
        <v>KUTU</v>
      </c>
      <c r="E317" s="651"/>
      <c r="F317" s="651"/>
      <c r="G317" s="652"/>
    </row>
    <row r="318" spans="2:9" ht="31.5" customHeight="1" thickBot="1">
      <c r="B318" s="257" t="s">
        <v>114</v>
      </c>
      <c r="C318" s="248"/>
      <c r="D318" s="653" t="str">
        <f>'1PROJE'!$G$3</f>
        <v>Z 5001</v>
      </c>
      <c r="E318" s="654"/>
      <c r="F318" s="654"/>
      <c r="G318" s="655"/>
      <c r="I318" s="250"/>
    </row>
    <row r="319" spans="2:9" ht="31.5" customHeight="1" thickBot="1">
      <c r="B319" s="257" t="s">
        <v>98</v>
      </c>
      <c r="D319" s="331" cm="1">
        <f t="array" aca="1" ref="D319" ca="1">INDIRECT("xHesaplama!H"&amp;""&amp;ROW(D316)+70-7*ROUNDDOWN(ROW(D316)/8,0))</f>
        <v>0</v>
      </c>
      <c r="E319" s="332"/>
      <c r="F319" s="642" t="e">
        <f ca="1">VLOOKUP(LEFT(D319,6),$J$2:$K$21,2,0)</f>
        <v>#N/A</v>
      </c>
      <c r="G319" s="643"/>
    </row>
    <row r="320" spans="2:9" ht="31.5" customHeight="1" thickBot="1">
      <c r="B320" s="257" t="s">
        <v>832</v>
      </c>
      <c r="D320" s="252" t="s">
        <v>359</v>
      </c>
      <c r="E320" s="253" t="e" cm="1">
        <f t="array" aca="1" ref="E320" ca="1">INDIRECT("xHesaplama!J"&amp;""&amp;ROW(D316)+70-7*ROUNDDOWN(ROW(D316)/8,0))</f>
        <v>#N/A</v>
      </c>
      <c r="F320" s="254" t="s">
        <v>358</v>
      </c>
      <c r="G320" s="253" t="e" cm="1">
        <f t="array" aca="1" ref="G320" ca="1">INDIRECT("xHesaplama!K"&amp;""&amp;ROW(D316)+70-7*ROUNDDOWN(ROW(D316)/8,0))</f>
        <v>#N/A</v>
      </c>
    </row>
    <row r="321" spans="2:9" ht="69" customHeight="1" thickBot="1">
      <c r="B321" s="256" t="s">
        <v>869</v>
      </c>
      <c r="C321" s="248"/>
      <c r="D321" s="656"/>
      <c r="E321" s="656"/>
      <c r="F321" s="656"/>
      <c r="G321" s="656"/>
    </row>
    <row r="322" spans="2:9" ht="31.5" customHeight="1" thickBot="1">
      <c r="B322" s="257" t="s">
        <v>870</v>
      </c>
      <c r="C322" s="248"/>
      <c r="D322" s="657" t="str">
        <f>'1PROJE'!$E$3</f>
        <v>GÜNEŞ PEN</v>
      </c>
      <c r="E322" s="658"/>
      <c r="F322" s="658"/>
      <c r="G322" s="659"/>
    </row>
    <row r="323" spans="2:9" ht="31.5" customHeight="1" thickBot="1">
      <c r="B323" s="257" t="s">
        <v>871</v>
      </c>
      <c r="C323" s="248"/>
      <c r="D323" s="644" t="str">
        <f>'1PROJE'!$F$3</f>
        <v>GÜRKAN BEY</v>
      </c>
      <c r="E323" s="645"/>
      <c r="F323" s="645"/>
      <c r="G323" s="646"/>
    </row>
    <row r="324" spans="2:9" ht="31.5" customHeight="1" thickBot="1">
      <c r="B324" s="257" t="s">
        <v>356</v>
      </c>
      <c r="C324" s="248"/>
      <c r="D324" s="647" t="e" cm="1">
        <f t="array" aca="1" ref="D324" ca="1">INDIRECT("xHesaplama!I"&amp;""&amp;ROW(D324)+70-7*ROUNDDOWN(ROW(D324)/8,0))</f>
        <v>#N/A</v>
      </c>
      <c r="E324" s="648"/>
      <c r="F324" s="648"/>
      <c r="G324" s="649"/>
    </row>
    <row r="325" spans="2:9" ht="31.5" customHeight="1" thickBot="1">
      <c r="B325" s="257" t="s">
        <v>342</v>
      </c>
      <c r="C325" s="248"/>
      <c r="D325" s="650" t="str">
        <f>$H$1</f>
        <v>KUTU</v>
      </c>
      <c r="E325" s="651"/>
      <c r="F325" s="651"/>
      <c r="G325" s="652"/>
    </row>
    <row r="326" spans="2:9" ht="31.5" customHeight="1" thickBot="1">
      <c r="B326" s="257" t="s">
        <v>114</v>
      </c>
      <c r="C326" s="248"/>
      <c r="D326" s="653" t="str">
        <f>'1PROJE'!$G$3</f>
        <v>Z 5001</v>
      </c>
      <c r="E326" s="654"/>
      <c r="F326" s="654"/>
      <c r="G326" s="655"/>
      <c r="I326" s="250"/>
    </row>
    <row r="327" spans="2:9" ht="31.5" customHeight="1" thickBot="1">
      <c r="B327" s="257" t="s">
        <v>98</v>
      </c>
      <c r="D327" s="331" cm="1">
        <f t="array" aca="1" ref="D327" ca="1">INDIRECT("xHesaplama!H"&amp;""&amp;ROW(D324)+70-7*ROUNDDOWN(ROW(D324)/8,0))</f>
        <v>0</v>
      </c>
      <c r="E327" s="332"/>
      <c r="F327" s="642" t="e">
        <f ca="1">VLOOKUP(LEFT(D327,6),$J$2:$K$21,2,0)</f>
        <v>#N/A</v>
      </c>
      <c r="G327" s="643"/>
    </row>
    <row r="328" spans="2:9" ht="31.5" customHeight="1" thickBot="1">
      <c r="B328" s="257" t="s">
        <v>832</v>
      </c>
      <c r="D328" s="252" t="s">
        <v>359</v>
      </c>
      <c r="E328" s="253" t="e" cm="1">
        <f t="array" aca="1" ref="E328" ca="1">INDIRECT("xHesaplama!J"&amp;""&amp;ROW(D324)+70-7*ROUNDDOWN(ROW(D324)/8,0))</f>
        <v>#N/A</v>
      </c>
      <c r="F328" s="254" t="s">
        <v>358</v>
      </c>
      <c r="G328" s="253" t="e" cm="1">
        <f t="array" aca="1" ref="G328" ca="1">INDIRECT("xHesaplama!K"&amp;""&amp;ROW(D324)+70-7*ROUNDDOWN(ROW(D324)/8,0))</f>
        <v>#N/A</v>
      </c>
    </row>
    <row r="329" spans="2:9" ht="69" customHeight="1" thickBot="1">
      <c r="B329" s="256" t="s">
        <v>869</v>
      </c>
      <c r="C329" s="248"/>
      <c r="D329" s="656"/>
      <c r="E329" s="656"/>
      <c r="F329" s="656"/>
      <c r="G329" s="656"/>
    </row>
    <row r="330" spans="2:9" ht="31.5" customHeight="1" thickBot="1">
      <c r="B330" s="257" t="s">
        <v>870</v>
      </c>
      <c r="C330" s="248"/>
      <c r="D330" s="657" t="str">
        <f>'1PROJE'!$E$3</f>
        <v>GÜNEŞ PEN</v>
      </c>
      <c r="E330" s="658"/>
      <c r="F330" s="658"/>
      <c r="G330" s="659"/>
    </row>
    <row r="331" spans="2:9" ht="31.5" customHeight="1" thickBot="1">
      <c r="B331" s="257" t="s">
        <v>871</v>
      </c>
      <c r="C331" s="248"/>
      <c r="D331" s="644" t="str">
        <f>'1PROJE'!$F$3</f>
        <v>GÜRKAN BEY</v>
      </c>
      <c r="E331" s="645"/>
      <c r="F331" s="645"/>
      <c r="G331" s="646"/>
    </row>
    <row r="332" spans="2:9" ht="31.5" customHeight="1" thickBot="1">
      <c r="B332" s="257" t="s">
        <v>356</v>
      </c>
      <c r="C332" s="248"/>
      <c r="D332" s="647" t="e" cm="1">
        <f t="array" aca="1" ref="D332" ca="1">INDIRECT("xHesaplama!I"&amp;""&amp;ROW(D332)+70-7*ROUNDDOWN(ROW(D332)/8,0))</f>
        <v>#N/A</v>
      </c>
      <c r="E332" s="648"/>
      <c r="F332" s="648"/>
      <c r="G332" s="649"/>
    </row>
    <row r="333" spans="2:9" ht="31.5" customHeight="1" thickBot="1">
      <c r="B333" s="257" t="s">
        <v>342</v>
      </c>
      <c r="C333" s="248"/>
      <c r="D333" s="650" t="str">
        <f>$H$1</f>
        <v>KUTU</v>
      </c>
      <c r="E333" s="651"/>
      <c r="F333" s="651"/>
      <c r="G333" s="652"/>
    </row>
    <row r="334" spans="2:9" ht="31.5" customHeight="1" thickBot="1">
      <c r="B334" s="257" t="s">
        <v>114</v>
      </c>
      <c r="C334" s="248"/>
      <c r="D334" s="653" t="str">
        <f>'1PROJE'!$G$3</f>
        <v>Z 5001</v>
      </c>
      <c r="E334" s="654"/>
      <c r="F334" s="654"/>
      <c r="G334" s="655"/>
      <c r="I334" s="250"/>
    </row>
    <row r="335" spans="2:9" ht="31.5" customHeight="1" thickBot="1">
      <c r="B335" s="257" t="s">
        <v>98</v>
      </c>
      <c r="D335" s="331" cm="1">
        <f t="array" aca="1" ref="D335" ca="1">INDIRECT("xHesaplama!H"&amp;""&amp;ROW(D332)+70-7*ROUNDDOWN(ROW(D332)/8,0))</f>
        <v>0</v>
      </c>
      <c r="E335" s="332"/>
      <c r="F335" s="642" t="e">
        <f ca="1">VLOOKUP(LEFT(D335,6),$J$2:$K$21,2,0)</f>
        <v>#N/A</v>
      </c>
      <c r="G335" s="643"/>
    </row>
    <row r="336" spans="2:9" ht="31.5" customHeight="1" thickBot="1">
      <c r="B336" s="257" t="s">
        <v>832</v>
      </c>
      <c r="D336" s="252" t="s">
        <v>359</v>
      </c>
      <c r="E336" s="253" t="e" cm="1">
        <f t="array" aca="1" ref="E336" ca="1">INDIRECT("xHesaplama!J"&amp;""&amp;ROW(D332)+70-7*ROUNDDOWN(ROW(D332)/8,0))</f>
        <v>#N/A</v>
      </c>
      <c r="F336" s="254" t="s">
        <v>358</v>
      </c>
      <c r="G336" s="253" t="e" cm="1">
        <f t="array" aca="1" ref="G336" ca="1">INDIRECT("xHesaplama!K"&amp;""&amp;ROW(D332)+70-7*ROUNDDOWN(ROW(D332)/8,0))</f>
        <v>#N/A</v>
      </c>
    </row>
    <row r="337" spans="2:9" ht="69" customHeight="1" thickBot="1">
      <c r="B337" s="256" t="s">
        <v>869</v>
      </c>
      <c r="C337" s="248"/>
      <c r="D337" s="656"/>
      <c r="E337" s="656"/>
      <c r="F337" s="656"/>
      <c r="G337" s="656"/>
    </row>
    <row r="338" spans="2:9" ht="31.5" customHeight="1" thickBot="1">
      <c r="B338" s="257" t="s">
        <v>870</v>
      </c>
      <c r="C338" s="248"/>
      <c r="D338" s="657" t="str">
        <f>'1PROJE'!$E$3</f>
        <v>GÜNEŞ PEN</v>
      </c>
      <c r="E338" s="658"/>
      <c r="F338" s="658"/>
      <c r="G338" s="659"/>
    </row>
    <row r="339" spans="2:9" ht="31.5" customHeight="1" thickBot="1">
      <c r="B339" s="257" t="s">
        <v>871</v>
      </c>
      <c r="C339" s="248"/>
      <c r="D339" s="644" t="str">
        <f>'1PROJE'!$F$3</f>
        <v>GÜRKAN BEY</v>
      </c>
      <c r="E339" s="645"/>
      <c r="F339" s="645"/>
      <c r="G339" s="646"/>
    </row>
    <row r="340" spans="2:9" ht="31.5" customHeight="1" thickBot="1">
      <c r="B340" s="257" t="s">
        <v>356</v>
      </c>
      <c r="C340" s="248"/>
      <c r="D340" s="647" t="e" cm="1">
        <f t="array" aca="1" ref="D340" ca="1">INDIRECT("xHesaplama!I"&amp;""&amp;ROW(D340)+70-7*ROUNDDOWN(ROW(D340)/8,0))</f>
        <v>#N/A</v>
      </c>
      <c r="E340" s="648"/>
      <c r="F340" s="648"/>
      <c r="G340" s="649"/>
    </row>
    <row r="341" spans="2:9" ht="31.5" customHeight="1" thickBot="1">
      <c r="B341" s="257" t="s">
        <v>342</v>
      </c>
      <c r="C341" s="248"/>
      <c r="D341" s="650" t="str">
        <f>$H$1</f>
        <v>KUTU</v>
      </c>
      <c r="E341" s="651"/>
      <c r="F341" s="651"/>
      <c r="G341" s="652"/>
    </row>
    <row r="342" spans="2:9" ht="31.5" customHeight="1" thickBot="1">
      <c r="B342" s="257" t="s">
        <v>114</v>
      </c>
      <c r="C342" s="248"/>
      <c r="D342" s="653" t="str">
        <f>'1PROJE'!$G$3</f>
        <v>Z 5001</v>
      </c>
      <c r="E342" s="654"/>
      <c r="F342" s="654"/>
      <c r="G342" s="655"/>
      <c r="I342" s="250"/>
    </row>
    <row r="343" spans="2:9" ht="31.5" customHeight="1" thickBot="1">
      <c r="B343" s="257" t="s">
        <v>98</v>
      </c>
      <c r="D343" s="331" cm="1">
        <f t="array" aca="1" ref="D343" ca="1">INDIRECT("xHesaplama!H"&amp;""&amp;ROW(D340)+70-7*ROUNDDOWN(ROW(D340)/8,0))</f>
        <v>0</v>
      </c>
      <c r="E343" s="332"/>
      <c r="F343" s="642" t="e">
        <f ca="1">VLOOKUP(LEFT(D343,6),$J$2:$K$21,2,0)</f>
        <v>#N/A</v>
      </c>
      <c r="G343" s="643"/>
    </row>
    <row r="344" spans="2:9" ht="31.5" customHeight="1" thickBot="1">
      <c r="B344" s="257" t="s">
        <v>832</v>
      </c>
      <c r="D344" s="252" t="s">
        <v>359</v>
      </c>
      <c r="E344" s="253" t="e" cm="1">
        <f t="array" aca="1" ref="E344" ca="1">INDIRECT("xHesaplama!J"&amp;""&amp;ROW(D340)+70-7*ROUNDDOWN(ROW(D340)/8,0))</f>
        <v>#N/A</v>
      </c>
      <c r="F344" s="254" t="s">
        <v>358</v>
      </c>
      <c r="G344" s="253" t="e" cm="1">
        <f t="array" aca="1" ref="G344" ca="1">INDIRECT("xHesaplama!K"&amp;""&amp;ROW(D340)+70-7*ROUNDDOWN(ROW(D340)/8,0))</f>
        <v>#N/A</v>
      </c>
    </row>
    <row r="345" spans="2:9" ht="69" customHeight="1" thickBot="1">
      <c r="B345" s="256" t="s">
        <v>869</v>
      </c>
      <c r="C345" s="248"/>
      <c r="D345" s="656"/>
      <c r="E345" s="656"/>
      <c r="F345" s="656"/>
      <c r="G345" s="656"/>
    </row>
    <row r="346" spans="2:9" ht="31.5" customHeight="1" thickBot="1">
      <c r="B346" s="257" t="s">
        <v>870</v>
      </c>
      <c r="C346" s="248"/>
      <c r="D346" s="657" t="str">
        <f>'1PROJE'!$E$3</f>
        <v>GÜNEŞ PEN</v>
      </c>
      <c r="E346" s="658"/>
      <c r="F346" s="658"/>
      <c r="G346" s="659"/>
    </row>
    <row r="347" spans="2:9" ht="31.5" customHeight="1" thickBot="1">
      <c r="B347" s="257" t="s">
        <v>871</v>
      </c>
      <c r="C347" s="248"/>
      <c r="D347" s="644" t="str">
        <f>'1PROJE'!$F$3</f>
        <v>GÜRKAN BEY</v>
      </c>
      <c r="E347" s="645"/>
      <c r="F347" s="645"/>
      <c r="G347" s="646"/>
    </row>
    <row r="348" spans="2:9" ht="31.5" customHeight="1" thickBot="1">
      <c r="B348" s="257" t="s">
        <v>356</v>
      </c>
      <c r="C348" s="248"/>
      <c r="D348" s="647" t="e" cm="1">
        <f t="array" aca="1" ref="D348" ca="1">INDIRECT("xHesaplama!I"&amp;""&amp;ROW(D348)+70-7*ROUNDDOWN(ROW(D348)/8,0))</f>
        <v>#N/A</v>
      </c>
      <c r="E348" s="648"/>
      <c r="F348" s="648"/>
      <c r="G348" s="649"/>
    </row>
    <row r="349" spans="2:9" ht="31.5" customHeight="1" thickBot="1">
      <c r="B349" s="257" t="s">
        <v>342</v>
      </c>
      <c r="C349" s="248"/>
      <c r="D349" s="650" t="str">
        <f>$H$1</f>
        <v>KUTU</v>
      </c>
      <c r="E349" s="651"/>
      <c r="F349" s="651"/>
      <c r="G349" s="652"/>
    </row>
    <row r="350" spans="2:9" ht="31.5" customHeight="1" thickBot="1">
      <c r="B350" s="257" t="s">
        <v>114</v>
      </c>
      <c r="C350" s="248"/>
      <c r="D350" s="653" t="str">
        <f>'1PROJE'!$G$3</f>
        <v>Z 5001</v>
      </c>
      <c r="E350" s="654"/>
      <c r="F350" s="654"/>
      <c r="G350" s="655"/>
      <c r="I350" s="250"/>
    </row>
    <row r="351" spans="2:9" ht="31.5" customHeight="1" thickBot="1">
      <c r="B351" s="257" t="s">
        <v>98</v>
      </c>
      <c r="D351" s="331" cm="1">
        <f t="array" aca="1" ref="D351" ca="1">INDIRECT("xHesaplama!H"&amp;""&amp;ROW(D348)+70-7*ROUNDDOWN(ROW(D348)/8,0))</f>
        <v>0</v>
      </c>
      <c r="E351" s="332"/>
      <c r="F351" s="642" t="e">
        <f ca="1">VLOOKUP(LEFT(D351,6),$J$2:$K$21,2,0)</f>
        <v>#N/A</v>
      </c>
      <c r="G351" s="643"/>
    </row>
    <row r="352" spans="2:9" ht="31.5" customHeight="1" thickBot="1">
      <c r="B352" s="257" t="s">
        <v>832</v>
      </c>
      <c r="D352" s="252" t="s">
        <v>359</v>
      </c>
      <c r="E352" s="253" t="e" cm="1">
        <f t="array" aca="1" ref="E352" ca="1">INDIRECT("xHesaplama!J"&amp;""&amp;ROW(D348)+70-7*ROUNDDOWN(ROW(D348)/8,0))</f>
        <v>#N/A</v>
      </c>
      <c r="F352" s="254" t="s">
        <v>358</v>
      </c>
      <c r="G352" s="253" t="e" cm="1">
        <f t="array" aca="1" ref="G352" ca="1">INDIRECT("xHesaplama!K"&amp;""&amp;ROW(D348)+70-7*ROUNDDOWN(ROW(D348)/8,0))</f>
        <v>#N/A</v>
      </c>
    </row>
    <row r="353" spans="2:9" ht="69" customHeight="1" thickBot="1">
      <c r="B353" s="256" t="s">
        <v>869</v>
      </c>
      <c r="C353" s="248"/>
      <c r="D353" s="656"/>
      <c r="E353" s="656"/>
      <c r="F353" s="656"/>
      <c r="G353" s="656"/>
    </row>
    <row r="354" spans="2:9" ht="31.5" customHeight="1" thickBot="1">
      <c r="B354" s="257" t="s">
        <v>870</v>
      </c>
      <c r="C354" s="248"/>
      <c r="D354" s="657" t="str">
        <f>'1PROJE'!$E$3</f>
        <v>GÜNEŞ PEN</v>
      </c>
      <c r="E354" s="658"/>
      <c r="F354" s="658"/>
      <c r="G354" s="659"/>
    </row>
    <row r="355" spans="2:9" ht="31.5" customHeight="1" thickBot="1">
      <c r="B355" s="257" t="s">
        <v>871</v>
      </c>
      <c r="C355" s="248"/>
      <c r="D355" s="644" t="str">
        <f>'1PROJE'!$F$3</f>
        <v>GÜRKAN BEY</v>
      </c>
      <c r="E355" s="645"/>
      <c r="F355" s="645"/>
      <c r="G355" s="646"/>
    </row>
    <row r="356" spans="2:9" ht="31.5" customHeight="1" thickBot="1">
      <c r="B356" s="257" t="s">
        <v>356</v>
      </c>
      <c r="C356" s="248"/>
      <c r="D356" s="647" t="e" cm="1">
        <f t="array" aca="1" ref="D356" ca="1">INDIRECT("xHesaplama!I"&amp;""&amp;ROW(D356)+70-7*ROUNDDOWN(ROW(D356)/8,0))</f>
        <v>#N/A</v>
      </c>
      <c r="E356" s="648"/>
      <c r="F356" s="648"/>
      <c r="G356" s="649"/>
    </row>
    <row r="357" spans="2:9" ht="31.5" customHeight="1" thickBot="1">
      <c r="B357" s="257" t="s">
        <v>342</v>
      </c>
      <c r="C357" s="248"/>
      <c r="D357" s="650" t="str">
        <f>$H$1</f>
        <v>KUTU</v>
      </c>
      <c r="E357" s="651"/>
      <c r="F357" s="651"/>
      <c r="G357" s="652"/>
    </row>
    <row r="358" spans="2:9" ht="31.5" customHeight="1" thickBot="1">
      <c r="B358" s="257" t="s">
        <v>114</v>
      </c>
      <c r="C358" s="248"/>
      <c r="D358" s="653" t="str">
        <f>'1PROJE'!$G$3</f>
        <v>Z 5001</v>
      </c>
      <c r="E358" s="654"/>
      <c r="F358" s="654"/>
      <c r="G358" s="655"/>
      <c r="I358" s="250"/>
    </row>
    <row r="359" spans="2:9" ht="31.5" customHeight="1" thickBot="1">
      <c r="B359" s="257" t="s">
        <v>98</v>
      </c>
      <c r="D359" s="331" cm="1">
        <f t="array" aca="1" ref="D359" ca="1">INDIRECT("xHesaplama!H"&amp;""&amp;ROW(D356)+70-7*ROUNDDOWN(ROW(D356)/8,0))</f>
        <v>0</v>
      </c>
      <c r="E359" s="332"/>
      <c r="F359" s="642" t="e">
        <f ca="1">VLOOKUP(LEFT(D359,6),$J$2:$K$21,2,0)</f>
        <v>#N/A</v>
      </c>
      <c r="G359" s="643"/>
    </row>
    <row r="360" spans="2:9" ht="31.5" customHeight="1" thickBot="1">
      <c r="B360" s="257" t="s">
        <v>832</v>
      </c>
      <c r="D360" s="252" t="s">
        <v>359</v>
      </c>
      <c r="E360" s="253" t="e" cm="1">
        <f t="array" aca="1" ref="E360" ca="1">INDIRECT("xHesaplama!J"&amp;""&amp;ROW(D356)+70-7*ROUNDDOWN(ROW(D356)/8,0))</f>
        <v>#N/A</v>
      </c>
      <c r="F360" s="254" t="s">
        <v>358</v>
      </c>
      <c r="G360" s="253" t="e" cm="1">
        <f t="array" aca="1" ref="G360" ca="1">INDIRECT("xHesaplama!K"&amp;""&amp;ROW(D356)+70-7*ROUNDDOWN(ROW(D356)/8,0))</f>
        <v>#N/A</v>
      </c>
    </row>
    <row r="361" spans="2:9" ht="69" customHeight="1" thickBot="1">
      <c r="B361" s="256" t="s">
        <v>869</v>
      </c>
      <c r="C361" s="248"/>
      <c r="D361" s="656"/>
      <c r="E361" s="656"/>
      <c r="F361" s="656"/>
      <c r="G361" s="656"/>
    </row>
    <row r="362" spans="2:9" ht="31.5" customHeight="1" thickBot="1">
      <c r="B362" s="257" t="s">
        <v>870</v>
      </c>
      <c r="C362" s="248"/>
      <c r="D362" s="657" t="str">
        <f>'1PROJE'!$E$3</f>
        <v>GÜNEŞ PEN</v>
      </c>
      <c r="E362" s="658"/>
      <c r="F362" s="658"/>
      <c r="G362" s="659"/>
    </row>
    <row r="363" spans="2:9" ht="31.5" customHeight="1" thickBot="1">
      <c r="B363" s="257" t="s">
        <v>871</v>
      </c>
      <c r="C363" s="248"/>
      <c r="D363" s="644" t="str">
        <f>'1PROJE'!$F$3</f>
        <v>GÜRKAN BEY</v>
      </c>
      <c r="E363" s="645"/>
      <c r="F363" s="645"/>
      <c r="G363" s="646"/>
    </row>
    <row r="364" spans="2:9" ht="31.5" customHeight="1" thickBot="1">
      <c r="B364" s="257" t="s">
        <v>356</v>
      </c>
      <c r="C364" s="248"/>
      <c r="D364" s="647" t="e" cm="1">
        <f t="array" aca="1" ref="D364" ca="1">INDIRECT("xHesaplama!I"&amp;""&amp;ROW(D364)+70-7*ROUNDDOWN(ROW(D364)/8,0))</f>
        <v>#N/A</v>
      </c>
      <c r="E364" s="648"/>
      <c r="F364" s="648"/>
      <c r="G364" s="649"/>
    </row>
    <row r="365" spans="2:9" ht="31.5" customHeight="1" thickBot="1">
      <c r="B365" s="257" t="s">
        <v>342</v>
      </c>
      <c r="C365" s="248"/>
      <c r="D365" s="650" t="str">
        <f>$H$1</f>
        <v>KUTU</v>
      </c>
      <c r="E365" s="651"/>
      <c r="F365" s="651"/>
      <c r="G365" s="652"/>
    </row>
    <row r="366" spans="2:9" ht="31.5" customHeight="1" thickBot="1">
      <c r="B366" s="257" t="s">
        <v>114</v>
      </c>
      <c r="C366" s="248"/>
      <c r="D366" s="653" t="str">
        <f>'1PROJE'!$G$3</f>
        <v>Z 5001</v>
      </c>
      <c r="E366" s="654"/>
      <c r="F366" s="654"/>
      <c r="G366" s="655"/>
      <c r="I366" s="250"/>
    </row>
    <row r="367" spans="2:9" ht="31.5" customHeight="1" thickBot="1">
      <c r="B367" s="257" t="s">
        <v>98</v>
      </c>
      <c r="D367" s="331" cm="1">
        <f t="array" aca="1" ref="D367" ca="1">INDIRECT("xHesaplama!H"&amp;""&amp;ROW(D364)+70-7*ROUNDDOWN(ROW(D364)/8,0))</f>
        <v>0</v>
      </c>
      <c r="E367" s="332"/>
      <c r="F367" s="642" t="e">
        <f ca="1">VLOOKUP(LEFT(D367,6),$J$2:$K$21,2,0)</f>
        <v>#N/A</v>
      </c>
      <c r="G367" s="643"/>
    </row>
    <row r="368" spans="2:9" ht="31.5" customHeight="1" thickBot="1">
      <c r="B368" s="257" t="s">
        <v>832</v>
      </c>
      <c r="D368" s="252" t="s">
        <v>359</v>
      </c>
      <c r="E368" s="253" t="e" cm="1">
        <f t="array" aca="1" ref="E368" ca="1">INDIRECT("xHesaplama!J"&amp;""&amp;ROW(D364)+70-7*ROUNDDOWN(ROW(D364)/8,0))</f>
        <v>#N/A</v>
      </c>
      <c r="F368" s="254" t="s">
        <v>358</v>
      </c>
      <c r="G368" s="253" t="e" cm="1">
        <f t="array" aca="1" ref="G368" ca="1">INDIRECT("xHesaplama!K"&amp;""&amp;ROW(D364)+70-7*ROUNDDOWN(ROW(D364)/8,0))</f>
        <v>#N/A</v>
      </c>
    </row>
    <row r="369" spans="2:9" ht="69" customHeight="1" thickBot="1">
      <c r="B369" s="256" t="s">
        <v>869</v>
      </c>
      <c r="C369" s="248"/>
      <c r="D369" s="656"/>
      <c r="E369" s="656"/>
      <c r="F369" s="656"/>
      <c r="G369" s="656"/>
    </row>
    <row r="370" spans="2:9" ht="31.5" customHeight="1" thickBot="1">
      <c r="B370" s="257" t="s">
        <v>870</v>
      </c>
      <c r="C370" s="248"/>
      <c r="D370" s="657" t="str">
        <f>'1PROJE'!$E$3</f>
        <v>GÜNEŞ PEN</v>
      </c>
      <c r="E370" s="658"/>
      <c r="F370" s="658"/>
      <c r="G370" s="659"/>
    </row>
    <row r="371" spans="2:9" ht="31.5" customHeight="1" thickBot="1">
      <c r="B371" s="257" t="s">
        <v>871</v>
      </c>
      <c r="C371" s="248"/>
      <c r="D371" s="644" t="str">
        <f>'1PROJE'!$F$3</f>
        <v>GÜRKAN BEY</v>
      </c>
      <c r="E371" s="645"/>
      <c r="F371" s="645"/>
      <c r="G371" s="646"/>
    </row>
    <row r="372" spans="2:9" ht="31.5" customHeight="1" thickBot="1">
      <c r="B372" s="257" t="s">
        <v>356</v>
      </c>
      <c r="C372" s="248"/>
      <c r="D372" s="647" t="e" cm="1">
        <f t="array" aca="1" ref="D372" ca="1">INDIRECT("xHesaplama!I"&amp;""&amp;ROW(D372)+70-7*ROUNDDOWN(ROW(D372)/8,0))</f>
        <v>#N/A</v>
      </c>
      <c r="E372" s="648"/>
      <c r="F372" s="648"/>
      <c r="G372" s="649"/>
    </row>
    <row r="373" spans="2:9" ht="31.5" customHeight="1" thickBot="1">
      <c r="B373" s="257" t="s">
        <v>342</v>
      </c>
      <c r="C373" s="248"/>
      <c r="D373" s="650" t="str">
        <f>$H$1</f>
        <v>KUTU</v>
      </c>
      <c r="E373" s="651"/>
      <c r="F373" s="651"/>
      <c r="G373" s="652"/>
    </row>
    <row r="374" spans="2:9" ht="31.5" customHeight="1" thickBot="1">
      <c r="B374" s="257" t="s">
        <v>114</v>
      </c>
      <c r="C374" s="248"/>
      <c r="D374" s="653" t="str">
        <f>'1PROJE'!$G$3</f>
        <v>Z 5001</v>
      </c>
      <c r="E374" s="654"/>
      <c r="F374" s="654"/>
      <c r="G374" s="655"/>
      <c r="I374" s="250"/>
    </row>
    <row r="375" spans="2:9" ht="31.5" customHeight="1" thickBot="1">
      <c r="B375" s="257" t="s">
        <v>98</v>
      </c>
      <c r="D375" s="331" cm="1">
        <f t="array" aca="1" ref="D375" ca="1">INDIRECT("xHesaplama!H"&amp;""&amp;ROW(D372)+70-7*ROUNDDOWN(ROW(D372)/8,0))</f>
        <v>0</v>
      </c>
      <c r="E375" s="332"/>
      <c r="F375" s="642" t="e">
        <f ca="1">VLOOKUP(LEFT(D375,6),$J$2:$K$21,2,0)</f>
        <v>#N/A</v>
      </c>
      <c r="G375" s="643"/>
    </row>
    <row r="376" spans="2:9" ht="31.5" customHeight="1" thickBot="1">
      <c r="B376" s="257" t="s">
        <v>832</v>
      </c>
      <c r="D376" s="252" t="s">
        <v>359</v>
      </c>
      <c r="E376" s="253" t="e" cm="1">
        <f t="array" aca="1" ref="E376" ca="1">INDIRECT("xHesaplama!J"&amp;""&amp;ROW(D372)+70-7*ROUNDDOWN(ROW(D372)/8,0))</f>
        <v>#N/A</v>
      </c>
      <c r="F376" s="254" t="s">
        <v>358</v>
      </c>
      <c r="G376" s="253" t="e" cm="1">
        <f t="array" aca="1" ref="G376" ca="1">INDIRECT("xHesaplama!K"&amp;""&amp;ROW(D372)+70-7*ROUNDDOWN(ROW(D372)/8,0))</f>
        <v>#N/A</v>
      </c>
    </row>
    <row r="377" spans="2:9" ht="69" customHeight="1" thickBot="1">
      <c r="B377" s="256" t="s">
        <v>869</v>
      </c>
      <c r="C377" s="248"/>
      <c r="D377" s="656"/>
      <c r="E377" s="656"/>
      <c r="F377" s="656"/>
      <c r="G377" s="656"/>
    </row>
    <row r="378" spans="2:9" ht="31.5" customHeight="1" thickBot="1">
      <c r="B378" s="257" t="s">
        <v>870</v>
      </c>
      <c r="C378" s="248"/>
      <c r="D378" s="657" t="str">
        <f>'1PROJE'!$E$3</f>
        <v>GÜNEŞ PEN</v>
      </c>
      <c r="E378" s="658"/>
      <c r="F378" s="658"/>
      <c r="G378" s="659"/>
    </row>
    <row r="379" spans="2:9" ht="31.5" customHeight="1" thickBot="1">
      <c r="B379" s="257" t="s">
        <v>871</v>
      </c>
      <c r="C379" s="248"/>
      <c r="D379" s="644" t="str">
        <f>'1PROJE'!$F$3</f>
        <v>GÜRKAN BEY</v>
      </c>
      <c r="E379" s="645"/>
      <c r="F379" s="645"/>
      <c r="G379" s="646"/>
    </row>
    <row r="380" spans="2:9" ht="31.5" customHeight="1" thickBot="1">
      <c r="B380" s="257" t="s">
        <v>356</v>
      </c>
      <c r="C380" s="248"/>
      <c r="D380" s="647" t="e" cm="1">
        <f t="array" aca="1" ref="D380" ca="1">INDIRECT("xHesaplama!I"&amp;""&amp;ROW(D380)+70-7*ROUNDDOWN(ROW(D380)/8,0))</f>
        <v>#N/A</v>
      </c>
      <c r="E380" s="648"/>
      <c r="F380" s="648"/>
      <c r="G380" s="649"/>
    </row>
    <row r="381" spans="2:9" ht="31.5" customHeight="1" thickBot="1">
      <c r="B381" s="257" t="s">
        <v>342</v>
      </c>
      <c r="C381" s="248"/>
      <c r="D381" s="650" t="str">
        <f>$H$1</f>
        <v>KUTU</v>
      </c>
      <c r="E381" s="651"/>
      <c r="F381" s="651"/>
      <c r="G381" s="652"/>
    </row>
    <row r="382" spans="2:9" ht="31.5" customHeight="1" thickBot="1">
      <c r="B382" s="257" t="s">
        <v>114</v>
      </c>
      <c r="C382" s="248"/>
      <c r="D382" s="653" t="str">
        <f>'1PROJE'!$G$3</f>
        <v>Z 5001</v>
      </c>
      <c r="E382" s="654"/>
      <c r="F382" s="654"/>
      <c r="G382" s="655"/>
      <c r="I382" s="250"/>
    </row>
    <row r="383" spans="2:9" ht="31.5" customHeight="1" thickBot="1">
      <c r="B383" s="257" t="s">
        <v>98</v>
      </c>
      <c r="D383" s="331" cm="1">
        <f t="array" aca="1" ref="D383" ca="1">INDIRECT("xHesaplama!H"&amp;""&amp;ROW(D380)+70-7*ROUNDDOWN(ROW(D380)/8,0))</f>
        <v>0</v>
      </c>
      <c r="E383" s="332"/>
      <c r="F383" s="642" t="e">
        <f ca="1">VLOOKUP(LEFT(D383,6),$J$2:$K$21,2,0)</f>
        <v>#N/A</v>
      </c>
      <c r="G383" s="643"/>
    </row>
    <row r="384" spans="2:9" ht="31.5" customHeight="1" thickBot="1">
      <c r="B384" s="257" t="s">
        <v>832</v>
      </c>
      <c r="D384" s="252" t="s">
        <v>359</v>
      </c>
      <c r="E384" s="253" t="e" cm="1">
        <f t="array" aca="1" ref="E384" ca="1">INDIRECT("xHesaplama!J"&amp;""&amp;ROW(D380)+70-7*ROUNDDOWN(ROW(D380)/8,0))</f>
        <v>#N/A</v>
      </c>
      <c r="F384" s="254" t="s">
        <v>358</v>
      </c>
      <c r="G384" s="253" t="e" cm="1">
        <f t="array" aca="1" ref="G384" ca="1">INDIRECT("xHesaplama!K"&amp;""&amp;ROW(D380)+70-7*ROUNDDOWN(ROW(D380)/8,0))</f>
        <v>#N/A</v>
      </c>
    </row>
    <row r="385" spans="2:9" ht="69" customHeight="1" thickBot="1">
      <c r="B385" s="256" t="s">
        <v>869</v>
      </c>
      <c r="C385" s="248"/>
      <c r="D385" s="656"/>
      <c r="E385" s="656"/>
      <c r="F385" s="656"/>
      <c r="G385" s="656"/>
    </row>
    <row r="386" spans="2:9" ht="31.5" customHeight="1" thickBot="1">
      <c r="B386" s="257" t="s">
        <v>870</v>
      </c>
      <c r="C386" s="248"/>
      <c r="D386" s="657" t="str">
        <f>'1PROJE'!$E$3</f>
        <v>GÜNEŞ PEN</v>
      </c>
      <c r="E386" s="658"/>
      <c r="F386" s="658"/>
      <c r="G386" s="659"/>
    </row>
    <row r="387" spans="2:9" ht="31.5" customHeight="1" thickBot="1">
      <c r="B387" s="257" t="s">
        <v>871</v>
      </c>
      <c r="C387" s="248"/>
      <c r="D387" s="644" t="str">
        <f>'1PROJE'!$F$3</f>
        <v>GÜRKAN BEY</v>
      </c>
      <c r="E387" s="645"/>
      <c r="F387" s="645"/>
      <c r="G387" s="646"/>
    </row>
    <row r="388" spans="2:9" ht="31.5" customHeight="1" thickBot="1">
      <c r="B388" s="257" t="s">
        <v>356</v>
      </c>
      <c r="C388" s="248"/>
      <c r="D388" s="647" t="e" cm="1">
        <f t="array" aca="1" ref="D388" ca="1">INDIRECT("xHesaplama!I"&amp;""&amp;ROW(D388)+70-7*ROUNDDOWN(ROW(D388)/8,0))</f>
        <v>#N/A</v>
      </c>
      <c r="E388" s="648"/>
      <c r="F388" s="648"/>
      <c r="G388" s="649"/>
    </row>
    <row r="389" spans="2:9" ht="31.5" customHeight="1" thickBot="1">
      <c r="B389" s="257" t="s">
        <v>342</v>
      </c>
      <c r="C389" s="248"/>
      <c r="D389" s="650" t="str">
        <f>$H$1</f>
        <v>KUTU</v>
      </c>
      <c r="E389" s="651"/>
      <c r="F389" s="651"/>
      <c r="G389" s="652"/>
    </row>
    <row r="390" spans="2:9" ht="31.5" customHeight="1" thickBot="1">
      <c r="B390" s="257" t="s">
        <v>114</v>
      </c>
      <c r="C390" s="248"/>
      <c r="D390" s="653" t="str">
        <f>'1PROJE'!$G$3</f>
        <v>Z 5001</v>
      </c>
      <c r="E390" s="654"/>
      <c r="F390" s="654"/>
      <c r="G390" s="655"/>
      <c r="I390" s="250"/>
    </row>
    <row r="391" spans="2:9" ht="31.5" customHeight="1" thickBot="1">
      <c r="B391" s="257" t="s">
        <v>98</v>
      </c>
      <c r="D391" s="331" cm="1">
        <f t="array" aca="1" ref="D391" ca="1">INDIRECT("xHesaplama!H"&amp;""&amp;ROW(D388)+70-7*ROUNDDOWN(ROW(D388)/8,0))</f>
        <v>0</v>
      </c>
      <c r="E391" s="332"/>
      <c r="F391" s="642" t="e">
        <f ca="1">VLOOKUP(LEFT(D391,6),$J$2:$K$21,2,0)</f>
        <v>#N/A</v>
      </c>
      <c r="G391" s="643"/>
    </row>
    <row r="392" spans="2:9" ht="31.5" customHeight="1" thickBot="1">
      <c r="B392" s="257" t="s">
        <v>832</v>
      </c>
      <c r="D392" s="252" t="s">
        <v>359</v>
      </c>
      <c r="E392" s="253" t="e" cm="1">
        <f t="array" aca="1" ref="E392" ca="1">INDIRECT("xHesaplama!J"&amp;""&amp;ROW(D388)+70-7*ROUNDDOWN(ROW(D388)/8,0))</f>
        <v>#N/A</v>
      </c>
      <c r="F392" s="254" t="s">
        <v>358</v>
      </c>
      <c r="G392" s="253" t="e" cm="1">
        <f t="array" aca="1" ref="G392" ca="1">INDIRECT("xHesaplama!K"&amp;""&amp;ROW(D388)+70-7*ROUNDDOWN(ROW(D388)/8,0))</f>
        <v>#N/A</v>
      </c>
    </row>
    <row r="393" spans="2:9" ht="69" customHeight="1" thickBot="1">
      <c r="B393" s="256" t="s">
        <v>869</v>
      </c>
      <c r="C393" s="248"/>
      <c r="D393" s="656"/>
      <c r="E393" s="656"/>
      <c r="F393" s="656"/>
      <c r="G393" s="656"/>
    </row>
    <row r="394" spans="2:9" ht="31.5" customHeight="1" thickBot="1">
      <c r="B394" s="257" t="s">
        <v>870</v>
      </c>
      <c r="C394" s="248"/>
      <c r="D394" s="657" t="str">
        <f>'1PROJE'!$E$3</f>
        <v>GÜNEŞ PEN</v>
      </c>
      <c r="E394" s="658"/>
      <c r="F394" s="658"/>
      <c r="G394" s="659"/>
    </row>
    <row r="395" spans="2:9" ht="31.5" customHeight="1" thickBot="1">
      <c r="B395" s="257" t="s">
        <v>871</v>
      </c>
      <c r="C395" s="248"/>
      <c r="D395" s="644" t="str">
        <f>'1PROJE'!$F$3</f>
        <v>GÜRKAN BEY</v>
      </c>
      <c r="E395" s="645"/>
      <c r="F395" s="645"/>
      <c r="G395" s="646"/>
    </row>
    <row r="396" spans="2:9" ht="31.5" customHeight="1" thickBot="1">
      <c r="B396" s="257" t="s">
        <v>356</v>
      </c>
      <c r="C396" s="248"/>
      <c r="D396" s="647" t="e" cm="1">
        <f t="array" aca="1" ref="D396" ca="1">INDIRECT("xHesaplama!I"&amp;""&amp;ROW(D396)+70-7*ROUNDDOWN(ROW(D396)/8,0))</f>
        <v>#N/A</v>
      </c>
      <c r="E396" s="648"/>
      <c r="F396" s="648"/>
      <c r="G396" s="649"/>
    </row>
    <row r="397" spans="2:9" ht="31.5" customHeight="1" thickBot="1">
      <c r="B397" s="257" t="s">
        <v>342</v>
      </c>
      <c r="C397" s="248"/>
      <c r="D397" s="650" t="str">
        <f>$H$1</f>
        <v>KUTU</v>
      </c>
      <c r="E397" s="651"/>
      <c r="F397" s="651"/>
      <c r="G397" s="652"/>
    </row>
    <row r="398" spans="2:9" ht="31.5" customHeight="1" thickBot="1">
      <c r="B398" s="257" t="s">
        <v>114</v>
      </c>
      <c r="C398" s="248"/>
      <c r="D398" s="653" t="str">
        <f>'1PROJE'!$G$3</f>
        <v>Z 5001</v>
      </c>
      <c r="E398" s="654"/>
      <c r="F398" s="654"/>
      <c r="G398" s="655"/>
      <c r="I398" s="250"/>
    </row>
    <row r="399" spans="2:9" ht="31.5" customHeight="1" thickBot="1">
      <c r="B399" s="257" t="s">
        <v>98</v>
      </c>
      <c r="D399" s="331" cm="1">
        <f t="array" aca="1" ref="D399" ca="1">INDIRECT("xHesaplama!H"&amp;""&amp;ROW(D396)+70-7*ROUNDDOWN(ROW(D396)/8,0))</f>
        <v>0</v>
      </c>
      <c r="E399" s="332"/>
      <c r="F399" s="642" t="e">
        <f ca="1">VLOOKUP(LEFT(D399,6),$J$2:$K$21,2,0)</f>
        <v>#N/A</v>
      </c>
      <c r="G399" s="643"/>
    </row>
    <row r="400" spans="2:9" ht="31.5" customHeight="1" thickBot="1">
      <c r="B400" s="257" t="s">
        <v>832</v>
      </c>
      <c r="D400" s="252" t="s">
        <v>359</v>
      </c>
      <c r="E400" s="253" t="e" cm="1">
        <f t="array" aca="1" ref="E400" ca="1">INDIRECT("xHesaplama!J"&amp;""&amp;ROW(D396)+70-7*ROUNDDOWN(ROW(D396)/8,0))</f>
        <v>#N/A</v>
      </c>
      <c r="F400" s="254" t="s">
        <v>358</v>
      </c>
      <c r="G400" s="253" t="e" cm="1">
        <f t="array" aca="1" ref="G400" ca="1">INDIRECT("xHesaplama!K"&amp;""&amp;ROW(D396)+70-7*ROUNDDOWN(ROW(D396)/8,0))</f>
        <v>#N/A</v>
      </c>
    </row>
    <row r="401" spans="2:9" ht="69" customHeight="1" thickBot="1">
      <c r="B401" s="256" t="s">
        <v>869</v>
      </c>
      <c r="C401" s="248"/>
      <c r="D401" s="656"/>
      <c r="E401" s="656"/>
      <c r="F401" s="656"/>
      <c r="G401" s="656"/>
    </row>
    <row r="402" spans="2:9" ht="31.5" customHeight="1" thickBot="1">
      <c r="B402" s="257" t="s">
        <v>870</v>
      </c>
      <c r="C402" s="248"/>
      <c r="D402" s="657" t="str">
        <f>'1PROJE'!$E$3</f>
        <v>GÜNEŞ PEN</v>
      </c>
      <c r="E402" s="658"/>
      <c r="F402" s="658"/>
      <c r="G402" s="659"/>
    </row>
    <row r="403" spans="2:9" ht="31.5" customHeight="1" thickBot="1">
      <c r="B403" s="257" t="s">
        <v>871</v>
      </c>
      <c r="C403" s="248"/>
      <c r="D403" s="644" t="str">
        <f>'1PROJE'!$F$3</f>
        <v>GÜRKAN BEY</v>
      </c>
      <c r="E403" s="645"/>
      <c r="F403" s="645"/>
      <c r="G403" s="646"/>
    </row>
    <row r="404" spans="2:9" ht="31.5" customHeight="1" thickBot="1">
      <c r="B404" s="257" t="s">
        <v>356</v>
      </c>
      <c r="C404" s="248"/>
      <c r="D404" s="647" t="e" cm="1">
        <f t="array" aca="1" ref="D404" ca="1">INDIRECT("xHesaplama!I"&amp;""&amp;ROW(D404)+70-7*ROUNDDOWN(ROW(D404)/8,0))</f>
        <v>#N/A</v>
      </c>
      <c r="E404" s="648"/>
      <c r="F404" s="648"/>
      <c r="G404" s="649"/>
    </row>
    <row r="405" spans="2:9" ht="31.5" customHeight="1" thickBot="1">
      <c r="B405" s="257" t="s">
        <v>342</v>
      </c>
      <c r="C405" s="248"/>
      <c r="D405" s="650" t="str">
        <f>$H$1</f>
        <v>KUTU</v>
      </c>
      <c r="E405" s="651"/>
      <c r="F405" s="651"/>
      <c r="G405" s="652"/>
    </row>
    <row r="406" spans="2:9" ht="31.5" customHeight="1" thickBot="1">
      <c r="B406" s="257" t="s">
        <v>114</v>
      </c>
      <c r="C406" s="248"/>
      <c r="D406" s="653" t="str">
        <f>'1PROJE'!$G$3</f>
        <v>Z 5001</v>
      </c>
      <c r="E406" s="654"/>
      <c r="F406" s="654"/>
      <c r="G406" s="655"/>
      <c r="I406" s="250"/>
    </row>
    <row r="407" spans="2:9" ht="31.5" customHeight="1" thickBot="1">
      <c r="B407" s="257" t="s">
        <v>98</v>
      </c>
      <c r="D407" s="331" cm="1">
        <f t="array" aca="1" ref="D407" ca="1">INDIRECT("xHesaplama!H"&amp;""&amp;ROW(D404)+70-7*ROUNDDOWN(ROW(D404)/8,0))</f>
        <v>0</v>
      </c>
      <c r="E407" s="332"/>
      <c r="F407" s="642" t="e">
        <f ca="1">VLOOKUP(LEFT(D407,6),$J$2:$K$21,2,0)</f>
        <v>#N/A</v>
      </c>
      <c r="G407" s="643"/>
    </row>
    <row r="408" spans="2:9" ht="31.5" customHeight="1" thickBot="1">
      <c r="B408" s="257" t="s">
        <v>832</v>
      </c>
      <c r="D408" s="252" t="s">
        <v>359</v>
      </c>
      <c r="E408" s="253" t="e" cm="1">
        <f t="array" aca="1" ref="E408" ca="1">INDIRECT("xHesaplama!J"&amp;""&amp;ROW(D404)+70-7*ROUNDDOWN(ROW(D404)/8,0))</f>
        <v>#N/A</v>
      </c>
      <c r="F408" s="254" t="s">
        <v>358</v>
      </c>
      <c r="G408" s="253" t="e" cm="1">
        <f t="array" aca="1" ref="G408" ca="1">INDIRECT("xHesaplama!K"&amp;""&amp;ROW(D404)+70-7*ROUNDDOWN(ROW(D404)/8,0))</f>
        <v>#N/A</v>
      </c>
    </row>
    <row r="409" spans="2:9" ht="69" customHeight="1" thickBot="1">
      <c r="B409" s="256" t="s">
        <v>869</v>
      </c>
      <c r="C409" s="248"/>
      <c r="D409" s="656"/>
      <c r="E409" s="656"/>
      <c r="F409" s="656"/>
      <c r="G409" s="656"/>
    </row>
    <row r="410" spans="2:9" ht="31.5" customHeight="1" thickBot="1">
      <c r="B410" s="257" t="s">
        <v>870</v>
      </c>
      <c r="C410" s="248"/>
      <c r="D410" s="657" t="str">
        <f>'1PROJE'!$E$3</f>
        <v>GÜNEŞ PEN</v>
      </c>
      <c r="E410" s="658"/>
      <c r="F410" s="658"/>
      <c r="G410" s="659"/>
    </row>
    <row r="411" spans="2:9" ht="31.5" customHeight="1" thickBot="1">
      <c r="B411" s="257" t="s">
        <v>871</v>
      </c>
      <c r="C411" s="248"/>
      <c r="D411" s="644" t="str">
        <f>'1PROJE'!$F$3</f>
        <v>GÜRKAN BEY</v>
      </c>
      <c r="E411" s="645"/>
      <c r="F411" s="645"/>
      <c r="G411" s="646"/>
    </row>
    <row r="412" spans="2:9" ht="31.5" customHeight="1" thickBot="1">
      <c r="B412" s="257" t="s">
        <v>356</v>
      </c>
      <c r="C412" s="248"/>
      <c r="D412" s="647" t="e" cm="1">
        <f t="array" aca="1" ref="D412" ca="1">INDIRECT("xHesaplama!I"&amp;""&amp;ROW(D412)+70-7*ROUNDDOWN(ROW(D412)/8,0))</f>
        <v>#N/A</v>
      </c>
      <c r="E412" s="648"/>
      <c r="F412" s="648"/>
      <c r="G412" s="649"/>
    </row>
    <row r="413" spans="2:9" ht="31.5" customHeight="1" thickBot="1">
      <c r="B413" s="257" t="s">
        <v>342</v>
      </c>
      <c r="C413" s="248"/>
      <c r="D413" s="650" t="str">
        <f>$H$1</f>
        <v>KUTU</v>
      </c>
      <c r="E413" s="651"/>
      <c r="F413" s="651"/>
      <c r="G413" s="652"/>
    </row>
    <row r="414" spans="2:9" ht="31.5" customHeight="1" thickBot="1">
      <c r="B414" s="257" t="s">
        <v>114</v>
      </c>
      <c r="C414" s="248"/>
      <c r="D414" s="653" t="str">
        <f>'1PROJE'!$G$3</f>
        <v>Z 5001</v>
      </c>
      <c r="E414" s="654"/>
      <c r="F414" s="654"/>
      <c r="G414" s="655"/>
      <c r="I414" s="250"/>
    </row>
    <row r="415" spans="2:9" ht="31.5" customHeight="1" thickBot="1">
      <c r="B415" s="257" t="s">
        <v>98</v>
      </c>
      <c r="D415" s="331" cm="1">
        <f t="array" aca="1" ref="D415" ca="1">INDIRECT("xHesaplama!H"&amp;""&amp;ROW(D412)+70-7*ROUNDDOWN(ROW(D412)/8,0))</f>
        <v>0</v>
      </c>
      <c r="E415" s="332"/>
      <c r="F415" s="642" t="e">
        <f ca="1">VLOOKUP(LEFT(D415,6),$J$2:$K$21,2,0)</f>
        <v>#N/A</v>
      </c>
      <c r="G415" s="643"/>
    </row>
    <row r="416" spans="2:9" ht="31.5" customHeight="1" thickBot="1">
      <c r="B416" s="257" t="s">
        <v>832</v>
      </c>
      <c r="D416" s="252" t="s">
        <v>359</v>
      </c>
      <c r="E416" s="253" t="e" cm="1">
        <f t="array" aca="1" ref="E416" ca="1">INDIRECT("xHesaplama!J"&amp;""&amp;ROW(D412)+70-7*ROUNDDOWN(ROW(D412)/8,0))</f>
        <v>#N/A</v>
      </c>
      <c r="F416" s="254" t="s">
        <v>358</v>
      </c>
      <c r="G416" s="253" t="e" cm="1">
        <f t="array" aca="1" ref="G416" ca="1">INDIRECT("xHesaplama!K"&amp;""&amp;ROW(D412)+70-7*ROUNDDOWN(ROW(D412)/8,0))</f>
        <v>#N/A</v>
      </c>
    </row>
    <row r="417" spans="2:9" ht="69" customHeight="1" thickBot="1">
      <c r="B417" s="256" t="s">
        <v>869</v>
      </c>
      <c r="C417" s="248"/>
      <c r="D417" s="656"/>
      <c r="E417" s="656"/>
      <c r="F417" s="656"/>
      <c r="G417" s="656"/>
    </row>
    <row r="418" spans="2:9" ht="31.5" customHeight="1" thickBot="1">
      <c r="B418" s="257" t="s">
        <v>870</v>
      </c>
      <c r="C418" s="248"/>
      <c r="D418" s="657" t="str">
        <f>'1PROJE'!$E$3</f>
        <v>GÜNEŞ PEN</v>
      </c>
      <c r="E418" s="658"/>
      <c r="F418" s="658"/>
      <c r="G418" s="659"/>
    </row>
    <row r="419" spans="2:9" ht="31.5" customHeight="1" thickBot="1">
      <c r="B419" s="257" t="s">
        <v>871</v>
      </c>
      <c r="C419" s="248"/>
      <c r="D419" s="644" t="str">
        <f>'1PROJE'!$F$3</f>
        <v>GÜRKAN BEY</v>
      </c>
      <c r="E419" s="645"/>
      <c r="F419" s="645"/>
      <c r="G419" s="646"/>
    </row>
    <row r="420" spans="2:9" ht="31.5" customHeight="1" thickBot="1">
      <c r="B420" s="257" t="s">
        <v>356</v>
      </c>
      <c r="C420" s="248"/>
      <c r="D420" s="647" t="e" cm="1">
        <f t="array" aca="1" ref="D420" ca="1">INDIRECT("xHesaplama!I"&amp;""&amp;ROW(D420)+70-7*ROUNDDOWN(ROW(D420)/8,0))</f>
        <v>#N/A</v>
      </c>
      <c r="E420" s="648"/>
      <c r="F420" s="648"/>
      <c r="G420" s="649"/>
    </row>
    <row r="421" spans="2:9" ht="31.5" customHeight="1" thickBot="1">
      <c r="B421" s="257" t="s">
        <v>342</v>
      </c>
      <c r="C421" s="248"/>
      <c r="D421" s="650" t="str">
        <f>$H$1</f>
        <v>KUTU</v>
      </c>
      <c r="E421" s="651"/>
      <c r="F421" s="651"/>
      <c r="G421" s="652"/>
    </row>
    <row r="422" spans="2:9" ht="31.5" customHeight="1" thickBot="1">
      <c r="B422" s="257" t="s">
        <v>114</v>
      </c>
      <c r="C422" s="248"/>
      <c r="D422" s="653" t="str">
        <f>'1PROJE'!$G$3</f>
        <v>Z 5001</v>
      </c>
      <c r="E422" s="654"/>
      <c r="F422" s="654"/>
      <c r="G422" s="655"/>
      <c r="I422" s="250"/>
    </row>
    <row r="423" spans="2:9" ht="31.5" customHeight="1" thickBot="1">
      <c r="B423" s="257" t="s">
        <v>98</v>
      </c>
      <c r="D423" s="331" cm="1">
        <f t="array" aca="1" ref="D423" ca="1">INDIRECT("xHesaplama!H"&amp;""&amp;ROW(D420)+70-7*ROUNDDOWN(ROW(D420)/8,0))</f>
        <v>0</v>
      </c>
      <c r="E423" s="332"/>
      <c r="F423" s="642" t="e">
        <f ca="1">VLOOKUP(LEFT(D423,6),$J$2:$K$21,2,0)</f>
        <v>#N/A</v>
      </c>
      <c r="G423" s="643"/>
    </row>
    <row r="424" spans="2:9" ht="31.5" customHeight="1" thickBot="1">
      <c r="B424" s="257" t="s">
        <v>832</v>
      </c>
      <c r="D424" s="252" t="s">
        <v>359</v>
      </c>
      <c r="E424" s="253" t="e" cm="1">
        <f t="array" aca="1" ref="E424" ca="1">INDIRECT("xHesaplama!J"&amp;""&amp;ROW(D420)+70-7*ROUNDDOWN(ROW(D420)/8,0))</f>
        <v>#N/A</v>
      </c>
      <c r="F424" s="254" t="s">
        <v>358</v>
      </c>
      <c r="G424" s="253" t="e" cm="1">
        <f t="array" aca="1" ref="G424" ca="1">INDIRECT("xHesaplama!K"&amp;""&amp;ROW(D420)+70-7*ROUNDDOWN(ROW(D420)/8,0))</f>
        <v>#N/A</v>
      </c>
    </row>
    <row r="425" spans="2:9" ht="69" customHeight="1" thickBot="1">
      <c r="B425" s="256" t="s">
        <v>869</v>
      </c>
      <c r="C425" s="248"/>
      <c r="D425" s="656"/>
      <c r="E425" s="656"/>
      <c r="F425" s="656"/>
      <c r="G425" s="656"/>
    </row>
    <row r="426" spans="2:9" ht="31.5" customHeight="1" thickBot="1">
      <c r="B426" s="257" t="s">
        <v>870</v>
      </c>
      <c r="C426" s="248"/>
      <c r="D426" s="657" t="str">
        <f>'1PROJE'!$E$3</f>
        <v>GÜNEŞ PEN</v>
      </c>
      <c r="E426" s="658"/>
      <c r="F426" s="658"/>
      <c r="G426" s="659"/>
    </row>
    <row r="427" spans="2:9" ht="31.5" customHeight="1" thickBot="1">
      <c r="B427" s="257" t="s">
        <v>871</v>
      </c>
      <c r="C427" s="248"/>
      <c r="D427" s="644" t="str">
        <f>'1PROJE'!$F$3</f>
        <v>GÜRKAN BEY</v>
      </c>
      <c r="E427" s="645"/>
      <c r="F427" s="645"/>
      <c r="G427" s="646"/>
    </row>
    <row r="428" spans="2:9" ht="31.5" customHeight="1" thickBot="1">
      <c r="B428" s="257" t="s">
        <v>356</v>
      </c>
      <c r="C428" s="248"/>
      <c r="D428" s="647" t="e" cm="1">
        <f t="array" aca="1" ref="D428" ca="1">INDIRECT("xHesaplama!I"&amp;""&amp;ROW(D428)+70-7*ROUNDDOWN(ROW(D428)/8,0))</f>
        <v>#N/A</v>
      </c>
      <c r="E428" s="648"/>
      <c r="F428" s="648"/>
      <c r="G428" s="649"/>
    </row>
    <row r="429" spans="2:9" ht="31.5" customHeight="1" thickBot="1">
      <c r="B429" s="257" t="s">
        <v>342</v>
      </c>
      <c r="C429" s="248"/>
      <c r="D429" s="650" t="str">
        <f>$H$1</f>
        <v>KUTU</v>
      </c>
      <c r="E429" s="651"/>
      <c r="F429" s="651"/>
      <c r="G429" s="652"/>
    </row>
    <row r="430" spans="2:9" ht="31.5" customHeight="1" thickBot="1">
      <c r="B430" s="257" t="s">
        <v>114</v>
      </c>
      <c r="C430" s="248"/>
      <c r="D430" s="653" t="str">
        <f>'1PROJE'!$G$3</f>
        <v>Z 5001</v>
      </c>
      <c r="E430" s="654"/>
      <c r="F430" s="654"/>
      <c r="G430" s="655"/>
      <c r="I430" s="250"/>
    </row>
    <row r="431" spans="2:9" ht="31.5" customHeight="1" thickBot="1">
      <c r="B431" s="257" t="s">
        <v>98</v>
      </c>
      <c r="D431" s="331" cm="1">
        <f t="array" aca="1" ref="D431" ca="1">INDIRECT("xHesaplama!H"&amp;""&amp;ROW(D428)+70-7*ROUNDDOWN(ROW(D428)/8,0))</f>
        <v>0</v>
      </c>
      <c r="E431" s="332"/>
      <c r="F431" s="642" t="e">
        <f ca="1">VLOOKUP(LEFT(D431,6),$J$2:$K$21,2,0)</f>
        <v>#N/A</v>
      </c>
      <c r="G431" s="643"/>
    </row>
    <row r="432" spans="2:9" ht="31.5" customHeight="1" thickBot="1">
      <c r="B432" s="257" t="s">
        <v>832</v>
      </c>
      <c r="D432" s="252" t="s">
        <v>359</v>
      </c>
      <c r="E432" s="253" t="e" cm="1">
        <f t="array" aca="1" ref="E432" ca="1">INDIRECT("xHesaplama!J"&amp;""&amp;ROW(D428)+70-7*ROUNDDOWN(ROW(D428)/8,0))</f>
        <v>#N/A</v>
      </c>
      <c r="F432" s="254" t="s">
        <v>358</v>
      </c>
      <c r="G432" s="253" t="e" cm="1">
        <f t="array" aca="1" ref="G432" ca="1">INDIRECT("xHesaplama!K"&amp;""&amp;ROW(D428)+70-7*ROUNDDOWN(ROW(D428)/8,0))</f>
        <v>#N/A</v>
      </c>
    </row>
    <row r="433" spans="2:9" ht="69" customHeight="1" thickBot="1">
      <c r="B433" s="256" t="s">
        <v>869</v>
      </c>
      <c r="C433" s="248"/>
      <c r="D433" s="656"/>
      <c r="E433" s="656"/>
      <c r="F433" s="656"/>
      <c r="G433" s="656"/>
    </row>
    <row r="434" spans="2:9" ht="31.5" customHeight="1" thickBot="1">
      <c r="B434" s="257" t="s">
        <v>870</v>
      </c>
      <c r="C434" s="248"/>
      <c r="D434" s="657" t="str">
        <f>'1PROJE'!$E$3</f>
        <v>GÜNEŞ PEN</v>
      </c>
      <c r="E434" s="658"/>
      <c r="F434" s="658"/>
      <c r="G434" s="659"/>
    </row>
    <row r="435" spans="2:9" ht="31.5" customHeight="1" thickBot="1">
      <c r="B435" s="257" t="s">
        <v>871</v>
      </c>
      <c r="C435" s="248"/>
      <c r="D435" s="644" t="str">
        <f>'1PROJE'!$F$3</f>
        <v>GÜRKAN BEY</v>
      </c>
      <c r="E435" s="645"/>
      <c r="F435" s="645"/>
      <c r="G435" s="646"/>
    </row>
    <row r="436" spans="2:9" ht="31.5" customHeight="1" thickBot="1">
      <c r="B436" s="257" t="s">
        <v>356</v>
      </c>
      <c r="C436" s="248"/>
      <c r="D436" s="647" t="e" cm="1">
        <f t="array" aca="1" ref="D436" ca="1">INDIRECT("xHesaplama!I"&amp;""&amp;ROW(D436)+70-7*ROUNDDOWN(ROW(D436)/8,0))</f>
        <v>#N/A</v>
      </c>
      <c r="E436" s="648"/>
      <c r="F436" s="648"/>
      <c r="G436" s="649"/>
    </row>
    <row r="437" spans="2:9" ht="31.5" customHeight="1" thickBot="1">
      <c r="B437" s="257" t="s">
        <v>342</v>
      </c>
      <c r="C437" s="248"/>
      <c r="D437" s="650" t="str">
        <f>$H$1</f>
        <v>KUTU</v>
      </c>
      <c r="E437" s="651"/>
      <c r="F437" s="651"/>
      <c r="G437" s="652"/>
    </row>
    <row r="438" spans="2:9" ht="31.5" customHeight="1" thickBot="1">
      <c r="B438" s="257" t="s">
        <v>114</v>
      </c>
      <c r="C438" s="248"/>
      <c r="D438" s="653" t="str">
        <f>'1PROJE'!$G$3</f>
        <v>Z 5001</v>
      </c>
      <c r="E438" s="654"/>
      <c r="F438" s="654"/>
      <c r="G438" s="655"/>
      <c r="I438" s="250"/>
    </row>
    <row r="439" spans="2:9" ht="31.5" customHeight="1" thickBot="1">
      <c r="B439" s="257" t="s">
        <v>98</v>
      </c>
      <c r="D439" s="331" cm="1">
        <f t="array" aca="1" ref="D439" ca="1">INDIRECT("xHesaplama!H"&amp;""&amp;ROW(D436)+70-7*ROUNDDOWN(ROW(D436)/8,0))</f>
        <v>0</v>
      </c>
      <c r="E439" s="332"/>
      <c r="F439" s="642" t="e">
        <f ca="1">VLOOKUP(LEFT(D439,6),$J$2:$K$21,2,0)</f>
        <v>#N/A</v>
      </c>
      <c r="G439" s="643"/>
    </row>
    <row r="440" spans="2:9" ht="31.5" customHeight="1" thickBot="1">
      <c r="B440" s="257" t="s">
        <v>832</v>
      </c>
      <c r="D440" s="252" t="s">
        <v>359</v>
      </c>
      <c r="E440" s="253" t="e" cm="1">
        <f t="array" aca="1" ref="E440" ca="1">INDIRECT("xHesaplama!J"&amp;""&amp;ROW(D436)+70-7*ROUNDDOWN(ROW(D436)/8,0))</f>
        <v>#N/A</v>
      </c>
      <c r="F440" s="254" t="s">
        <v>358</v>
      </c>
      <c r="G440" s="253" t="e" cm="1">
        <f t="array" aca="1" ref="G440" ca="1">INDIRECT("xHesaplama!K"&amp;""&amp;ROW(D436)+70-7*ROUNDDOWN(ROW(D436)/8,0))</f>
        <v>#N/A</v>
      </c>
    </row>
    <row r="441" spans="2:9" ht="69" customHeight="1" thickBot="1">
      <c r="B441" s="256" t="s">
        <v>869</v>
      </c>
      <c r="C441" s="248"/>
      <c r="D441" s="656"/>
      <c r="E441" s="656"/>
      <c r="F441" s="656"/>
      <c r="G441" s="656"/>
    </row>
    <row r="442" spans="2:9" ht="31.5" customHeight="1" thickBot="1">
      <c r="B442" s="257" t="s">
        <v>870</v>
      </c>
      <c r="C442" s="248"/>
      <c r="D442" s="657" t="str">
        <f>'1PROJE'!$E$3</f>
        <v>GÜNEŞ PEN</v>
      </c>
      <c r="E442" s="658"/>
      <c r="F442" s="658"/>
      <c r="G442" s="659"/>
    </row>
    <row r="443" spans="2:9" ht="31.5" customHeight="1" thickBot="1">
      <c r="B443" s="257" t="s">
        <v>871</v>
      </c>
      <c r="C443" s="248"/>
      <c r="D443" s="644" t="str">
        <f>'1PROJE'!$F$3</f>
        <v>GÜRKAN BEY</v>
      </c>
      <c r="E443" s="645"/>
      <c r="F443" s="645"/>
      <c r="G443" s="646"/>
    </row>
    <row r="444" spans="2:9" ht="31.5" customHeight="1" thickBot="1">
      <c r="B444" s="257" t="s">
        <v>356</v>
      </c>
      <c r="C444" s="248"/>
      <c r="D444" s="647" t="e" cm="1">
        <f t="array" aca="1" ref="D444" ca="1">INDIRECT("xHesaplama!I"&amp;""&amp;ROW(D444)+70-7*ROUNDDOWN(ROW(D444)/8,0))</f>
        <v>#N/A</v>
      </c>
      <c r="E444" s="648"/>
      <c r="F444" s="648"/>
      <c r="G444" s="649"/>
    </row>
    <row r="445" spans="2:9" ht="31.5" customHeight="1" thickBot="1">
      <c r="B445" s="257" t="s">
        <v>342</v>
      </c>
      <c r="C445" s="248"/>
      <c r="D445" s="650" t="str">
        <f>$H$1</f>
        <v>KUTU</v>
      </c>
      <c r="E445" s="651"/>
      <c r="F445" s="651"/>
      <c r="G445" s="652"/>
    </row>
    <row r="446" spans="2:9" ht="31.5" customHeight="1" thickBot="1">
      <c r="B446" s="257" t="s">
        <v>114</v>
      </c>
      <c r="C446" s="248"/>
      <c r="D446" s="653" t="str">
        <f>'1PROJE'!$G$3</f>
        <v>Z 5001</v>
      </c>
      <c r="E446" s="654"/>
      <c r="F446" s="654"/>
      <c r="G446" s="655"/>
      <c r="I446" s="250"/>
    </row>
    <row r="447" spans="2:9" ht="31.5" customHeight="1" thickBot="1">
      <c r="B447" s="257" t="s">
        <v>98</v>
      </c>
      <c r="D447" s="331" cm="1">
        <f t="array" aca="1" ref="D447" ca="1">INDIRECT("xHesaplama!H"&amp;""&amp;ROW(D444)+70-7*ROUNDDOWN(ROW(D444)/8,0))</f>
        <v>0</v>
      </c>
      <c r="E447" s="332"/>
      <c r="F447" s="642" t="e">
        <f ca="1">VLOOKUP(LEFT(D447,6),$J$2:$K$21,2,0)</f>
        <v>#N/A</v>
      </c>
      <c r="G447" s="643"/>
    </row>
    <row r="448" spans="2:9" ht="31.5" customHeight="1" thickBot="1">
      <c r="B448" s="257" t="s">
        <v>832</v>
      </c>
      <c r="D448" s="252" t="s">
        <v>359</v>
      </c>
      <c r="E448" s="253" t="e" cm="1">
        <f t="array" aca="1" ref="E448" ca="1">INDIRECT("xHesaplama!J"&amp;""&amp;ROW(D444)+70-7*ROUNDDOWN(ROW(D444)/8,0))</f>
        <v>#N/A</v>
      </c>
      <c r="F448" s="254" t="s">
        <v>358</v>
      </c>
      <c r="G448" s="253" t="e" cm="1">
        <f t="array" aca="1" ref="G448" ca="1">INDIRECT("xHesaplama!K"&amp;""&amp;ROW(D444)+70-7*ROUNDDOWN(ROW(D444)/8,0))</f>
        <v>#N/A</v>
      </c>
    </row>
    <row r="449" spans="2:9" ht="69" customHeight="1" thickBot="1">
      <c r="B449" s="256" t="s">
        <v>869</v>
      </c>
      <c r="C449" s="248"/>
      <c r="D449" s="656"/>
      <c r="E449" s="656"/>
      <c r="F449" s="656"/>
      <c r="G449" s="656"/>
    </row>
    <row r="450" spans="2:9" ht="31.5" customHeight="1" thickBot="1">
      <c r="B450" s="257" t="s">
        <v>870</v>
      </c>
      <c r="C450" s="248"/>
      <c r="D450" s="657" t="str">
        <f>'1PROJE'!$E$3</f>
        <v>GÜNEŞ PEN</v>
      </c>
      <c r="E450" s="658"/>
      <c r="F450" s="658"/>
      <c r="G450" s="659"/>
    </row>
    <row r="451" spans="2:9" ht="31.5" customHeight="1" thickBot="1">
      <c r="B451" s="257" t="s">
        <v>871</v>
      </c>
      <c r="C451" s="248"/>
      <c r="D451" s="644" t="str">
        <f>'1PROJE'!$F$3</f>
        <v>GÜRKAN BEY</v>
      </c>
      <c r="E451" s="645"/>
      <c r="F451" s="645"/>
      <c r="G451" s="646"/>
    </row>
    <row r="452" spans="2:9" ht="31.5" customHeight="1" thickBot="1">
      <c r="B452" s="257" t="s">
        <v>356</v>
      </c>
      <c r="C452" s="248"/>
      <c r="D452" s="647" t="e" cm="1">
        <f t="array" aca="1" ref="D452" ca="1">INDIRECT("xHesaplama!I"&amp;""&amp;ROW(D452)+70-7*ROUNDDOWN(ROW(D452)/8,0))</f>
        <v>#N/A</v>
      </c>
      <c r="E452" s="648"/>
      <c r="F452" s="648"/>
      <c r="G452" s="649"/>
    </row>
    <row r="453" spans="2:9" ht="31.5" customHeight="1" thickBot="1">
      <c r="B453" s="257" t="s">
        <v>342</v>
      </c>
      <c r="C453" s="248"/>
      <c r="D453" s="650" t="str">
        <f>$H$1</f>
        <v>KUTU</v>
      </c>
      <c r="E453" s="651"/>
      <c r="F453" s="651"/>
      <c r="G453" s="652"/>
    </row>
    <row r="454" spans="2:9" ht="31.5" customHeight="1" thickBot="1">
      <c r="B454" s="257" t="s">
        <v>114</v>
      </c>
      <c r="C454" s="248"/>
      <c r="D454" s="653" t="str">
        <f>'1PROJE'!$G$3</f>
        <v>Z 5001</v>
      </c>
      <c r="E454" s="654"/>
      <c r="F454" s="654"/>
      <c r="G454" s="655"/>
      <c r="I454" s="250"/>
    </row>
    <row r="455" spans="2:9" ht="31.5" customHeight="1" thickBot="1">
      <c r="B455" s="257" t="s">
        <v>98</v>
      </c>
      <c r="D455" s="331" cm="1">
        <f t="array" aca="1" ref="D455" ca="1">INDIRECT("xHesaplama!H"&amp;""&amp;ROW(D452)+70-7*ROUNDDOWN(ROW(D452)/8,0))</f>
        <v>0</v>
      </c>
      <c r="E455" s="332"/>
      <c r="F455" s="642" t="e">
        <f ca="1">VLOOKUP(LEFT(D455,6),$J$2:$K$21,2,0)</f>
        <v>#N/A</v>
      </c>
      <c r="G455" s="643"/>
    </row>
    <row r="456" spans="2:9" ht="31.5" customHeight="1" thickBot="1">
      <c r="B456" s="257" t="s">
        <v>832</v>
      </c>
      <c r="D456" s="252" t="s">
        <v>359</v>
      </c>
      <c r="E456" s="253" t="e" cm="1">
        <f t="array" aca="1" ref="E456" ca="1">INDIRECT("xHesaplama!J"&amp;""&amp;ROW(D452)+70-7*ROUNDDOWN(ROW(D452)/8,0))</f>
        <v>#N/A</v>
      </c>
      <c r="F456" s="254" t="s">
        <v>358</v>
      </c>
      <c r="G456" s="253" t="e" cm="1">
        <f t="array" aca="1" ref="G456" ca="1">INDIRECT("xHesaplama!K"&amp;""&amp;ROW(D452)+70-7*ROUNDDOWN(ROW(D452)/8,0))</f>
        <v>#N/A</v>
      </c>
    </row>
    <row r="457" spans="2:9" ht="69" customHeight="1" thickBot="1">
      <c r="B457" s="256" t="s">
        <v>869</v>
      </c>
      <c r="C457" s="248"/>
      <c r="D457" s="656"/>
      <c r="E457" s="656"/>
      <c r="F457" s="656"/>
      <c r="G457" s="656"/>
    </row>
    <row r="458" spans="2:9" ht="31.5" customHeight="1" thickBot="1">
      <c r="B458" s="257" t="s">
        <v>870</v>
      </c>
      <c r="C458" s="248"/>
      <c r="D458" s="657" t="str">
        <f>'1PROJE'!$E$3</f>
        <v>GÜNEŞ PEN</v>
      </c>
      <c r="E458" s="658"/>
      <c r="F458" s="658"/>
      <c r="G458" s="659"/>
    </row>
    <row r="459" spans="2:9" ht="31.5" customHeight="1" thickBot="1">
      <c r="B459" s="257" t="s">
        <v>871</v>
      </c>
      <c r="C459" s="248"/>
      <c r="D459" s="644" t="str">
        <f>'1PROJE'!$F$3</f>
        <v>GÜRKAN BEY</v>
      </c>
      <c r="E459" s="645"/>
      <c r="F459" s="645"/>
      <c r="G459" s="646"/>
    </row>
    <row r="460" spans="2:9" ht="31.5" customHeight="1" thickBot="1">
      <c r="B460" s="257" t="s">
        <v>356</v>
      </c>
      <c r="C460" s="248"/>
      <c r="D460" s="647" t="e" cm="1">
        <f t="array" aca="1" ref="D460" ca="1">INDIRECT("xHesaplama!I"&amp;""&amp;ROW(D460)+70-7*ROUNDDOWN(ROW(D460)/8,0))</f>
        <v>#N/A</v>
      </c>
      <c r="E460" s="648"/>
      <c r="F460" s="648"/>
      <c r="G460" s="649"/>
    </row>
    <row r="461" spans="2:9" ht="31.5" customHeight="1" thickBot="1">
      <c r="B461" s="257" t="s">
        <v>342</v>
      </c>
      <c r="C461" s="248"/>
      <c r="D461" s="650" t="str">
        <f>$H$1</f>
        <v>KUTU</v>
      </c>
      <c r="E461" s="651"/>
      <c r="F461" s="651"/>
      <c r="G461" s="652"/>
    </row>
    <row r="462" spans="2:9" ht="31.5" customHeight="1" thickBot="1">
      <c r="B462" s="257" t="s">
        <v>114</v>
      </c>
      <c r="C462" s="248"/>
      <c r="D462" s="653" t="str">
        <f>'1PROJE'!$G$3</f>
        <v>Z 5001</v>
      </c>
      <c r="E462" s="654"/>
      <c r="F462" s="654"/>
      <c r="G462" s="655"/>
      <c r="I462" s="250"/>
    </row>
    <row r="463" spans="2:9" ht="31.5" customHeight="1" thickBot="1">
      <c r="B463" s="257" t="s">
        <v>98</v>
      </c>
      <c r="D463" s="331" cm="1">
        <f t="array" aca="1" ref="D463" ca="1">INDIRECT("xHesaplama!H"&amp;""&amp;ROW(D460)+70-7*ROUNDDOWN(ROW(D460)/8,0))</f>
        <v>0</v>
      </c>
      <c r="E463" s="332"/>
      <c r="F463" s="642" t="e">
        <f ca="1">VLOOKUP(LEFT(D463,6),$J$2:$K$21,2,0)</f>
        <v>#N/A</v>
      </c>
      <c r="G463" s="643"/>
    </row>
    <row r="464" spans="2:9" ht="31.5" customHeight="1" thickBot="1">
      <c r="B464" s="257" t="s">
        <v>832</v>
      </c>
      <c r="D464" s="252" t="s">
        <v>359</v>
      </c>
      <c r="E464" s="253" t="e" cm="1">
        <f t="array" aca="1" ref="E464" ca="1">INDIRECT("xHesaplama!J"&amp;""&amp;ROW(D460)+70-7*ROUNDDOWN(ROW(D460)/8,0))</f>
        <v>#N/A</v>
      </c>
      <c r="F464" s="254" t="s">
        <v>358</v>
      </c>
      <c r="G464" s="253" t="e" cm="1">
        <f t="array" aca="1" ref="G464" ca="1">INDIRECT("xHesaplama!K"&amp;""&amp;ROW(D460)+70-7*ROUNDDOWN(ROW(D460)/8,0))</f>
        <v>#N/A</v>
      </c>
    </row>
    <row r="465" spans="2:9" ht="69" customHeight="1" thickBot="1">
      <c r="B465" s="256" t="s">
        <v>869</v>
      </c>
      <c r="C465" s="248"/>
      <c r="D465" s="656"/>
      <c r="E465" s="656"/>
      <c r="F465" s="656"/>
      <c r="G465" s="656"/>
    </row>
    <row r="466" spans="2:9" ht="31.5" customHeight="1" thickBot="1">
      <c r="B466" s="257" t="s">
        <v>870</v>
      </c>
      <c r="C466" s="248"/>
      <c r="D466" s="657" t="str">
        <f>'1PROJE'!$E$3</f>
        <v>GÜNEŞ PEN</v>
      </c>
      <c r="E466" s="658"/>
      <c r="F466" s="658"/>
      <c r="G466" s="659"/>
    </row>
    <row r="467" spans="2:9" ht="31.5" customHeight="1" thickBot="1">
      <c r="B467" s="257" t="s">
        <v>871</v>
      </c>
      <c r="C467" s="248"/>
      <c r="D467" s="644" t="str">
        <f>'1PROJE'!$F$3</f>
        <v>GÜRKAN BEY</v>
      </c>
      <c r="E467" s="645"/>
      <c r="F467" s="645"/>
      <c r="G467" s="646"/>
    </row>
    <row r="468" spans="2:9" ht="31.5" customHeight="1" thickBot="1">
      <c r="B468" s="257" t="s">
        <v>356</v>
      </c>
      <c r="C468" s="248"/>
      <c r="D468" s="647" t="e" cm="1">
        <f t="array" aca="1" ref="D468" ca="1">INDIRECT("xHesaplama!I"&amp;""&amp;ROW(D468)+70-7*ROUNDDOWN(ROW(D468)/8,0))</f>
        <v>#N/A</v>
      </c>
      <c r="E468" s="648"/>
      <c r="F468" s="648"/>
      <c r="G468" s="649"/>
    </row>
    <row r="469" spans="2:9" ht="31.5" customHeight="1" thickBot="1">
      <c r="B469" s="257" t="s">
        <v>342</v>
      </c>
      <c r="C469" s="248"/>
      <c r="D469" s="650" t="str">
        <f>$H$1</f>
        <v>KUTU</v>
      </c>
      <c r="E469" s="651"/>
      <c r="F469" s="651"/>
      <c r="G469" s="652"/>
    </row>
    <row r="470" spans="2:9" ht="31.5" customHeight="1" thickBot="1">
      <c r="B470" s="257" t="s">
        <v>114</v>
      </c>
      <c r="C470" s="248"/>
      <c r="D470" s="653" t="str">
        <f>'1PROJE'!$G$3</f>
        <v>Z 5001</v>
      </c>
      <c r="E470" s="654"/>
      <c r="F470" s="654"/>
      <c r="G470" s="655"/>
      <c r="I470" s="250"/>
    </row>
    <row r="471" spans="2:9" ht="31.5" customHeight="1" thickBot="1">
      <c r="B471" s="257" t="s">
        <v>98</v>
      </c>
      <c r="D471" s="331" cm="1">
        <f t="array" aca="1" ref="D471" ca="1">INDIRECT("xHesaplama!H"&amp;""&amp;ROW(D468)+70-7*ROUNDDOWN(ROW(D468)/8,0))</f>
        <v>0</v>
      </c>
      <c r="E471" s="332"/>
      <c r="F471" s="642" t="e">
        <f ca="1">VLOOKUP(LEFT(D471,6),$J$2:$K$21,2,0)</f>
        <v>#N/A</v>
      </c>
      <c r="G471" s="643"/>
    </row>
    <row r="472" spans="2:9" ht="31.5" customHeight="1" thickBot="1">
      <c r="B472" s="257" t="s">
        <v>832</v>
      </c>
      <c r="D472" s="252" t="s">
        <v>359</v>
      </c>
      <c r="E472" s="253" t="e" cm="1">
        <f t="array" aca="1" ref="E472" ca="1">INDIRECT("xHesaplama!J"&amp;""&amp;ROW(D468)+70-7*ROUNDDOWN(ROW(D468)/8,0))</f>
        <v>#N/A</v>
      </c>
      <c r="F472" s="254" t="s">
        <v>358</v>
      </c>
      <c r="G472" s="253" t="e" cm="1">
        <f t="array" aca="1" ref="G472" ca="1">INDIRECT("xHesaplama!K"&amp;""&amp;ROW(D468)+70-7*ROUNDDOWN(ROW(D468)/8,0))</f>
        <v>#N/A</v>
      </c>
    </row>
    <row r="473" spans="2:9" ht="69" customHeight="1" thickBot="1">
      <c r="B473" s="256" t="s">
        <v>869</v>
      </c>
      <c r="C473" s="248"/>
      <c r="D473" s="656"/>
      <c r="E473" s="656"/>
      <c r="F473" s="656"/>
      <c r="G473" s="656"/>
    </row>
    <row r="474" spans="2:9" ht="31.5" customHeight="1" thickBot="1">
      <c r="B474" s="257" t="s">
        <v>870</v>
      </c>
      <c r="C474" s="248"/>
      <c r="D474" s="657" t="str">
        <f>'1PROJE'!$E$3</f>
        <v>GÜNEŞ PEN</v>
      </c>
      <c r="E474" s="658"/>
      <c r="F474" s="658"/>
      <c r="G474" s="659"/>
    </row>
    <row r="475" spans="2:9" ht="31.5" customHeight="1" thickBot="1">
      <c r="B475" s="257" t="s">
        <v>871</v>
      </c>
      <c r="C475" s="248"/>
      <c r="D475" s="644" t="str">
        <f>'1PROJE'!$F$3</f>
        <v>GÜRKAN BEY</v>
      </c>
      <c r="E475" s="645"/>
      <c r="F475" s="645"/>
      <c r="G475" s="646"/>
    </row>
    <row r="476" spans="2:9" ht="31.5" customHeight="1" thickBot="1">
      <c r="B476" s="257" t="s">
        <v>356</v>
      </c>
      <c r="C476" s="248"/>
      <c r="D476" s="647" t="e" cm="1">
        <f t="array" aca="1" ref="D476" ca="1">INDIRECT("xHesaplama!I"&amp;""&amp;ROW(D476)+70-7*ROUNDDOWN(ROW(D476)/8,0))</f>
        <v>#N/A</v>
      </c>
      <c r="E476" s="648"/>
      <c r="F476" s="648"/>
      <c r="G476" s="649"/>
    </row>
    <row r="477" spans="2:9" ht="31.5" customHeight="1" thickBot="1">
      <c r="B477" s="257" t="s">
        <v>342</v>
      </c>
      <c r="C477" s="248"/>
      <c r="D477" s="650" t="str">
        <f>$H$1</f>
        <v>KUTU</v>
      </c>
      <c r="E477" s="651"/>
      <c r="F477" s="651"/>
      <c r="G477" s="652"/>
    </row>
    <row r="478" spans="2:9" ht="31.5" customHeight="1" thickBot="1">
      <c r="B478" s="257" t="s">
        <v>114</v>
      </c>
      <c r="C478" s="248"/>
      <c r="D478" s="653" t="str">
        <f>'1PROJE'!$G$3</f>
        <v>Z 5001</v>
      </c>
      <c r="E478" s="654"/>
      <c r="F478" s="654"/>
      <c r="G478" s="655"/>
      <c r="I478" s="250"/>
    </row>
    <row r="479" spans="2:9" ht="31.5" customHeight="1" thickBot="1">
      <c r="B479" s="257" t="s">
        <v>98</v>
      </c>
      <c r="D479" s="331" cm="1">
        <f t="array" aca="1" ref="D479" ca="1">INDIRECT("xHesaplama!H"&amp;""&amp;ROW(D476)+70-7*ROUNDDOWN(ROW(D476)/8,0))</f>
        <v>0</v>
      </c>
      <c r="E479" s="332"/>
      <c r="F479" s="642" t="e">
        <f ca="1">VLOOKUP(LEFT(D479,6),$J$2:$K$21,2,0)</f>
        <v>#N/A</v>
      </c>
      <c r="G479" s="643"/>
    </row>
    <row r="480" spans="2:9" ht="31.5" customHeight="1" thickBot="1">
      <c r="B480" s="257" t="s">
        <v>832</v>
      </c>
      <c r="D480" s="252" t="s">
        <v>359</v>
      </c>
      <c r="E480" s="253" t="e" cm="1">
        <f t="array" aca="1" ref="E480" ca="1">INDIRECT("xHesaplama!J"&amp;""&amp;ROW(D476)+70-7*ROUNDDOWN(ROW(D476)/8,0))</f>
        <v>#N/A</v>
      </c>
      <c r="F480" s="254" t="s">
        <v>358</v>
      </c>
      <c r="G480" s="253" t="e" cm="1">
        <f t="array" aca="1" ref="G480" ca="1">INDIRECT("xHesaplama!K"&amp;""&amp;ROW(D476)+70-7*ROUNDDOWN(ROW(D476)/8,0))</f>
        <v>#N/A</v>
      </c>
    </row>
    <row r="481" spans="2:9" ht="69" customHeight="1" thickBot="1">
      <c r="B481" s="256" t="s">
        <v>869</v>
      </c>
      <c r="C481" s="248"/>
      <c r="D481" s="656"/>
      <c r="E481" s="656"/>
      <c r="F481" s="656"/>
      <c r="G481" s="656"/>
    </row>
    <row r="482" spans="2:9" ht="31.5" customHeight="1" thickBot="1">
      <c r="B482" s="257" t="s">
        <v>870</v>
      </c>
      <c r="C482" s="248"/>
      <c r="D482" s="657" t="str">
        <f>'1PROJE'!$E$3</f>
        <v>GÜNEŞ PEN</v>
      </c>
      <c r="E482" s="658"/>
      <c r="F482" s="658"/>
      <c r="G482" s="659"/>
    </row>
    <row r="483" spans="2:9" ht="31.5" customHeight="1" thickBot="1">
      <c r="B483" s="257" t="s">
        <v>871</v>
      </c>
      <c r="C483" s="248"/>
      <c r="D483" s="644" t="str">
        <f>'1PROJE'!$F$3</f>
        <v>GÜRKAN BEY</v>
      </c>
      <c r="E483" s="645"/>
      <c r="F483" s="645"/>
      <c r="G483" s="646"/>
    </row>
    <row r="484" spans="2:9" ht="31.5" customHeight="1" thickBot="1">
      <c r="B484" s="257" t="s">
        <v>356</v>
      </c>
      <c r="C484" s="248"/>
      <c r="D484" s="647" t="e" cm="1">
        <f t="array" aca="1" ref="D484" ca="1">INDIRECT("xHesaplama!I"&amp;""&amp;ROW(D484)+70-7*ROUNDDOWN(ROW(D484)/8,0))</f>
        <v>#N/A</v>
      </c>
      <c r="E484" s="648"/>
      <c r="F484" s="648"/>
      <c r="G484" s="649"/>
    </row>
    <row r="485" spans="2:9" ht="31.5" customHeight="1" thickBot="1">
      <c r="B485" s="257" t="s">
        <v>342</v>
      </c>
      <c r="C485" s="248"/>
      <c r="D485" s="650" t="str">
        <f>$H$1</f>
        <v>KUTU</v>
      </c>
      <c r="E485" s="651"/>
      <c r="F485" s="651"/>
      <c r="G485" s="652"/>
    </row>
    <row r="486" spans="2:9" ht="31.5" customHeight="1" thickBot="1">
      <c r="B486" s="257" t="s">
        <v>114</v>
      </c>
      <c r="C486" s="248"/>
      <c r="D486" s="653" t="str">
        <f>'1PROJE'!$G$3</f>
        <v>Z 5001</v>
      </c>
      <c r="E486" s="654"/>
      <c r="F486" s="654"/>
      <c r="G486" s="655"/>
      <c r="I486" s="250"/>
    </row>
    <row r="487" spans="2:9" ht="31.5" customHeight="1" thickBot="1">
      <c r="B487" s="257" t="s">
        <v>98</v>
      </c>
      <c r="D487" s="331" cm="1">
        <f t="array" aca="1" ref="D487" ca="1">INDIRECT("xHesaplama!H"&amp;""&amp;ROW(D484)+70-7*ROUNDDOWN(ROW(D484)/8,0))</f>
        <v>0</v>
      </c>
      <c r="E487" s="332"/>
      <c r="F487" s="642" t="e">
        <f ca="1">VLOOKUP(LEFT(D487,6),$J$2:$K$21,2,0)</f>
        <v>#N/A</v>
      </c>
      <c r="G487" s="643"/>
    </row>
    <row r="488" spans="2:9" ht="31.5" customHeight="1" thickBot="1">
      <c r="B488" s="257" t="s">
        <v>832</v>
      </c>
      <c r="D488" s="252" t="s">
        <v>359</v>
      </c>
      <c r="E488" s="253" t="e" cm="1">
        <f t="array" aca="1" ref="E488" ca="1">INDIRECT("xHesaplama!J"&amp;""&amp;ROW(D484)+70-7*ROUNDDOWN(ROW(D484)/8,0))</f>
        <v>#N/A</v>
      </c>
      <c r="F488" s="254" t="s">
        <v>358</v>
      </c>
      <c r="G488" s="253" t="e" cm="1">
        <f t="array" aca="1" ref="G488" ca="1">INDIRECT("xHesaplama!K"&amp;""&amp;ROW(D484)+70-7*ROUNDDOWN(ROW(D484)/8,0))</f>
        <v>#N/A</v>
      </c>
    </row>
    <row r="489" spans="2:9" ht="69" customHeight="1" thickBot="1">
      <c r="B489" s="256" t="s">
        <v>869</v>
      </c>
      <c r="C489" s="248"/>
      <c r="D489" s="656"/>
      <c r="E489" s="656"/>
      <c r="F489" s="656"/>
      <c r="G489" s="656"/>
    </row>
    <row r="490" spans="2:9" ht="31.5" customHeight="1" thickBot="1">
      <c r="B490" s="257" t="s">
        <v>870</v>
      </c>
      <c r="C490" s="248"/>
      <c r="D490" s="657" t="str">
        <f>'1PROJE'!$E$3</f>
        <v>GÜNEŞ PEN</v>
      </c>
      <c r="E490" s="658"/>
      <c r="F490" s="658"/>
      <c r="G490" s="659"/>
    </row>
    <row r="491" spans="2:9" ht="31.5" customHeight="1" thickBot="1">
      <c r="B491" s="257" t="s">
        <v>871</v>
      </c>
      <c r="C491" s="248"/>
      <c r="D491" s="644" t="str">
        <f>'1PROJE'!$F$3</f>
        <v>GÜRKAN BEY</v>
      </c>
      <c r="E491" s="645"/>
      <c r="F491" s="645"/>
      <c r="G491" s="646"/>
    </row>
    <row r="492" spans="2:9" ht="31.5" customHeight="1" thickBot="1">
      <c r="B492" s="257" t="s">
        <v>356</v>
      </c>
      <c r="C492" s="248"/>
      <c r="D492" s="647" t="e" cm="1">
        <f t="array" aca="1" ref="D492" ca="1">INDIRECT("xHesaplama!I"&amp;""&amp;ROW(D492)+70-7*ROUNDDOWN(ROW(D492)/8,0))</f>
        <v>#N/A</v>
      </c>
      <c r="E492" s="648"/>
      <c r="F492" s="648"/>
      <c r="G492" s="649"/>
    </row>
    <row r="493" spans="2:9" ht="31.5" customHeight="1" thickBot="1">
      <c r="B493" s="257" t="s">
        <v>342</v>
      </c>
      <c r="C493" s="248"/>
      <c r="D493" s="650" t="str">
        <f>$H$1</f>
        <v>KUTU</v>
      </c>
      <c r="E493" s="651"/>
      <c r="F493" s="651"/>
      <c r="G493" s="652"/>
    </row>
    <row r="494" spans="2:9" ht="31.5" customHeight="1" thickBot="1">
      <c r="B494" s="257" t="s">
        <v>114</v>
      </c>
      <c r="C494" s="248"/>
      <c r="D494" s="653" t="str">
        <f>'1PROJE'!$G$3</f>
        <v>Z 5001</v>
      </c>
      <c r="E494" s="654"/>
      <c r="F494" s="654"/>
      <c r="G494" s="655"/>
      <c r="I494" s="250"/>
    </row>
    <row r="495" spans="2:9" ht="31.5" customHeight="1" thickBot="1">
      <c r="B495" s="257" t="s">
        <v>98</v>
      </c>
      <c r="D495" s="331" cm="1">
        <f t="array" aca="1" ref="D495" ca="1">INDIRECT("xHesaplama!H"&amp;""&amp;ROW(D492)+70-7*ROUNDDOWN(ROW(D492)/8,0))</f>
        <v>0</v>
      </c>
      <c r="E495" s="332"/>
      <c r="F495" s="642" t="e">
        <f ca="1">VLOOKUP(LEFT(D495,6),$J$2:$K$21,2,0)</f>
        <v>#N/A</v>
      </c>
      <c r="G495" s="643"/>
    </row>
    <row r="496" spans="2:9" ht="31.5" customHeight="1" thickBot="1">
      <c r="B496" s="257" t="s">
        <v>832</v>
      </c>
      <c r="D496" s="252" t="s">
        <v>359</v>
      </c>
      <c r="E496" s="253" t="e" cm="1">
        <f t="array" aca="1" ref="E496" ca="1">INDIRECT("xHesaplama!J"&amp;""&amp;ROW(D492)+70-7*ROUNDDOWN(ROW(D492)/8,0))</f>
        <v>#N/A</v>
      </c>
      <c r="F496" s="254" t="s">
        <v>358</v>
      </c>
      <c r="G496" s="253" t="e" cm="1">
        <f t="array" aca="1" ref="G496" ca="1">INDIRECT("xHesaplama!K"&amp;""&amp;ROW(D492)+70-7*ROUNDDOWN(ROW(D492)/8,0))</f>
        <v>#N/A</v>
      </c>
    </row>
    <row r="497" spans="2:9" ht="69" customHeight="1" thickBot="1">
      <c r="B497" s="256" t="s">
        <v>869</v>
      </c>
      <c r="C497" s="248"/>
      <c r="D497" s="656"/>
      <c r="E497" s="656"/>
      <c r="F497" s="656"/>
      <c r="G497" s="656"/>
    </row>
    <row r="498" spans="2:9" ht="31.5" customHeight="1" thickBot="1">
      <c r="B498" s="257" t="s">
        <v>870</v>
      </c>
      <c r="C498" s="248"/>
      <c r="D498" s="657" t="str">
        <f>'1PROJE'!$E$3</f>
        <v>GÜNEŞ PEN</v>
      </c>
      <c r="E498" s="658"/>
      <c r="F498" s="658"/>
      <c r="G498" s="659"/>
    </row>
    <row r="499" spans="2:9" ht="31.5" customHeight="1" thickBot="1">
      <c r="B499" s="257" t="s">
        <v>871</v>
      </c>
      <c r="C499" s="248"/>
      <c r="D499" s="644" t="str">
        <f>'1PROJE'!$F$3</f>
        <v>GÜRKAN BEY</v>
      </c>
      <c r="E499" s="645"/>
      <c r="F499" s="645"/>
      <c r="G499" s="646"/>
    </row>
    <row r="500" spans="2:9" ht="31.5" customHeight="1" thickBot="1">
      <c r="B500" s="257" t="s">
        <v>356</v>
      </c>
      <c r="C500" s="248"/>
      <c r="D500" s="647" t="e" cm="1">
        <f t="array" aca="1" ref="D500" ca="1">INDIRECT("xHesaplama!I"&amp;""&amp;ROW(D500)+70-7*ROUNDDOWN(ROW(D500)/8,0))</f>
        <v>#N/A</v>
      </c>
      <c r="E500" s="648"/>
      <c r="F500" s="648"/>
      <c r="G500" s="649"/>
    </row>
    <row r="501" spans="2:9" ht="31.5" customHeight="1" thickBot="1">
      <c r="B501" s="257" t="s">
        <v>342</v>
      </c>
      <c r="C501" s="248"/>
      <c r="D501" s="650" t="str">
        <f>$H$1</f>
        <v>KUTU</v>
      </c>
      <c r="E501" s="651"/>
      <c r="F501" s="651"/>
      <c r="G501" s="652"/>
    </row>
    <row r="502" spans="2:9" ht="31.5" customHeight="1" thickBot="1">
      <c r="B502" s="257" t="s">
        <v>114</v>
      </c>
      <c r="C502" s="248"/>
      <c r="D502" s="653" t="str">
        <f>'1PROJE'!$G$3</f>
        <v>Z 5001</v>
      </c>
      <c r="E502" s="654"/>
      <c r="F502" s="654"/>
      <c r="G502" s="655"/>
      <c r="I502" s="250"/>
    </row>
    <row r="503" spans="2:9" ht="31.5" customHeight="1" thickBot="1">
      <c r="B503" s="257" t="s">
        <v>98</v>
      </c>
      <c r="D503" s="331" cm="1">
        <f t="array" aca="1" ref="D503" ca="1">INDIRECT("xHesaplama!H"&amp;""&amp;ROW(D500)+70-7*ROUNDDOWN(ROW(D500)/8,0))</f>
        <v>0</v>
      </c>
      <c r="E503" s="332"/>
      <c r="F503" s="642" t="e">
        <f ca="1">VLOOKUP(LEFT(D503,6),$J$2:$K$21,2,0)</f>
        <v>#N/A</v>
      </c>
      <c r="G503" s="643"/>
    </row>
    <row r="504" spans="2:9" ht="31.5" customHeight="1" thickBot="1">
      <c r="B504" s="257" t="s">
        <v>832</v>
      </c>
      <c r="D504" s="252" t="s">
        <v>359</v>
      </c>
      <c r="E504" s="253" t="e" cm="1">
        <f t="array" aca="1" ref="E504" ca="1">INDIRECT("xHesaplama!J"&amp;""&amp;ROW(D500)+70-7*ROUNDDOWN(ROW(D500)/8,0))</f>
        <v>#N/A</v>
      </c>
      <c r="F504" s="254" t="s">
        <v>358</v>
      </c>
      <c r="G504" s="253" t="e" cm="1">
        <f t="array" aca="1" ref="G504" ca="1">INDIRECT("xHesaplama!K"&amp;""&amp;ROW(D500)+70-7*ROUNDDOWN(ROW(D500)/8,0))</f>
        <v>#N/A</v>
      </c>
    </row>
    <row r="505" spans="2:9" ht="69" customHeight="1" thickBot="1">
      <c r="B505" s="256" t="s">
        <v>869</v>
      </c>
      <c r="C505" s="248"/>
      <c r="D505" s="656"/>
      <c r="E505" s="656"/>
      <c r="F505" s="656"/>
      <c r="G505" s="656"/>
    </row>
    <row r="506" spans="2:9" ht="31.5" customHeight="1" thickBot="1">
      <c r="B506" s="257" t="s">
        <v>870</v>
      </c>
      <c r="C506" s="248"/>
      <c r="D506" s="657" t="str">
        <f>'1PROJE'!$E$3</f>
        <v>GÜNEŞ PEN</v>
      </c>
      <c r="E506" s="658"/>
      <c r="F506" s="658"/>
      <c r="G506" s="659"/>
    </row>
    <row r="507" spans="2:9" ht="31.5" customHeight="1" thickBot="1">
      <c r="B507" s="257" t="s">
        <v>871</v>
      </c>
      <c r="C507" s="248"/>
      <c r="D507" s="644" t="str">
        <f>'1PROJE'!$F$3</f>
        <v>GÜRKAN BEY</v>
      </c>
      <c r="E507" s="645"/>
      <c r="F507" s="645"/>
      <c r="G507" s="646"/>
    </row>
    <row r="508" spans="2:9" ht="31.5" customHeight="1" thickBot="1">
      <c r="B508" s="257" t="s">
        <v>356</v>
      </c>
      <c r="C508" s="248"/>
      <c r="D508" s="647" t="e" cm="1">
        <f t="array" aca="1" ref="D508" ca="1">INDIRECT("xHesaplama!I"&amp;""&amp;ROW(D508)+70-7*ROUNDDOWN(ROW(D508)/8,0))</f>
        <v>#N/A</v>
      </c>
      <c r="E508" s="648"/>
      <c r="F508" s="648"/>
      <c r="G508" s="649"/>
    </row>
    <row r="509" spans="2:9" ht="31.5" customHeight="1" thickBot="1">
      <c r="B509" s="257" t="s">
        <v>342</v>
      </c>
      <c r="C509" s="248"/>
      <c r="D509" s="650" t="str">
        <f>$H$1</f>
        <v>KUTU</v>
      </c>
      <c r="E509" s="651"/>
      <c r="F509" s="651"/>
      <c r="G509" s="652"/>
    </row>
    <row r="510" spans="2:9" ht="31.5" customHeight="1" thickBot="1">
      <c r="B510" s="257" t="s">
        <v>114</v>
      </c>
      <c r="C510" s="248"/>
      <c r="D510" s="653" t="str">
        <f>'1PROJE'!$G$3</f>
        <v>Z 5001</v>
      </c>
      <c r="E510" s="654"/>
      <c r="F510" s="654"/>
      <c r="G510" s="655"/>
      <c r="I510" s="250"/>
    </row>
    <row r="511" spans="2:9" ht="31.5" customHeight="1" thickBot="1">
      <c r="B511" s="257" t="s">
        <v>98</v>
      </c>
      <c r="D511" s="331" cm="1">
        <f t="array" aca="1" ref="D511" ca="1">INDIRECT("xHesaplama!H"&amp;""&amp;ROW(D508)+70-7*ROUNDDOWN(ROW(D508)/8,0))</f>
        <v>0</v>
      </c>
      <c r="E511" s="332"/>
      <c r="F511" s="642" t="e">
        <f ca="1">VLOOKUP(LEFT(D511,6),$J$2:$K$21,2,0)</f>
        <v>#N/A</v>
      </c>
      <c r="G511" s="643"/>
    </row>
    <row r="512" spans="2:9" ht="31.5" customHeight="1" thickBot="1">
      <c r="B512" s="257" t="s">
        <v>832</v>
      </c>
      <c r="D512" s="252" t="s">
        <v>359</v>
      </c>
      <c r="E512" s="253" t="e" cm="1">
        <f t="array" aca="1" ref="E512" ca="1">INDIRECT("xHesaplama!J"&amp;""&amp;ROW(D508)+70-7*ROUNDDOWN(ROW(D508)/8,0))</f>
        <v>#N/A</v>
      </c>
      <c r="F512" s="254" t="s">
        <v>358</v>
      </c>
      <c r="G512" s="253" t="e" cm="1">
        <f t="array" aca="1" ref="G512" ca="1">INDIRECT("xHesaplama!K"&amp;""&amp;ROW(D508)+70-7*ROUNDDOWN(ROW(D508)/8,0))</f>
        <v>#N/A</v>
      </c>
    </row>
    <row r="513" spans="2:9" ht="69" customHeight="1" thickBot="1">
      <c r="B513" s="256" t="s">
        <v>869</v>
      </c>
      <c r="C513" s="248"/>
      <c r="D513" s="656"/>
      <c r="E513" s="656"/>
      <c r="F513" s="656"/>
      <c r="G513" s="656"/>
    </row>
    <row r="514" spans="2:9" ht="31.5" customHeight="1" thickBot="1">
      <c r="B514" s="257" t="s">
        <v>870</v>
      </c>
      <c r="C514" s="248"/>
      <c r="D514" s="657" t="str">
        <f>'1PROJE'!$E$3</f>
        <v>GÜNEŞ PEN</v>
      </c>
      <c r="E514" s="658"/>
      <c r="F514" s="658"/>
      <c r="G514" s="659"/>
    </row>
    <row r="515" spans="2:9" ht="31.5" customHeight="1" thickBot="1">
      <c r="B515" s="257" t="s">
        <v>871</v>
      </c>
      <c r="C515" s="248"/>
      <c r="D515" s="644" t="str">
        <f>'1PROJE'!$F$3</f>
        <v>GÜRKAN BEY</v>
      </c>
      <c r="E515" s="645"/>
      <c r="F515" s="645"/>
      <c r="G515" s="646"/>
    </row>
    <row r="516" spans="2:9" ht="31.5" customHeight="1" thickBot="1">
      <c r="B516" s="257" t="s">
        <v>356</v>
      </c>
      <c r="C516" s="248"/>
      <c r="D516" s="647" t="e" cm="1">
        <f t="array" aca="1" ref="D516" ca="1">INDIRECT("xHesaplama!I"&amp;""&amp;ROW(D516)+70-7*ROUNDDOWN(ROW(D516)/8,0))</f>
        <v>#N/A</v>
      </c>
      <c r="E516" s="648"/>
      <c r="F516" s="648"/>
      <c r="G516" s="649"/>
    </row>
    <row r="517" spans="2:9" ht="31.5" customHeight="1" thickBot="1">
      <c r="B517" s="257" t="s">
        <v>342</v>
      </c>
      <c r="C517" s="248"/>
      <c r="D517" s="650" t="str">
        <f>$H$1</f>
        <v>KUTU</v>
      </c>
      <c r="E517" s="651"/>
      <c r="F517" s="651"/>
      <c r="G517" s="652"/>
    </row>
    <row r="518" spans="2:9" ht="31.5" customHeight="1" thickBot="1">
      <c r="B518" s="257" t="s">
        <v>114</v>
      </c>
      <c r="C518" s="248"/>
      <c r="D518" s="653" t="str">
        <f>'1PROJE'!$G$3</f>
        <v>Z 5001</v>
      </c>
      <c r="E518" s="654"/>
      <c r="F518" s="654"/>
      <c r="G518" s="655"/>
      <c r="I518" s="250"/>
    </row>
    <row r="519" spans="2:9" ht="31.5" customHeight="1" thickBot="1">
      <c r="B519" s="257" t="s">
        <v>98</v>
      </c>
      <c r="D519" s="331" cm="1">
        <f t="array" aca="1" ref="D519" ca="1">INDIRECT("xHesaplama!H"&amp;""&amp;ROW(D516)+70-7*ROUNDDOWN(ROW(D516)/8,0))</f>
        <v>0</v>
      </c>
      <c r="E519" s="332"/>
      <c r="F519" s="642" t="e">
        <f ca="1">VLOOKUP(LEFT(D519,6),$J$2:$K$21,2,0)</f>
        <v>#N/A</v>
      </c>
      <c r="G519" s="643"/>
    </row>
    <row r="520" spans="2:9" ht="31.5" customHeight="1" thickBot="1">
      <c r="B520" s="257" t="s">
        <v>832</v>
      </c>
      <c r="D520" s="252" t="s">
        <v>359</v>
      </c>
      <c r="E520" s="253" t="e" cm="1">
        <f t="array" aca="1" ref="E520" ca="1">INDIRECT("xHesaplama!J"&amp;""&amp;ROW(D516)+70-7*ROUNDDOWN(ROW(D516)/8,0))</f>
        <v>#N/A</v>
      </c>
      <c r="F520" s="254" t="s">
        <v>358</v>
      </c>
      <c r="G520" s="253" t="e" cm="1">
        <f t="array" aca="1" ref="G520" ca="1">INDIRECT("xHesaplama!K"&amp;""&amp;ROW(D516)+70-7*ROUNDDOWN(ROW(D516)/8,0))</f>
        <v>#N/A</v>
      </c>
    </row>
    <row r="521" spans="2:9" ht="69" customHeight="1" thickBot="1">
      <c r="B521" s="256" t="s">
        <v>869</v>
      </c>
      <c r="C521" s="248"/>
      <c r="D521" s="656"/>
      <c r="E521" s="656"/>
      <c r="F521" s="656"/>
      <c r="G521" s="656"/>
    </row>
    <row r="522" spans="2:9" ht="31.5" customHeight="1" thickBot="1">
      <c r="B522" s="257" t="s">
        <v>870</v>
      </c>
      <c r="C522" s="248"/>
      <c r="D522" s="657" t="str">
        <f>'1PROJE'!$E$3</f>
        <v>GÜNEŞ PEN</v>
      </c>
      <c r="E522" s="658"/>
      <c r="F522" s="658"/>
      <c r="G522" s="659"/>
    </row>
    <row r="523" spans="2:9" ht="31.5" customHeight="1" thickBot="1">
      <c r="B523" s="257" t="s">
        <v>871</v>
      </c>
      <c r="C523" s="248"/>
      <c r="D523" s="644" t="str">
        <f>'1PROJE'!$F$3</f>
        <v>GÜRKAN BEY</v>
      </c>
      <c r="E523" s="645"/>
      <c r="F523" s="645"/>
      <c r="G523" s="646"/>
    </row>
    <row r="524" spans="2:9" ht="31.5" customHeight="1" thickBot="1">
      <c r="B524" s="257" t="s">
        <v>356</v>
      </c>
      <c r="C524" s="248"/>
      <c r="D524" s="647" t="e" cm="1">
        <f t="array" aca="1" ref="D524" ca="1">INDIRECT("xHesaplama!I"&amp;""&amp;ROW(D524)+70-7*ROUNDDOWN(ROW(D524)/8,0))</f>
        <v>#N/A</v>
      </c>
      <c r="E524" s="648"/>
      <c r="F524" s="648"/>
      <c r="G524" s="649"/>
    </row>
    <row r="525" spans="2:9" ht="31.5" customHeight="1" thickBot="1">
      <c r="B525" s="257" t="s">
        <v>342</v>
      </c>
      <c r="C525" s="248"/>
      <c r="D525" s="650" t="str">
        <f>$H$1</f>
        <v>KUTU</v>
      </c>
      <c r="E525" s="651"/>
      <c r="F525" s="651"/>
      <c r="G525" s="652"/>
    </row>
    <row r="526" spans="2:9" ht="31.5" customHeight="1" thickBot="1">
      <c r="B526" s="257" t="s">
        <v>114</v>
      </c>
      <c r="C526" s="248"/>
      <c r="D526" s="653" t="str">
        <f>'1PROJE'!$G$3</f>
        <v>Z 5001</v>
      </c>
      <c r="E526" s="654"/>
      <c r="F526" s="654"/>
      <c r="G526" s="655"/>
      <c r="I526" s="250"/>
    </row>
    <row r="527" spans="2:9" ht="31.5" customHeight="1" thickBot="1">
      <c r="B527" s="257" t="s">
        <v>98</v>
      </c>
      <c r="D527" s="331" cm="1">
        <f t="array" aca="1" ref="D527" ca="1">INDIRECT("xHesaplama!H"&amp;""&amp;ROW(D524)+70-7*ROUNDDOWN(ROW(D524)/8,0))</f>
        <v>0</v>
      </c>
      <c r="E527" s="332"/>
      <c r="F527" s="642" t="e">
        <f ca="1">VLOOKUP(LEFT(D527,6),$J$2:$K$21,2,0)</f>
        <v>#N/A</v>
      </c>
      <c r="G527" s="643"/>
    </row>
    <row r="528" spans="2:9" ht="31.5" customHeight="1" thickBot="1">
      <c r="B528" s="257" t="s">
        <v>832</v>
      </c>
      <c r="D528" s="252" t="s">
        <v>359</v>
      </c>
      <c r="E528" s="253" t="e" cm="1">
        <f t="array" aca="1" ref="E528" ca="1">INDIRECT("xHesaplama!J"&amp;""&amp;ROW(D524)+70-7*ROUNDDOWN(ROW(D524)/8,0))</f>
        <v>#N/A</v>
      </c>
      <c r="F528" s="254" t="s">
        <v>358</v>
      </c>
      <c r="G528" s="253" t="e" cm="1">
        <f t="array" aca="1" ref="G528" ca="1">INDIRECT("xHesaplama!K"&amp;""&amp;ROW(D524)+70-7*ROUNDDOWN(ROW(D524)/8,0))</f>
        <v>#N/A</v>
      </c>
    </row>
    <row r="529" spans="2:9" ht="69" customHeight="1" thickBot="1">
      <c r="B529" s="256" t="s">
        <v>869</v>
      </c>
      <c r="C529" s="248"/>
      <c r="D529" s="656"/>
      <c r="E529" s="656"/>
      <c r="F529" s="656"/>
      <c r="G529" s="656"/>
    </row>
    <row r="530" spans="2:9" ht="31.5" customHeight="1" thickBot="1">
      <c r="B530" s="257" t="s">
        <v>870</v>
      </c>
      <c r="C530" s="248"/>
      <c r="D530" s="657" t="str">
        <f>'1PROJE'!$E$3</f>
        <v>GÜNEŞ PEN</v>
      </c>
      <c r="E530" s="658"/>
      <c r="F530" s="658"/>
      <c r="G530" s="659"/>
    </row>
    <row r="531" spans="2:9" ht="31.5" customHeight="1" thickBot="1">
      <c r="B531" s="257" t="s">
        <v>871</v>
      </c>
      <c r="C531" s="248"/>
      <c r="D531" s="644" t="str">
        <f>'1PROJE'!$F$3</f>
        <v>GÜRKAN BEY</v>
      </c>
      <c r="E531" s="645"/>
      <c r="F531" s="645"/>
      <c r="G531" s="646"/>
    </row>
    <row r="532" spans="2:9" ht="31.5" customHeight="1" thickBot="1">
      <c r="B532" s="257" t="s">
        <v>356</v>
      </c>
      <c r="C532" s="248"/>
      <c r="D532" s="647" t="e" cm="1">
        <f t="array" aca="1" ref="D532" ca="1">INDIRECT("xHesaplama!I"&amp;""&amp;ROW(D532)+70-7*ROUNDDOWN(ROW(D532)/8,0))</f>
        <v>#N/A</v>
      </c>
      <c r="E532" s="648"/>
      <c r="F532" s="648"/>
      <c r="G532" s="649"/>
    </row>
    <row r="533" spans="2:9" ht="31.5" customHeight="1" thickBot="1">
      <c r="B533" s="257" t="s">
        <v>342</v>
      </c>
      <c r="C533" s="248"/>
      <c r="D533" s="650" t="str">
        <f>$H$1</f>
        <v>KUTU</v>
      </c>
      <c r="E533" s="651"/>
      <c r="F533" s="651"/>
      <c r="G533" s="652"/>
    </row>
    <row r="534" spans="2:9" ht="31.5" customHeight="1" thickBot="1">
      <c r="B534" s="257" t="s">
        <v>114</v>
      </c>
      <c r="C534" s="248"/>
      <c r="D534" s="653" t="str">
        <f>'1PROJE'!$G$3</f>
        <v>Z 5001</v>
      </c>
      <c r="E534" s="654"/>
      <c r="F534" s="654"/>
      <c r="G534" s="655"/>
      <c r="I534" s="250"/>
    </row>
    <row r="535" spans="2:9" ht="31.5" customHeight="1" thickBot="1">
      <c r="B535" s="257" t="s">
        <v>98</v>
      </c>
      <c r="D535" s="331" cm="1">
        <f t="array" aca="1" ref="D535" ca="1">INDIRECT("xHesaplama!H"&amp;""&amp;ROW(D532)+70-7*ROUNDDOWN(ROW(D532)/8,0))</f>
        <v>0</v>
      </c>
      <c r="E535" s="332"/>
      <c r="F535" s="642" t="e">
        <f ca="1">VLOOKUP(LEFT(D535,6),$J$2:$K$21,2,0)</f>
        <v>#N/A</v>
      </c>
      <c r="G535" s="643"/>
    </row>
    <row r="536" spans="2:9" ht="31.5" customHeight="1" thickBot="1">
      <c r="B536" s="257" t="s">
        <v>832</v>
      </c>
      <c r="D536" s="252" t="s">
        <v>359</v>
      </c>
      <c r="E536" s="253" t="e" cm="1">
        <f t="array" aca="1" ref="E536" ca="1">INDIRECT("xHesaplama!J"&amp;""&amp;ROW(D532)+70-7*ROUNDDOWN(ROW(D532)/8,0))</f>
        <v>#N/A</v>
      </c>
      <c r="F536" s="254" t="s">
        <v>358</v>
      </c>
      <c r="G536" s="253" t="e" cm="1">
        <f t="array" aca="1" ref="G536" ca="1">INDIRECT("xHesaplama!K"&amp;""&amp;ROW(D532)+70-7*ROUNDDOWN(ROW(D532)/8,0))</f>
        <v>#N/A</v>
      </c>
    </row>
    <row r="537" spans="2:9" ht="69" customHeight="1" thickBot="1">
      <c r="B537" s="256" t="s">
        <v>869</v>
      </c>
      <c r="C537" s="248"/>
      <c r="D537" s="656"/>
      <c r="E537" s="656"/>
      <c r="F537" s="656"/>
      <c r="G537" s="656"/>
    </row>
    <row r="538" spans="2:9" ht="31.5" customHeight="1" thickBot="1">
      <c r="B538" s="257" t="s">
        <v>870</v>
      </c>
      <c r="C538" s="248"/>
      <c r="D538" s="657" t="str">
        <f>'1PROJE'!$E$3</f>
        <v>GÜNEŞ PEN</v>
      </c>
      <c r="E538" s="658"/>
      <c r="F538" s="658"/>
      <c r="G538" s="659"/>
    </row>
    <row r="539" spans="2:9" ht="31.5" customHeight="1" thickBot="1">
      <c r="B539" s="257" t="s">
        <v>871</v>
      </c>
      <c r="C539" s="248"/>
      <c r="D539" s="644" t="str">
        <f>'1PROJE'!$F$3</f>
        <v>GÜRKAN BEY</v>
      </c>
      <c r="E539" s="645"/>
      <c r="F539" s="645"/>
      <c r="G539" s="646"/>
    </row>
    <row r="540" spans="2:9" ht="31.5" customHeight="1" thickBot="1">
      <c r="B540" s="257" t="s">
        <v>356</v>
      </c>
      <c r="C540" s="248"/>
      <c r="D540" s="647" t="e" cm="1">
        <f t="array" aca="1" ref="D540" ca="1">INDIRECT("xHesaplama!I"&amp;""&amp;ROW(D540)+70-7*ROUNDDOWN(ROW(D540)/8,0))</f>
        <v>#N/A</v>
      </c>
      <c r="E540" s="648"/>
      <c r="F540" s="648"/>
      <c r="G540" s="649"/>
    </row>
    <row r="541" spans="2:9" ht="31.5" customHeight="1" thickBot="1">
      <c r="B541" s="257" t="s">
        <v>342</v>
      </c>
      <c r="C541" s="248"/>
      <c r="D541" s="650" t="str">
        <f>$H$1</f>
        <v>KUTU</v>
      </c>
      <c r="E541" s="651"/>
      <c r="F541" s="651"/>
      <c r="G541" s="652"/>
    </row>
    <row r="542" spans="2:9" ht="31.5" customHeight="1" thickBot="1">
      <c r="B542" s="257" t="s">
        <v>114</v>
      </c>
      <c r="C542" s="248"/>
      <c r="D542" s="653" t="str">
        <f>'1PROJE'!$G$3</f>
        <v>Z 5001</v>
      </c>
      <c r="E542" s="654"/>
      <c r="F542" s="654"/>
      <c r="G542" s="655"/>
      <c r="I542" s="250"/>
    </row>
    <row r="543" spans="2:9" ht="31.5" customHeight="1" thickBot="1">
      <c r="B543" s="257" t="s">
        <v>98</v>
      </c>
      <c r="D543" s="331" cm="1">
        <f t="array" aca="1" ref="D543" ca="1">INDIRECT("xHesaplama!H"&amp;""&amp;ROW(D540)+70-7*ROUNDDOWN(ROW(D540)/8,0))</f>
        <v>0</v>
      </c>
      <c r="E543" s="332"/>
      <c r="F543" s="642" t="e">
        <f ca="1">VLOOKUP(LEFT(D543,6),$J$2:$K$21,2,0)</f>
        <v>#N/A</v>
      </c>
      <c r="G543" s="643"/>
    </row>
    <row r="544" spans="2:9" ht="31.5" customHeight="1" thickBot="1">
      <c r="B544" s="257" t="s">
        <v>832</v>
      </c>
      <c r="D544" s="252" t="s">
        <v>359</v>
      </c>
      <c r="E544" s="253" t="e" cm="1">
        <f t="array" aca="1" ref="E544" ca="1">INDIRECT("xHesaplama!J"&amp;""&amp;ROW(D540)+70-7*ROUNDDOWN(ROW(D540)/8,0))</f>
        <v>#N/A</v>
      </c>
      <c r="F544" s="254" t="s">
        <v>358</v>
      </c>
      <c r="G544" s="253" t="e" cm="1">
        <f t="array" aca="1" ref="G544" ca="1">INDIRECT("xHesaplama!K"&amp;""&amp;ROW(D540)+70-7*ROUNDDOWN(ROW(D540)/8,0))</f>
        <v>#N/A</v>
      </c>
    </row>
    <row r="545" spans="2:9" ht="69" customHeight="1" thickBot="1">
      <c r="B545" s="256" t="s">
        <v>869</v>
      </c>
      <c r="C545" s="248"/>
      <c r="D545" s="656"/>
      <c r="E545" s="656"/>
      <c r="F545" s="656"/>
      <c r="G545" s="656"/>
    </row>
    <row r="546" spans="2:9" ht="31.5" customHeight="1" thickBot="1">
      <c r="B546" s="257" t="s">
        <v>870</v>
      </c>
      <c r="C546" s="248"/>
      <c r="D546" s="657" t="str">
        <f>'1PROJE'!$E$3</f>
        <v>GÜNEŞ PEN</v>
      </c>
      <c r="E546" s="658"/>
      <c r="F546" s="658"/>
      <c r="G546" s="659"/>
    </row>
    <row r="547" spans="2:9" ht="31.5" customHeight="1" thickBot="1">
      <c r="B547" s="257" t="s">
        <v>871</v>
      </c>
      <c r="C547" s="248"/>
      <c r="D547" s="644" t="str">
        <f>'1PROJE'!$F$3</f>
        <v>GÜRKAN BEY</v>
      </c>
      <c r="E547" s="645"/>
      <c r="F547" s="645"/>
      <c r="G547" s="646"/>
    </row>
    <row r="548" spans="2:9" ht="31.5" customHeight="1" thickBot="1">
      <c r="B548" s="257" t="s">
        <v>356</v>
      </c>
      <c r="C548" s="248"/>
      <c r="D548" s="647" t="e" cm="1">
        <f t="array" aca="1" ref="D548" ca="1">INDIRECT("xHesaplama!I"&amp;""&amp;ROW(D548)+70-7*ROUNDDOWN(ROW(D548)/8,0))</f>
        <v>#N/A</v>
      </c>
      <c r="E548" s="648"/>
      <c r="F548" s="648"/>
      <c r="G548" s="649"/>
    </row>
    <row r="549" spans="2:9" ht="31.5" customHeight="1" thickBot="1">
      <c r="B549" s="257" t="s">
        <v>342</v>
      </c>
      <c r="C549" s="248"/>
      <c r="D549" s="650" t="str">
        <f>$H$1</f>
        <v>KUTU</v>
      </c>
      <c r="E549" s="651"/>
      <c r="F549" s="651"/>
      <c r="G549" s="652"/>
    </row>
    <row r="550" spans="2:9" ht="31.5" customHeight="1" thickBot="1">
      <c r="B550" s="257" t="s">
        <v>114</v>
      </c>
      <c r="C550" s="248"/>
      <c r="D550" s="653" t="str">
        <f>'1PROJE'!$G$3</f>
        <v>Z 5001</v>
      </c>
      <c r="E550" s="654"/>
      <c r="F550" s="654"/>
      <c r="G550" s="655"/>
      <c r="I550" s="250"/>
    </row>
    <row r="551" spans="2:9" ht="31.5" customHeight="1" thickBot="1">
      <c r="B551" s="257" t="s">
        <v>98</v>
      </c>
      <c r="D551" s="331" cm="1">
        <f t="array" aca="1" ref="D551" ca="1">INDIRECT("xHesaplama!H"&amp;""&amp;ROW(D548)+70-7*ROUNDDOWN(ROW(D548)/8,0))</f>
        <v>0</v>
      </c>
      <c r="E551" s="332"/>
      <c r="F551" s="642" t="e">
        <f ca="1">VLOOKUP(LEFT(D551,6),$J$2:$K$21,2,0)</f>
        <v>#N/A</v>
      </c>
      <c r="G551" s="643"/>
    </row>
    <row r="552" spans="2:9" ht="31.5" customHeight="1" thickBot="1">
      <c r="B552" s="257" t="s">
        <v>832</v>
      </c>
      <c r="D552" s="252" t="s">
        <v>359</v>
      </c>
      <c r="E552" s="253" t="e" cm="1">
        <f t="array" aca="1" ref="E552" ca="1">INDIRECT("xHesaplama!J"&amp;""&amp;ROW(D548)+70-7*ROUNDDOWN(ROW(D548)/8,0))</f>
        <v>#N/A</v>
      </c>
      <c r="F552" s="254" t="s">
        <v>358</v>
      </c>
      <c r="G552" s="253" t="e" cm="1">
        <f t="array" aca="1" ref="G552" ca="1">INDIRECT("xHesaplama!K"&amp;""&amp;ROW(D548)+70-7*ROUNDDOWN(ROW(D548)/8,0))</f>
        <v>#N/A</v>
      </c>
    </row>
    <row r="553" spans="2:9" ht="69" customHeight="1" thickBot="1">
      <c r="B553" s="256" t="s">
        <v>869</v>
      </c>
      <c r="C553" s="248"/>
      <c r="D553" s="656"/>
      <c r="E553" s="656"/>
      <c r="F553" s="656"/>
      <c r="G553" s="656"/>
    </row>
    <row r="554" spans="2:9" ht="31.5" customHeight="1" thickBot="1">
      <c r="B554" s="257" t="s">
        <v>870</v>
      </c>
      <c r="C554" s="248"/>
      <c r="D554" s="657" t="str">
        <f>'1PROJE'!$E$3</f>
        <v>GÜNEŞ PEN</v>
      </c>
      <c r="E554" s="658"/>
      <c r="F554" s="658"/>
      <c r="G554" s="659"/>
    </row>
    <row r="555" spans="2:9" ht="31.5" customHeight="1" thickBot="1">
      <c r="B555" s="257" t="s">
        <v>871</v>
      </c>
      <c r="C555" s="248"/>
      <c r="D555" s="644" t="str">
        <f>'1PROJE'!$F$3</f>
        <v>GÜRKAN BEY</v>
      </c>
      <c r="E555" s="645"/>
      <c r="F555" s="645"/>
      <c r="G555" s="646"/>
    </row>
    <row r="556" spans="2:9" ht="31.5" customHeight="1" thickBot="1">
      <c r="B556" s="257" t="s">
        <v>356</v>
      </c>
      <c r="C556" s="248"/>
      <c r="D556" s="647" t="e" cm="1">
        <f t="array" aca="1" ref="D556" ca="1">INDIRECT("xHesaplama!I"&amp;""&amp;ROW(D556)+70-7*ROUNDDOWN(ROW(D556)/8,0))</f>
        <v>#N/A</v>
      </c>
      <c r="E556" s="648"/>
      <c r="F556" s="648"/>
      <c r="G556" s="649"/>
    </row>
    <row r="557" spans="2:9" ht="31.5" customHeight="1" thickBot="1">
      <c r="B557" s="257" t="s">
        <v>342</v>
      </c>
      <c r="C557" s="248"/>
      <c r="D557" s="650" t="str">
        <f>$H$1</f>
        <v>KUTU</v>
      </c>
      <c r="E557" s="651"/>
      <c r="F557" s="651"/>
      <c r="G557" s="652"/>
    </row>
    <row r="558" spans="2:9" ht="31.5" customHeight="1" thickBot="1">
      <c r="B558" s="257" t="s">
        <v>114</v>
      </c>
      <c r="C558" s="248"/>
      <c r="D558" s="653" t="str">
        <f>'1PROJE'!$G$3</f>
        <v>Z 5001</v>
      </c>
      <c r="E558" s="654"/>
      <c r="F558" s="654"/>
      <c r="G558" s="655"/>
      <c r="I558" s="250"/>
    </row>
    <row r="559" spans="2:9" ht="31.5" customHeight="1" thickBot="1">
      <c r="B559" s="257" t="s">
        <v>98</v>
      </c>
      <c r="D559" s="331" cm="1">
        <f t="array" aca="1" ref="D559" ca="1">INDIRECT("xHesaplama!H"&amp;""&amp;ROW(D556)+70-7*ROUNDDOWN(ROW(D556)/8,0))</f>
        <v>0</v>
      </c>
      <c r="E559" s="332"/>
      <c r="F559" s="642" t="e">
        <f ca="1">VLOOKUP(LEFT(D559,6),$J$2:$K$21,2,0)</f>
        <v>#N/A</v>
      </c>
      <c r="G559" s="643"/>
    </row>
    <row r="560" spans="2:9" ht="31.5" customHeight="1" thickBot="1">
      <c r="B560" s="257" t="s">
        <v>832</v>
      </c>
      <c r="D560" s="252" t="s">
        <v>359</v>
      </c>
      <c r="E560" s="253" t="e" cm="1">
        <f t="array" aca="1" ref="E560" ca="1">INDIRECT("xHesaplama!J"&amp;""&amp;ROW(D556)+70-7*ROUNDDOWN(ROW(D556)/8,0))</f>
        <v>#N/A</v>
      </c>
      <c r="F560" s="254" t="s">
        <v>358</v>
      </c>
      <c r="G560" s="253" t="e" cm="1">
        <f t="array" aca="1" ref="G560" ca="1">INDIRECT("xHesaplama!K"&amp;""&amp;ROW(D556)+70-7*ROUNDDOWN(ROW(D556)/8,0))</f>
        <v>#N/A</v>
      </c>
    </row>
    <row r="561" spans="2:9" ht="69" customHeight="1" thickBot="1">
      <c r="B561" s="256" t="s">
        <v>869</v>
      </c>
      <c r="C561" s="248"/>
      <c r="D561" s="656"/>
      <c r="E561" s="656"/>
      <c r="F561" s="656"/>
      <c r="G561" s="656"/>
    </row>
    <row r="562" spans="2:9" ht="31.5" customHeight="1" thickBot="1">
      <c r="B562" s="257" t="s">
        <v>870</v>
      </c>
      <c r="C562" s="248"/>
      <c r="D562" s="657" t="str">
        <f>'1PROJE'!$E$3</f>
        <v>GÜNEŞ PEN</v>
      </c>
      <c r="E562" s="658"/>
      <c r="F562" s="658"/>
      <c r="G562" s="659"/>
    </row>
    <row r="563" spans="2:9" ht="31.5" customHeight="1" thickBot="1">
      <c r="B563" s="257" t="s">
        <v>871</v>
      </c>
      <c r="C563" s="248"/>
      <c r="D563" s="644" t="str">
        <f>'1PROJE'!$F$3</f>
        <v>GÜRKAN BEY</v>
      </c>
      <c r="E563" s="645"/>
      <c r="F563" s="645"/>
      <c r="G563" s="646"/>
    </row>
    <row r="564" spans="2:9" ht="31.5" customHeight="1" thickBot="1">
      <c r="B564" s="257" t="s">
        <v>356</v>
      </c>
      <c r="C564" s="248"/>
      <c r="D564" s="647" t="e" cm="1">
        <f t="array" aca="1" ref="D564" ca="1">INDIRECT("xHesaplama!I"&amp;""&amp;ROW(D564)+70-7*ROUNDDOWN(ROW(D564)/8,0))</f>
        <v>#N/A</v>
      </c>
      <c r="E564" s="648"/>
      <c r="F564" s="648"/>
      <c r="G564" s="649"/>
    </row>
    <row r="565" spans="2:9" ht="31.5" customHeight="1" thickBot="1">
      <c r="B565" s="257" t="s">
        <v>342</v>
      </c>
      <c r="C565" s="248"/>
      <c r="D565" s="650" t="str">
        <f>$H$1</f>
        <v>KUTU</v>
      </c>
      <c r="E565" s="651"/>
      <c r="F565" s="651"/>
      <c r="G565" s="652"/>
    </row>
    <row r="566" spans="2:9" ht="31.5" customHeight="1" thickBot="1">
      <c r="B566" s="257" t="s">
        <v>114</v>
      </c>
      <c r="C566" s="248"/>
      <c r="D566" s="653" t="str">
        <f>'1PROJE'!$G$3</f>
        <v>Z 5001</v>
      </c>
      <c r="E566" s="654"/>
      <c r="F566" s="654"/>
      <c r="G566" s="655"/>
      <c r="I566" s="250"/>
    </row>
    <row r="567" spans="2:9" ht="31.5" customHeight="1" thickBot="1">
      <c r="B567" s="257" t="s">
        <v>98</v>
      </c>
      <c r="D567" s="331" cm="1">
        <f t="array" aca="1" ref="D567" ca="1">INDIRECT("xHesaplama!H"&amp;""&amp;ROW(D564)+70-7*ROUNDDOWN(ROW(D564)/8,0))</f>
        <v>0</v>
      </c>
      <c r="E567" s="332"/>
      <c r="F567" s="642" t="e">
        <f ca="1">VLOOKUP(LEFT(D567,6),$J$2:$K$21,2,0)</f>
        <v>#N/A</v>
      </c>
      <c r="G567" s="643"/>
    </row>
    <row r="568" spans="2:9" ht="31.5" customHeight="1" thickBot="1">
      <c r="B568" s="257" t="s">
        <v>832</v>
      </c>
      <c r="D568" s="252" t="s">
        <v>359</v>
      </c>
      <c r="E568" s="253" t="e" cm="1">
        <f t="array" aca="1" ref="E568" ca="1">INDIRECT("xHesaplama!J"&amp;""&amp;ROW(D564)+70-7*ROUNDDOWN(ROW(D564)/8,0))</f>
        <v>#N/A</v>
      </c>
      <c r="F568" s="254" t="s">
        <v>358</v>
      </c>
      <c r="G568" s="253" t="e" cm="1">
        <f t="array" aca="1" ref="G568" ca="1">INDIRECT("xHesaplama!K"&amp;""&amp;ROW(D564)+70-7*ROUNDDOWN(ROW(D564)/8,0))</f>
        <v>#N/A</v>
      </c>
    </row>
    <row r="569" spans="2:9" ht="69" customHeight="1" thickBot="1">
      <c r="B569" s="256" t="s">
        <v>869</v>
      </c>
      <c r="C569" s="248"/>
      <c r="D569" s="656"/>
      <c r="E569" s="656"/>
      <c r="F569" s="656"/>
      <c r="G569" s="656"/>
    </row>
    <row r="570" spans="2:9" ht="31.5" customHeight="1" thickBot="1">
      <c r="B570" s="257" t="s">
        <v>870</v>
      </c>
      <c r="C570" s="248"/>
      <c r="D570" s="657" t="str">
        <f>'1PROJE'!$E$3</f>
        <v>GÜNEŞ PEN</v>
      </c>
      <c r="E570" s="658"/>
      <c r="F570" s="658"/>
      <c r="G570" s="659"/>
    </row>
    <row r="571" spans="2:9" ht="31.5" customHeight="1" thickBot="1">
      <c r="B571" s="257" t="s">
        <v>871</v>
      </c>
      <c r="C571" s="248"/>
      <c r="D571" s="644" t="str">
        <f>'1PROJE'!$F$3</f>
        <v>GÜRKAN BEY</v>
      </c>
      <c r="E571" s="645"/>
      <c r="F571" s="645"/>
      <c r="G571" s="646"/>
    </row>
    <row r="572" spans="2:9" ht="31.5" customHeight="1" thickBot="1">
      <c r="B572" s="257" t="s">
        <v>356</v>
      </c>
      <c r="C572" s="248"/>
      <c r="D572" s="647" t="e" cm="1">
        <f t="array" aca="1" ref="D572" ca="1">INDIRECT("xHesaplama!I"&amp;""&amp;ROW(D572)+70-7*ROUNDDOWN(ROW(D572)/8,0))</f>
        <v>#N/A</v>
      </c>
      <c r="E572" s="648"/>
      <c r="F572" s="648"/>
      <c r="G572" s="649"/>
    </row>
    <row r="573" spans="2:9" ht="31.5" customHeight="1" thickBot="1">
      <c r="B573" s="257" t="s">
        <v>342</v>
      </c>
      <c r="C573" s="248"/>
      <c r="D573" s="650" t="str">
        <f>$H$1</f>
        <v>KUTU</v>
      </c>
      <c r="E573" s="651"/>
      <c r="F573" s="651"/>
      <c r="G573" s="652"/>
    </row>
    <row r="574" spans="2:9" ht="31.5" customHeight="1" thickBot="1">
      <c r="B574" s="257" t="s">
        <v>114</v>
      </c>
      <c r="C574" s="248"/>
      <c r="D574" s="653" t="str">
        <f>'1PROJE'!$G$3</f>
        <v>Z 5001</v>
      </c>
      <c r="E574" s="654"/>
      <c r="F574" s="654"/>
      <c r="G574" s="655"/>
      <c r="I574" s="250"/>
    </row>
    <row r="575" spans="2:9" ht="31.5" customHeight="1" thickBot="1">
      <c r="B575" s="257" t="s">
        <v>98</v>
      </c>
      <c r="D575" s="331" cm="1">
        <f t="array" aca="1" ref="D575" ca="1">INDIRECT("xHesaplama!H"&amp;""&amp;ROW(D572)+70-7*ROUNDDOWN(ROW(D572)/8,0))</f>
        <v>0</v>
      </c>
      <c r="E575" s="332"/>
      <c r="F575" s="642" t="e">
        <f ca="1">VLOOKUP(LEFT(D575,6),$J$2:$K$21,2,0)</f>
        <v>#N/A</v>
      </c>
      <c r="G575" s="643"/>
    </row>
    <row r="576" spans="2:9" ht="31.5" customHeight="1" thickBot="1">
      <c r="B576" s="257" t="s">
        <v>832</v>
      </c>
      <c r="D576" s="252" t="s">
        <v>359</v>
      </c>
      <c r="E576" s="253" t="e" cm="1">
        <f t="array" aca="1" ref="E576" ca="1">INDIRECT("xHesaplama!J"&amp;""&amp;ROW(D572)+70-7*ROUNDDOWN(ROW(D572)/8,0))</f>
        <v>#N/A</v>
      </c>
      <c r="F576" s="254" t="s">
        <v>358</v>
      </c>
      <c r="G576" s="253" t="e" cm="1">
        <f t="array" aca="1" ref="G576" ca="1">INDIRECT("xHesaplama!K"&amp;""&amp;ROW(D572)+70-7*ROUNDDOWN(ROW(D572)/8,0))</f>
        <v>#N/A</v>
      </c>
    </row>
    <row r="577" spans="2:9" ht="69" customHeight="1" thickBot="1">
      <c r="B577" s="256" t="s">
        <v>869</v>
      </c>
      <c r="C577" s="248"/>
      <c r="D577" s="656"/>
      <c r="E577" s="656"/>
      <c r="F577" s="656"/>
      <c r="G577" s="656"/>
    </row>
    <row r="578" spans="2:9" ht="31.5" customHeight="1" thickBot="1">
      <c r="B578" s="257" t="s">
        <v>870</v>
      </c>
      <c r="C578" s="248"/>
      <c r="D578" s="657" t="str">
        <f>'1PROJE'!$E$3</f>
        <v>GÜNEŞ PEN</v>
      </c>
      <c r="E578" s="658"/>
      <c r="F578" s="658"/>
      <c r="G578" s="659"/>
    </row>
    <row r="579" spans="2:9" ht="31.5" customHeight="1" thickBot="1">
      <c r="B579" s="257" t="s">
        <v>871</v>
      </c>
      <c r="C579" s="248"/>
      <c r="D579" s="644" t="str">
        <f>'1PROJE'!$F$3</f>
        <v>GÜRKAN BEY</v>
      </c>
      <c r="E579" s="645"/>
      <c r="F579" s="645"/>
      <c r="G579" s="646"/>
    </row>
    <row r="580" spans="2:9" ht="31.5" customHeight="1" thickBot="1">
      <c r="B580" s="257" t="s">
        <v>356</v>
      </c>
      <c r="C580" s="248"/>
      <c r="D580" s="647" t="e" cm="1">
        <f t="array" aca="1" ref="D580" ca="1">INDIRECT("xHesaplama!I"&amp;""&amp;ROW(D580)+70-7*ROUNDDOWN(ROW(D580)/8,0))</f>
        <v>#N/A</v>
      </c>
      <c r="E580" s="648"/>
      <c r="F580" s="648"/>
      <c r="G580" s="649"/>
    </row>
    <row r="581" spans="2:9" ht="31.5" customHeight="1" thickBot="1">
      <c r="B581" s="257" t="s">
        <v>342</v>
      </c>
      <c r="C581" s="248"/>
      <c r="D581" s="650" t="str">
        <f>$H$1</f>
        <v>KUTU</v>
      </c>
      <c r="E581" s="651"/>
      <c r="F581" s="651"/>
      <c r="G581" s="652"/>
    </row>
    <row r="582" spans="2:9" ht="31.5" customHeight="1" thickBot="1">
      <c r="B582" s="257" t="s">
        <v>114</v>
      </c>
      <c r="C582" s="248"/>
      <c r="D582" s="653" t="str">
        <f>'1PROJE'!$G$3</f>
        <v>Z 5001</v>
      </c>
      <c r="E582" s="654"/>
      <c r="F582" s="654"/>
      <c r="G582" s="655"/>
      <c r="I582" s="250"/>
    </row>
    <row r="583" spans="2:9" ht="31.5" customHeight="1" thickBot="1">
      <c r="B583" s="257" t="s">
        <v>98</v>
      </c>
      <c r="D583" s="331" cm="1">
        <f t="array" aca="1" ref="D583" ca="1">INDIRECT("xHesaplama!H"&amp;""&amp;ROW(D580)+70-7*ROUNDDOWN(ROW(D580)/8,0))</f>
        <v>0</v>
      </c>
      <c r="E583" s="332"/>
      <c r="F583" s="642" t="e">
        <f ca="1">VLOOKUP(LEFT(D583,6),$J$2:$K$21,2,0)</f>
        <v>#N/A</v>
      </c>
      <c r="G583" s="643"/>
    </row>
    <row r="584" spans="2:9" ht="31.5" customHeight="1" thickBot="1">
      <c r="B584" s="257" t="s">
        <v>832</v>
      </c>
      <c r="D584" s="252" t="s">
        <v>359</v>
      </c>
      <c r="E584" s="253" t="e" cm="1">
        <f t="array" aca="1" ref="E584" ca="1">INDIRECT("xHesaplama!J"&amp;""&amp;ROW(D580)+70-7*ROUNDDOWN(ROW(D580)/8,0))</f>
        <v>#N/A</v>
      </c>
      <c r="F584" s="254" t="s">
        <v>358</v>
      </c>
      <c r="G584" s="253" t="e" cm="1">
        <f t="array" aca="1" ref="G584" ca="1">INDIRECT("xHesaplama!K"&amp;""&amp;ROW(D580)+70-7*ROUNDDOWN(ROW(D580)/8,0))</f>
        <v>#N/A</v>
      </c>
    </row>
    <row r="585" spans="2:9" ht="69" customHeight="1" thickBot="1">
      <c r="B585" s="256" t="s">
        <v>869</v>
      </c>
      <c r="C585" s="248"/>
      <c r="D585" s="656"/>
      <c r="E585" s="656"/>
      <c r="F585" s="656"/>
      <c r="G585" s="656"/>
    </row>
    <row r="586" spans="2:9" ht="31.5" customHeight="1" thickBot="1">
      <c r="B586" s="257" t="s">
        <v>870</v>
      </c>
      <c r="C586" s="248"/>
      <c r="D586" s="657" t="str">
        <f>'1PROJE'!$E$3</f>
        <v>GÜNEŞ PEN</v>
      </c>
      <c r="E586" s="658"/>
      <c r="F586" s="658"/>
      <c r="G586" s="659"/>
    </row>
    <row r="587" spans="2:9" ht="31.5" customHeight="1" thickBot="1">
      <c r="B587" s="257" t="s">
        <v>871</v>
      </c>
      <c r="C587" s="248"/>
      <c r="D587" s="644" t="str">
        <f>'1PROJE'!$F$3</f>
        <v>GÜRKAN BEY</v>
      </c>
      <c r="E587" s="645"/>
      <c r="F587" s="645"/>
      <c r="G587" s="646"/>
    </row>
    <row r="588" spans="2:9" ht="31.5" customHeight="1" thickBot="1">
      <c r="B588" s="257" t="s">
        <v>356</v>
      </c>
      <c r="C588" s="248"/>
      <c r="D588" s="647" t="e" cm="1">
        <f t="array" aca="1" ref="D588" ca="1">INDIRECT("xHesaplama!I"&amp;""&amp;ROW(D588)+70-7*ROUNDDOWN(ROW(D588)/8,0))</f>
        <v>#N/A</v>
      </c>
      <c r="E588" s="648"/>
      <c r="F588" s="648"/>
      <c r="G588" s="649"/>
    </row>
    <row r="589" spans="2:9" ht="31.5" customHeight="1" thickBot="1">
      <c r="B589" s="257" t="s">
        <v>342</v>
      </c>
      <c r="C589" s="248"/>
      <c r="D589" s="650" t="str">
        <f>$H$1</f>
        <v>KUTU</v>
      </c>
      <c r="E589" s="651"/>
      <c r="F589" s="651"/>
      <c r="G589" s="652"/>
    </row>
    <row r="590" spans="2:9" ht="31.5" customHeight="1" thickBot="1">
      <c r="B590" s="257" t="s">
        <v>114</v>
      </c>
      <c r="C590" s="248"/>
      <c r="D590" s="653" t="str">
        <f>'1PROJE'!$G$3</f>
        <v>Z 5001</v>
      </c>
      <c r="E590" s="654"/>
      <c r="F590" s="654"/>
      <c r="G590" s="655"/>
      <c r="I590" s="250"/>
    </row>
    <row r="591" spans="2:9" ht="31.5" customHeight="1" thickBot="1">
      <c r="B591" s="257" t="s">
        <v>98</v>
      </c>
      <c r="D591" s="331" cm="1">
        <f t="array" aca="1" ref="D591" ca="1">INDIRECT("xHesaplama!H"&amp;""&amp;ROW(D588)+70-7*ROUNDDOWN(ROW(D588)/8,0))</f>
        <v>0</v>
      </c>
      <c r="E591" s="332"/>
      <c r="F591" s="642" t="e">
        <f ca="1">VLOOKUP(LEFT(D591,6),$J$2:$K$21,2,0)</f>
        <v>#N/A</v>
      </c>
      <c r="G591" s="643"/>
    </row>
    <row r="592" spans="2:9" ht="31.5" customHeight="1" thickBot="1">
      <c r="B592" s="257" t="s">
        <v>832</v>
      </c>
      <c r="D592" s="252" t="s">
        <v>359</v>
      </c>
      <c r="E592" s="253" t="e" cm="1">
        <f t="array" aca="1" ref="E592" ca="1">INDIRECT("xHesaplama!J"&amp;""&amp;ROW(D588)+70-7*ROUNDDOWN(ROW(D588)/8,0))</f>
        <v>#N/A</v>
      </c>
      <c r="F592" s="254" t="s">
        <v>358</v>
      </c>
      <c r="G592" s="253" t="e" cm="1">
        <f t="array" aca="1" ref="G592" ca="1">INDIRECT("xHesaplama!K"&amp;""&amp;ROW(D588)+70-7*ROUNDDOWN(ROW(D588)/8,0))</f>
        <v>#N/A</v>
      </c>
    </row>
    <row r="593" spans="2:9" ht="69" customHeight="1" thickBot="1">
      <c r="B593" s="256" t="s">
        <v>869</v>
      </c>
      <c r="C593" s="248"/>
      <c r="D593" s="656"/>
      <c r="E593" s="656"/>
      <c r="F593" s="656"/>
      <c r="G593" s="656"/>
    </row>
    <row r="594" spans="2:9" ht="31.5" customHeight="1" thickBot="1">
      <c r="B594" s="257" t="s">
        <v>870</v>
      </c>
      <c r="C594" s="248"/>
      <c r="D594" s="657" t="str">
        <f>'1PROJE'!$E$3</f>
        <v>GÜNEŞ PEN</v>
      </c>
      <c r="E594" s="658"/>
      <c r="F594" s="658"/>
      <c r="G594" s="659"/>
    </row>
    <row r="595" spans="2:9" ht="31.5" customHeight="1" thickBot="1">
      <c r="B595" s="257" t="s">
        <v>871</v>
      </c>
      <c r="C595" s="248"/>
      <c r="D595" s="644" t="str">
        <f>'1PROJE'!$F$3</f>
        <v>GÜRKAN BEY</v>
      </c>
      <c r="E595" s="645"/>
      <c r="F595" s="645"/>
      <c r="G595" s="646"/>
    </row>
    <row r="596" spans="2:9" ht="31.5" customHeight="1" thickBot="1">
      <c r="B596" s="257" t="s">
        <v>356</v>
      </c>
      <c r="C596" s="248"/>
      <c r="D596" s="647" t="e" cm="1">
        <f t="array" aca="1" ref="D596" ca="1">INDIRECT("xHesaplama!I"&amp;""&amp;ROW(D596)+70-7*ROUNDDOWN(ROW(D596)/8,0))</f>
        <v>#N/A</v>
      </c>
      <c r="E596" s="648"/>
      <c r="F596" s="648"/>
      <c r="G596" s="649"/>
    </row>
    <row r="597" spans="2:9" ht="31.5" customHeight="1" thickBot="1">
      <c r="B597" s="257" t="s">
        <v>342</v>
      </c>
      <c r="C597" s="248"/>
      <c r="D597" s="650" t="str">
        <f>$H$1</f>
        <v>KUTU</v>
      </c>
      <c r="E597" s="651"/>
      <c r="F597" s="651"/>
      <c r="G597" s="652"/>
    </row>
    <row r="598" spans="2:9" ht="31.5" customHeight="1" thickBot="1">
      <c r="B598" s="257" t="s">
        <v>114</v>
      </c>
      <c r="C598" s="248"/>
      <c r="D598" s="653" t="str">
        <f>'1PROJE'!$G$3</f>
        <v>Z 5001</v>
      </c>
      <c r="E598" s="654"/>
      <c r="F598" s="654"/>
      <c r="G598" s="655"/>
      <c r="I598" s="250"/>
    </row>
    <row r="599" spans="2:9" ht="31.5" customHeight="1" thickBot="1">
      <c r="B599" s="257" t="s">
        <v>98</v>
      </c>
      <c r="D599" s="331" cm="1">
        <f t="array" aca="1" ref="D599" ca="1">INDIRECT("xHesaplama!H"&amp;""&amp;ROW(D596)+70-7*ROUNDDOWN(ROW(D596)/8,0))</f>
        <v>0</v>
      </c>
      <c r="E599" s="332"/>
      <c r="F599" s="642" t="e">
        <f ca="1">VLOOKUP(LEFT(D599,6),$J$2:$K$21,2,0)</f>
        <v>#N/A</v>
      </c>
      <c r="G599" s="643"/>
    </row>
    <row r="600" spans="2:9" ht="31.5" customHeight="1" thickBot="1">
      <c r="B600" s="257" t="s">
        <v>832</v>
      </c>
      <c r="D600" s="252" t="s">
        <v>359</v>
      </c>
      <c r="E600" s="253" t="e" cm="1">
        <f t="array" aca="1" ref="E600" ca="1">INDIRECT("xHesaplama!J"&amp;""&amp;ROW(D596)+70-7*ROUNDDOWN(ROW(D596)/8,0))</f>
        <v>#N/A</v>
      </c>
      <c r="F600" s="254" t="s">
        <v>358</v>
      </c>
      <c r="G600" s="253" t="e" cm="1">
        <f t="array" aca="1" ref="G600" ca="1">INDIRECT("xHesaplama!K"&amp;""&amp;ROW(D596)+70-7*ROUNDDOWN(ROW(D596)/8,0))</f>
        <v>#N/A</v>
      </c>
    </row>
    <row r="601" spans="2:9" ht="69" customHeight="1" thickBot="1">
      <c r="B601" s="256" t="s">
        <v>869</v>
      </c>
      <c r="C601" s="248"/>
      <c r="D601" s="656"/>
      <c r="E601" s="656"/>
      <c r="F601" s="656"/>
      <c r="G601" s="656"/>
    </row>
    <row r="602" spans="2:9" ht="31.5" customHeight="1" thickBot="1">
      <c r="B602" s="257" t="s">
        <v>870</v>
      </c>
      <c r="C602" s="248"/>
      <c r="D602" s="657" t="str">
        <f>'1PROJE'!$E$3</f>
        <v>GÜNEŞ PEN</v>
      </c>
      <c r="E602" s="658"/>
      <c r="F602" s="658"/>
      <c r="G602" s="659"/>
    </row>
    <row r="603" spans="2:9" ht="31.5" customHeight="1" thickBot="1">
      <c r="B603" s="257" t="s">
        <v>871</v>
      </c>
      <c r="C603" s="248"/>
      <c r="D603" s="644" t="str">
        <f>'1PROJE'!$F$3</f>
        <v>GÜRKAN BEY</v>
      </c>
      <c r="E603" s="645"/>
      <c r="F603" s="645"/>
      <c r="G603" s="646"/>
    </row>
    <row r="604" spans="2:9" ht="31.5" customHeight="1" thickBot="1">
      <c r="B604" s="257" t="s">
        <v>356</v>
      </c>
      <c r="C604" s="248"/>
      <c r="D604" s="647" t="e" cm="1">
        <f t="array" aca="1" ref="D604" ca="1">INDIRECT("xHesaplama!I"&amp;""&amp;ROW(D604)+70-7*ROUNDDOWN(ROW(D604)/8,0))</f>
        <v>#N/A</v>
      </c>
      <c r="E604" s="648"/>
      <c r="F604" s="648"/>
      <c r="G604" s="649"/>
    </row>
    <row r="605" spans="2:9" ht="31.5" customHeight="1" thickBot="1">
      <c r="B605" s="257" t="s">
        <v>342</v>
      </c>
      <c r="C605" s="248"/>
      <c r="D605" s="650" t="str">
        <f>$H$1</f>
        <v>KUTU</v>
      </c>
      <c r="E605" s="651"/>
      <c r="F605" s="651"/>
      <c r="G605" s="652"/>
    </row>
    <row r="606" spans="2:9" ht="31.5" customHeight="1" thickBot="1">
      <c r="B606" s="257" t="s">
        <v>114</v>
      </c>
      <c r="C606" s="248"/>
      <c r="D606" s="653" t="str">
        <f>'1PROJE'!$G$3</f>
        <v>Z 5001</v>
      </c>
      <c r="E606" s="654"/>
      <c r="F606" s="654"/>
      <c r="G606" s="655"/>
      <c r="I606" s="250"/>
    </row>
    <row r="607" spans="2:9" ht="31.5" customHeight="1" thickBot="1">
      <c r="B607" s="257" t="s">
        <v>98</v>
      </c>
      <c r="D607" s="331" cm="1">
        <f t="array" aca="1" ref="D607" ca="1">INDIRECT("xHesaplama!H"&amp;""&amp;ROW(D604)+70-7*ROUNDDOWN(ROW(D604)/8,0))</f>
        <v>0</v>
      </c>
      <c r="E607" s="332"/>
      <c r="F607" s="642" t="e">
        <f ca="1">VLOOKUP(LEFT(D607,6),$J$2:$K$21,2,0)</f>
        <v>#N/A</v>
      </c>
      <c r="G607" s="643"/>
    </row>
    <row r="608" spans="2:9" ht="31.5" customHeight="1" thickBot="1">
      <c r="B608" s="257" t="s">
        <v>832</v>
      </c>
      <c r="D608" s="252" t="s">
        <v>359</v>
      </c>
      <c r="E608" s="253" t="e" cm="1">
        <f t="array" aca="1" ref="E608" ca="1">INDIRECT("xHesaplama!J"&amp;""&amp;ROW(D604)+70-7*ROUNDDOWN(ROW(D604)/8,0))</f>
        <v>#N/A</v>
      </c>
      <c r="F608" s="254" t="s">
        <v>358</v>
      </c>
      <c r="G608" s="253" t="e" cm="1">
        <f t="array" aca="1" ref="G608" ca="1">INDIRECT("xHesaplama!K"&amp;""&amp;ROW(D604)+70-7*ROUNDDOWN(ROW(D604)/8,0))</f>
        <v>#N/A</v>
      </c>
    </row>
    <row r="609" spans="2:9" ht="69" customHeight="1" thickBot="1">
      <c r="B609" s="256" t="s">
        <v>869</v>
      </c>
      <c r="C609" s="248"/>
      <c r="D609" s="656"/>
      <c r="E609" s="656"/>
      <c r="F609" s="656"/>
      <c r="G609" s="656"/>
    </row>
    <row r="610" spans="2:9" ht="31.5" customHeight="1" thickBot="1">
      <c r="B610" s="257" t="s">
        <v>870</v>
      </c>
      <c r="C610" s="248"/>
      <c r="D610" s="657" t="str">
        <f>'1PROJE'!$E$3</f>
        <v>GÜNEŞ PEN</v>
      </c>
      <c r="E610" s="658"/>
      <c r="F610" s="658"/>
      <c r="G610" s="659"/>
    </row>
    <row r="611" spans="2:9" ht="31.5" customHeight="1" thickBot="1">
      <c r="B611" s="257" t="s">
        <v>871</v>
      </c>
      <c r="C611" s="248"/>
      <c r="D611" s="644" t="str">
        <f>'1PROJE'!$F$3</f>
        <v>GÜRKAN BEY</v>
      </c>
      <c r="E611" s="645"/>
      <c r="F611" s="645"/>
      <c r="G611" s="646"/>
    </row>
    <row r="612" spans="2:9" ht="31.5" customHeight="1" thickBot="1">
      <c r="B612" s="257" t="s">
        <v>356</v>
      </c>
      <c r="C612" s="248"/>
      <c r="D612" s="647" t="e" cm="1">
        <f t="array" aca="1" ref="D612" ca="1">INDIRECT("xHesaplama!I"&amp;""&amp;ROW(D612)+70-7*ROUNDDOWN(ROW(D612)/8,0))</f>
        <v>#N/A</v>
      </c>
      <c r="E612" s="648"/>
      <c r="F612" s="648"/>
      <c r="G612" s="649"/>
    </row>
    <row r="613" spans="2:9" ht="31.5" customHeight="1" thickBot="1">
      <c r="B613" s="257" t="s">
        <v>342</v>
      </c>
      <c r="C613" s="248"/>
      <c r="D613" s="650" t="str">
        <f>$H$1</f>
        <v>KUTU</v>
      </c>
      <c r="E613" s="651"/>
      <c r="F613" s="651"/>
      <c r="G613" s="652"/>
    </row>
    <row r="614" spans="2:9" ht="31.5" customHeight="1" thickBot="1">
      <c r="B614" s="257" t="s">
        <v>114</v>
      </c>
      <c r="C614" s="248"/>
      <c r="D614" s="653" t="str">
        <f>'1PROJE'!$G$3</f>
        <v>Z 5001</v>
      </c>
      <c r="E614" s="654"/>
      <c r="F614" s="654"/>
      <c r="G614" s="655"/>
      <c r="I614" s="250"/>
    </row>
    <row r="615" spans="2:9" ht="31.5" customHeight="1" thickBot="1">
      <c r="B615" s="257" t="s">
        <v>98</v>
      </c>
      <c r="D615" s="331" cm="1">
        <f t="array" aca="1" ref="D615" ca="1">INDIRECT("xHesaplama!H"&amp;""&amp;ROW(D612)+70-7*ROUNDDOWN(ROW(D612)/8,0))</f>
        <v>0</v>
      </c>
      <c r="E615" s="332"/>
      <c r="F615" s="642" t="e">
        <f ca="1">VLOOKUP(LEFT(D615,6),$J$2:$K$21,2,0)</f>
        <v>#N/A</v>
      </c>
      <c r="G615" s="643"/>
    </row>
    <row r="616" spans="2:9" ht="31.5" customHeight="1" thickBot="1">
      <c r="B616" s="257" t="s">
        <v>832</v>
      </c>
      <c r="D616" s="252" t="s">
        <v>359</v>
      </c>
      <c r="E616" s="253" t="e" cm="1">
        <f t="array" aca="1" ref="E616" ca="1">INDIRECT("xHesaplama!J"&amp;""&amp;ROW(D612)+70-7*ROUNDDOWN(ROW(D612)/8,0))</f>
        <v>#N/A</v>
      </c>
      <c r="F616" s="254" t="s">
        <v>358</v>
      </c>
      <c r="G616" s="253" t="e" cm="1">
        <f t="array" aca="1" ref="G616" ca="1">INDIRECT("xHesaplama!K"&amp;""&amp;ROW(D612)+70-7*ROUNDDOWN(ROW(D612)/8,0))</f>
        <v>#N/A</v>
      </c>
    </row>
    <row r="617" spans="2:9" ht="69" customHeight="1" thickBot="1">
      <c r="B617" s="256" t="s">
        <v>869</v>
      </c>
      <c r="C617" s="248"/>
      <c r="D617" s="656"/>
      <c r="E617" s="656"/>
      <c r="F617" s="656"/>
      <c r="G617" s="656"/>
    </row>
    <row r="618" spans="2:9" ht="31.5" customHeight="1" thickBot="1">
      <c r="B618" s="257" t="s">
        <v>870</v>
      </c>
      <c r="C618" s="248"/>
      <c r="D618" s="657" t="str">
        <f>'1PROJE'!$E$3</f>
        <v>GÜNEŞ PEN</v>
      </c>
      <c r="E618" s="658"/>
      <c r="F618" s="658"/>
      <c r="G618" s="659"/>
    </row>
    <row r="619" spans="2:9" ht="31.5" customHeight="1" thickBot="1">
      <c r="B619" s="257" t="s">
        <v>871</v>
      </c>
      <c r="C619" s="248"/>
      <c r="D619" s="644" t="str">
        <f>'1PROJE'!$F$3</f>
        <v>GÜRKAN BEY</v>
      </c>
      <c r="E619" s="645"/>
      <c r="F619" s="645"/>
      <c r="G619" s="646"/>
    </row>
    <row r="620" spans="2:9" ht="31.5" customHeight="1" thickBot="1">
      <c r="B620" s="257" t="s">
        <v>356</v>
      </c>
      <c r="C620" s="248"/>
      <c r="D620" s="647" t="e" cm="1">
        <f t="array" aca="1" ref="D620" ca="1">INDIRECT("xHesaplama!I"&amp;""&amp;ROW(D620)+70-7*ROUNDDOWN(ROW(D620)/8,0))</f>
        <v>#N/A</v>
      </c>
      <c r="E620" s="648"/>
      <c r="F620" s="648"/>
      <c r="G620" s="649"/>
    </row>
    <row r="621" spans="2:9" ht="31.5" customHeight="1" thickBot="1">
      <c r="B621" s="257" t="s">
        <v>342</v>
      </c>
      <c r="C621" s="248"/>
      <c r="D621" s="650" t="str">
        <f>$H$1</f>
        <v>KUTU</v>
      </c>
      <c r="E621" s="651"/>
      <c r="F621" s="651"/>
      <c r="G621" s="652"/>
    </row>
    <row r="622" spans="2:9" ht="31.5" customHeight="1" thickBot="1">
      <c r="B622" s="257" t="s">
        <v>114</v>
      </c>
      <c r="C622" s="248"/>
      <c r="D622" s="653" t="str">
        <f>'1PROJE'!$G$3</f>
        <v>Z 5001</v>
      </c>
      <c r="E622" s="654"/>
      <c r="F622" s="654"/>
      <c r="G622" s="655"/>
      <c r="I622" s="250"/>
    </row>
    <row r="623" spans="2:9" ht="31.5" customHeight="1" thickBot="1">
      <c r="B623" s="257" t="s">
        <v>98</v>
      </c>
      <c r="D623" s="331" cm="1">
        <f t="array" aca="1" ref="D623" ca="1">INDIRECT("xHesaplama!H"&amp;""&amp;ROW(D620)+70-7*ROUNDDOWN(ROW(D620)/8,0))</f>
        <v>0</v>
      </c>
      <c r="E623" s="332"/>
      <c r="F623" s="642" t="e">
        <f ca="1">VLOOKUP(LEFT(D623,6),$J$2:$K$21,2,0)</f>
        <v>#N/A</v>
      </c>
      <c r="G623" s="643"/>
    </row>
    <row r="624" spans="2:9" ht="31.5" customHeight="1" thickBot="1">
      <c r="B624" s="257" t="s">
        <v>832</v>
      </c>
      <c r="D624" s="252" t="s">
        <v>359</v>
      </c>
      <c r="E624" s="253" t="e" cm="1">
        <f t="array" aca="1" ref="E624" ca="1">INDIRECT("xHesaplama!J"&amp;""&amp;ROW(D620)+70-7*ROUNDDOWN(ROW(D620)/8,0))</f>
        <v>#N/A</v>
      </c>
      <c r="F624" s="254" t="s">
        <v>358</v>
      </c>
      <c r="G624" s="253" t="e" cm="1">
        <f t="array" aca="1" ref="G624" ca="1">INDIRECT("xHesaplama!K"&amp;""&amp;ROW(D620)+70-7*ROUNDDOWN(ROW(D620)/8,0))</f>
        <v>#N/A</v>
      </c>
    </row>
    <row r="625" spans="2:9" ht="69" customHeight="1" thickBot="1">
      <c r="B625" s="256" t="s">
        <v>869</v>
      </c>
      <c r="C625" s="248"/>
      <c r="D625" s="656"/>
      <c r="E625" s="656"/>
      <c r="F625" s="656"/>
      <c r="G625" s="656"/>
    </row>
    <row r="626" spans="2:9" ht="31.5" customHeight="1" thickBot="1">
      <c r="B626" s="257" t="s">
        <v>870</v>
      </c>
      <c r="C626" s="248"/>
      <c r="D626" s="657" t="str">
        <f>'1PROJE'!$E$3</f>
        <v>GÜNEŞ PEN</v>
      </c>
      <c r="E626" s="658"/>
      <c r="F626" s="658"/>
      <c r="G626" s="659"/>
    </row>
    <row r="627" spans="2:9" ht="31.5" customHeight="1" thickBot="1">
      <c r="B627" s="257" t="s">
        <v>871</v>
      </c>
      <c r="C627" s="248"/>
      <c r="D627" s="644" t="str">
        <f>'1PROJE'!$F$3</f>
        <v>GÜRKAN BEY</v>
      </c>
      <c r="E627" s="645"/>
      <c r="F627" s="645"/>
      <c r="G627" s="646"/>
    </row>
    <row r="628" spans="2:9" ht="31.5" customHeight="1" thickBot="1">
      <c r="B628" s="257" t="s">
        <v>356</v>
      </c>
      <c r="C628" s="248"/>
      <c r="D628" s="647" t="e" cm="1">
        <f t="array" aca="1" ref="D628" ca="1">INDIRECT("xHesaplama!I"&amp;""&amp;ROW(D628)+70-7*ROUNDDOWN(ROW(D628)/8,0))</f>
        <v>#N/A</v>
      </c>
      <c r="E628" s="648"/>
      <c r="F628" s="648"/>
      <c r="G628" s="649"/>
    </row>
    <row r="629" spans="2:9" ht="31.5" customHeight="1" thickBot="1">
      <c r="B629" s="257" t="s">
        <v>342</v>
      </c>
      <c r="C629" s="248"/>
      <c r="D629" s="650" t="str">
        <f>$H$1</f>
        <v>KUTU</v>
      </c>
      <c r="E629" s="651"/>
      <c r="F629" s="651"/>
      <c r="G629" s="652"/>
    </row>
    <row r="630" spans="2:9" ht="31.5" customHeight="1" thickBot="1">
      <c r="B630" s="257" t="s">
        <v>114</v>
      </c>
      <c r="C630" s="248"/>
      <c r="D630" s="653" t="str">
        <f>'1PROJE'!$G$3</f>
        <v>Z 5001</v>
      </c>
      <c r="E630" s="654"/>
      <c r="F630" s="654"/>
      <c r="G630" s="655"/>
      <c r="I630" s="250"/>
    </row>
    <row r="631" spans="2:9" ht="31.5" customHeight="1" thickBot="1">
      <c r="B631" s="257" t="s">
        <v>98</v>
      </c>
      <c r="D631" s="331" cm="1">
        <f t="array" aca="1" ref="D631" ca="1">INDIRECT("xHesaplama!H"&amp;""&amp;ROW(D628)+70-7*ROUNDDOWN(ROW(D628)/8,0))</f>
        <v>0</v>
      </c>
      <c r="E631" s="332"/>
      <c r="F631" s="642" t="e">
        <f ca="1">VLOOKUP(LEFT(D631,6),$J$2:$K$21,2,0)</f>
        <v>#N/A</v>
      </c>
      <c r="G631" s="643"/>
    </row>
    <row r="632" spans="2:9" ht="31.5" customHeight="1" thickBot="1">
      <c r="B632" s="257" t="s">
        <v>832</v>
      </c>
      <c r="D632" s="252" t="s">
        <v>359</v>
      </c>
      <c r="E632" s="253" t="e" cm="1">
        <f t="array" aca="1" ref="E632" ca="1">INDIRECT("xHesaplama!J"&amp;""&amp;ROW(D628)+70-7*ROUNDDOWN(ROW(D628)/8,0))</f>
        <v>#N/A</v>
      </c>
      <c r="F632" s="254" t="s">
        <v>358</v>
      </c>
      <c r="G632" s="253" t="e" cm="1">
        <f t="array" aca="1" ref="G632" ca="1">INDIRECT("xHesaplama!K"&amp;""&amp;ROW(D628)+70-7*ROUNDDOWN(ROW(D628)/8,0))</f>
        <v>#N/A</v>
      </c>
    </row>
    <row r="633" spans="2:9" ht="69" customHeight="1" thickBot="1">
      <c r="B633" s="256" t="s">
        <v>869</v>
      </c>
      <c r="C633" s="248"/>
      <c r="D633" s="656"/>
      <c r="E633" s="656"/>
      <c r="F633" s="656"/>
      <c r="G633" s="656"/>
    </row>
    <row r="634" spans="2:9" ht="31.5" customHeight="1" thickBot="1">
      <c r="B634" s="257" t="s">
        <v>870</v>
      </c>
      <c r="C634" s="248"/>
      <c r="D634" s="657" t="str">
        <f>'1PROJE'!$E$3</f>
        <v>GÜNEŞ PEN</v>
      </c>
      <c r="E634" s="658"/>
      <c r="F634" s="658"/>
      <c r="G634" s="659"/>
    </row>
    <row r="635" spans="2:9" ht="31.5" customHeight="1" thickBot="1">
      <c r="B635" s="257" t="s">
        <v>871</v>
      </c>
      <c r="C635" s="248"/>
      <c r="D635" s="644" t="str">
        <f>'1PROJE'!$F$3</f>
        <v>GÜRKAN BEY</v>
      </c>
      <c r="E635" s="645"/>
      <c r="F635" s="645"/>
      <c r="G635" s="646"/>
    </row>
    <row r="636" spans="2:9" ht="31.5" customHeight="1" thickBot="1">
      <c r="B636" s="257" t="s">
        <v>356</v>
      </c>
      <c r="C636" s="248"/>
      <c r="D636" s="647" t="e" cm="1">
        <f t="array" aca="1" ref="D636" ca="1">INDIRECT("xHesaplama!I"&amp;""&amp;ROW(D636)+70-7*ROUNDDOWN(ROW(D636)/8,0))</f>
        <v>#N/A</v>
      </c>
      <c r="E636" s="648"/>
      <c r="F636" s="648"/>
      <c r="G636" s="649"/>
    </row>
    <row r="637" spans="2:9" ht="31.5" customHeight="1" thickBot="1">
      <c r="B637" s="257" t="s">
        <v>342</v>
      </c>
      <c r="C637" s="248"/>
      <c r="D637" s="650" t="str">
        <f>$H$1</f>
        <v>KUTU</v>
      </c>
      <c r="E637" s="651"/>
      <c r="F637" s="651"/>
      <c r="G637" s="652"/>
    </row>
    <row r="638" spans="2:9" ht="31.5" customHeight="1" thickBot="1">
      <c r="B638" s="257" t="s">
        <v>114</v>
      </c>
      <c r="C638" s="248"/>
      <c r="D638" s="653" t="str">
        <f>'1PROJE'!$G$3</f>
        <v>Z 5001</v>
      </c>
      <c r="E638" s="654"/>
      <c r="F638" s="654"/>
      <c r="G638" s="655"/>
      <c r="I638" s="250"/>
    </row>
    <row r="639" spans="2:9" ht="31.5" customHeight="1" thickBot="1">
      <c r="B639" s="257" t="s">
        <v>98</v>
      </c>
      <c r="D639" s="331" cm="1">
        <f t="array" aca="1" ref="D639" ca="1">INDIRECT("xHesaplama!H"&amp;""&amp;ROW(D636)+70-7*ROUNDDOWN(ROW(D636)/8,0))</f>
        <v>0</v>
      </c>
      <c r="E639" s="332"/>
      <c r="F639" s="642" t="e">
        <f ca="1">VLOOKUP(LEFT(D639,6),$J$2:$K$21,2,0)</f>
        <v>#N/A</v>
      </c>
      <c r="G639" s="643"/>
    </row>
    <row r="640" spans="2:9" ht="31.5" customHeight="1" thickBot="1">
      <c r="B640" s="257" t="s">
        <v>832</v>
      </c>
      <c r="D640" s="252" t="s">
        <v>359</v>
      </c>
      <c r="E640" s="253" t="e" cm="1">
        <f t="array" aca="1" ref="E640" ca="1">INDIRECT("xHesaplama!J"&amp;""&amp;ROW(D636)+70-7*ROUNDDOWN(ROW(D636)/8,0))</f>
        <v>#N/A</v>
      </c>
      <c r="F640" s="254" t="s">
        <v>358</v>
      </c>
      <c r="G640" s="253" t="e" cm="1">
        <f t="array" aca="1" ref="G640" ca="1">INDIRECT("xHesaplama!K"&amp;""&amp;ROW(D636)+70-7*ROUNDDOWN(ROW(D636)/8,0))</f>
        <v>#N/A</v>
      </c>
    </row>
    <row r="641" spans="2:9" ht="69" customHeight="1" thickBot="1">
      <c r="B641" s="256" t="s">
        <v>869</v>
      </c>
      <c r="C641" s="248"/>
      <c r="D641" s="656"/>
      <c r="E641" s="656"/>
      <c r="F641" s="656"/>
      <c r="G641" s="656"/>
    </row>
    <row r="642" spans="2:9" ht="31.5" customHeight="1" thickBot="1">
      <c r="B642" s="257" t="s">
        <v>870</v>
      </c>
      <c r="C642" s="248"/>
      <c r="D642" s="657" t="str">
        <f>'1PROJE'!$E$3</f>
        <v>GÜNEŞ PEN</v>
      </c>
      <c r="E642" s="658"/>
      <c r="F642" s="658"/>
      <c r="G642" s="659"/>
    </row>
    <row r="643" spans="2:9" ht="31.5" customHeight="1" thickBot="1">
      <c r="B643" s="257" t="s">
        <v>871</v>
      </c>
      <c r="C643" s="248"/>
      <c r="D643" s="644" t="str">
        <f>'1PROJE'!$F$3</f>
        <v>GÜRKAN BEY</v>
      </c>
      <c r="E643" s="645"/>
      <c r="F643" s="645"/>
      <c r="G643" s="646"/>
    </row>
    <row r="644" spans="2:9" ht="31.5" customHeight="1" thickBot="1">
      <c r="B644" s="257" t="s">
        <v>356</v>
      </c>
      <c r="C644" s="248"/>
      <c r="D644" s="647" t="e" cm="1">
        <f t="array" aca="1" ref="D644" ca="1">INDIRECT("xHesaplama!I"&amp;""&amp;ROW(D644)+70-7*ROUNDDOWN(ROW(D644)/8,0))</f>
        <v>#N/A</v>
      </c>
      <c r="E644" s="648"/>
      <c r="F644" s="648"/>
      <c r="G644" s="649"/>
    </row>
    <row r="645" spans="2:9" ht="31.5" customHeight="1" thickBot="1">
      <c r="B645" s="257" t="s">
        <v>342</v>
      </c>
      <c r="C645" s="248"/>
      <c r="D645" s="650" t="str">
        <f>$H$1</f>
        <v>KUTU</v>
      </c>
      <c r="E645" s="651"/>
      <c r="F645" s="651"/>
      <c r="G645" s="652"/>
    </row>
    <row r="646" spans="2:9" ht="31.5" customHeight="1" thickBot="1">
      <c r="B646" s="257" t="s">
        <v>114</v>
      </c>
      <c r="C646" s="248"/>
      <c r="D646" s="653" t="str">
        <f>'1PROJE'!$G$3</f>
        <v>Z 5001</v>
      </c>
      <c r="E646" s="654"/>
      <c r="F646" s="654"/>
      <c r="G646" s="655"/>
      <c r="I646" s="250"/>
    </row>
    <row r="647" spans="2:9" ht="31.5" customHeight="1" thickBot="1">
      <c r="B647" s="257" t="s">
        <v>98</v>
      </c>
      <c r="D647" s="331" cm="1">
        <f t="array" aca="1" ref="D647" ca="1">INDIRECT("xHesaplama!H"&amp;""&amp;ROW(D644)+70-7*ROUNDDOWN(ROW(D644)/8,0))</f>
        <v>0</v>
      </c>
      <c r="E647" s="332"/>
      <c r="F647" s="642" t="e">
        <f ca="1">VLOOKUP(LEFT(D647,6),$J$2:$K$21,2,0)</f>
        <v>#N/A</v>
      </c>
      <c r="G647" s="643"/>
    </row>
    <row r="648" spans="2:9" ht="31.5" customHeight="1" thickBot="1">
      <c r="B648" s="257" t="s">
        <v>832</v>
      </c>
      <c r="D648" s="252" t="s">
        <v>359</v>
      </c>
      <c r="E648" s="253" t="e" cm="1">
        <f t="array" aca="1" ref="E648" ca="1">INDIRECT("xHesaplama!J"&amp;""&amp;ROW(D644)+70-7*ROUNDDOWN(ROW(D644)/8,0))</f>
        <v>#N/A</v>
      </c>
      <c r="F648" s="254" t="s">
        <v>358</v>
      </c>
      <c r="G648" s="253" t="e" cm="1">
        <f t="array" aca="1" ref="G648" ca="1">INDIRECT("xHesaplama!K"&amp;""&amp;ROW(D644)+70-7*ROUNDDOWN(ROW(D644)/8,0))</f>
        <v>#N/A</v>
      </c>
    </row>
    <row r="649" spans="2:9" ht="69" customHeight="1" thickBot="1">
      <c r="B649" s="256" t="s">
        <v>869</v>
      </c>
      <c r="C649" s="248"/>
      <c r="D649" s="656"/>
      <c r="E649" s="656"/>
      <c r="F649" s="656"/>
      <c r="G649" s="656"/>
    </row>
    <row r="650" spans="2:9" ht="31.5" customHeight="1" thickBot="1">
      <c r="B650" s="257" t="s">
        <v>870</v>
      </c>
      <c r="C650" s="248"/>
      <c r="D650" s="657" t="str">
        <f>'1PROJE'!$E$3</f>
        <v>GÜNEŞ PEN</v>
      </c>
      <c r="E650" s="658"/>
      <c r="F650" s="658"/>
      <c r="G650" s="659"/>
    </row>
    <row r="651" spans="2:9" ht="31.5" customHeight="1" thickBot="1">
      <c r="B651" s="257" t="s">
        <v>871</v>
      </c>
      <c r="C651" s="248"/>
      <c r="D651" s="644" t="str">
        <f>'1PROJE'!$F$3</f>
        <v>GÜRKAN BEY</v>
      </c>
      <c r="E651" s="645"/>
      <c r="F651" s="645"/>
      <c r="G651" s="646"/>
    </row>
    <row r="652" spans="2:9" ht="31.5" customHeight="1" thickBot="1">
      <c r="B652" s="257" t="s">
        <v>356</v>
      </c>
      <c r="C652" s="248"/>
      <c r="D652" s="647" t="e" cm="1">
        <f t="array" aca="1" ref="D652" ca="1">INDIRECT("xHesaplama!I"&amp;""&amp;ROW(D652)+70-7*ROUNDDOWN(ROW(D652)/8,0))</f>
        <v>#N/A</v>
      </c>
      <c r="E652" s="648"/>
      <c r="F652" s="648"/>
      <c r="G652" s="649"/>
    </row>
    <row r="653" spans="2:9" ht="31.5" customHeight="1" thickBot="1">
      <c r="B653" s="257" t="s">
        <v>342</v>
      </c>
      <c r="C653" s="248"/>
      <c r="D653" s="650" t="str">
        <f>$H$1</f>
        <v>KUTU</v>
      </c>
      <c r="E653" s="651"/>
      <c r="F653" s="651"/>
      <c r="G653" s="652"/>
    </row>
    <row r="654" spans="2:9" ht="31.5" customHeight="1" thickBot="1">
      <c r="B654" s="257" t="s">
        <v>114</v>
      </c>
      <c r="C654" s="248"/>
      <c r="D654" s="653" t="str">
        <f>'1PROJE'!$G$3</f>
        <v>Z 5001</v>
      </c>
      <c r="E654" s="654"/>
      <c r="F654" s="654"/>
      <c r="G654" s="655"/>
      <c r="I654" s="250"/>
    </row>
    <row r="655" spans="2:9" ht="31.5" customHeight="1" thickBot="1">
      <c r="B655" s="257" t="s">
        <v>98</v>
      </c>
      <c r="D655" s="331" cm="1">
        <f t="array" aca="1" ref="D655" ca="1">INDIRECT("xHesaplama!H"&amp;""&amp;ROW(D652)+70-7*ROUNDDOWN(ROW(D652)/8,0))</f>
        <v>0</v>
      </c>
      <c r="E655" s="332"/>
      <c r="F655" s="642" t="e">
        <f ca="1">VLOOKUP(LEFT(D655,6),$J$2:$K$21,2,0)</f>
        <v>#N/A</v>
      </c>
      <c r="G655" s="643"/>
    </row>
    <row r="656" spans="2:9" ht="31.5" customHeight="1" thickBot="1">
      <c r="B656" s="257" t="s">
        <v>832</v>
      </c>
      <c r="D656" s="252" t="s">
        <v>359</v>
      </c>
      <c r="E656" s="253" t="e" cm="1">
        <f t="array" aca="1" ref="E656" ca="1">INDIRECT("xHesaplama!J"&amp;""&amp;ROW(D652)+70-7*ROUNDDOWN(ROW(D652)/8,0))</f>
        <v>#N/A</v>
      </c>
      <c r="F656" s="254" t="s">
        <v>358</v>
      </c>
      <c r="G656" s="253" t="e" cm="1">
        <f t="array" aca="1" ref="G656" ca="1">INDIRECT("xHesaplama!K"&amp;""&amp;ROW(D652)+70-7*ROUNDDOWN(ROW(D652)/8,0))</f>
        <v>#N/A</v>
      </c>
    </row>
    <row r="657" spans="2:9" ht="69" customHeight="1" thickBot="1">
      <c r="B657" s="256" t="s">
        <v>869</v>
      </c>
      <c r="C657" s="248"/>
      <c r="D657" s="656"/>
      <c r="E657" s="656"/>
      <c r="F657" s="656"/>
      <c r="G657" s="656"/>
    </row>
    <row r="658" spans="2:9" ht="31.5" customHeight="1" thickBot="1">
      <c r="B658" s="257" t="s">
        <v>870</v>
      </c>
      <c r="C658" s="248"/>
      <c r="D658" s="657" t="str">
        <f>'1PROJE'!$E$3</f>
        <v>GÜNEŞ PEN</v>
      </c>
      <c r="E658" s="658"/>
      <c r="F658" s="658"/>
      <c r="G658" s="659"/>
    </row>
    <row r="659" spans="2:9" ht="31.5" customHeight="1" thickBot="1">
      <c r="B659" s="257" t="s">
        <v>871</v>
      </c>
      <c r="C659" s="248"/>
      <c r="D659" s="644" t="str">
        <f>'1PROJE'!$F$3</f>
        <v>GÜRKAN BEY</v>
      </c>
      <c r="E659" s="645"/>
      <c r="F659" s="645"/>
      <c r="G659" s="646"/>
    </row>
    <row r="660" spans="2:9" ht="31.5" customHeight="1" thickBot="1">
      <c r="B660" s="257" t="s">
        <v>356</v>
      </c>
      <c r="C660" s="248"/>
      <c r="D660" s="647" t="e" cm="1">
        <f t="array" aca="1" ref="D660" ca="1">INDIRECT("xHesaplama!I"&amp;""&amp;ROW(D660)+70-7*ROUNDDOWN(ROW(D660)/8,0))</f>
        <v>#N/A</v>
      </c>
      <c r="E660" s="648"/>
      <c r="F660" s="648"/>
      <c r="G660" s="649"/>
    </row>
    <row r="661" spans="2:9" ht="31.5" customHeight="1" thickBot="1">
      <c r="B661" s="257" t="s">
        <v>342</v>
      </c>
      <c r="C661" s="248"/>
      <c r="D661" s="650" t="str">
        <f>$H$1</f>
        <v>KUTU</v>
      </c>
      <c r="E661" s="651"/>
      <c r="F661" s="651"/>
      <c r="G661" s="652"/>
    </row>
    <row r="662" spans="2:9" ht="31.5" customHeight="1" thickBot="1">
      <c r="B662" s="257" t="s">
        <v>114</v>
      </c>
      <c r="C662" s="248"/>
      <c r="D662" s="653" t="str">
        <f>'1PROJE'!$G$3</f>
        <v>Z 5001</v>
      </c>
      <c r="E662" s="654"/>
      <c r="F662" s="654"/>
      <c r="G662" s="655"/>
      <c r="I662" s="250"/>
    </row>
    <row r="663" spans="2:9" ht="31.5" customHeight="1" thickBot="1">
      <c r="B663" s="257" t="s">
        <v>98</v>
      </c>
      <c r="D663" s="331" cm="1">
        <f t="array" aca="1" ref="D663" ca="1">INDIRECT("xHesaplama!H"&amp;""&amp;ROW(D660)+70-7*ROUNDDOWN(ROW(D660)/8,0))</f>
        <v>0</v>
      </c>
      <c r="E663" s="332"/>
      <c r="F663" s="642" t="e">
        <f ca="1">VLOOKUP(LEFT(D663,6),$J$2:$K$21,2,0)</f>
        <v>#N/A</v>
      </c>
      <c r="G663" s="643"/>
    </row>
    <row r="664" spans="2:9" ht="31.5" customHeight="1" thickBot="1">
      <c r="B664" s="257" t="s">
        <v>832</v>
      </c>
      <c r="D664" s="252" t="s">
        <v>359</v>
      </c>
      <c r="E664" s="253" t="e" cm="1">
        <f t="array" aca="1" ref="E664" ca="1">INDIRECT("xHesaplama!J"&amp;""&amp;ROW(D660)+70-7*ROUNDDOWN(ROW(D660)/8,0))</f>
        <v>#N/A</v>
      </c>
      <c r="F664" s="254" t="s">
        <v>358</v>
      </c>
      <c r="G664" s="253" t="e" cm="1">
        <f t="array" aca="1" ref="G664" ca="1">INDIRECT("xHesaplama!K"&amp;""&amp;ROW(D660)+70-7*ROUNDDOWN(ROW(D660)/8,0))</f>
        <v>#N/A</v>
      </c>
    </row>
    <row r="665" spans="2:9" ht="69" customHeight="1" thickBot="1">
      <c r="B665" s="256" t="s">
        <v>869</v>
      </c>
      <c r="C665" s="248"/>
      <c r="D665" s="656"/>
      <c r="E665" s="656"/>
      <c r="F665" s="656"/>
      <c r="G665" s="656"/>
    </row>
    <row r="666" spans="2:9" ht="31.5" customHeight="1" thickBot="1">
      <c r="B666" s="257" t="s">
        <v>870</v>
      </c>
      <c r="C666" s="248"/>
      <c r="D666" s="657" t="str">
        <f>'1PROJE'!$E$3</f>
        <v>GÜNEŞ PEN</v>
      </c>
      <c r="E666" s="658"/>
      <c r="F666" s="658"/>
      <c r="G666" s="659"/>
    </row>
    <row r="667" spans="2:9" ht="31.5" customHeight="1" thickBot="1">
      <c r="B667" s="257" t="s">
        <v>871</v>
      </c>
      <c r="C667" s="248"/>
      <c r="D667" s="644" t="str">
        <f>'1PROJE'!$F$3</f>
        <v>GÜRKAN BEY</v>
      </c>
      <c r="E667" s="645"/>
      <c r="F667" s="645"/>
      <c r="G667" s="646"/>
    </row>
    <row r="668" spans="2:9" ht="31.5" customHeight="1" thickBot="1">
      <c r="B668" s="257" t="s">
        <v>356</v>
      </c>
      <c r="C668" s="248"/>
      <c r="D668" s="647" t="e" cm="1">
        <f t="array" aca="1" ref="D668" ca="1">INDIRECT("xHesaplama!I"&amp;""&amp;ROW(D668)+70-7*ROUNDDOWN(ROW(D668)/8,0))</f>
        <v>#N/A</v>
      </c>
      <c r="E668" s="648"/>
      <c r="F668" s="648"/>
      <c r="G668" s="649"/>
    </row>
    <row r="669" spans="2:9" ht="31.5" customHeight="1" thickBot="1">
      <c r="B669" s="257" t="s">
        <v>342</v>
      </c>
      <c r="C669" s="248"/>
      <c r="D669" s="650" t="str">
        <f>$H$1</f>
        <v>KUTU</v>
      </c>
      <c r="E669" s="651"/>
      <c r="F669" s="651"/>
      <c r="G669" s="652"/>
    </row>
    <row r="670" spans="2:9" ht="31.5" customHeight="1" thickBot="1">
      <c r="B670" s="257" t="s">
        <v>114</v>
      </c>
      <c r="C670" s="248"/>
      <c r="D670" s="653" t="str">
        <f>'1PROJE'!$G$3</f>
        <v>Z 5001</v>
      </c>
      <c r="E670" s="654"/>
      <c r="F670" s="654"/>
      <c r="G670" s="655"/>
      <c r="I670" s="250"/>
    </row>
    <row r="671" spans="2:9" ht="31.5" customHeight="1" thickBot="1">
      <c r="B671" s="257" t="s">
        <v>98</v>
      </c>
      <c r="D671" s="331" cm="1">
        <f t="array" aca="1" ref="D671" ca="1">INDIRECT("xHesaplama!H"&amp;""&amp;ROW(D668)+70-7*ROUNDDOWN(ROW(D668)/8,0))</f>
        <v>0</v>
      </c>
      <c r="E671" s="332"/>
      <c r="F671" s="642" t="e">
        <f ca="1">VLOOKUP(LEFT(D671,6),$J$2:$K$21,2,0)</f>
        <v>#N/A</v>
      </c>
      <c r="G671" s="643"/>
    </row>
    <row r="672" spans="2:9" ht="31.5" customHeight="1" thickBot="1">
      <c r="B672" s="257" t="s">
        <v>832</v>
      </c>
      <c r="D672" s="252" t="s">
        <v>359</v>
      </c>
      <c r="E672" s="253" t="e" cm="1">
        <f t="array" aca="1" ref="E672" ca="1">INDIRECT("xHesaplama!J"&amp;""&amp;ROW(D668)+70-7*ROUNDDOWN(ROW(D668)/8,0))</f>
        <v>#N/A</v>
      </c>
      <c r="F672" s="254" t="s">
        <v>358</v>
      </c>
      <c r="G672" s="253" t="e" cm="1">
        <f t="array" aca="1" ref="G672" ca="1">INDIRECT("xHesaplama!K"&amp;""&amp;ROW(D668)+70-7*ROUNDDOWN(ROW(D668)/8,0))</f>
        <v>#N/A</v>
      </c>
    </row>
    <row r="673" spans="2:9" ht="69" customHeight="1" thickBot="1">
      <c r="B673" s="256" t="s">
        <v>869</v>
      </c>
      <c r="C673" s="248"/>
      <c r="D673" s="656"/>
      <c r="E673" s="656"/>
      <c r="F673" s="656"/>
      <c r="G673" s="656"/>
    </row>
    <row r="674" spans="2:9" ht="31.5" customHeight="1" thickBot="1">
      <c r="B674" s="257" t="s">
        <v>870</v>
      </c>
      <c r="C674" s="248"/>
      <c r="D674" s="657" t="str">
        <f>'1PROJE'!$E$3</f>
        <v>GÜNEŞ PEN</v>
      </c>
      <c r="E674" s="658"/>
      <c r="F674" s="658"/>
      <c r="G674" s="659"/>
    </row>
    <row r="675" spans="2:9" ht="31.5" customHeight="1" thickBot="1">
      <c r="B675" s="257" t="s">
        <v>871</v>
      </c>
      <c r="C675" s="248"/>
      <c r="D675" s="644" t="str">
        <f>'1PROJE'!$F$3</f>
        <v>GÜRKAN BEY</v>
      </c>
      <c r="E675" s="645"/>
      <c r="F675" s="645"/>
      <c r="G675" s="646"/>
    </row>
    <row r="676" spans="2:9" ht="31.5" customHeight="1" thickBot="1">
      <c r="B676" s="257" t="s">
        <v>356</v>
      </c>
      <c r="C676" s="248"/>
      <c r="D676" s="647" t="e" cm="1">
        <f t="array" aca="1" ref="D676" ca="1">INDIRECT("xHesaplama!I"&amp;""&amp;ROW(D676)+70-7*ROUNDDOWN(ROW(D676)/8,0))</f>
        <v>#N/A</v>
      </c>
      <c r="E676" s="648"/>
      <c r="F676" s="648"/>
      <c r="G676" s="649"/>
    </row>
    <row r="677" spans="2:9" ht="31.5" customHeight="1" thickBot="1">
      <c r="B677" s="257" t="s">
        <v>342</v>
      </c>
      <c r="C677" s="248"/>
      <c r="D677" s="650" t="str">
        <f>$H$1</f>
        <v>KUTU</v>
      </c>
      <c r="E677" s="651"/>
      <c r="F677" s="651"/>
      <c r="G677" s="652"/>
    </row>
    <row r="678" spans="2:9" ht="31.5" customHeight="1" thickBot="1">
      <c r="B678" s="257" t="s">
        <v>114</v>
      </c>
      <c r="C678" s="248"/>
      <c r="D678" s="653" t="str">
        <f>'1PROJE'!$G$3</f>
        <v>Z 5001</v>
      </c>
      <c r="E678" s="654"/>
      <c r="F678" s="654"/>
      <c r="G678" s="655"/>
      <c r="I678" s="250"/>
    </row>
    <row r="679" spans="2:9" ht="31.5" customHeight="1" thickBot="1">
      <c r="B679" s="257" t="s">
        <v>98</v>
      </c>
      <c r="D679" s="331" cm="1">
        <f t="array" aca="1" ref="D679" ca="1">INDIRECT("xHesaplama!H"&amp;""&amp;ROW(D676)+70-7*ROUNDDOWN(ROW(D676)/8,0))</f>
        <v>0</v>
      </c>
      <c r="E679" s="332"/>
      <c r="F679" s="642" t="e">
        <f ca="1">VLOOKUP(LEFT(D679,6),$J$2:$K$21,2,0)</f>
        <v>#N/A</v>
      </c>
      <c r="G679" s="643"/>
    </row>
    <row r="680" spans="2:9" ht="31.5" customHeight="1" thickBot="1">
      <c r="B680" s="257" t="s">
        <v>832</v>
      </c>
      <c r="D680" s="252" t="s">
        <v>359</v>
      </c>
      <c r="E680" s="253" t="e" cm="1">
        <f t="array" aca="1" ref="E680" ca="1">INDIRECT("xHesaplama!J"&amp;""&amp;ROW(D676)+70-7*ROUNDDOWN(ROW(D676)/8,0))</f>
        <v>#N/A</v>
      </c>
      <c r="F680" s="254" t="s">
        <v>358</v>
      </c>
      <c r="G680" s="253" t="e" cm="1">
        <f t="array" aca="1" ref="G680" ca="1">INDIRECT("xHesaplama!K"&amp;""&amp;ROW(D676)+70-7*ROUNDDOWN(ROW(D676)/8,0))</f>
        <v>#N/A</v>
      </c>
    </row>
    <row r="681" spans="2:9" ht="69" customHeight="1" thickBot="1">
      <c r="B681" s="256" t="s">
        <v>869</v>
      </c>
      <c r="C681" s="248"/>
      <c r="D681" s="656"/>
      <c r="E681" s="656"/>
      <c r="F681" s="656"/>
      <c r="G681" s="656"/>
    </row>
    <row r="682" spans="2:9" ht="31.5" customHeight="1" thickBot="1">
      <c r="B682" s="257" t="s">
        <v>870</v>
      </c>
      <c r="C682" s="248"/>
      <c r="D682" s="657" t="str">
        <f>'1PROJE'!$E$3</f>
        <v>GÜNEŞ PEN</v>
      </c>
      <c r="E682" s="658"/>
      <c r="F682" s="658"/>
      <c r="G682" s="659"/>
    </row>
    <row r="683" spans="2:9" ht="31.5" customHeight="1" thickBot="1">
      <c r="B683" s="257" t="s">
        <v>871</v>
      </c>
      <c r="C683" s="248"/>
      <c r="D683" s="644" t="str">
        <f>'1PROJE'!$F$3</f>
        <v>GÜRKAN BEY</v>
      </c>
      <c r="E683" s="645"/>
      <c r="F683" s="645"/>
      <c r="G683" s="646"/>
    </row>
    <row r="684" spans="2:9" ht="31.5" customHeight="1" thickBot="1">
      <c r="B684" s="257" t="s">
        <v>356</v>
      </c>
      <c r="C684" s="248"/>
      <c r="D684" s="647" t="e" cm="1">
        <f t="array" aca="1" ref="D684" ca="1">INDIRECT("xHesaplama!I"&amp;""&amp;ROW(D684)+70-7*ROUNDDOWN(ROW(D684)/8,0))</f>
        <v>#N/A</v>
      </c>
      <c r="E684" s="648"/>
      <c r="F684" s="648"/>
      <c r="G684" s="649"/>
    </row>
    <row r="685" spans="2:9" ht="31.5" customHeight="1" thickBot="1">
      <c r="B685" s="257" t="s">
        <v>342</v>
      </c>
      <c r="C685" s="248"/>
      <c r="D685" s="650" t="str">
        <f>$H$1</f>
        <v>KUTU</v>
      </c>
      <c r="E685" s="651"/>
      <c r="F685" s="651"/>
      <c r="G685" s="652"/>
    </row>
    <row r="686" spans="2:9" ht="31.5" customHeight="1" thickBot="1">
      <c r="B686" s="257" t="s">
        <v>114</v>
      </c>
      <c r="C686" s="248"/>
      <c r="D686" s="653" t="str">
        <f>'1PROJE'!$G$3</f>
        <v>Z 5001</v>
      </c>
      <c r="E686" s="654"/>
      <c r="F686" s="654"/>
      <c r="G686" s="655"/>
      <c r="I686" s="250"/>
    </row>
    <row r="687" spans="2:9" ht="31.5" customHeight="1" thickBot="1">
      <c r="B687" s="257" t="s">
        <v>98</v>
      </c>
      <c r="D687" s="331" cm="1">
        <f t="array" aca="1" ref="D687" ca="1">INDIRECT("xHesaplama!H"&amp;""&amp;ROW(D684)+70-7*ROUNDDOWN(ROW(D684)/8,0))</f>
        <v>0</v>
      </c>
      <c r="E687" s="332"/>
      <c r="F687" s="642" t="e">
        <f ca="1">VLOOKUP(LEFT(D687,6),$J$2:$K$21,2,0)</f>
        <v>#N/A</v>
      </c>
      <c r="G687" s="643"/>
    </row>
    <row r="688" spans="2:9" ht="31.5" customHeight="1" thickBot="1">
      <c r="B688" s="257" t="s">
        <v>832</v>
      </c>
      <c r="D688" s="252" t="s">
        <v>359</v>
      </c>
      <c r="E688" s="253" t="e" cm="1">
        <f t="array" aca="1" ref="E688" ca="1">INDIRECT("xHesaplama!J"&amp;""&amp;ROW(D684)+70-7*ROUNDDOWN(ROW(D684)/8,0))</f>
        <v>#N/A</v>
      </c>
      <c r="F688" s="254" t="s">
        <v>358</v>
      </c>
      <c r="G688" s="253" t="e" cm="1">
        <f t="array" aca="1" ref="G688" ca="1">INDIRECT("xHesaplama!K"&amp;""&amp;ROW(D684)+70-7*ROUNDDOWN(ROW(D684)/8,0))</f>
        <v>#N/A</v>
      </c>
    </row>
    <row r="689" spans="2:9" ht="69" customHeight="1" thickBot="1">
      <c r="B689" s="256" t="s">
        <v>869</v>
      </c>
      <c r="C689" s="248"/>
      <c r="D689" s="656"/>
      <c r="E689" s="656"/>
      <c r="F689" s="656"/>
      <c r="G689" s="656"/>
    </row>
    <row r="690" spans="2:9" ht="31.5" customHeight="1" thickBot="1">
      <c r="B690" s="257" t="s">
        <v>870</v>
      </c>
      <c r="C690" s="248"/>
      <c r="D690" s="657" t="str">
        <f>'1PROJE'!$E$3</f>
        <v>GÜNEŞ PEN</v>
      </c>
      <c r="E690" s="658"/>
      <c r="F690" s="658"/>
      <c r="G690" s="659"/>
    </row>
    <row r="691" spans="2:9" ht="31.5" customHeight="1" thickBot="1">
      <c r="B691" s="257" t="s">
        <v>871</v>
      </c>
      <c r="C691" s="248"/>
      <c r="D691" s="644" t="str">
        <f>'1PROJE'!$F$3</f>
        <v>GÜRKAN BEY</v>
      </c>
      <c r="E691" s="645"/>
      <c r="F691" s="645"/>
      <c r="G691" s="646"/>
    </row>
    <row r="692" spans="2:9" ht="31.5" customHeight="1" thickBot="1">
      <c r="B692" s="257" t="s">
        <v>356</v>
      </c>
      <c r="C692" s="248"/>
      <c r="D692" s="647" t="e" cm="1">
        <f t="array" aca="1" ref="D692" ca="1">INDIRECT("xHesaplama!I"&amp;""&amp;ROW(D692)+70-7*ROUNDDOWN(ROW(D692)/8,0))</f>
        <v>#N/A</v>
      </c>
      <c r="E692" s="648"/>
      <c r="F692" s="648"/>
      <c r="G692" s="649"/>
    </row>
    <row r="693" spans="2:9" ht="31.5" customHeight="1" thickBot="1">
      <c r="B693" s="257" t="s">
        <v>342</v>
      </c>
      <c r="C693" s="248"/>
      <c r="D693" s="650" t="str">
        <f>$H$1</f>
        <v>KUTU</v>
      </c>
      <c r="E693" s="651"/>
      <c r="F693" s="651"/>
      <c r="G693" s="652"/>
    </row>
    <row r="694" spans="2:9" ht="31.5" customHeight="1" thickBot="1">
      <c r="B694" s="257" t="s">
        <v>114</v>
      </c>
      <c r="C694" s="248"/>
      <c r="D694" s="653" t="str">
        <f>'1PROJE'!$G$3</f>
        <v>Z 5001</v>
      </c>
      <c r="E694" s="654"/>
      <c r="F694" s="654"/>
      <c r="G694" s="655"/>
      <c r="I694" s="250"/>
    </row>
    <row r="695" spans="2:9" ht="31.5" customHeight="1" thickBot="1">
      <c r="B695" s="257" t="s">
        <v>98</v>
      </c>
      <c r="D695" s="331" cm="1">
        <f t="array" aca="1" ref="D695" ca="1">INDIRECT("xHesaplama!H"&amp;""&amp;ROW(D692)+70-7*ROUNDDOWN(ROW(D692)/8,0))</f>
        <v>0</v>
      </c>
      <c r="E695" s="332"/>
      <c r="F695" s="642" t="e">
        <f ca="1">VLOOKUP(LEFT(D695,6),$J$2:$K$21,2,0)</f>
        <v>#N/A</v>
      </c>
      <c r="G695" s="643"/>
    </row>
    <row r="696" spans="2:9" ht="31.5" customHeight="1" thickBot="1">
      <c r="B696" s="257" t="s">
        <v>832</v>
      </c>
      <c r="D696" s="252" t="s">
        <v>359</v>
      </c>
      <c r="E696" s="253" t="e" cm="1">
        <f t="array" aca="1" ref="E696" ca="1">INDIRECT("xHesaplama!J"&amp;""&amp;ROW(D692)+70-7*ROUNDDOWN(ROW(D692)/8,0))</f>
        <v>#N/A</v>
      </c>
      <c r="F696" s="254" t="s">
        <v>358</v>
      </c>
      <c r="G696" s="253" t="e" cm="1">
        <f t="array" aca="1" ref="G696" ca="1">INDIRECT("xHesaplama!K"&amp;""&amp;ROW(D692)+70-7*ROUNDDOWN(ROW(D692)/8,0))</f>
        <v>#N/A</v>
      </c>
    </row>
    <row r="697" spans="2:9" ht="69" customHeight="1" thickBot="1">
      <c r="B697" s="256" t="s">
        <v>869</v>
      </c>
      <c r="C697" s="248"/>
      <c r="D697" s="656"/>
      <c r="E697" s="656"/>
      <c r="F697" s="656"/>
      <c r="G697" s="656"/>
    </row>
    <row r="698" spans="2:9" ht="31.5" customHeight="1" thickBot="1">
      <c r="B698" s="257" t="s">
        <v>870</v>
      </c>
      <c r="C698" s="248"/>
      <c r="D698" s="657" t="str">
        <f>'1PROJE'!$E$3</f>
        <v>GÜNEŞ PEN</v>
      </c>
      <c r="E698" s="658"/>
      <c r="F698" s="658"/>
      <c r="G698" s="659"/>
    </row>
    <row r="699" spans="2:9" ht="31.5" customHeight="1" thickBot="1">
      <c r="B699" s="257" t="s">
        <v>871</v>
      </c>
      <c r="C699" s="248"/>
      <c r="D699" s="644" t="str">
        <f>'1PROJE'!$F$3</f>
        <v>GÜRKAN BEY</v>
      </c>
      <c r="E699" s="645"/>
      <c r="F699" s="645"/>
      <c r="G699" s="646"/>
    </row>
    <row r="700" spans="2:9" ht="31.5" customHeight="1" thickBot="1">
      <c r="B700" s="257" t="s">
        <v>356</v>
      </c>
      <c r="C700" s="248"/>
      <c r="D700" s="647" t="e" cm="1">
        <f t="array" aca="1" ref="D700" ca="1">INDIRECT("xHesaplama!I"&amp;""&amp;ROW(D700)+70-7*ROUNDDOWN(ROW(D700)/8,0))</f>
        <v>#N/A</v>
      </c>
      <c r="E700" s="648"/>
      <c r="F700" s="648"/>
      <c r="G700" s="649"/>
    </row>
    <row r="701" spans="2:9" ht="31.5" customHeight="1" thickBot="1">
      <c r="B701" s="257" t="s">
        <v>342</v>
      </c>
      <c r="C701" s="248"/>
      <c r="D701" s="650" t="str">
        <f>$H$1</f>
        <v>KUTU</v>
      </c>
      <c r="E701" s="651"/>
      <c r="F701" s="651"/>
      <c r="G701" s="652"/>
    </row>
    <row r="702" spans="2:9" ht="31.5" customHeight="1" thickBot="1">
      <c r="B702" s="257" t="s">
        <v>114</v>
      </c>
      <c r="C702" s="248"/>
      <c r="D702" s="653" t="str">
        <f>'1PROJE'!$G$3</f>
        <v>Z 5001</v>
      </c>
      <c r="E702" s="654"/>
      <c r="F702" s="654"/>
      <c r="G702" s="655"/>
      <c r="I702" s="250"/>
    </row>
    <row r="703" spans="2:9" ht="31.5" customHeight="1" thickBot="1">
      <c r="B703" s="257" t="s">
        <v>98</v>
      </c>
      <c r="D703" s="331" cm="1">
        <f t="array" aca="1" ref="D703" ca="1">INDIRECT("xHesaplama!H"&amp;""&amp;ROW(D700)+70-7*ROUNDDOWN(ROW(D700)/8,0))</f>
        <v>0</v>
      </c>
      <c r="E703" s="332"/>
      <c r="F703" s="642" t="e">
        <f ca="1">VLOOKUP(LEFT(D703,6),$J$2:$K$21,2,0)</f>
        <v>#N/A</v>
      </c>
      <c r="G703" s="643"/>
    </row>
    <row r="704" spans="2:9" ht="31.5" customHeight="1" thickBot="1">
      <c r="B704" s="257" t="s">
        <v>832</v>
      </c>
      <c r="D704" s="252" t="s">
        <v>359</v>
      </c>
      <c r="E704" s="253" t="e" cm="1">
        <f t="array" aca="1" ref="E704" ca="1">INDIRECT("xHesaplama!J"&amp;""&amp;ROW(D700)+70-7*ROUNDDOWN(ROW(D700)/8,0))</f>
        <v>#N/A</v>
      </c>
      <c r="F704" s="254" t="s">
        <v>358</v>
      </c>
      <c r="G704" s="253" t="e" cm="1">
        <f t="array" aca="1" ref="G704" ca="1">INDIRECT("xHesaplama!K"&amp;""&amp;ROW(D700)+70-7*ROUNDDOWN(ROW(D700)/8,0))</f>
        <v>#N/A</v>
      </c>
    </row>
    <row r="705" spans="2:9" ht="69" customHeight="1" thickBot="1">
      <c r="B705" s="256" t="s">
        <v>869</v>
      </c>
      <c r="C705" s="248"/>
      <c r="D705" s="656"/>
      <c r="E705" s="656"/>
      <c r="F705" s="656"/>
      <c r="G705" s="656"/>
    </row>
    <row r="706" spans="2:9" ht="31.5" customHeight="1" thickBot="1">
      <c r="B706" s="257" t="s">
        <v>870</v>
      </c>
      <c r="C706" s="248"/>
      <c r="D706" s="657" t="str">
        <f>'1PROJE'!$E$3</f>
        <v>GÜNEŞ PEN</v>
      </c>
      <c r="E706" s="658"/>
      <c r="F706" s="658"/>
      <c r="G706" s="659"/>
    </row>
    <row r="707" spans="2:9" ht="31.5" customHeight="1" thickBot="1">
      <c r="B707" s="257" t="s">
        <v>871</v>
      </c>
      <c r="C707" s="248"/>
      <c r="D707" s="644" t="str">
        <f>'1PROJE'!$F$3</f>
        <v>GÜRKAN BEY</v>
      </c>
      <c r="E707" s="645"/>
      <c r="F707" s="645"/>
      <c r="G707" s="646"/>
    </row>
    <row r="708" spans="2:9" ht="31.5" customHeight="1" thickBot="1">
      <c r="B708" s="257" t="s">
        <v>356</v>
      </c>
      <c r="C708" s="248"/>
      <c r="D708" s="647" t="e" cm="1">
        <f t="array" aca="1" ref="D708" ca="1">INDIRECT("xHesaplama!I"&amp;""&amp;ROW(D708)+70-7*ROUNDDOWN(ROW(D708)/8,0))</f>
        <v>#N/A</v>
      </c>
      <c r="E708" s="648"/>
      <c r="F708" s="648"/>
      <c r="G708" s="649"/>
    </row>
    <row r="709" spans="2:9" ht="31.5" customHeight="1" thickBot="1">
      <c r="B709" s="257" t="s">
        <v>342</v>
      </c>
      <c r="C709" s="248"/>
      <c r="D709" s="650" t="str">
        <f>$H$1</f>
        <v>KUTU</v>
      </c>
      <c r="E709" s="651"/>
      <c r="F709" s="651"/>
      <c r="G709" s="652"/>
    </row>
    <row r="710" spans="2:9" ht="31.5" customHeight="1" thickBot="1">
      <c r="B710" s="257" t="s">
        <v>114</v>
      </c>
      <c r="C710" s="248"/>
      <c r="D710" s="653" t="str">
        <f>'1PROJE'!$G$3</f>
        <v>Z 5001</v>
      </c>
      <c r="E710" s="654"/>
      <c r="F710" s="654"/>
      <c r="G710" s="655"/>
      <c r="I710" s="250"/>
    </row>
    <row r="711" spans="2:9" ht="31.5" customHeight="1" thickBot="1">
      <c r="B711" s="257" t="s">
        <v>98</v>
      </c>
      <c r="D711" s="331" cm="1">
        <f t="array" aca="1" ref="D711" ca="1">INDIRECT("xHesaplama!H"&amp;""&amp;ROW(D708)+70-7*ROUNDDOWN(ROW(D708)/8,0))</f>
        <v>0</v>
      </c>
      <c r="E711" s="332"/>
      <c r="F711" s="642" t="e">
        <f ca="1">VLOOKUP(LEFT(D711,6),$J$2:$K$21,2,0)</f>
        <v>#N/A</v>
      </c>
      <c r="G711" s="643"/>
    </row>
    <row r="712" spans="2:9" ht="31.5" customHeight="1" thickBot="1">
      <c r="B712" s="257" t="s">
        <v>832</v>
      </c>
      <c r="D712" s="252" t="s">
        <v>359</v>
      </c>
      <c r="E712" s="253" t="e" cm="1">
        <f t="array" aca="1" ref="E712" ca="1">INDIRECT("xHesaplama!J"&amp;""&amp;ROW(D708)+70-7*ROUNDDOWN(ROW(D708)/8,0))</f>
        <v>#N/A</v>
      </c>
      <c r="F712" s="254" t="s">
        <v>358</v>
      </c>
      <c r="G712" s="253" t="e" cm="1">
        <f t="array" aca="1" ref="G712" ca="1">INDIRECT("xHesaplama!K"&amp;""&amp;ROW(D708)+70-7*ROUNDDOWN(ROW(D708)/8,0))</f>
        <v>#N/A</v>
      </c>
    </row>
    <row r="713" spans="2:9" ht="69" customHeight="1" thickBot="1">
      <c r="B713" s="256" t="s">
        <v>869</v>
      </c>
      <c r="C713" s="248"/>
      <c r="D713" s="656"/>
      <c r="E713" s="656"/>
      <c r="F713" s="656"/>
      <c r="G713" s="656"/>
    </row>
    <row r="714" spans="2:9" ht="31.5" customHeight="1" thickBot="1">
      <c r="B714" s="257" t="s">
        <v>870</v>
      </c>
      <c r="C714" s="248"/>
      <c r="D714" s="657" t="str">
        <f>'1PROJE'!$E$3</f>
        <v>GÜNEŞ PEN</v>
      </c>
      <c r="E714" s="658"/>
      <c r="F714" s="658"/>
      <c r="G714" s="659"/>
    </row>
    <row r="715" spans="2:9" ht="31.5" customHeight="1" thickBot="1">
      <c r="B715" s="257" t="s">
        <v>871</v>
      </c>
      <c r="C715" s="248"/>
      <c r="D715" s="644" t="str">
        <f>'1PROJE'!$F$3</f>
        <v>GÜRKAN BEY</v>
      </c>
      <c r="E715" s="645"/>
      <c r="F715" s="645"/>
      <c r="G715" s="646"/>
    </row>
    <row r="716" spans="2:9" ht="31.5" customHeight="1" thickBot="1">
      <c r="B716" s="257" t="s">
        <v>356</v>
      </c>
      <c r="C716" s="248"/>
      <c r="D716" s="647" t="e" cm="1">
        <f t="array" aca="1" ref="D716" ca="1">INDIRECT("xHesaplama!I"&amp;""&amp;ROW(D716)+70-7*ROUNDDOWN(ROW(D716)/8,0))</f>
        <v>#N/A</v>
      </c>
      <c r="E716" s="648"/>
      <c r="F716" s="648"/>
      <c r="G716" s="649"/>
    </row>
    <row r="717" spans="2:9" ht="31.5" customHeight="1" thickBot="1">
      <c r="B717" s="257" t="s">
        <v>342</v>
      </c>
      <c r="C717" s="248"/>
      <c r="D717" s="650" t="str">
        <f>$H$1</f>
        <v>KUTU</v>
      </c>
      <c r="E717" s="651"/>
      <c r="F717" s="651"/>
      <c r="G717" s="652"/>
    </row>
    <row r="718" spans="2:9" ht="31.5" customHeight="1" thickBot="1">
      <c r="B718" s="257" t="s">
        <v>114</v>
      </c>
      <c r="C718" s="248"/>
      <c r="D718" s="653" t="str">
        <f>'1PROJE'!$G$3</f>
        <v>Z 5001</v>
      </c>
      <c r="E718" s="654"/>
      <c r="F718" s="654"/>
      <c r="G718" s="655"/>
      <c r="I718" s="250"/>
    </row>
    <row r="719" spans="2:9" ht="31.5" customHeight="1" thickBot="1">
      <c r="B719" s="257" t="s">
        <v>98</v>
      </c>
      <c r="D719" s="331" cm="1">
        <f t="array" aca="1" ref="D719" ca="1">INDIRECT("xHesaplama!H"&amp;""&amp;ROW(D716)+70-7*ROUNDDOWN(ROW(D716)/8,0))</f>
        <v>0</v>
      </c>
      <c r="E719" s="332"/>
      <c r="F719" s="642" t="e">
        <f ca="1">VLOOKUP(LEFT(D719,6),$J$2:$K$21,2,0)</f>
        <v>#N/A</v>
      </c>
      <c r="G719" s="643"/>
    </row>
    <row r="720" spans="2:9" ht="31.5" customHeight="1" thickBot="1">
      <c r="B720" s="257" t="s">
        <v>832</v>
      </c>
      <c r="D720" s="252" t="s">
        <v>359</v>
      </c>
      <c r="E720" s="253" t="e" cm="1">
        <f t="array" aca="1" ref="E720" ca="1">INDIRECT("xHesaplama!J"&amp;""&amp;ROW(D716)+70-7*ROUNDDOWN(ROW(D716)/8,0))</f>
        <v>#N/A</v>
      </c>
      <c r="F720" s="254" t="s">
        <v>358</v>
      </c>
      <c r="G720" s="253" t="e" cm="1">
        <f t="array" aca="1" ref="G720" ca="1">INDIRECT("xHesaplama!K"&amp;""&amp;ROW(D716)+70-7*ROUNDDOWN(ROW(D716)/8,0))</f>
        <v>#N/A</v>
      </c>
    </row>
    <row r="721" spans="2:9" ht="69" customHeight="1" thickBot="1">
      <c r="B721" s="256" t="s">
        <v>869</v>
      </c>
      <c r="C721" s="248"/>
      <c r="D721" s="656"/>
      <c r="E721" s="656"/>
      <c r="F721" s="656"/>
      <c r="G721" s="656"/>
    </row>
    <row r="722" spans="2:9" ht="31.5" customHeight="1" thickBot="1">
      <c r="B722" s="257" t="s">
        <v>870</v>
      </c>
      <c r="C722" s="248"/>
      <c r="D722" s="657" t="str">
        <f>'1PROJE'!$E$3</f>
        <v>GÜNEŞ PEN</v>
      </c>
      <c r="E722" s="658"/>
      <c r="F722" s="658"/>
      <c r="G722" s="659"/>
    </row>
    <row r="723" spans="2:9" ht="31.5" customHeight="1" thickBot="1">
      <c r="B723" s="257" t="s">
        <v>871</v>
      </c>
      <c r="C723" s="248"/>
      <c r="D723" s="644" t="str">
        <f>'1PROJE'!$F$3</f>
        <v>GÜRKAN BEY</v>
      </c>
      <c r="E723" s="645"/>
      <c r="F723" s="645"/>
      <c r="G723" s="646"/>
    </row>
    <row r="724" spans="2:9" ht="31.5" customHeight="1" thickBot="1">
      <c r="B724" s="257" t="s">
        <v>356</v>
      </c>
      <c r="C724" s="248"/>
      <c r="D724" s="647" t="e" cm="1">
        <f t="array" aca="1" ref="D724" ca="1">INDIRECT("xHesaplama!I"&amp;""&amp;ROW(D724)+70-7*ROUNDDOWN(ROW(D724)/8,0))</f>
        <v>#N/A</v>
      </c>
      <c r="E724" s="648"/>
      <c r="F724" s="648"/>
      <c r="G724" s="649"/>
    </row>
    <row r="725" spans="2:9" ht="31.5" customHeight="1" thickBot="1">
      <c r="B725" s="257" t="s">
        <v>342</v>
      </c>
      <c r="C725" s="248"/>
      <c r="D725" s="650" t="str">
        <f>$H$1</f>
        <v>KUTU</v>
      </c>
      <c r="E725" s="651"/>
      <c r="F725" s="651"/>
      <c r="G725" s="652"/>
    </row>
    <row r="726" spans="2:9" ht="31.5" customHeight="1" thickBot="1">
      <c r="B726" s="257" t="s">
        <v>114</v>
      </c>
      <c r="C726" s="248"/>
      <c r="D726" s="653" t="str">
        <f>'1PROJE'!$G$3</f>
        <v>Z 5001</v>
      </c>
      <c r="E726" s="654"/>
      <c r="F726" s="654"/>
      <c r="G726" s="655"/>
      <c r="I726" s="250"/>
    </row>
    <row r="727" spans="2:9" ht="31.5" customHeight="1" thickBot="1">
      <c r="B727" s="257" t="s">
        <v>98</v>
      </c>
      <c r="D727" s="331" cm="1">
        <f t="array" aca="1" ref="D727" ca="1">INDIRECT("xHesaplama!H"&amp;""&amp;ROW(D724)+70-7*ROUNDDOWN(ROW(D724)/8,0))</f>
        <v>0</v>
      </c>
      <c r="E727" s="332"/>
      <c r="F727" s="642" t="e">
        <f ca="1">VLOOKUP(LEFT(D727,6),$J$2:$K$21,2,0)</f>
        <v>#N/A</v>
      </c>
      <c r="G727" s="643"/>
    </row>
    <row r="728" spans="2:9" ht="31.5" customHeight="1" thickBot="1">
      <c r="B728" s="257" t="s">
        <v>832</v>
      </c>
      <c r="D728" s="252" t="s">
        <v>359</v>
      </c>
      <c r="E728" s="253" t="e" cm="1">
        <f t="array" aca="1" ref="E728" ca="1">INDIRECT("xHesaplama!J"&amp;""&amp;ROW(D724)+70-7*ROUNDDOWN(ROW(D724)/8,0))</f>
        <v>#N/A</v>
      </c>
      <c r="F728" s="254" t="s">
        <v>358</v>
      </c>
      <c r="G728" s="253" t="e" cm="1">
        <f t="array" aca="1" ref="G728" ca="1">INDIRECT("xHesaplama!K"&amp;""&amp;ROW(D724)+70-7*ROUNDDOWN(ROW(D724)/8,0))</f>
        <v>#N/A</v>
      </c>
    </row>
    <row r="729" spans="2:9" ht="69" customHeight="1" thickBot="1">
      <c r="B729" s="256" t="s">
        <v>869</v>
      </c>
      <c r="C729" s="248"/>
      <c r="D729" s="656"/>
      <c r="E729" s="656"/>
      <c r="F729" s="656"/>
      <c r="G729" s="656"/>
    </row>
    <row r="730" spans="2:9" ht="31.5" customHeight="1" thickBot="1">
      <c r="B730" s="257" t="s">
        <v>870</v>
      </c>
      <c r="C730" s="248"/>
      <c r="D730" s="657" t="str">
        <f>'1PROJE'!$E$3</f>
        <v>GÜNEŞ PEN</v>
      </c>
      <c r="E730" s="658"/>
      <c r="F730" s="658"/>
      <c r="G730" s="659"/>
    </row>
    <row r="731" spans="2:9" ht="31.5" customHeight="1" thickBot="1">
      <c r="B731" s="257" t="s">
        <v>871</v>
      </c>
      <c r="C731" s="248"/>
      <c r="D731" s="644" t="str">
        <f>'1PROJE'!$F$3</f>
        <v>GÜRKAN BEY</v>
      </c>
      <c r="E731" s="645"/>
      <c r="F731" s="645"/>
      <c r="G731" s="646"/>
    </row>
    <row r="732" spans="2:9" ht="31.5" customHeight="1" thickBot="1">
      <c r="B732" s="257" t="s">
        <v>356</v>
      </c>
      <c r="C732" s="248"/>
      <c r="D732" s="647" t="e" cm="1">
        <f t="array" aca="1" ref="D732" ca="1">INDIRECT("xHesaplama!I"&amp;""&amp;ROW(D732)+70-7*ROUNDDOWN(ROW(D732)/8,0))</f>
        <v>#N/A</v>
      </c>
      <c r="E732" s="648"/>
      <c r="F732" s="648"/>
      <c r="G732" s="649"/>
    </row>
    <row r="733" spans="2:9" ht="31.5" customHeight="1" thickBot="1">
      <c r="B733" s="257" t="s">
        <v>342</v>
      </c>
      <c r="C733" s="248"/>
      <c r="D733" s="650" t="str">
        <f>$H$1</f>
        <v>KUTU</v>
      </c>
      <c r="E733" s="651"/>
      <c r="F733" s="651"/>
      <c r="G733" s="652"/>
    </row>
    <row r="734" spans="2:9" ht="31.5" customHeight="1" thickBot="1">
      <c r="B734" s="257" t="s">
        <v>114</v>
      </c>
      <c r="C734" s="248"/>
      <c r="D734" s="653" t="str">
        <f>'1PROJE'!$G$3</f>
        <v>Z 5001</v>
      </c>
      <c r="E734" s="654"/>
      <c r="F734" s="654"/>
      <c r="G734" s="655"/>
      <c r="I734" s="250"/>
    </row>
    <row r="735" spans="2:9" ht="31.5" customHeight="1" thickBot="1">
      <c r="B735" s="257" t="s">
        <v>98</v>
      </c>
      <c r="D735" s="331" cm="1">
        <f t="array" aca="1" ref="D735" ca="1">INDIRECT("xHesaplama!H"&amp;""&amp;ROW(D732)+70-7*ROUNDDOWN(ROW(D732)/8,0))</f>
        <v>0</v>
      </c>
      <c r="E735" s="332"/>
      <c r="F735" s="642" t="e">
        <f ca="1">VLOOKUP(LEFT(D735,6),$J$2:$K$21,2,0)</f>
        <v>#N/A</v>
      </c>
      <c r="G735" s="643"/>
    </row>
    <row r="736" spans="2:9" ht="31.5" customHeight="1" thickBot="1">
      <c r="B736" s="257" t="s">
        <v>832</v>
      </c>
      <c r="D736" s="252" t="s">
        <v>359</v>
      </c>
      <c r="E736" s="253" t="e" cm="1">
        <f t="array" aca="1" ref="E736" ca="1">INDIRECT("xHesaplama!J"&amp;""&amp;ROW(D732)+70-7*ROUNDDOWN(ROW(D732)/8,0))</f>
        <v>#N/A</v>
      </c>
      <c r="F736" s="254" t="s">
        <v>358</v>
      </c>
      <c r="G736" s="253" t="e" cm="1">
        <f t="array" aca="1" ref="G736" ca="1">INDIRECT("xHesaplama!K"&amp;""&amp;ROW(D732)+70-7*ROUNDDOWN(ROW(D732)/8,0))</f>
        <v>#N/A</v>
      </c>
    </row>
    <row r="737" spans="2:9" ht="69" customHeight="1" thickBot="1">
      <c r="B737" s="256" t="s">
        <v>869</v>
      </c>
      <c r="C737" s="248"/>
      <c r="D737" s="656"/>
      <c r="E737" s="656"/>
      <c r="F737" s="656"/>
      <c r="G737" s="656"/>
    </row>
    <row r="738" spans="2:9" ht="31.5" customHeight="1" thickBot="1">
      <c r="B738" s="257" t="s">
        <v>870</v>
      </c>
      <c r="C738" s="248"/>
      <c r="D738" s="657" t="str">
        <f>'1PROJE'!$E$3</f>
        <v>GÜNEŞ PEN</v>
      </c>
      <c r="E738" s="658"/>
      <c r="F738" s="658"/>
      <c r="G738" s="659"/>
    </row>
    <row r="739" spans="2:9" ht="31.5" customHeight="1" thickBot="1">
      <c r="B739" s="257" t="s">
        <v>871</v>
      </c>
      <c r="C739" s="248"/>
      <c r="D739" s="644" t="str">
        <f>'1PROJE'!$F$3</f>
        <v>GÜRKAN BEY</v>
      </c>
      <c r="E739" s="645"/>
      <c r="F739" s="645"/>
      <c r="G739" s="646"/>
    </row>
    <row r="740" spans="2:9" ht="31.5" customHeight="1" thickBot="1">
      <c r="B740" s="257" t="s">
        <v>356</v>
      </c>
      <c r="C740" s="248"/>
      <c r="D740" s="647" t="e" cm="1">
        <f t="array" aca="1" ref="D740" ca="1">INDIRECT("xHesaplama!I"&amp;""&amp;ROW(D740)+70-7*ROUNDDOWN(ROW(D740)/8,0))</f>
        <v>#N/A</v>
      </c>
      <c r="E740" s="648"/>
      <c r="F740" s="648"/>
      <c r="G740" s="649"/>
    </row>
    <row r="741" spans="2:9" ht="31.5" customHeight="1" thickBot="1">
      <c r="B741" s="257" t="s">
        <v>342</v>
      </c>
      <c r="C741" s="248"/>
      <c r="D741" s="650" t="str">
        <f>$H$1</f>
        <v>KUTU</v>
      </c>
      <c r="E741" s="651"/>
      <c r="F741" s="651"/>
      <c r="G741" s="652"/>
    </row>
    <row r="742" spans="2:9" ht="31.5" customHeight="1" thickBot="1">
      <c r="B742" s="257" t="s">
        <v>114</v>
      </c>
      <c r="C742" s="248"/>
      <c r="D742" s="653" t="str">
        <f>'1PROJE'!$G$3</f>
        <v>Z 5001</v>
      </c>
      <c r="E742" s="654"/>
      <c r="F742" s="654"/>
      <c r="G742" s="655"/>
      <c r="I742" s="250"/>
    </row>
    <row r="743" spans="2:9" ht="31.5" customHeight="1" thickBot="1">
      <c r="B743" s="257" t="s">
        <v>98</v>
      </c>
      <c r="D743" s="331" cm="1">
        <f t="array" aca="1" ref="D743" ca="1">INDIRECT("xHesaplama!H"&amp;""&amp;ROW(D740)+70-7*ROUNDDOWN(ROW(D740)/8,0))</f>
        <v>0</v>
      </c>
      <c r="E743" s="332"/>
      <c r="F743" s="642" t="e">
        <f ca="1">VLOOKUP(LEFT(D743,6),$J$2:$K$21,2,0)</f>
        <v>#N/A</v>
      </c>
      <c r="G743" s="643"/>
    </row>
    <row r="744" spans="2:9" ht="31.5" customHeight="1" thickBot="1">
      <c r="B744" s="257" t="s">
        <v>832</v>
      </c>
      <c r="D744" s="252" t="s">
        <v>359</v>
      </c>
      <c r="E744" s="253" t="e" cm="1">
        <f t="array" aca="1" ref="E744" ca="1">INDIRECT("xHesaplama!J"&amp;""&amp;ROW(D740)+70-7*ROUNDDOWN(ROW(D740)/8,0))</f>
        <v>#N/A</v>
      </c>
      <c r="F744" s="254" t="s">
        <v>358</v>
      </c>
      <c r="G744" s="253" t="e" cm="1">
        <f t="array" aca="1" ref="G744" ca="1">INDIRECT("xHesaplama!K"&amp;""&amp;ROW(D740)+70-7*ROUNDDOWN(ROW(D740)/8,0))</f>
        <v>#N/A</v>
      </c>
    </row>
    <row r="745" spans="2:9" ht="69" customHeight="1" thickBot="1">
      <c r="B745" s="256" t="s">
        <v>869</v>
      </c>
      <c r="C745" s="248"/>
      <c r="D745" s="656"/>
      <c r="E745" s="656"/>
      <c r="F745" s="656"/>
      <c r="G745" s="656"/>
    </row>
    <row r="746" spans="2:9" ht="31.5" customHeight="1" thickBot="1">
      <c r="B746" s="257" t="s">
        <v>870</v>
      </c>
      <c r="C746" s="248"/>
      <c r="D746" s="657" t="str">
        <f>'1PROJE'!$E$3</f>
        <v>GÜNEŞ PEN</v>
      </c>
      <c r="E746" s="658"/>
      <c r="F746" s="658"/>
      <c r="G746" s="659"/>
    </row>
    <row r="747" spans="2:9" ht="31.5" customHeight="1" thickBot="1">
      <c r="B747" s="257" t="s">
        <v>871</v>
      </c>
      <c r="C747" s="248"/>
      <c r="D747" s="644" t="str">
        <f>'1PROJE'!$F$3</f>
        <v>GÜRKAN BEY</v>
      </c>
      <c r="E747" s="645"/>
      <c r="F747" s="645"/>
      <c r="G747" s="646"/>
    </row>
    <row r="748" spans="2:9" ht="31.5" customHeight="1" thickBot="1">
      <c r="B748" s="257" t="s">
        <v>356</v>
      </c>
      <c r="C748" s="248"/>
      <c r="D748" s="647" t="e" cm="1">
        <f t="array" aca="1" ref="D748" ca="1">INDIRECT("xHesaplama!I"&amp;""&amp;ROW(D748)+70-7*ROUNDDOWN(ROW(D748)/8,0))</f>
        <v>#N/A</v>
      </c>
      <c r="E748" s="648"/>
      <c r="F748" s="648"/>
      <c r="G748" s="649"/>
    </row>
    <row r="749" spans="2:9" ht="31.5" customHeight="1" thickBot="1">
      <c r="B749" s="257" t="s">
        <v>342</v>
      </c>
      <c r="C749" s="248"/>
      <c r="D749" s="650" t="str">
        <f>$H$1</f>
        <v>KUTU</v>
      </c>
      <c r="E749" s="651"/>
      <c r="F749" s="651"/>
      <c r="G749" s="652"/>
    </row>
    <row r="750" spans="2:9" ht="31.5" customHeight="1" thickBot="1">
      <c r="B750" s="257" t="s">
        <v>114</v>
      </c>
      <c r="C750" s="248"/>
      <c r="D750" s="653" t="str">
        <f>'1PROJE'!$G$3</f>
        <v>Z 5001</v>
      </c>
      <c r="E750" s="654"/>
      <c r="F750" s="654"/>
      <c r="G750" s="655"/>
      <c r="I750" s="250"/>
    </row>
    <row r="751" spans="2:9" ht="31.5" customHeight="1" thickBot="1">
      <c r="B751" s="257" t="s">
        <v>98</v>
      </c>
      <c r="D751" s="331" cm="1">
        <f t="array" aca="1" ref="D751" ca="1">INDIRECT("xHesaplama!H"&amp;""&amp;ROW(D748)+70-7*ROUNDDOWN(ROW(D748)/8,0))</f>
        <v>0</v>
      </c>
      <c r="E751" s="332"/>
      <c r="F751" s="642" t="e">
        <f ca="1">VLOOKUP(LEFT(D751,6),$J$2:$K$21,2,0)</f>
        <v>#N/A</v>
      </c>
      <c r="G751" s="643"/>
    </row>
    <row r="752" spans="2:9" ht="31.5" customHeight="1" thickBot="1">
      <c r="B752" s="257" t="s">
        <v>832</v>
      </c>
      <c r="D752" s="252" t="s">
        <v>359</v>
      </c>
      <c r="E752" s="253" t="e" cm="1">
        <f t="array" aca="1" ref="E752" ca="1">INDIRECT("xHesaplama!J"&amp;""&amp;ROW(D748)+70-7*ROUNDDOWN(ROW(D748)/8,0))</f>
        <v>#N/A</v>
      </c>
      <c r="F752" s="254" t="s">
        <v>358</v>
      </c>
      <c r="G752" s="253" t="e" cm="1">
        <f t="array" aca="1" ref="G752" ca="1">INDIRECT("xHesaplama!K"&amp;""&amp;ROW(D748)+70-7*ROUNDDOWN(ROW(D748)/8,0))</f>
        <v>#N/A</v>
      </c>
    </row>
    <row r="753" spans="2:9" ht="69" customHeight="1" thickBot="1">
      <c r="B753" s="256" t="s">
        <v>869</v>
      </c>
      <c r="C753" s="248"/>
      <c r="D753" s="656"/>
      <c r="E753" s="656"/>
      <c r="F753" s="656"/>
      <c r="G753" s="656"/>
    </row>
    <row r="754" spans="2:9" ht="31.5" customHeight="1" thickBot="1">
      <c r="B754" s="257" t="s">
        <v>870</v>
      </c>
      <c r="C754" s="248"/>
      <c r="D754" s="657" t="str">
        <f>'1PROJE'!$E$3</f>
        <v>GÜNEŞ PEN</v>
      </c>
      <c r="E754" s="658"/>
      <c r="F754" s="658"/>
      <c r="G754" s="659"/>
    </row>
    <row r="755" spans="2:9" ht="31.5" customHeight="1" thickBot="1">
      <c r="B755" s="257" t="s">
        <v>871</v>
      </c>
      <c r="C755" s="248"/>
      <c r="D755" s="644" t="str">
        <f>'1PROJE'!$F$3</f>
        <v>GÜRKAN BEY</v>
      </c>
      <c r="E755" s="645"/>
      <c r="F755" s="645"/>
      <c r="G755" s="646"/>
    </row>
    <row r="756" spans="2:9" ht="31.5" customHeight="1" thickBot="1">
      <c r="B756" s="257" t="s">
        <v>356</v>
      </c>
      <c r="C756" s="248"/>
      <c r="D756" s="647" t="e" cm="1">
        <f t="array" aca="1" ref="D756" ca="1">INDIRECT("xHesaplama!I"&amp;""&amp;ROW(D756)+70-7*ROUNDDOWN(ROW(D756)/8,0))</f>
        <v>#N/A</v>
      </c>
      <c r="E756" s="648"/>
      <c r="F756" s="648"/>
      <c r="G756" s="649"/>
    </row>
    <row r="757" spans="2:9" ht="31.5" customHeight="1" thickBot="1">
      <c r="B757" s="257" t="s">
        <v>342</v>
      </c>
      <c r="C757" s="248"/>
      <c r="D757" s="650" t="str">
        <f>$H$1</f>
        <v>KUTU</v>
      </c>
      <c r="E757" s="651"/>
      <c r="F757" s="651"/>
      <c r="G757" s="652"/>
    </row>
    <row r="758" spans="2:9" ht="31.5" customHeight="1" thickBot="1">
      <c r="B758" s="257" t="s">
        <v>114</v>
      </c>
      <c r="C758" s="248"/>
      <c r="D758" s="653" t="str">
        <f>'1PROJE'!$G$3</f>
        <v>Z 5001</v>
      </c>
      <c r="E758" s="654"/>
      <c r="F758" s="654"/>
      <c r="G758" s="655"/>
      <c r="I758" s="250"/>
    </row>
    <row r="759" spans="2:9" ht="31.5" customHeight="1" thickBot="1">
      <c r="B759" s="257" t="s">
        <v>98</v>
      </c>
      <c r="D759" s="331" cm="1">
        <f t="array" aca="1" ref="D759" ca="1">INDIRECT("xHesaplama!H"&amp;""&amp;ROW(D756)+70-7*ROUNDDOWN(ROW(D756)/8,0))</f>
        <v>0</v>
      </c>
      <c r="E759" s="332"/>
      <c r="F759" s="642" t="e">
        <f ca="1">VLOOKUP(LEFT(D759,6),$J$2:$K$21,2,0)</f>
        <v>#N/A</v>
      </c>
      <c r="G759" s="643"/>
    </row>
    <row r="760" spans="2:9" ht="31.5" customHeight="1" thickBot="1">
      <c r="B760" s="257" t="s">
        <v>832</v>
      </c>
      <c r="D760" s="252" t="s">
        <v>359</v>
      </c>
      <c r="E760" s="253" t="e" cm="1">
        <f t="array" aca="1" ref="E760" ca="1">INDIRECT("xHesaplama!J"&amp;""&amp;ROW(D756)+70-7*ROUNDDOWN(ROW(D756)/8,0))</f>
        <v>#N/A</v>
      </c>
      <c r="F760" s="254" t="s">
        <v>358</v>
      </c>
      <c r="G760" s="253" t="e" cm="1">
        <f t="array" aca="1" ref="G760" ca="1">INDIRECT("xHesaplama!K"&amp;""&amp;ROW(D756)+70-7*ROUNDDOWN(ROW(D756)/8,0))</f>
        <v>#N/A</v>
      </c>
    </row>
    <row r="761" spans="2:9" ht="69" customHeight="1" thickBot="1">
      <c r="B761" s="256" t="s">
        <v>869</v>
      </c>
      <c r="C761" s="248"/>
      <c r="D761" s="656"/>
      <c r="E761" s="656"/>
      <c r="F761" s="656"/>
      <c r="G761" s="656"/>
    </row>
    <row r="762" spans="2:9" ht="31.5" customHeight="1" thickBot="1">
      <c r="B762" s="257" t="s">
        <v>870</v>
      </c>
      <c r="C762" s="248"/>
      <c r="D762" s="657" t="str">
        <f>'1PROJE'!$E$3</f>
        <v>GÜNEŞ PEN</v>
      </c>
      <c r="E762" s="658"/>
      <c r="F762" s="658"/>
      <c r="G762" s="659"/>
    </row>
    <row r="763" spans="2:9" ht="31.5" customHeight="1" thickBot="1">
      <c r="B763" s="257" t="s">
        <v>871</v>
      </c>
      <c r="C763" s="248"/>
      <c r="D763" s="644" t="str">
        <f>'1PROJE'!$F$3</f>
        <v>GÜRKAN BEY</v>
      </c>
      <c r="E763" s="645"/>
      <c r="F763" s="645"/>
      <c r="G763" s="646"/>
    </row>
    <row r="764" spans="2:9" ht="31.5" customHeight="1" thickBot="1">
      <c r="B764" s="257" t="s">
        <v>356</v>
      </c>
      <c r="C764" s="248"/>
      <c r="D764" s="647" t="e" cm="1">
        <f t="array" aca="1" ref="D764" ca="1">INDIRECT("xHesaplama!I"&amp;""&amp;ROW(D764)+70-7*ROUNDDOWN(ROW(D764)/8,0))</f>
        <v>#N/A</v>
      </c>
      <c r="E764" s="648"/>
      <c r="F764" s="648"/>
      <c r="G764" s="649"/>
    </row>
    <row r="765" spans="2:9" ht="31.5" customHeight="1" thickBot="1">
      <c r="B765" s="257" t="s">
        <v>342</v>
      </c>
      <c r="C765" s="248"/>
      <c r="D765" s="650" t="str">
        <f>$H$1</f>
        <v>KUTU</v>
      </c>
      <c r="E765" s="651"/>
      <c r="F765" s="651"/>
      <c r="G765" s="652"/>
    </row>
    <row r="766" spans="2:9" ht="31.5" customHeight="1" thickBot="1">
      <c r="B766" s="257" t="s">
        <v>114</v>
      </c>
      <c r="C766" s="248"/>
      <c r="D766" s="653" t="str">
        <f>'1PROJE'!$G$3</f>
        <v>Z 5001</v>
      </c>
      <c r="E766" s="654"/>
      <c r="F766" s="654"/>
      <c r="G766" s="655"/>
      <c r="I766" s="250"/>
    </row>
    <row r="767" spans="2:9" ht="31.5" customHeight="1" thickBot="1">
      <c r="B767" s="257" t="s">
        <v>98</v>
      </c>
      <c r="D767" s="331" cm="1">
        <f t="array" aca="1" ref="D767" ca="1">INDIRECT("xHesaplama!H"&amp;""&amp;ROW(D764)+70-7*ROUNDDOWN(ROW(D764)/8,0))</f>
        <v>0</v>
      </c>
      <c r="E767" s="332"/>
      <c r="F767" s="642" t="e">
        <f ca="1">VLOOKUP(LEFT(D767,6),$J$2:$K$21,2,0)</f>
        <v>#N/A</v>
      </c>
      <c r="G767" s="643"/>
    </row>
    <row r="768" spans="2:9" ht="31.5" customHeight="1" thickBot="1">
      <c r="B768" s="257" t="s">
        <v>832</v>
      </c>
      <c r="D768" s="252" t="s">
        <v>359</v>
      </c>
      <c r="E768" s="253" t="e" cm="1">
        <f t="array" aca="1" ref="E768" ca="1">INDIRECT("xHesaplama!J"&amp;""&amp;ROW(D764)+70-7*ROUNDDOWN(ROW(D764)/8,0))</f>
        <v>#N/A</v>
      </c>
      <c r="F768" s="254" t="s">
        <v>358</v>
      </c>
      <c r="G768" s="253" t="e" cm="1">
        <f t="array" aca="1" ref="G768" ca="1">INDIRECT("xHesaplama!K"&amp;""&amp;ROW(D764)+70-7*ROUNDDOWN(ROW(D764)/8,0))</f>
        <v>#N/A</v>
      </c>
    </row>
    <row r="769" spans="2:9" ht="69" customHeight="1" thickBot="1">
      <c r="B769" s="256" t="s">
        <v>869</v>
      </c>
      <c r="C769" s="248"/>
      <c r="D769" s="656"/>
      <c r="E769" s="656"/>
      <c r="F769" s="656"/>
      <c r="G769" s="656"/>
    </row>
    <row r="770" spans="2:9" ht="31.5" customHeight="1" thickBot="1">
      <c r="B770" s="257" t="s">
        <v>870</v>
      </c>
      <c r="C770" s="248"/>
      <c r="D770" s="657" t="str">
        <f>'1PROJE'!$E$3</f>
        <v>GÜNEŞ PEN</v>
      </c>
      <c r="E770" s="658"/>
      <c r="F770" s="658"/>
      <c r="G770" s="659"/>
    </row>
    <row r="771" spans="2:9" ht="31.5" customHeight="1" thickBot="1">
      <c r="B771" s="257" t="s">
        <v>871</v>
      </c>
      <c r="C771" s="248"/>
      <c r="D771" s="644" t="str">
        <f>'1PROJE'!$F$3</f>
        <v>GÜRKAN BEY</v>
      </c>
      <c r="E771" s="645"/>
      <c r="F771" s="645"/>
      <c r="G771" s="646"/>
    </row>
    <row r="772" spans="2:9" ht="31.5" customHeight="1" thickBot="1">
      <c r="B772" s="257" t="s">
        <v>356</v>
      </c>
      <c r="C772" s="248"/>
      <c r="D772" s="647" t="e" cm="1">
        <f t="array" aca="1" ref="D772" ca="1">INDIRECT("xHesaplama!I"&amp;""&amp;ROW(D772)+70-7*ROUNDDOWN(ROW(D772)/8,0))</f>
        <v>#N/A</v>
      </c>
      <c r="E772" s="648"/>
      <c r="F772" s="648"/>
      <c r="G772" s="649"/>
    </row>
    <row r="773" spans="2:9" ht="31.5" customHeight="1" thickBot="1">
      <c r="B773" s="257" t="s">
        <v>342</v>
      </c>
      <c r="C773" s="248"/>
      <c r="D773" s="650" t="str">
        <f>$H$1</f>
        <v>KUTU</v>
      </c>
      <c r="E773" s="651"/>
      <c r="F773" s="651"/>
      <c r="G773" s="652"/>
    </row>
    <row r="774" spans="2:9" ht="31.5" customHeight="1" thickBot="1">
      <c r="B774" s="257" t="s">
        <v>114</v>
      </c>
      <c r="C774" s="248"/>
      <c r="D774" s="653" t="str">
        <f>'1PROJE'!$G$3</f>
        <v>Z 5001</v>
      </c>
      <c r="E774" s="654"/>
      <c r="F774" s="654"/>
      <c r="G774" s="655"/>
      <c r="I774" s="250"/>
    </row>
    <row r="775" spans="2:9" ht="31.5" customHeight="1" thickBot="1">
      <c r="B775" s="257" t="s">
        <v>98</v>
      </c>
      <c r="D775" s="331" cm="1">
        <f t="array" aca="1" ref="D775" ca="1">INDIRECT("xHesaplama!H"&amp;""&amp;ROW(D772)+70-7*ROUNDDOWN(ROW(D772)/8,0))</f>
        <v>0</v>
      </c>
      <c r="E775" s="332"/>
      <c r="F775" s="642" t="e">
        <f ca="1">VLOOKUP(LEFT(D775,6),$J$2:$K$21,2,0)</f>
        <v>#N/A</v>
      </c>
      <c r="G775" s="643"/>
    </row>
    <row r="776" spans="2:9" ht="31.5" customHeight="1" thickBot="1">
      <c r="B776" s="257" t="s">
        <v>832</v>
      </c>
      <c r="D776" s="252" t="s">
        <v>359</v>
      </c>
      <c r="E776" s="253" t="e" cm="1">
        <f t="array" aca="1" ref="E776" ca="1">INDIRECT("xHesaplama!J"&amp;""&amp;ROW(D772)+70-7*ROUNDDOWN(ROW(D772)/8,0))</f>
        <v>#N/A</v>
      </c>
      <c r="F776" s="254" t="s">
        <v>358</v>
      </c>
      <c r="G776" s="253" t="e" cm="1">
        <f t="array" aca="1" ref="G776" ca="1">INDIRECT("xHesaplama!K"&amp;""&amp;ROW(D772)+70-7*ROUNDDOWN(ROW(D772)/8,0))</f>
        <v>#N/A</v>
      </c>
    </row>
    <row r="777" spans="2:9" ht="69" customHeight="1" thickBot="1">
      <c r="B777" s="256" t="s">
        <v>869</v>
      </c>
      <c r="C777" s="248"/>
      <c r="D777" s="656"/>
      <c r="E777" s="656"/>
      <c r="F777" s="656"/>
      <c r="G777" s="656"/>
    </row>
    <row r="778" spans="2:9" ht="31.5" customHeight="1" thickBot="1">
      <c r="B778" s="257" t="s">
        <v>870</v>
      </c>
      <c r="C778" s="248"/>
      <c r="D778" s="657" t="str">
        <f>'1PROJE'!$E$3</f>
        <v>GÜNEŞ PEN</v>
      </c>
      <c r="E778" s="658"/>
      <c r="F778" s="658"/>
      <c r="G778" s="659"/>
    </row>
    <row r="779" spans="2:9" ht="31.5" customHeight="1" thickBot="1">
      <c r="B779" s="257" t="s">
        <v>871</v>
      </c>
      <c r="C779" s="248"/>
      <c r="D779" s="644" t="str">
        <f>'1PROJE'!$F$3</f>
        <v>GÜRKAN BEY</v>
      </c>
      <c r="E779" s="645"/>
      <c r="F779" s="645"/>
      <c r="G779" s="646"/>
    </row>
    <row r="780" spans="2:9" ht="31.5" customHeight="1" thickBot="1">
      <c r="B780" s="257" t="s">
        <v>356</v>
      </c>
      <c r="C780" s="248"/>
      <c r="D780" s="647" t="e" cm="1">
        <f t="array" aca="1" ref="D780" ca="1">INDIRECT("xHesaplama!I"&amp;""&amp;ROW(D780)+70-7*ROUNDDOWN(ROW(D780)/8,0))</f>
        <v>#N/A</v>
      </c>
      <c r="E780" s="648"/>
      <c r="F780" s="648"/>
      <c r="G780" s="649"/>
    </row>
    <row r="781" spans="2:9" ht="31.5" customHeight="1" thickBot="1">
      <c r="B781" s="257" t="s">
        <v>342</v>
      </c>
      <c r="C781" s="248"/>
      <c r="D781" s="650" t="str">
        <f>$H$1</f>
        <v>KUTU</v>
      </c>
      <c r="E781" s="651"/>
      <c r="F781" s="651"/>
      <c r="G781" s="652"/>
    </row>
    <row r="782" spans="2:9" ht="31.5" customHeight="1" thickBot="1">
      <c r="B782" s="257" t="s">
        <v>114</v>
      </c>
      <c r="C782" s="248"/>
      <c r="D782" s="653" t="str">
        <f>'1PROJE'!$G$3</f>
        <v>Z 5001</v>
      </c>
      <c r="E782" s="654"/>
      <c r="F782" s="654"/>
      <c r="G782" s="655"/>
      <c r="I782" s="250"/>
    </row>
    <row r="783" spans="2:9" ht="31.5" customHeight="1" thickBot="1">
      <c r="B783" s="257" t="s">
        <v>98</v>
      </c>
      <c r="D783" s="331" cm="1">
        <f t="array" aca="1" ref="D783" ca="1">INDIRECT("xHesaplama!H"&amp;""&amp;ROW(D780)+70-7*ROUNDDOWN(ROW(D780)/8,0))</f>
        <v>0</v>
      </c>
      <c r="E783" s="332"/>
      <c r="F783" s="642" t="e">
        <f ca="1">VLOOKUP(LEFT(D783,6),$J$2:$K$21,2,0)</f>
        <v>#N/A</v>
      </c>
      <c r="G783" s="643"/>
    </row>
    <row r="784" spans="2:9" ht="31.5" customHeight="1" thickBot="1">
      <c r="B784" s="257" t="s">
        <v>832</v>
      </c>
      <c r="D784" s="252" t="s">
        <v>359</v>
      </c>
      <c r="E784" s="253" t="e" cm="1">
        <f t="array" aca="1" ref="E784" ca="1">INDIRECT("xHesaplama!J"&amp;""&amp;ROW(D780)+70-7*ROUNDDOWN(ROW(D780)/8,0))</f>
        <v>#N/A</v>
      </c>
      <c r="F784" s="254" t="s">
        <v>358</v>
      </c>
      <c r="G784" s="253" t="e" cm="1">
        <f t="array" aca="1" ref="G784" ca="1">INDIRECT("xHesaplama!K"&amp;""&amp;ROW(D780)+70-7*ROUNDDOWN(ROW(D780)/8,0))</f>
        <v>#N/A</v>
      </c>
    </row>
    <row r="785" spans="2:9" ht="69" customHeight="1" thickBot="1">
      <c r="B785" s="256" t="s">
        <v>869</v>
      </c>
      <c r="C785" s="248"/>
      <c r="D785" s="656"/>
      <c r="E785" s="656"/>
      <c r="F785" s="656"/>
      <c r="G785" s="656"/>
    </row>
    <row r="786" spans="2:9" ht="31.5" customHeight="1" thickBot="1">
      <c r="B786" s="257" t="s">
        <v>870</v>
      </c>
      <c r="C786" s="248"/>
      <c r="D786" s="657" t="str">
        <f>'1PROJE'!$E$3</f>
        <v>GÜNEŞ PEN</v>
      </c>
      <c r="E786" s="658"/>
      <c r="F786" s="658"/>
      <c r="G786" s="659"/>
    </row>
    <row r="787" spans="2:9" ht="31.5" customHeight="1" thickBot="1">
      <c r="B787" s="257" t="s">
        <v>871</v>
      </c>
      <c r="C787" s="248"/>
      <c r="D787" s="644" t="str">
        <f>'1PROJE'!$F$3</f>
        <v>GÜRKAN BEY</v>
      </c>
      <c r="E787" s="645"/>
      <c r="F787" s="645"/>
      <c r="G787" s="646"/>
    </row>
    <row r="788" spans="2:9" ht="31.5" customHeight="1" thickBot="1">
      <c r="B788" s="257" t="s">
        <v>356</v>
      </c>
      <c r="C788" s="248"/>
      <c r="D788" s="647" t="e" cm="1">
        <f t="array" aca="1" ref="D788" ca="1">INDIRECT("xHesaplama!I"&amp;""&amp;ROW(D788)+70-7*ROUNDDOWN(ROW(D788)/8,0))</f>
        <v>#N/A</v>
      </c>
      <c r="E788" s="648"/>
      <c r="F788" s="648"/>
      <c r="G788" s="649"/>
    </row>
    <row r="789" spans="2:9" ht="31.5" customHeight="1" thickBot="1">
      <c r="B789" s="257" t="s">
        <v>342</v>
      </c>
      <c r="C789" s="248"/>
      <c r="D789" s="650" t="str">
        <f>$H$1</f>
        <v>KUTU</v>
      </c>
      <c r="E789" s="651"/>
      <c r="F789" s="651"/>
      <c r="G789" s="652"/>
    </row>
    <row r="790" spans="2:9" ht="31.5" customHeight="1" thickBot="1">
      <c r="B790" s="257" t="s">
        <v>114</v>
      </c>
      <c r="C790" s="248"/>
      <c r="D790" s="653" t="str">
        <f>'1PROJE'!$G$3</f>
        <v>Z 5001</v>
      </c>
      <c r="E790" s="654"/>
      <c r="F790" s="654"/>
      <c r="G790" s="655"/>
      <c r="I790" s="250"/>
    </row>
    <row r="791" spans="2:9" ht="31.5" customHeight="1" thickBot="1">
      <c r="B791" s="257" t="s">
        <v>98</v>
      </c>
      <c r="D791" s="331" cm="1">
        <f t="array" aca="1" ref="D791" ca="1">INDIRECT("xHesaplama!H"&amp;""&amp;ROW(D788)+70-7*ROUNDDOWN(ROW(D788)/8,0))</f>
        <v>0</v>
      </c>
      <c r="E791" s="332"/>
      <c r="F791" s="642" t="e">
        <f ca="1">VLOOKUP(LEFT(D791,6),$J$2:$K$21,2,0)</f>
        <v>#N/A</v>
      </c>
      <c r="G791" s="643"/>
    </row>
    <row r="792" spans="2:9" ht="31.5" customHeight="1" thickBot="1">
      <c r="B792" s="257" t="s">
        <v>832</v>
      </c>
      <c r="D792" s="252" t="s">
        <v>359</v>
      </c>
      <c r="E792" s="253" t="e" cm="1">
        <f t="array" aca="1" ref="E792" ca="1">INDIRECT("xHesaplama!J"&amp;""&amp;ROW(D788)+70-7*ROUNDDOWN(ROW(D788)/8,0))</f>
        <v>#N/A</v>
      </c>
      <c r="F792" s="254" t="s">
        <v>358</v>
      </c>
      <c r="G792" s="253" t="e" cm="1">
        <f t="array" aca="1" ref="G792" ca="1">INDIRECT("xHesaplama!K"&amp;""&amp;ROW(D788)+70-7*ROUNDDOWN(ROW(D788)/8,0))</f>
        <v>#N/A</v>
      </c>
    </row>
    <row r="793" spans="2:9" ht="69" customHeight="1" thickBot="1">
      <c r="B793" s="256" t="s">
        <v>869</v>
      </c>
      <c r="C793" s="248"/>
      <c r="D793" s="656"/>
      <c r="E793" s="656"/>
      <c r="F793" s="656"/>
      <c r="G793" s="656"/>
    </row>
    <row r="794" spans="2:9" ht="31.5" customHeight="1" thickBot="1">
      <c r="B794" s="257" t="s">
        <v>870</v>
      </c>
      <c r="C794" s="248"/>
      <c r="D794" s="657" t="str">
        <f>'1PROJE'!$E$3</f>
        <v>GÜNEŞ PEN</v>
      </c>
      <c r="E794" s="658"/>
      <c r="F794" s="658"/>
      <c r="G794" s="659"/>
    </row>
    <row r="795" spans="2:9" ht="31.5" customHeight="1" thickBot="1">
      <c r="B795" s="257" t="s">
        <v>871</v>
      </c>
      <c r="C795" s="248"/>
      <c r="D795" s="644" t="str">
        <f>'1PROJE'!$F$3</f>
        <v>GÜRKAN BEY</v>
      </c>
      <c r="E795" s="645"/>
      <c r="F795" s="645"/>
      <c r="G795" s="646"/>
    </row>
    <row r="796" spans="2:9" ht="31.5" customHeight="1" thickBot="1">
      <c r="B796" s="257" t="s">
        <v>356</v>
      </c>
      <c r="C796" s="248"/>
      <c r="D796" s="647" t="e" cm="1">
        <f t="array" aca="1" ref="D796" ca="1">INDIRECT("xHesaplama!I"&amp;""&amp;ROW(D796)+70-7*ROUNDDOWN(ROW(D796)/8,0))</f>
        <v>#N/A</v>
      </c>
      <c r="E796" s="648"/>
      <c r="F796" s="648"/>
      <c r="G796" s="649"/>
    </row>
    <row r="797" spans="2:9" ht="31.5" customHeight="1" thickBot="1">
      <c r="B797" s="257" t="s">
        <v>342</v>
      </c>
      <c r="C797" s="248"/>
      <c r="D797" s="650" t="str">
        <f>$H$1</f>
        <v>KUTU</v>
      </c>
      <c r="E797" s="651"/>
      <c r="F797" s="651"/>
      <c r="G797" s="652"/>
    </row>
    <row r="798" spans="2:9" ht="31.5" customHeight="1" thickBot="1">
      <c r="B798" s="257" t="s">
        <v>114</v>
      </c>
      <c r="C798" s="248"/>
      <c r="D798" s="653" t="str">
        <f>'1PROJE'!$G$3</f>
        <v>Z 5001</v>
      </c>
      <c r="E798" s="654"/>
      <c r="F798" s="654"/>
      <c r="G798" s="655"/>
      <c r="I798" s="250"/>
    </row>
    <row r="799" spans="2:9" ht="31.5" customHeight="1" thickBot="1">
      <c r="B799" s="257" t="s">
        <v>98</v>
      </c>
      <c r="D799" s="331" cm="1">
        <f t="array" aca="1" ref="D799" ca="1">INDIRECT("xHesaplama!H"&amp;""&amp;ROW(D796)+70-7*ROUNDDOWN(ROW(D796)/8,0))</f>
        <v>0</v>
      </c>
      <c r="E799" s="332"/>
      <c r="F799" s="642" t="e">
        <f ca="1">VLOOKUP(LEFT(D799,6),$J$2:$K$21,2,0)</f>
        <v>#N/A</v>
      </c>
      <c r="G799" s="643"/>
    </row>
    <row r="800" spans="2:9" ht="31.5" customHeight="1" thickBot="1">
      <c r="B800" s="257" t="s">
        <v>832</v>
      </c>
      <c r="D800" s="252" t="s">
        <v>359</v>
      </c>
      <c r="E800" s="253" t="e" cm="1">
        <f t="array" aca="1" ref="E800" ca="1">INDIRECT("xHesaplama!J"&amp;""&amp;ROW(D796)+70-7*ROUNDDOWN(ROW(D796)/8,0))</f>
        <v>#N/A</v>
      </c>
      <c r="F800" s="254" t="s">
        <v>358</v>
      </c>
      <c r="G800" s="253" t="e" cm="1">
        <f t="array" aca="1" ref="G800" ca="1">INDIRECT("xHesaplama!K"&amp;""&amp;ROW(D796)+70-7*ROUNDDOWN(ROW(D796)/8,0))</f>
        <v>#N/A</v>
      </c>
    </row>
    <row r="801" spans="2:9" ht="69" customHeight="1" thickBot="1">
      <c r="B801" s="256" t="s">
        <v>869</v>
      </c>
      <c r="C801" s="248"/>
      <c r="D801" s="656"/>
      <c r="E801" s="656"/>
      <c r="F801" s="656"/>
      <c r="G801" s="656"/>
    </row>
    <row r="802" spans="2:9" ht="31.5" customHeight="1" thickBot="1">
      <c r="B802" s="257" t="s">
        <v>870</v>
      </c>
      <c r="C802" s="248"/>
      <c r="D802" s="657" t="str">
        <f>'1PROJE'!$E$3</f>
        <v>GÜNEŞ PEN</v>
      </c>
      <c r="E802" s="658"/>
      <c r="F802" s="658"/>
      <c r="G802" s="659"/>
    </row>
    <row r="803" spans="2:9" ht="31.5" customHeight="1" thickBot="1">
      <c r="B803" s="257" t="s">
        <v>871</v>
      </c>
      <c r="C803" s="248"/>
      <c r="D803" s="644" t="str">
        <f>'1PROJE'!$F$3</f>
        <v>GÜRKAN BEY</v>
      </c>
      <c r="E803" s="645"/>
      <c r="F803" s="645"/>
      <c r="G803" s="646"/>
    </row>
    <row r="804" spans="2:9" ht="31.5" customHeight="1" thickBot="1">
      <c r="B804" s="257" t="s">
        <v>356</v>
      </c>
      <c r="C804" s="248"/>
      <c r="D804" s="647" t="e" cm="1">
        <f t="array" aca="1" ref="D804" ca="1">INDIRECT("xHesaplama!I"&amp;""&amp;ROW(D804)+70-7*ROUNDDOWN(ROW(D804)/8,0))</f>
        <v>#N/A</v>
      </c>
      <c r="E804" s="648"/>
      <c r="F804" s="648"/>
      <c r="G804" s="649"/>
    </row>
    <row r="805" spans="2:9" ht="31.5" customHeight="1" thickBot="1">
      <c r="B805" s="257" t="s">
        <v>342</v>
      </c>
      <c r="C805" s="248"/>
      <c r="D805" s="650" t="str">
        <f>$H$1</f>
        <v>KUTU</v>
      </c>
      <c r="E805" s="651"/>
      <c r="F805" s="651"/>
      <c r="G805" s="652"/>
    </row>
    <row r="806" spans="2:9" ht="31.5" customHeight="1" thickBot="1">
      <c r="B806" s="257" t="s">
        <v>114</v>
      </c>
      <c r="C806" s="248"/>
      <c r="D806" s="653" t="str">
        <f>'1PROJE'!$G$3</f>
        <v>Z 5001</v>
      </c>
      <c r="E806" s="654"/>
      <c r="F806" s="654"/>
      <c r="G806" s="655"/>
      <c r="I806" s="250"/>
    </row>
    <row r="807" spans="2:9" ht="31.5" customHeight="1" thickBot="1">
      <c r="B807" s="257" t="s">
        <v>98</v>
      </c>
      <c r="D807" s="331" cm="1">
        <f t="array" aca="1" ref="D807" ca="1">INDIRECT("xHesaplama!H"&amp;""&amp;ROW(D804)+70-7*ROUNDDOWN(ROW(D804)/8,0))</f>
        <v>0</v>
      </c>
      <c r="E807" s="332"/>
      <c r="F807" s="642" t="e">
        <f ca="1">VLOOKUP(LEFT(D807,6),$J$2:$K$21,2,0)</f>
        <v>#N/A</v>
      </c>
      <c r="G807" s="643"/>
    </row>
    <row r="808" spans="2:9" ht="31.5" customHeight="1" thickBot="1">
      <c r="B808" s="257" t="s">
        <v>832</v>
      </c>
      <c r="D808" s="252" t="s">
        <v>359</v>
      </c>
      <c r="E808" s="253" t="e" cm="1">
        <f t="array" aca="1" ref="E808" ca="1">INDIRECT("xHesaplama!J"&amp;""&amp;ROW(D804)+70-7*ROUNDDOWN(ROW(D804)/8,0))</f>
        <v>#N/A</v>
      </c>
      <c r="F808" s="254" t="s">
        <v>358</v>
      </c>
      <c r="G808" s="253" t="e" cm="1">
        <f t="array" aca="1" ref="G808" ca="1">INDIRECT("xHesaplama!K"&amp;""&amp;ROW(D804)+70-7*ROUNDDOWN(ROW(D804)/8,0))</f>
        <v>#N/A</v>
      </c>
    </row>
    <row r="809" spans="2:9" ht="69" customHeight="1" thickBot="1">
      <c r="B809" s="256" t="s">
        <v>869</v>
      </c>
      <c r="C809" s="248"/>
      <c r="D809" s="656"/>
      <c r="E809" s="656"/>
      <c r="F809" s="656"/>
      <c r="G809" s="656"/>
    </row>
    <row r="810" spans="2:9" ht="31.5" customHeight="1" thickBot="1">
      <c r="B810" s="257" t="s">
        <v>870</v>
      </c>
      <c r="C810" s="248"/>
      <c r="D810" s="657" t="str">
        <f>'1PROJE'!$E$3</f>
        <v>GÜNEŞ PEN</v>
      </c>
      <c r="E810" s="658"/>
      <c r="F810" s="658"/>
      <c r="G810" s="659"/>
    </row>
    <row r="811" spans="2:9" ht="31.5" customHeight="1" thickBot="1">
      <c r="B811" s="257" t="s">
        <v>871</v>
      </c>
      <c r="C811" s="248"/>
      <c r="D811" s="644" t="str">
        <f>'1PROJE'!$F$3</f>
        <v>GÜRKAN BEY</v>
      </c>
      <c r="E811" s="645"/>
      <c r="F811" s="645"/>
      <c r="G811" s="646"/>
    </row>
    <row r="812" spans="2:9" ht="31.5" customHeight="1" thickBot="1">
      <c r="B812" s="257" t="s">
        <v>356</v>
      </c>
      <c r="C812" s="248"/>
      <c r="D812" s="647" t="e" cm="1">
        <f t="array" aca="1" ref="D812" ca="1">INDIRECT("xHesaplama!I"&amp;""&amp;ROW(D812)+70-7*ROUNDDOWN(ROW(D812)/8,0))</f>
        <v>#N/A</v>
      </c>
      <c r="E812" s="648"/>
      <c r="F812" s="648"/>
      <c r="G812" s="649"/>
    </row>
    <row r="813" spans="2:9" ht="31.5" customHeight="1" thickBot="1">
      <c r="B813" s="257" t="s">
        <v>342</v>
      </c>
      <c r="C813" s="248"/>
      <c r="D813" s="650" t="str">
        <f>$H$1</f>
        <v>KUTU</v>
      </c>
      <c r="E813" s="651"/>
      <c r="F813" s="651"/>
      <c r="G813" s="652"/>
    </row>
    <row r="814" spans="2:9" ht="31.5" customHeight="1" thickBot="1">
      <c r="B814" s="257" t="s">
        <v>114</v>
      </c>
      <c r="C814" s="248"/>
      <c r="D814" s="653" t="str">
        <f>'1PROJE'!$G$3</f>
        <v>Z 5001</v>
      </c>
      <c r="E814" s="654"/>
      <c r="F814" s="654"/>
      <c r="G814" s="655"/>
      <c r="I814" s="250"/>
    </row>
    <row r="815" spans="2:9" ht="31.5" customHeight="1" thickBot="1">
      <c r="B815" s="257" t="s">
        <v>98</v>
      </c>
      <c r="D815" s="331" cm="1">
        <f t="array" aca="1" ref="D815" ca="1">INDIRECT("xHesaplama!H"&amp;""&amp;ROW(D812)+70-7*ROUNDDOWN(ROW(D812)/8,0))</f>
        <v>0</v>
      </c>
      <c r="E815" s="332"/>
      <c r="F815" s="642" t="e">
        <f ca="1">VLOOKUP(LEFT(D815,6),$J$2:$K$21,2,0)</f>
        <v>#N/A</v>
      </c>
      <c r="G815" s="643"/>
    </row>
    <row r="816" spans="2:9" ht="31.5" customHeight="1" thickBot="1">
      <c r="B816" s="257" t="s">
        <v>832</v>
      </c>
      <c r="D816" s="252" t="s">
        <v>359</v>
      </c>
      <c r="E816" s="253" t="e" cm="1">
        <f t="array" aca="1" ref="E816" ca="1">INDIRECT("xHesaplama!J"&amp;""&amp;ROW(D812)+70-7*ROUNDDOWN(ROW(D812)/8,0))</f>
        <v>#N/A</v>
      </c>
      <c r="F816" s="254" t="s">
        <v>358</v>
      </c>
      <c r="G816" s="253" t="e" cm="1">
        <f t="array" aca="1" ref="G816" ca="1">INDIRECT("xHesaplama!K"&amp;""&amp;ROW(D812)+70-7*ROUNDDOWN(ROW(D812)/8,0))</f>
        <v>#N/A</v>
      </c>
    </row>
    <row r="817" spans="2:9" ht="69" customHeight="1" thickBot="1">
      <c r="B817" s="256" t="s">
        <v>869</v>
      </c>
      <c r="C817" s="248"/>
      <c r="D817" s="656"/>
      <c r="E817" s="656"/>
      <c r="F817" s="656"/>
      <c r="G817" s="656"/>
    </row>
    <row r="818" spans="2:9" ht="31.5" customHeight="1" thickBot="1">
      <c r="B818" s="257" t="s">
        <v>870</v>
      </c>
      <c r="C818" s="248"/>
      <c r="D818" s="657" t="str">
        <f>'1PROJE'!$E$3</f>
        <v>GÜNEŞ PEN</v>
      </c>
      <c r="E818" s="658"/>
      <c r="F818" s="658"/>
      <c r="G818" s="659"/>
    </row>
    <row r="819" spans="2:9" ht="31.5" customHeight="1" thickBot="1">
      <c r="B819" s="257" t="s">
        <v>871</v>
      </c>
      <c r="C819" s="248"/>
      <c r="D819" s="644" t="str">
        <f>'1PROJE'!$F$3</f>
        <v>GÜRKAN BEY</v>
      </c>
      <c r="E819" s="645"/>
      <c r="F819" s="645"/>
      <c r="G819" s="646"/>
    </row>
    <row r="820" spans="2:9" ht="31.5" customHeight="1" thickBot="1">
      <c r="B820" s="257" t="s">
        <v>356</v>
      </c>
      <c r="C820" s="248"/>
      <c r="D820" s="647" t="e" cm="1">
        <f t="array" aca="1" ref="D820" ca="1">INDIRECT("xHesaplama!I"&amp;""&amp;ROW(D820)+70-7*ROUNDDOWN(ROW(D820)/8,0))</f>
        <v>#N/A</v>
      </c>
      <c r="E820" s="648"/>
      <c r="F820" s="648"/>
      <c r="G820" s="649"/>
    </row>
    <row r="821" spans="2:9" ht="31.5" customHeight="1" thickBot="1">
      <c r="B821" s="257" t="s">
        <v>342</v>
      </c>
      <c r="C821" s="248"/>
      <c r="D821" s="650" t="str">
        <f>$H$1</f>
        <v>KUTU</v>
      </c>
      <c r="E821" s="651"/>
      <c r="F821" s="651"/>
      <c r="G821" s="652"/>
    </row>
    <row r="822" spans="2:9" ht="31.5" customHeight="1" thickBot="1">
      <c r="B822" s="257" t="s">
        <v>114</v>
      </c>
      <c r="C822" s="248"/>
      <c r="D822" s="653" t="str">
        <f>'1PROJE'!$G$3</f>
        <v>Z 5001</v>
      </c>
      <c r="E822" s="654"/>
      <c r="F822" s="654"/>
      <c r="G822" s="655"/>
      <c r="I822" s="250"/>
    </row>
    <row r="823" spans="2:9" ht="31.5" customHeight="1" thickBot="1">
      <c r="B823" s="257" t="s">
        <v>98</v>
      </c>
      <c r="D823" s="331" cm="1">
        <f t="array" aca="1" ref="D823" ca="1">INDIRECT("xHesaplama!H"&amp;""&amp;ROW(D820)+70-7*ROUNDDOWN(ROW(D820)/8,0))</f>
        <v>0</v>
      </c>
      <c r="E823" s="332"/>
      <c r="F823" s="642" t="e">
        <f ca="1">VLOOKUP(LEFT(D823,6),$J$2:$K$21,2,0)</f>
        <v>#N/A</v>
      </c>
      <c r="G823" s="643"/>
    </row>
    <row r="824" spans="2:9" ht="31.5" customHeight="1" thickBot="1">
      <c r="B824" s="257" t="s">
        <v>832</v>
      </c>
      <c r="D824" s="252" t="s">
        <v>359</v>
      </c>
      <c r="E824" s="253" t="e" cm="1">
        <f t="array" aca="1" ref="E824" ca="1">INDIRECT("xHesaplama!J"&amp;""&amp;ROW(D820)+70-7*ROUNDDOWN(ROW(D820)/8,0))</f>
        <v>#N/A</v>
      </c>
      <c r="F824" s="254" t="s">
        <v>358</v>
      </c>
      <c r="G824" s="253" t="e" cm="1">
        <f t="array" aca="1" ref="G824" ca="1">INDIRECT("xHesaplama!K"&amp;""&amp;ROW(D820)+70-7*ROUNDDOWN(ROW(D820)/8,0))</f>
        <v>#N/A</v>
      </c>
    </row>
    <row r="825" spans="2:9" ht="69" customHeight="1" thickBot="1">
      <c r="B825" s="256" t="s">
        <v>869</v>
      </c>
      <c r="C825" s="248"/>
      <c r="D825" s="656"/>
      <c r="E825" s="656"/>
      <c r="F825" s="656"/>
      <c r="G825" s="656"/>
    </row>
    <row r="826" spans="2:9" ht="31.5" customHeight="1" thickBot="1">
      <c r="B826" s="257" t="s">
        <v>870</v>
      </c>
      <c r="C826" s="248"/>
      <c r="D826" s="657" t="str">
        <f>'1PROJE'!$E$3</f>
        <v>GÜNEŞ PEN</v>
      </c>
      <c r="E826" s="658"/>
      <c r="F826" s="658"/>
      <c r="G826" s="659"/>
    </row>
    <row r="827" spans="2:9" ht="31.5" customHeight="1" thickBot="1">
      <c r="B827" s="257" t="s">
        <v>871</v>
      </c>
      <c r="C827" s="248"/>
      <c r="D827" s="644" t="str">
        <f>'1PROJE'!$F$3</f>
        <v>GÜRKAN BEY</v>
      </c>
      <c r="E827" s="645"/>
      <c r="F827" s="645"/>
      <c r="G827" s="646"/>
    </row>
    <row r="828" spans="2:9" ht="31.5" customHeight="1" thickBot="1">
      <c r="B828" s="257" t="s">
        <v>356</v>
      </c>
      <c r="C828" s="248"/>
      <c r="D828" s="647" t="e" cm="1">
        <f t="array" aca="1" ref="D828" ca="1">INDIRECT("xHesaplama!I"&amp;""&amp;ROW(D828)+70-7*ROUNDDOWN(ROW(D828)/8,0))</f>
        <v>#N/A</v>
      </c>
      <c r="E828" s="648"/>
      <c r="F828" s="648"/>
      <c r="G828" s="649"/>
    </row>
    <row r="829" spans="2:9" ht="31.5" customHeight="1" thickBot="1">
      <c r="B829" s="257" t="s">
        <v>342</v>
      </c>
      <c r="C829" s="248"/>
      <c r="D829" s="650" t="str">
        <f>$H$1</f>
        <v>KUTU</v>
      </c>
      <c r="E829" s="651"/>
      <c r="F829" s="651"/>
      <c r="G829" s="652"/>
    </row>
    <row r="830" spans="2:9" ht="31.5" customHeight="1" thickBot="1">
      <c r="B830" s="257" t="s">
        <v>114</v>
      </c>
      <c r="C830" s="248"/>
      <c r="D830" s="653" t="str">
        <f>'1PROJE'!$G$3</f>
        <v>Z 5001</v>
      </c>
      <c r="E830" s="654"/>
      <c r="F830" s="654"/>
      <c r="G830" s="655"/>
      <c r="I830" s="250"/>
    </row>
    <row r="831" spans="2:9" ht="31.5" customHeight="1" thickBot="1">
      <c r="B831" s="257" t="s">
        <v>98</v>
      </c>
      <c r="D831" s="331" cm="1">
        <f t="array" aca="1" ref="D831" ca="1">INDIRECT("xHesaplama!H"&amp;""&amp;ROW(D828)+70-7*ROUNDDOWN(ROW(D828)/8,0))</f>
        <v>0</v>
      </c>
      <c r="E831" s="332"/>
      <c r="F831" s="642" t="e">
        <f ca="1">VLOOKUP(LEFT(D831,6),$J$2:$K$21,2,0)</f>
        <v>#N/A</v>
      </c>
      <c r="G831" s="643"/>
    </row>
    <row r="832" spans="2:9" ht="31.5" customHeight="1" thickBot="1">
      <c r="B832" s="257" t="s">
        <v>832</v>
      </c>
      <c r="D832" s="252" t="s">
        <v>359</v>
      </c>
      <c r="E832" s="253" t="e" cm="1">
        <f t="array" aca="1" ref="E832" ca="1">INDIRECT("xHesaplama!J"&amp;""&amp;ROW(D828)+70-7*ROUNDDOWN(ROW(D828)/8,0))</f>
        <v>#N/A</v>
      </c>
      <c r="F832" s="254" t="s">
        <v>358</v>
      </c>
      <c r="G832" s="253" t="e" cm="1">
        <f t="array" aca="1" ref="G832" ca="1">INDIRECT("xHesaplama!K"&amp;""&amp;ROW(D828)+70-7*ROUNDDOWN(ROW(D828)/8,0))</f>
        <v>#N/A</v>
      </c>
    </row>
    <row r="833" spans="2:9" ht="69" customHeight="1" thickBot="1">
      <c r="B833" s="256" t="s">
        <v>869</v>
      </c>
      <c r="C833" s="248"/>
      <c r="D833" s="656"/>
      <c r="E833" s="656"/>
      <c r="F833" s="656"/>
      <c r="G833" s="656"/>
    </row>
    <row r="834" spans="2:9" ht="31.5" customHeight="1" thickBot="1">
      <c r="B834" s="257" t="s">
        <v>870</v>
      </c>
      <c r="C834" s="248"/>
      <c r="D834" s="657" t="str">
        <f>'1PROJE'!$E$3</f>
        <v>GÜNEŞ PEN</v>
      </c>
      <c r="E834" s="658"/>
      <c r="F834" s="658"/>
      <c r="G834" s="659"/>
    </row>
    <row r="835" spans="2:9" ht="31.5" customHeight="1" thickBot="1">
      <c r="B835" s="257" t="s">
        <v>871</v>
      </c>
      <c r="C835" s="248"/>
      <c r="D835" s="644" t="str">
        <f>'1PROJE'!$F$3</f>
        <v>GÜRKAN BEY</v>
      </c>
      <c r="E835" s="645"/>
      <c r="F835" s="645"/>
      <c r="G835" s="646"/>
    </row>
    <row r="836" spans="2:9" ht="31.5" customHeight="1" thickBot="1">
      <c r="B836" s="257" t="s">
        <v>356</v>
      </c>
      <c r="C836" s="248"/>
      <c r="D836" s="647" t="e" cm="1">
        <f t="array" aca="1" ref="D836" ca="1">INDIRECT("xHesaplama!I"&amp;""&amp;ROW(D836)+70-7*ROUNDDOWN(ROW(D836)/8,0))</f>
        <v>#N/A</v>
      </c>
      <c r="E836" s="648"/>
      <c r="F836" s="648"/>
      <c r="G836" s="649"/>
    </row>
    <row r="837" spans="2:9" ht="31.5" customHeight="1" thickBot="1">
      <c r="B837" s="257" t="s">
        <v>342</v>
      </c>
      <c r="C837" s="248"/>
      <c r="D837" s="650" t="str">
        <f>$H$1</f>
        <v>KUTU</v>
      </c>
      <c r="E837" s="651"/>
      <c r="F837" s="651"/>
      <c r="G837" s="652"/>
    </row>
    <row r="838" spans="2:9" ht="31.5" customHeight="1" thickBot="1">
      <c r="B838" s="257" t="s">
        <v>114</v>
      </c>
      <c r="C838" s="248"/>
      <c r="D838" s="653" t="str">
        <f>'1PROJE'!$G$3</f>
        <v>Z 5001</v>
      </c>
      <c r="E838" s="654"/>
      <c r="F838" s="654"/>
      <c r="G838" s="655"/>
      <c r="I838" s="250"/>
    </row>
    <row r="839" spans="2:9" ht="31.5" customHeight="1" thickBot="1">
      <c r="B839" s="257" t="s">
        <v>98</v>
      </c>
      <c r="D839" s="331" cm="1">
        <f t="array" aca="1" ref="D839" ca="1">INDIRECT("xHesaplama!H"&amp;""&amp;ROW(D836)+70-7*ROUNDDOWN(ROW(D836)/8,0))</f>
        <v>0</v>
      </c>
      <c r="E839" s="332"/>
      <c r="F839" s="642" t="e">
        <f ca="1">VLOOKUP(LEFT(D839,6),$J$2:$K$21,2,0)</f>
        <v>#N/A</v>
      </c>
      <c r="G839" s="643"/>
    </row>
    <row r="840" spans="2:9" ht="31.5" customHeight="1" thickBot="1">
      <c r="B840" s="257" t="s">
        <v>832</v>
      </c>
      <c r="D840" s="252" t="s">
        <v>359</v>
      </c>
      <c r="E840" s="253" t="e" cm="1">
        <f t="array" aca="1" ref="E840" ca="1">INDIRECT("xHesaplama!J"&amp;""&amp;ROW(D836)+70-7*ROUNDDOWN(ROW(D836)/8,0))</f>
        <v>#N/A</v>
      </c>
      <c r="F840" s="254" t="s">
        <v>358</v>
      </c>
      <c r="G840" s="253" t="e" cm="1">
        <f t="array" aca="1" ref="G840" ca="1">INDIRECT("xHesaplama!K"&amp;""&amp;ROW(D836)+70-7*ROUNDDOWN(ROW(D836)/8,0))</f>
        <v>#N/A</v>
      </c>
    </row>
    <row r="841" spans="2:9" ht="69" customHeight="1" thickBot="1">
      <c r="B841" s="256" t="s">
        <v>869</v>
      </c>
      <c r="C841" s="248"/>
      <c r="D841" s="656"/>
      <c r="E841" s="656"/>
      <c r="F841" s="656"/>
      <c r="G841" s="656"/>
    </row>
    <row r="842" spans="2:9" ht="31.5" customHeight="1" thickBot="1">
      <c r="B842" s="257" t="s">
        <v>870</v>
      </c>
      <c r="C842" s="248"/>
      <c r="D842" s="657" t="str">
        <f>'1PROJE'!$E$3</f>
        <v>GÜNEŞ PEN</v>
      </c>
      <c r="E842" s="658"/>
      <c r="F842" s="658"/>
      <c r="G842" s="659"/>
    </row>
    <row r="843" spans="2:9" ht="31.5" customHeight="1" thickBot="1">
      <c r="B843" s="257" t="s">
        <v>871</v>
      </c>
      <c r="C843" s="248"/>
      <c r="D843" s="644" t="str">
        <f>'1PROJE'!$F$3</f>
        <v>GÜRKAN BEY</v>
      </c>
      <c r="E843" s="645"/>
      <c r="F843" s="645"/>
      <c r="G843" s="646"/>
    </row>
    <row r="844" spans="2:9" ht="31.5" customHeight="1" thickBot="1">
      <c r="B844" s="257" t="s">
        <v>356</v>
      </c>
      <c r="C844" s="248"/>
      <c r="D844" s="647" t="e" cm="1">
        <f t="array" aca="1" ref="D844" ca="1">INDIRECT("xHesaplama!I"&amp;""&amp;ROW(D844)+70-7*ROUNDDOWN(ROW(D844)/8,0))</f>
        <v>#N/A</v>
      </c>
      <c r="E844" s="648"/>
      <c r="F844" s="648"/>
      <c r="G844" s="649"/>
    </row>
    <row r="845" spans="2:9" ht="31.5" customHeight="1" thickBot="1">
      <c r="B845" s="257" t="s">
        <v>342</v>
      </c>
      <c r="C845" s="248"/>
      <c r="D845" s="650" t="str">
        <f>$H$1</f>
        <v>KUTU</v>
      </c>
      <c r="E845" s="651"/>
      <c r="F845" s="651"/>
      <c r="G845" s="652"/>
    </row>
    <row r="846" spans="2:9" ht="31.5" customHeight="1" thickBot="1">
      <c r="B846" s="257" t="s">
        <v>114</v>
      </c>
      <c r="C846" s="248"/>
      <c r="D846" s="653" t="str">
        <f>'1PROJE'!$G$3</f>
        <v>Z 5001</v>
      </c>
      <c r="E846" s="654"/>
      <c r="F846" s="654"/>
      <c r="G846" s="655"/>
      <c r="I846" s="250"/>
    </row>
    <row r="847" spans="2:9" ht="31.5" customHeight="1" thickBot="1">
      <c r="B847" s="257" t="s">
        <v>98</v>
      </c>
      <c r="D847" s="331" cm="1">
        <f t="array" aca="1" ref="D847" ca="1">INDIRECT("xHesaplama!H"&amp;""&amp;ROW(D844)+70-7*ROUNDDOWN(ROW(D844)/8,0))</f>
        <v>0</v>
      </c>
      <c r="E847" s="332"/>
      <c r="F847" s="642" t="e">
        <f ca="1">VLOOKUP(LEFT(D847,6),$J$2:$K$21,2,0)</f>
        <v>#N/A</v>
      </c>
      <c r="G847" s="643"/>
    </row>
    <row r="848" spans="2:9" ht="31.5" customHeight="1" thickBot="1">
      <c r="B848" s="257" t="s">
        <v>832</v>
      </c>
      <c r="D848" s="252" t="s">
        <v>359</v>
      </c>
      <c r="E848" s="253" t="e" cm="1">
        <f t="array" aca="1" ref="E848" ca="1">INDIRECT("xHesaplama!J"&amp;""&amp;ROW(D844)+70-7*ROUNDDOWN(ROW(D844)/8,0))</f>
        <v>#N/A</v>
      </c>
      <c r="F848" s="254" t="s">
        <v>358</v>
      </c>
      <c r="G848" s="253" t="e" cm="1">
        <f t="array" aca="1" ref="G848" ca="1">INDIRECT("xHesaplama!K"&amp;""&amp;ROW(D844)+70-7*ROUNDDOWN(ROW(D844)/8,0))</f>
        <v>#N/A</v>
      </c>
    </row>
    <row r="849" spans="2:9" ht="69" customHeight="1" thickBot="1">
      <c r="B849" s="256" t="s">
        <v>869</v>
      </c>
      <c r="C849" s="248"/>
      <c r="D849" s="656"/>
      <c r="E849" s="656"/>
      <c r="F849" s="656"/>
      <c r="G849" s="656"/>
    </row>
    <row r="850" spans="2:9" ht="31.5" customHeight="1" thickBot="1">
      <c r="B850" s="257" t="s">
        <v>870</v>
      </c>
      <c r="C850" s="248"/>
      <c r="D850" s="657" t="str">
        <f>'1PROJE'!$E$3</f>
        <v>GÜNEŞ PEN</v>
      </c>
      <c r="E850" s="658"/>
      <c r="F850" s="658"/>
      <c r="G850" s="659"/>
    </row>
    <row r="851" spans="2:9" ht="31.5" customHeight="1" thickBot="1">
      <c r="B851" s="257" t="s">
        <v>871</v>
      </c>
      <c r="C851" s="248"/>
      <c r="D851" s="644" t="str">
        <f>'1PROJE'!$F$3</f>
        <v>GÜRKAN BEY</v>
      </c>
      <c r="E851" s="645"/>
      <c r="F851" s="645"/>
      <c r="G851" s="646"/>
    </row>
    <row r="852" spans="2:9" ht="31.5" customHeight="1" thickBot="1">
      <c r="B852" s="257" t="s">
        <v>356</v>
      </c>
      <c r="C852" s="248"/>
      <c r="D852" s="647" t="e" cm="1">
        <f t="array" aca="1" ref="D852" ca="1">INDIRECT("xHesaplama!I"&amp;""&amp;ROW(D852)+70-7*ROUNDDOWN(ROW(D852)/8,0))</f>
        <v>#N/A</v>
      </c>
      <c r="E852" s="648"/>
      <c r="F852" s="648"/>
      <c r="G852" s="649"/>
    </row>
    <row r="853" spans="2:9" ht="31.5" customHeight="1" thickBot="1">
      <c r="B853" s="257" t="s">
        <v>342</v>
      </c>
      <c r="C853" s="248"/>
      <c r="D853" s="650" t="str">
        <f>$H$1</f>
        <v>KUTU</v>
      </c>
      <c r="E853" s="651"/>
      <c r="F853" s="651"/>
      <c r="G853" s="652"/>
    </row>
    <row r="854" spans="2:9" ht="31.5" customHeight="1" thickBot="1">
      <c r="B854" s="257" t="s">
        <v>114</v>
      </c>
      <c r="C854" s="248"/>
      <c r="D854" s="653" t="str">
        <f>'1PROJE'!$G$3</f>
        <v>Z 5001</v>
      </c>
      <c r="E854" s="654"/>
      <c r="F854" s="654"/>
      <c r="G854" s="655"/>
      <c r="I854" s="250"/>
    </row>
    <row r="855" spans="2:9" ht="31.5" customHeight="1" thickBot="1">
      <c r="B855" s="257" t="s">
        <v>98</v>
      </c>
      <c r="D855" s="331" cm="1">
        <f t="array" aca="1" ref="D855" ca="1">INDIRECT("xHesaplama!H"&amp;""&amp;ROW(D852)+70-7*ROUNDDOWN(ROW(D852)/8,0))</f>
        <v>0</v>
      </c>
      <c r="E855" s="332"/>
      <c r="F855" s="642" t="e">
        <f ca="1">VLOOKUP(LEFT(D855,6),$J$2:$K$21,2,0)</f>
        <v>#N/A</v>
      </c>
      <c r="G855" s="643"/>
    </row>
    <row r="856" spans="2:9" ht="31.5" customHeight="1" thickBot="1">
      <c r="B856" s="257" t="s">
        <v>832</v>
      </c>
      <c r="D856" s="252" t="s">
        <v>359</v>
      </c>
      <c r="E856" s="253" t="e" cm="1">
        <f t="array" aca="1" ref="E856" ca="1">INDIRECT("xHesaplama!J"&amp;""&amp;ROW(D852)+70-7*ROUNDDOWN(ROW(D852)/8,0))</f>
        <v>#N/A</v>
      </c>
      <c r="F856" s="254" t="s">
        <v>358</v>
      </c>
      <c r="G856" s="253" t="e" cm="1">
        <f t="array" aca="1" ref="G856" ca="1">INDIRECT("xHesaplama!K"&amp;""&amp;ROW(D852)+70-7*ROUNDDOWN(ROW(D852)/8,0))</f>
        <v>#N/A</v>
      </c>
    </row>
    <row r="857" spans="2:9" ht="69" customHeight="1" thickBot="1">
      <c r="B857" s="256" t="s">
        <v>869</v>
      </c>
      <c r="C857" s="248"/>
      <c r="D857" s="656"/>
      <c r="E857" s="656"/>
      <c r="F857" s="656"/>
      <c r="G857" s="656"/>
    </row>
    <row r="858" spans="2:9" ht="31.5" customHeight="1" thickBot="1">
      <c r="B858" s="257" t="s">
        <v>870</v>
      </c>
      <c r="C858" s="248"/>
      <c r="D858" s="657" t="str">
        <f>'1PROJE'!$E$3</f>
        <v>GÜNEŞ PEN</v>
      </c>
      <c r="E858" s="658"/>
      <c r="F858" s="658"/>
      <c r="G858" s="659"/>
    </row>
    <row r="859" spans="2:9" ht="31.5" customHeight="1" thickBot="1">
      <c r="B859" s="257" t="s">
        <v>871</v>
      </c>
      <c r="C859" s="248"/>
      <c r="D859" s="644" t="str">
        <f>'1PROJE'!$F$3</f>
        <v>GÜRKAN BEY</v>
      </c>
      <c r="E859" s="645"/>
      <c r="F859" s="645"/>
      <c r="G859" s="646"/>
    </row>
    <row r="860" spans="2:9" ht="31.5" customHeight="1" thickBot="1">
      <c r="B860" s="257" t="s">
        <v>356</v>
      </c>
      <c r="C860" s="248"/>
      <c r="D860" s="647" t="e" cm="1">
        <f t="array" aca="1" ref="D860" ca="1">INDIRECT("xHesaplama!I"&amp;""&amp;ROW(D860)+70-7*ROUNDDOWN(ROW(D860)/8,0))</f>
        <v>#N/A</v>
      </c>
      <c r="E860" s="648"/>
      <c r="F860" s="648"/>
      <c r="G860" s="649"/>
    </row>
    <row r="861" spans="2:9" ht="31.5" customHeight="1" thickBot="1">
      <c r="B861" s="257" t="s">
        <v>342</v>
      </c>
      <c r="C861" s="248"/>
      <c r="D861" s="650" t="str">
        <f>$H$1</f>
        <v>KUTU</v>
      </c>
      <c r="E861" s="651"/>
      <c r="F861" s="651"/>
      <c r="G861" s="652"/>
    </row>
    <row r="862" spans="2:9" ht="31.5" customHeight="1" thickBot="1">
      <c r="B862" s="257" t="s">
        <v>114</v>
      </c>
      <c r="C862" s="248"/>
      <c r="D862" s="653" t="str">
        <f>'1PROJE'!$G$3</f>
        <v>Z 5001</v>
      </c>
      <c r="E862" s="654"/>
      <c r="F862" s="654"/>
      <c r="G862" s="655"/>
      <c r="I862" s="250"/>
    </row>
    <row r="863" spans="2:9" ht="31.5" customHeight="1" thickBot="1">
      <c r="B863" s="257" t="s">
        <v>98</v>
      </c>
      <c r="D863" s="331" cm="1">
        <f t="array" aca="1" ref="D863" ca="1">INDIRECT("xHesaplama!H"&amp;""&amp;ROW(D860)+70-7*ROUNDDOWN(ROW(D860)/8,0))</f>
        <v>0</v>
      </c>
      <c r="E863" s="332"/>
      <c r="F863" s="642" t="e">
        <f ca="1">VLOOKUP(LEFT(D863,6),$J$2:$K$21,2,0)</f>
        <v>#N/A</v>
      </c>
      <c r="G863" s="643"/>
    </row>
    <row r="864" spans="2:9" ht="31.5" customHeight="1" thickBot="1">
      <c r="B864" s="257" t="s">
        <v>832</v>
      </c>
      <c r="D864" s="252" t="s">
        <v>359</v>
      </c>
      <c r="E864" s="253" t="e" cm="1">
        <f t="array" aca="1" ref="E864" ca="1">INDIRECT("xHesaplama!J"&amp;""&amp;ROW(D860)+70-7*ROUNDDOWN(ROW(D860)/8,0))</f>
        <v>#N/A</v>
      </c>
      <c r="F864" s="254" t="s">
        <v>358</v>
      </c>
      <c r="G864" s="253" t="e" cm="1">
        <f t="array" aca="1" ref="G864" ca="1">INDIRECT("xHesaplama!K"&amp;""&amp;ROW(D860)+70-7*ROUNDDOWN(ROW(D860)/8,0))</f>
        <v>#N/A</v>
      </c>
    </row>
    <row r="865" spans="2:9" ht="69" customHeight="1" thickBot="1">
      <c r="B865" s="256" t="s">
        <v>869</v>
      </c>
      <c r="C865" s="248"/>
      <c r="D865" s="656"/>
      <c r="E865" s="656"/>
      <c r="F865" s="656"/>
      <c r="G865" s="656"/>
    </row>
    <row r="866" spans="2:9" ht="31.5" customHeight="1" thickBot="1">
      <c r="B866" s="257" t="s">
        <v>870</v>
      </c>
      <c r="C866" s="248"/>
      <c r="D866" s="657" t="str">
        <f>'1PROJE'!$E$3</f>
        <v>GÜNEŞ PEN</v>
      </c>
      <c r="E866" s="658"/>
      <c r="F866" s="658"/>
      <c r="G866" s="659"/>
    </row>
    <row r="867" spans="2:9" ht="31.5" customHeight="1" thickBot="1">
      <c r="B867" s="257" t="s">
        <v>871</v>
      </c>
      <c r="C867" s="248"/>
      <c r="D867" s="644" t="str">
        <f>'1PROJE'!$F$3</f>
        <v>GÜRKAN BEY</v>
      </c>
      <c r="E867" s="645"/>
      <c r="F867" s="645"/>
      <c r="G867" s="646"/>
    </row>
    <row r="868" spans="2:9" ht="31.5" customHeight="1" thickBot="1">
      <c r="B868" s="257" t="s">
        <v>356</v>
      </c>
      <c r="C868" s="248"/>
      <c r="D868" s="647" t="e" cm="1">
        <f t="array" aca="1" ref="D868" ca="1">INDIRECT("xHesaplama!I"&amp;""&amp;ROW(D868)+70-7*ROUNDDOWN(ROW(D868)/8,0))</f>
        <v>#N/A</v>
      </c>
      <c r="E868" s="648"/>
      <c r="F868" s="648"/>
      <c r="G868" s="649"/>
    </row>
    <row r="869" spans="2:9" ht="31.5" customHeight="1" thickBot="1">
      <c r="B869" s="257" t="s">
        <v>342</v>
      </c>
      <c r="C869" s="248"/>
      <c r="D869" s="650" t="str">
        <f>$H$1</f>
        <v>KUTU</v>
      </c>
      <c r="E869" s="651"/>
      <c r="F869" s="651"/>
      <c r="G869" s="652"/>
    </row>
    <row r="870" spans="2:9" ht="31.5" customHeight="1" thickBot="1">
      <c r="B870" s="257" t="s">
        <v>114</v>
      </c>
      <c r="C870" s="248"/>
      <c r="D870" s="653" t="str">
        <f>'1PROJE'!$G$3</f>
        <v>Z 5001</v>
      </c>
      <c r="E870" s="654"/>
      <c r="F870" s="654"/>
      <c r="G870" s="655"/>
      <c r="I870" s="250"/>
    </row>
    <row r="871" spans="2:9" ht="31.5" customHeight="1" thickBot="1">
      <c r="B871" s="257" t="s">
        <v>98</v>
      </c>
      <c r="D871" s="331" cm="1">
        <f t="array" aca="1" ref="D871" ca="1">INDIRECT("xHesaplama!H"&amp;""&amp;ROW(D868)+70-7*ROUNDDOWN(ROW(D868)/8,0))</f>
        <v>0</v>
      </c>
      <c r="E871" s="332"/>
      <c r="F871" s="642" t="e">
        <f ca="1">VLOOKUP(LEFT(D871,6),$J$2:$K$21,2,0)</f>
        <v>#N/A</v>
      </c>
      <c r="G871" s="643"/>
    </row>
    <row r="872" spans="2:9" ht="31.5" customHeight="1" thickBot="1">
      <c r="B872" s="257" t="s">
        <v>832</v>
      </c>
      <c r="D872" s="252" t="s">
        <v>359</v>
      </c>
      <c r="E872" s="253" t="e" cm="1">
        <f t="array" aca="1" ref="E872" ca="1">INDIRECT("xHesaplama!J"&amp;""&amp;ROW(D868)+70-7*ROUNDDOWN(ROW(D868)/8,0))</f>
        <v>#N/A</v>
      </c>
      <c r="F872" s="254" t="s">
        <v>358</v>
      </c>
      <c r="G872" s="253" t="e" cm="1">
        <f t="array" aca="1" ref="G872" ca="1">INDIRECT("xHesaplama!K"&amp;""&amp;ROW(D868)+70-7*ROUNDDOWN(ROW(D868)/8,0))</f>
        <v>#N/A</v>
      </c>
    </row>
    <row r="873" spans="2:9" ht="69" customHeight="1" thickBot="1">
      <c r="B873" s="256" t="s">
        <v>869</v>
      </c>
      <c r="C873" s="248"/>
      <c r="D873" s="656"/>
      <c r="E873" s="656"/>
      <c r="F873" s="656"/>
      <c r="G873" s="656"/>
    </row>
    <row r="874" spans="2:9" ht="31.5" customHeight="1" thickBot="1">
      <c r="B874" s="257" t="s">
        <v>870</v>
      </c>
      <c r="C874" s="248"/>
      <c r="D874" s="657" t="str">
        <f>'1PROJE'!$E$3</f>
        <v>GÜNEŞ PEN</v>
      </c>
      <c r="E874" s="658"/>
      <c r="F874" s="658"/>
      <c r="G874" s="659"/>
    </row>
    <row r="875" spans="2:9" ht="31.5" customHeight="1" thickBot="1">
      <c r="B875" s="257" t="s">
        <v>871</v>
      </c>
      <c r="C875" s="248"/>
      <c r="D875" s="644" t="str">
        <f>'1PROJE'!$F$3</f>
        <v>GÜRKAN BEY</v>
      </c>
      <c r="E875" s="645"/>
      <c r="F875" s="645"/>
      <c r="G875" s="646"/>
    </row>
    <row r="876" spans="2:9" ht="31.5" customHeight="1" thickBot="1">
      <c r="B876" s="257" t="s">
        <v>356</v>
      </c>
      <c r="C876" s="248"/>
      <c r="D876" s="647" t="e" cm="1">
        <f t="array" aca="1" ref="D876" ca="1">INDIRECT("xHesaplama!I"&amp;""&amp;ROW(D876)+70-7*ROUNDDOWN(ROW(D876)/8,0))</f>
        <v>#N/A</v>
      </c>
      <c r="E876" s="648"/>
      <c r="F876" s="648"/>
      <c r="G876" s="649"/>
    </row>
    <row r="877" spans="2:9" ht="31.5" customHeight="1" thickBot="1">
      <c r="B877" s="257" t="s">
        <v>342</v>
      </c>
      <c r="C877" s="248"/>
      <c r="D877" s="650" t="str">
        <f>$H$1</f>
        <v>KUTU</v>
      </c>
      <c r="E877" s="651"/>
      <c r="F877" s="651"/>
      <c r="G877" s="652"/>
    </row>
    <row r="878" spans="2:9" ht="31.5" customHeight="1" thickBot="1">
      <c r="B878" s="257" t="s">
        <v>114</v>
      </c>
      <c r="C878" s="248"/>
      <c r="D878" s="653" t="str">
        <f>'1PROJE'!$G$3</f>
        <v>Z 5001</v>
      </c>
      <c r="E878" s="654"/>
      <c r="F878" s="654"/>
      <c r="G878" s="655"/>
      <c r="I878" s="250"/>
    </row>
    <row r="879" spans="2:9" ht="31.5" customHeight="1" thickBot="1">
      <c r="B879" s="257" t="s">
        <v>98</v>
      </c>
      <c r="D879" s="331" cm="1">
        <f t="array" aca="1" ref="D879" ca="1">INDIRECT("xHesaplama!H"&amp;""&amp;ROW(D876)+70-7*ROUNDDOWN(ROW(D876)/8,0))</f>
        <v>0</v>
      </c>
      <c r="E879" s="332"/>
      <c r="F879" s="642" t="e">
        <f ca="1">VLOOKUP(LEFT(D879,6),$J$2:$K$21,2,0)</f>
        <v>#N/A</v>
      </c>
      <c r="G879" s="643"/>
    </row>
    <row r="880" spans="2:9" ht="31.5" customHeight="1" thickBot="1">
      <c r="B880" s="257" t="s">
        <v>832</v>
      </c>
      <c r="D880" s="252" t="s">
        <v>359</v>
      </c>
      <c r="E880" s="253" t="e" cm="1">
        <f t="array" aca="1" ref="E880" ca="1">INDIRECT("xHesaplama!J"&amp;""&amp;ROW(D876)+70-7*ROUNDDOWN(ROW(D876)/8,0))</f>
        <v>#N/A</v>
      </c>
      <c r="F880" s="254" t="s">
        <v>358</v>
      </c>
      <c r="G880" s="253" t="e" cm="1">
        <f t="array" aca="1" ref="G880" ca="1">INDIRECT("xHesaplama!K"&amp;""&amp;ROW(D876)+70-7*ROUNDDOWN(ROW(D876)/8,0))</f>
        <v>#N/A</v>
      </c>
    </row>
    <row r="881" spans="2:9" ht="69" customHeight="1" thickBot="1">
      <c r="B881" s="256" t="s">
        <v>869</v>
      </c>
      <c r="C881" s="248"/>
      <c r="D881" s="656"/>
      <c r="E881" s="656"/>
      <c r="F881" s="656"/>
      <c r="G881" s="656"/>
    </row>
    <row r="882" spans="2:9" ht="31.5" customHeight="1" thickBot="1">
      <c r="B882" s="257" t="s">
        <v>870</v>
      </c>
      <c r="C882" s="248"/>
      <c r="D882" s="657" t="str">
        <f>'1PROJE'!$E$3</f>
        <v>GÜNEŞ PEN</v>
      </c>
      <c r="E882" s="658"/>
      <c r="F882" s="658"/>
      <c r="G882" s="659"/>
    </row>
    <row r="883" spans="2:9" ht="31.5" customHeight="1" thickBot="1">
      <c r="B883" s="257" t="s">
        <v>871</v>
      </c>
      <c r="C883" s="248"/>
      <c r="D883" s="644" t="str">
        <f>'1PROJE'!$F$3</f>
        <v>GÜRKAN BEY</v>
      </c>
      <c r="E883" s="645"/>
      <c r="F883" s="645"/>
      <c r="G883" s="646"/>
    </row>
    <row r="884" spans="2:9" ht="31.5" customHeight="1" thickBot="1">
      <c r="B884" s="257" t="s">
        <v>356</v>
      </c>
      <c r="C884" s="248"/>
      <c r="D884" s="647" t="e" cm="1">
        <f t="array" aca="1" ref="D884" ca="1">INDIRECT("xHesaplama!I"&amp;""&amp;ROW(D884)+70-7*ROUNDDOWN(ROW(D884)/8,0))</f>
        <v>#N/A</v>
      </c>
      <c r="E884" s="648"/>
      <c r="F884" s="648"/>
      <c r="G884" s="649"/>
    </row>
    <row r="885" spans="2:9" ht="31.5" customHeight="1" thickBot="1">
      <c r="B885" s="257" t="s">
        <v>342</v>
      </c>
      <c r="C885" s="248"/>
      <c r="D885" s="650" t="str">
        <f>$H$1</f>
        <v>KUTU</v>
      </c>
      <c r="E885" s="651"/>
      <c r="F885" s="651"/>
      <c r="G885" s="652"/>
    </row>
    <row r="886" spans="2:9" ht="31.5" customHeight="1" thickBot="1">
      <c r="B886" s="257" t="s">
        <v>114</v>
      </c>
      <c r="C886" s="248"/>
      <c r="D886" s="653" t="str">
        <f>'1PROJE'!$G$3</f>
        <v>Z 5001</v>
      </c>
      <c r="E886" s="654"/>
      <c r="F886" s="654"/>
      <c r="G886" s="655"/>
      <c r="I886" s="250"/>
    </row>
    <row r="887" spans="2:9" ht="31.5" customHeight="1" thickBot="1">
      <c r="B887" s="257" t="s">
        <v>98</v>
      </c>
      <c r="D887" s="331" cm="1">
        <f t="array" aca="1" ref="D887" ca="1">INDIRECT("xHesaplama!H"&amp;""&amp;ROW(D884)+70-7*ROUNDDOWN(ROW(D884)/8,0))</f>
        <v>0</v>
      </c>
      <c r="E887" s="332"/>
      <c r="F887" s="642" t="e">
        <f ca="1">VLOOKUP(LEFT(D887,6),$J$2:$K$21,2,0)</f>
        <v>#N/A</v>
      </c>
      <c r="G887" s="643"/>
    </row>
    <row r="888" spans="2:9" ht="31.5" customHeight="1" thickBot="1">
      <c r="B888" s="257" t="s">
        <v>832</v>
      </c>
      <c r="D888" s="252" t="s">
        <v>359</v>
      </c>
      <c r="E888" s="253" t="e" cm="1">
        <f t="array" aca="1" ref="E888" ca="1">INDIRECT("xHesaplama!J"&amp;""&amp;ROW(D884)+70-7*ROUNDDOWN(ROW(D884)/8,0))</f>
        <v>#N/A</v>
      </c>
      <c r="F888" s="254" t="s">
        <v>358</v>
      </c>
      <c r="G888" s="253" t="e" cm="1">
        <f t="array" aca="1" ref="G888" ca="1">INDIRECT("xHesaplama!K"&amp;""&amp;ROW(D884)+70-7*ROUNDDOWN(ROW(D884)/8,0))</f>
        <v>#N/A</v>
      </c>
    </row>
    <row r="889" spans="2:9" ht="69" customHeight="1" thickBot="1">
      <c r="B889" s="256" t="s">
        <v>869</v>
      </c>
      <c r="C889" s="248"/>
      <c r="D889" s="656"/>
      <c r="E889" s="656"/>
      <c r="F889" s="656"/>
      <c r="G889" s="656"/>
    </row>
    <row r="890" spans="2:9" ht="31.5" customHeight="1" thickBot="1">
      <c r="B890" s="257" t="s">
        <v>870</v>
      </c>
      <c r="C890" s="248"/>
      <c r="D890" s="657" t="str">
        <f>'1PROJE'!$E$3</f>
        <v>GÜNEŞ PEN</v>
      </c>
      <c r="E890" s="658"/>
      <c r="F890" s="658"/>
      <c r="G890" s="659"/>
    </row>
    <row r="891" spans="2:9" ht="31.5" customHeight="1" thickBot="1">
      <c r="B891" s="257" t="s">
        <v>871</v>
      </c>
      <c r="C891" s="248"/>
      <c r="D891" s="644" t="str">
        <f>'1PROJE'!$F$3</f>
        <v>GÜRKAN BEY</v>
      </c>
      <c r="E891" s="645"/>
      <c r="F891" s="645"/>
      <c r="G891" s="646"/>
    </row>
    <row r="892" spans="2:9" ht="31.5" customHeight="1" thickBot="1">
      <c r="B892" s="257" t="s">
        <v>356</v>
      </c>
      <c r="C892" s="248"/>
      <c r="D892" s="647" t="e" cm="1">
        <f t="array" aca="1" ref="D892" ca="1">INDIRECT("xHesaplama!I"&amp;""&amp;ROW(D892)+70-7*ROUNDDOWN(ROW(D892)/8,0))</f>
        <v>#N/A</v>
      </c>
      <c r="E892" s="648"/>
      <c r="F892" s="648"/>
      <c r="G892" s="649"/>
    </row>
    <row r="893" spans="2:9" ht="31.5" customHeight="1" thickBot="1">
      <c r="B893" s="257" t="s">
        <v>342</v>
      </c>
      <c r="C893" s="248"/>
      <c r="D893" s="650" t="str">
        <f>$H$1</f>
        <v>KUTU</v>
      </c>
      <c r="E893" s="651"/>
      <c r="F893" s="651"/>
      <c r="G893" s="652"/>
    </row>
    <row r="894" spans="2:9" ht="31.5" customHeight="1" thickBot="1">
      <c r="B894" s="257" t="s">
        <v>114</v>
      </c>
      <c r="C894" s="248"/>
      <c r="D894" s="653" t="str">
        <f>'1PROJE'!$G$3</f>
        <v>Z 5001</v>
      </c>
      <c r="E894" s="654"/>
      <c r="F894" s="654"/>
      <c r="G894" s="655"/>
      <c r="I894" s="250"/>
    </row>
    <row r="895" spans="2:9" ht="31.5" customHeight="1" thickBot="1">
      <c r="B895" s="257" t="s">
        <v>98</v>
      </c>
      <c r="D895" s="331" cm="1">
        <f t="array" aca="1" ref="D895" ca="1">INDIRECT("xHesaplama!H"&amp;""&amp;ROW(D892)+70-7*ROUNDDOWN(ROW(D892)/8,0))</f>
        <v>0</v>
      </c>
      <c r="E895" s="332"/>
      <c r="F895" s="642" t="e">
        <f ca="1">VLOOKUP(LEFT(D895,6),$J$2:$K$21,2,0)</f>
        <v>#N/A</v>
      </c>
      <c r="G895" s="643"/>
    </row>
    <row r="896" spans="2:9" ht="31.5" customHeight="1" thickBot="1">
      <c r="B896" s="257" t="s">
        <v>832</v>
      </c>
      <c r="D896" s="252" t="s">
        <v>359</v>
      </c>
      <c r="E896" s="253" t="e" cm="1">
        <f t="array" aca="1" ref="E896" ca="1">INDIRECT("xHesaplama!J"&amp;""&amp;ROW(D892)+70-7*ROUNDDOWN(ROW(D892)/8,0))</f>
        <v>#N/A</v>
      </c>
      <c r="F896" s="254" t="s">
        <v>358</v>
      </c>
      <c r="G896" s="253" t="e" cm="1">
        <f t="array" aca="1" ref="G896" ca="1">INDIRECT("xHesaplama!K"&amp;""&amp;ROW(D892)+70-7*ROUNDDOWN(ROW(D892)/8,0))</f>
        <v>#N/A</v>
      </c>
    </row>
    <row r="897" spans="2:9" ht="69" customHeight="1" thickBot="1">
      <c r="B897" s="256" t="s">
        <v>869</v>
      </c>
      <c r="C897" s="248"/>
      <c r="D897" s="656"/>
      <c r="E897" s="656"/>
      <c r="F897" s="656"/>
      <c r="G897" s="656"/>
    </row>
    <row r="898" spans="2:9" ht="31.5" customHeight="1" thickBot="1">
      <c r="B898" s="257" t="s">
        <v>870</v>
      </c>
      <c r="C898" s="248"/>
      <c r="D898" s="657" t="str">
        <f>'1PROJE'!$E$3</f>
        <v>GÜNEŞ PEN</v>
      </c>
      <c r="E898" s="658"/>
      <c r="F898" s="658"/>
      <c r="G898" s="659"/>
    </row>
    <row r="899" spans="2:9" ht="31.5" customHeight="1" thickBot="1">
      <c r="B899" s="257" t="s">
        <v>871</v>
      </c>
      <c r="C899" s="248"/>
      <c r="D899" s="644" t="str">
        <f>'1PROJE'!$F$3</f>
        <v>GÜRKAN BEY</v>
      </c>
      <c r="E899" s="645"/>
      <c r="F899" s="645"/>
      <c r="G899" s="646"/>
    </row>
    <row r="900" spans="2:9" ht="31.5" customHeight="1" thickBot="1">
      <c r="B900" s="257" t="s">
        <v>356</v>
      </c>
      <c r="C900" s="248"/>
      <c r="D900" s="647" t="e" cm="1">
        <f t="array" aca="1" ref="D900" ca="1">INDIRECT("xHesaplama!I"&amp;""&amp;ROW(D900)+70-7*ROUNDDOWN(ROW(D900)/8,0))</f>
        <v>#N/A</v>
      </c>
      <c r="E900" s="648"/>
      <c r="F900" s="648"/>
      <c r="G900" s="649"/>
    </row>
    <row r="901" spans="2:9" ht="31.5" customHeight="1" thickBot="1">
      <c r="B901" s="257" t="s">
        <v>342</v>
      </c>
      <c r="C901" s="248"/>
      <c r="D901" s="650" t="str">
        <f>$H$1</f>
        <v>KUTU</v>
      </c>
      <c r="E901" s="651"/>
      <c r="F901" s="651"/>
      <c r="G901" s="652"/>
    </row>
    <row r="902" spans="2:9" ht="31.5" customHeight="1" thickBot="1">
      <c r="B902" s="257" t="s">
        <v>114</v>
      </c>
      <c r="C902" s="248"/>
      <c r="D902" s="653" t="str">
        <f>'1PROJE'!$G$3</f>
        <v>Z 5001</v>
      </c>
      <c r="E902" s="654"/>
      <c r="F902" s="654"/>
      <c r="G902" s="655"/>
      <c r="I902" s="250"/>
    </row>
    <row r="903" spans="2:9" ht="31.5" customHeight="1" thickBot="1">
      <c r="B903" s="257" t="s">
        <v>98</v>
      </c>
      <c r="D903" s="331" cm="1">
        <f t="array" aca="1" ref="D903" ca="1">INDIRECT("xHesaplama!H"&amp;""&amp;ROW(D900)+70-7*ROUNDDOWN(ROW(D900)/8,0))</f>
        <v>0</v>
      </c>
      <c r="E903" s="332"/>
      <c r="F903" s="642" t="e">
        <f ca="1">VLOOKUP(LEFT(D903,6),$J$2:$K$21,2,0)</f>
        <v>#N/A</v>
      </c>
      <c r="G903" s="643"/>
    </row>
    <row r="904" spans="2:9" ht="31.5" customHeight="1" thickBot="1">
      <c r="B904" s="257" t="s">
        <v>832</v>
      </c>
      <c r="D904" s="252" t="s">
        <v>359</v>
      </c>
      <c r="E904" s="253" t="e" cm="1">
        <f t="array" aca="1" ref="E904" ca="1">INDIRECT("xHesaplama!J"&amp;""&amp;ROW(D900)+70-7*ROUNDDOWN(ROW(D900)/8,0))</f>
        <v>#N/A</v>
      </c>
      <c r="F904" s="254" t="s">
        <v>358</v>
      </c>
      <c r="G904" s="253" t="e" cm="1">
        <f t="array" aca="1" ref="G904" ca="1">INDIRECT("xHesaplama!K"&amp;""&amp;ROW(D900)+70-7*ROUNDDOWN(ROW(D900)/8,0))</f>
        <v>#N/A</v>
      </c>
    </row>
    <row r="905" spans="2:9" ht="69" customHeight="1" thickBot="1">
      <c r="B905" s="256" t="s">
        <v>869</v>
      </c>
      <c r="C905" s="248"/>
      <c r="D905" s="656"/>
      <c r="E905" s="656"/>
      <c r="F905" s="656"/>
      <c r="G905" s="656"/>
    </row>
    <row r="906" spans="2:9" ht="31.5" customHeight="1" thickBot="1">
      <c r="B906" s="257" t="s">
        <v>870</v>
      </c>
      <c r="C906" s="248"/>
      <c r="D906" s="657" t="str">
        <f>'1PROJE'!$E$3</f>
        <v>GÜNEŞ PEN</v>
      </c>
      <c r="E906" s="658"/>
      <c r="F906" s="658"/>
      <c r="G906" s="659"/>
    </row>
    <row r="907" spans="2:9" ht="31.5" customHeight="1" thickBot="1">
      <c r="B907" s="257" t="s">
        <v>871</v>
      </c>
      <c r="C907" s="248"/>
      <c r="D907" s="644" t="str">
        <f>'1PROJE'!$F$3</f>
        <v>GÜRKAN BEY</v>
      </c>
      <c r="E907" s="645"/>
      <c r="F907" s="645"/>
      <c r="G907" s="646"/>
    </row>
    <row r="908" spans="2:9" ht="31.5" customHeight="1" thickBot="1">
      <c r="B908" s="257" t="s">
        <v>356</v>
      </c>
      <c r="C908" s="248"/>
      <c r="D908" s="647" t="e" cm="1">
        <f t="array" aca="1" ref="D908" ca="1">INDIRECT("xHesaplama!I"&amp;""&amp;ROW(D908)+70-7*ROUNDDOWN(ROW(D908)/8,0))</f>
        <v>#N/A</v>
      </c>
      <c r="E908" s="648"/>
      <c r="F908" s="648"/>
      <c r="G908" s="649"/>
    </row>
    <row r="909" spans="2:9" ht="31.5" customHeight="1" thickBot="1">
      <c r="B909" s="257" t="s">
        <v>342</v>
      </c>
      <c r="C909" s="248"/>
      <c r="D909" s="650" t="str">
        <f>$H$1</f>
        <v>KUTU</v>
      </c>
      <c r="E909" s="651"/>
      <c r="F909" s="651"/>
      <c r="G909" s="652"/>
    </row>
    <row r="910" spans="2:9" ht="31.5" customHeight="1" thickBot="1">
      <c r="B910" s="257" t="s">
        <v>114</v>
      </c>
      <c r="C910" s="248"/>
      <c r="D910" s="653" t="str">
        <f>'1PROJE'!$G$3</f>
        <v>Z 5001</v>
      </c>
      <c r="E910" s="654"/>
      <c r="F910" s="654"/>
      <c r="G910" s="655"/>
      <c r="I910" s="250"/>
    </row>
    <row r="911" spans="2:9" ht="31.5" customHeight="1" thickBot="1">
      <c r="B911" s="257" t="s">
        <v>98</v>
      </c>
      <c r="D911" s="331" cm="1">
        <f t="array" aca="1" ref="D911" ca="1">INDIRECT("xHesaplama!H"&amp;""&amp;ROW(D908)+70-7*ROUNDDOWN(ROW(D908)/8,0))</f>
        <v>0</v>
      </c>
      <c r="E911" s="332"/>
      <c r="F911" s="642" t="e">
        <f ca="1">VLOOKUP(LEFT(D911,6),$J$2:$K$21,2,0)</f>
        <v>#N/A</v>
      </c>
      <c r="G911" s="643"/>
    </row>
    <row r="912" spans="2:9" ht="31.5" customHeight="1" thickBot="1">
      <c r="B912" s="257" t="s">
        <v>832</v>
      </c>
      <c r="D912" s="252" t="s">
        <v>359</v>
      </c>
      <c r="E912" s="253" t="e" cm="1">
        <f t="array" aca="1" ref="E912" ca="1">INDIRECT("xHesaplama!J"&amp;""&amp;ROW(D908)+70-7*ROUNDDOWN(ROW(D908)/8,0))</f>
        <v>#N/A</v>
      </c>
      <c r="F912" s="254" t="s">
        <v>358</v>
      </c>
      <c r="G912" s="253" t="e" cm="1">
        <f t="array" aca="1" ref="G912" ca="1">INDIRECT("xHesaplama!K"&amp;""&amp;ROW(D908)+70-7*ROUNDDOWN(ROW(D908)/8,0))</f>
        <v>#N/A</v>
      </c>
    </row>
    <row r="913" spans="2:9" ht="69" customHeight="1" thickBot="1">
      <c r="B913" s="256" t="s">
        <v>869</v>
      </c>
      <c r="C913" s="248"/>
      <c r="D913" s="656"/>
      <c r="E913" s="656"/>
      <c r="F913" s="656"/>
      <c r="G913" s="656"/>
    </row>
    <row r="914" spans="2:9" ht="31.5" customHeight="1" thickBot="1">
      <c r="B914" s="257" t="s">
        <v>870</v>
      </c>
      <c r="C914" s="248"/>
      <c r="D914" s="657" t="str">
        <f>'1PROJE'!$E$3</f>
        <v>GÜNEŞ PEN</v>
      </c>
      <c r="E914" s="658"/>
      <c r="F914" s="658"/>
      <c r="G914" s="659"/>
    </row>
    <row r="915" spans="2:9" ht="31.5" customHeight="1" thickBot="1">
      <c r="B915" s="257" t="s">
        <v>871</v>
      </c>
      <c r="C915" s="248"/>
      <c r="D915" s="644" t="str">
        <f>'1PROJE'!$F$3</f>
        <v>GÜRKAN BEY</v>
      </c>
      <c r="E915" s="645"/>
      <c r="F915" s="645"/>
      <c r="G915" s="646"/>
    </row>
    <row r="916" spans="2:9" ht="31.5" customHeight="1" thickBot="1">
      <c r="B916" s="257" t="s">
        <v>356</v>
      </c>
      <c r="C916" s="248"/>
      <c r="D916" s="647" t="e" cm="1">
        <f t="array" aca="1" ref="D916" ca="1">INDIRECT("xHesaplama!I"&amp;""&amp;ROW(D916)+70-7*ROUNDDOWN(ROW(D916)/8,0))</f>
        <v>#N/A</v>
      </c>
      <c r="E916" s="648"/>
      <c r="F916" s="648"/>
      <c r="G916" s="649"/>
    </row>
    <row r="917" spans="2:9" ht="31.5" customHeight="1" thickBot="1">
      <c r="B917" s="257" t="s">
        <v>342</v>
      </c>
      <c r="C917" s="248"/>
      <c r="D917" s="650" t="str">
        <f>$H$1</f>
        <v>KUTU</v>
      </c>
      <c r="E917" s="651"/>
      <c r="F917" s="651"/>
      <c r="G917" s="652"/>
    </row>
    <row r="918" spans="2:9" ht="31.5" customHeight="1" thickBot="1">
      <c r="B918" s="257" t="s">
        <v>114</v>
      </c>
      <c r="C918" s="248"/>
      <c r="D918" s="653" t="str">
        <f>'1PROJE'!$G$3</f>
        <v>Z 5001</v>
      </c>
      <c r="E918" s="654"/>
      <c r="F918" s="654"/>
      <c r="G918" s="655"/>
      <c r="I918" s="250"/>
    </row>
    <row r="919" spans="2:9" ht="31.5" customHeight="1" thickBot="1">
      <c r="B919" s="257" t="s">
        <v>98</v>
      </c>
      <c r="D919" s="331" cm="1">
        <f t="array" aca="1" ref="D919" ca="1">INDIRECT("xHesaplama!H"&amp;""&amp;ROW(D916)+70-7*ROUNDDOWN(ROW(D916)/8,0))</f>
        <v>0</v>
      </c>
      <c r="E919" s="332"/>
      <c r="F919" s="642" t="e">
        <f ca="1">VLOOKUP(LEFT(D919,6),$J$2:$K$21,2,0)</f>
        <v>#N/A</v>
      </c>
      <c r="G919" s="643"/>
    </row>
    <row r="920" spans="2:9" ht="31.5" customHeight="1" thickBot="1">
      <c r="B920" s="257" t="s">
        <v>832</v>
      </c>
      <c r="D920" s="252" t="s">
        <v>359</v>
      </c>
      <c r="E920" s="253" t="e" cm="1">
        <f t="array" aca="1" ref="E920" ca="1">INDIRECT("xHesaplama!J"&amp;""&amp;ROW(D916)+70-7*ROUNDDOWN(ROW(D916)/8,0))</f>
        <v>#N/A</v>
      </c>
      <c r="F920" s="254" t="s">
        <v>358</v>
      </c>
      <c r="G920" s="253" t="e" cm="1">
        <f t="array" aca="1" ref="G920" ca="1">INDIRECT("xHesaplama!K"&amp;""&amp;ROW(D916)+70-7*ROUNDDOWN(ROW(D916)/8,0))</f>
        <v>#N/A</v>
      </c>
    </row>
    <row r="921" spans="2:9" ht="69" customHeight="1" thickBot="1">
      <c r="B921" s="256" t="s">
        <v>869</v>
      </c>
      <c r="C921" s="248"/>
      <c r="D921" s="656"/>
      <c r="E921" s="656"/>
      <c r="F921" s="656"/>
      <c r="G921" s="656"/>
    </row>
    <row r="922" spans="2:9" ht="31.5" customHeight="1" thickBot="1">
      <c r="B922" s="257" t="s">
        <v>870</v>
      </c>
      <c r="C922" s="248"/>
      <c r="D922" s="657" t="str">
        <f>'1PROJE'!$E$3</f>
        <v>GÜNEŞ PEN</v>
      </c>
      <c r="E922" s="658"/>
      <c r="F922" s="658"/>
      <c r="G922" s="659"/>
    </row>
    <row r="923" spans="2:9" ht="31.5" customHeight="1" thickBot="1">
      <c r="B923" s="257" t="s">
        <v>871</v>
      </c>
      <c r="C923" s="248"/>
      <c r="D923" s="644" t="str">
        <f>'1PROJE'!$F$3</f>
        <v>GÜRKAN BEY</v>
      </c>
      <c r="E923" s="645"/>
      <c r="F923" s="645"/>
      <c r="G923" s="646"/>
    </row>
    <row r="924" spans="2:9" ht="31.5" customHeight="1" thickBot="1">
      <c r="B924" s="257" t="s">
        <v>356</v>
      </c>
      <c r="C924" s="248"/>
      <c r="D924" s="647" t="e" cm="1">
        <f t="array" aca="1" ref="D924" ca="1">INDIRECT("xHesaplama!I"&amp;""&amp;ROW(D924)+70-7*ROUNDDOWN(ROW(D924)/8,0))</f>
        <v>#N/A</v>
      </c>
      <c r="E924" s="648"/>
      <c r="F924" s="648"/>
      <c r="G924" s="649"/>
    </row>
    <row r="925" spans="2:9" ht="31.5" customHeight="1" thickBot="1">
      <c r="B925" s="257" t="s">
        <v>342</v>
      </c>
      <c r="C925" s="248"/>
      <c r="D925" s="650" t="str">
        <f>$H$1</f>
        <v>KUTU</v>
      </c>
      <c r="E925" s="651"/>
      <c r="F925" s="651"/>
      <c r="G925" s="652"/>
    </row>
    <row r="926" spans="2:9" ht="31.5" customHeight="1" thickBot="1">
      <c r="B926" s="257" t="s">
        <v>114</v>
      </c>
      <c r="C926" s="248"/>
      <c r="D926" s="653" t="str">
        <f>'1PROJE'!$G$3</f>
        <v>Z 5001</v>
      </c>
      <c r="E926" s="654"/>
      <c r="F926" s="654"/>
      <c r="G926" s="655"/>
      <c r="I926" s="250"/>
    </row>
    <row r="927" spans="2:9" ht="31.5" customHeight="1" thickBot="1">
      <c r="B927" s="257" t="s">
        <v>98</v>
      </c>
      <c r="D927" s="331" cm="1">
        <f t="array" aca="1" ref="D927" ca="1">INDIRECT("xHesaplama!H"&amp;""&amp;ROW(D924)+70-7*ROUNDDOWN(ROW(D924)/8,0))</f>
        <v>0</v>
      </c>
      <c r="E927" s="332"/>
      <c r="F927" s="642" t="e">
        <f ca="1">VLOOKUP(LEFT(D927,6),$J$2:$K$21,2,0)</f>
        <v>#N/A</v>
      </c>
      <c r="G927" s="643"/>
    </row>
    <row r="928" spans="2:9" ht="31.5" customHeight="1" thickBot="1">
      <c r="B928" s="257" t="s">
        <v>832</v>
      </c>
      <c r="D928" s="252" t="s">
        <v>359</v>
      </c>
      <c r="E928" s="253" t="e" cm="1">
        <f t="array" aca="1" ref="E928" ca="1">INDIRECT("xHesaplama!J"&amp;""&amp;ROW(D924)+70-7*ROUNDDOWN(ROW(D924)/8,0))</f>
        <v>#N/A</v>
      </c>
      <c r="F928" s="254" t="s">
        <v>358</v>
      </c>
      <c r="G928" s="253" t="e" cm="1">
        <f t="array" aca="1" ref="G928" ca="1">INDIRECT("xHesaplama!K"&amp;""&amp;ROW(D924)+70-7*ROUNDDOWN(ROW(D924)/8,0))</f>
        <v>#N/A</v>
      </c>
    </row>
    <row r="929" spans="2:9" ht="69" customHeight="1" thickBot="1">
      <c r="B929" s="256" t="s">
        <v>869</v>
      </c>
      <c r="C929" s="248"/>
      <c r="D929" s="656"/>
      <c r="E929" s="656"/>
      <c r="F929" s="656"/>
      <c r="G929" s="656"/>
    </row>
    <row r="930" spans="2:9" ht="31.5" customHeight="1" thickBot="1">
      <c r="B930" s="257" t="s">
        <v>870</v>
      </c>
      <c r="C930" s="248"/>
      <c r="D930" s="657" t="str">
        <f>'1PROJE'!$E$3</f>
        <v>GÜNEŞ PEN</v>
      </c>
      <c r="E930" s="658"/>
      <c r="F930" s="658"/>
      <c r="G930" s="659"/>
    </row>
    <row r="931" spans="2:9" ht="31.5" customHeight="1" thickBot="1">
      <c r="B931" s="257" t="s">
        <v>871</v>
      </c>
      <c r="C931" s="248"/>
      <c r="D931" s="644" t="str">
        <f>'1PROJE'!$F$3</f>
        <v>GÜRKAN BEY</v>
      </c>
      <c r="E931" s="645"/>
      <c r="F931" s="645"/>
      <c r="G931" s="646"/>
    </row>
    <row r="932" spans="2:9" ht="31.5" customHeight="1" thickBot="1">
      <c r="B932" s="257" t="s">
        <v>356</v>
      </c>
      <c r="C932" s="248"/>
      <c r="D932" s="647" t="e" cm="1">
        <f t="array" aca="1" ref="D932" ca="1">INDIRECT("xHesaplama!I"&amp;""&amp;ROW(D932)+70-7*ROUNDDOWN(ROW(D932)/8,0))</f>
        <v>#N/A</v>
      </c>
      <c r="E932" s="648"/>
      <c r="F932" s="648"/>
      <c r="G932" s="649"/>
    </row>
    <row r="933" spans="2:9" ht="31.5" customHeight="1" thickBot="1">
      <c r="B933" s="257" t="s">
        <v>342</v>
      </c>
      <c r="C933" s="248"/>
      <c r="D933" s="650" t="str">
        <f>$H$1</f>
        <v>KUTU</v>
      </c>
      <c r="E933" s="651"/>
      <c r="F933" s="651"/>
      <c r="G933" s="652"/>
    </row>
    <row r="934" spans="2:9" ht="31.5" customHeight="1" thickBot="1">
      <c r="B934" s="257" t="s">
        <v>114</v>
      </c>
      <c r="C934" s="248"/>
      <c r="D934" s="653" t="str">
        <f>'1PROJE'!$G$3</f>
        <v>Z 5001</v>
      </c>
      <c r="E934" s="654"/>
      <c r="F934" s="654"/>
      <c r="G934" s="655"/>
      <c r="I934" s="250"/>
    </row>
    <row r="935" spans="2:9" ht="31.5" customHeight="1" thickBot="1">
      <c r="B935" s="257" t="s">
        <v>98</v>
      </c>
      <c r="D935" s="331" cm="1">
        <f t="array" aca="1" ref="D935" ca="1">INDIRECT("xHesaplama!H"&amp;""&amp;ROW(D932)+70-7*ROUNDDOWN(ROW(D932)/8,0))</f>
        <v>0</v>
      </c>
      <c r="E935" s="332"/>
      <c r="F935" s="642" t="e">
        <f ca="1">VLOOKUP(LEFT(D935,6),$J$2:$K$21,2,0)</f>
        <v>#N/A</v>
      </c>
      <c r="G935" s="643"/>
    </row>
    <row r="936" spans="2:9" ht="31.5" customHeight="1" thickBot="1">
      <c r="B936" s="257" t="s">
        <v>832</v>
      </c>
      <c r="D936" s="252" t="s">
        <v>359</v>
      </c>
      <c r="E936" s="253" t="e" cm="1">
        <f t="array" aca="1" ref="E936" ca="1">INDIRECT("xHesaplama!J"&amp;""&amp;ROW(D932)+70-7*ROUNDDOWN(ROW(D932)/8,0))</f>
        <v>#N/A</v>
      </c>
      <c r="F936" s="254" t="s">
        <v>358</v>
      </c>
      <c r="G936" s="253" t="e" cm="1">
        <f t="array" aca="1" ref="G936" ca="1">INDIRECT("xHesaplama!K"&amp;""&amp;ROW(D932)+70-7*ROUNDDOWN(ROW(D932)/8,0))</f>
        <v>#N/A</v>
      </c>
    </row>
    <row r="937" spans="2:9" ht="69" customHeight="1" thickBot="1">
      <c r="B937" s="256" t="s">
        <v>869</v>
      </c>
      <c r="C937" s="248"/>
      <c r="D937" s="656"/>
      <c r="E937" s="656"/>
      <c r="F937" s="656"/>
      <c r="G937" s="656"/>
    </row>
    <row r="938" spans="2:9" ht="31.5" customHeight="1" thickBot="1">
      <c r="B938" s="257" t="s">
        <v>870</v>
      </c>
      <c r="C938" s="248"/>
      <c r="D938" s="657" t="str">
        <f>'1PROJE'!$E$3</f>
        <v>GÜNEŞ PEN</v>
      </c>
      <c r="E938" s="658"/>
      <c r="F938" s="658"/>
      <c r="G938" s="659"/>
    </row>
    <row r="939" spans="2:9" ht="31.5" customHeight="1" thickBot="1">
      <c r="B939" s="257" t="s">
        <v>871</v>
      </c>
      <c r="C939" s="248"/>
      <c r="D939" s="644" t="str">
        <f>'1PROJE'!$F$3</f>
        <v>GÜRKAN BEY</v>
      </c>
      <c r="E939" s="645"/>
      <c r="F939" s="645"/>
      <c r="G939" s="646"/>
    </row>
    <row r="940" spans="2:9" ht="31.5" customHeight="1" thickBot="1">
      <c r="B940" s="257" t="s">
        <v>356</v>
      </c>
      <c r="C940" s="248"/>
      <c r="D940" s="647" t="e" cm="1">
        <f t="array" aca="1" ref="D940" ca="1">INDIRECT("xHesaplama!I"&amp;""&amp;ROW(D940)+70-7*ROUNDDOWN(ROW(D940)/8,0))</f>
        <v>#N/A</v>
      </c>
      <c r="E940" s="648"/>
      <c r="F940" s="648"/>
      <c r="G940" s="649"/>
    </row>
    <row r="941" spans="2:9" ht="31.5" customHeight="1" thickBot="1">
      <c r="B941" s="257" t="s">
        <v>342</v>
      </c>
      <c r="C941" s="248"/>
      <c r="D941" s="650" t="str">
        <f>$H$1</f>
        <v>KUTU</v>
      </c>
      <c r="E941" s="651"/>
      <c r="F941" s="651"/>
      <c r="G941" s="652"/>
    </row>
    <row r="942" spans="2:9" ht="31.5" customHeight="1" thickBot="1">
      <c r="B942" s="257" t="s">
        <v>114</v>
      </c>
      <c r="C942" s="248"/>
      <c r="D942" s="653" t="str">
        <f>'1PROJE'!$G$3</f>
        <v>Z 5001</v>
      </c>
      <c r="E942" s="654"/>
      <c r="F942" s="654"/>
      <c r="G942" s="655"/>
      <c r="I942" s="250"/>
    </row>
    <row r="943" spans="2:9" ht="31.5" customHeight="1" thickBot="1">
      <c r="B943" s="257" t="s">
        <v>98</v>
      </c>
      <c r="D943" s="331" cm="1">
        <f t="array" aca="1" ref="D943" ca="1">INDIRECT("xHesaplama!H"&amp;""&amp;ROW(D940)+70-7*ROUNDDOWN(ROW(D940)/8,0))</f>
        <v>0</v>
      </c>
      <c r="E943" s="332"/>
      <c r="F943" s="642" t="e">
        <f ca="1">VLOOKUP(LEFT(D943,6),$J$2:$K$21,2,0)</f>
        <v>#N/A</v>
      </c>
      <c r="G943" s="643"/>
    </row>
    <row r="944" spans="2:9" ht="31.5" customHeight="1" thickBot="1">
      <c r="B944" s="257" t="s">
        <v>832</v>
      </c>
      <c r="D944" s="252" t="s">
        <v>359</v>
      </c>
      <c r="E944" s="253" t="e" cm="1">
        <f t="array" aca="1" ref="E944" ca="1">INDIRECT("xHesaplama!J"&amp;""&amp;ROW(D940)+70-7*ROUNDDOWN(ROW(D940)/8,0))</f>
        <v>#N/A</v>
      </c>
      <c r="F944" s="254" t="s">
        <v>358</v>
      </c>
      <c r="G944" s="253" t="e" cm="1">
        <f t="array" aca="1" ref="G944" ca="1">INDIRECT("xHesaplama!K"&amp;""&amp;ROW(D940)+70-7*ROUNDDOWN(ROW(D940)/8,0))</f>
        <v>#N/A</v>
      </c>
    </row>
    <row r="945" spans="2:9" ht="69" customHeight="1" thickBot="1">
      <c r="B945" s="256" t="s">
        <v>869</v>
      </c>
      <c r="C945" s="248"/>
      <c r="D945" s="656"/>
      <c r="E945" s="656"/>
      <c r="F945" s="656"/>
      <c r="G945" s="656"/>
    </row>
    <row r="946" spans="2:9" ht="31.5" customHeight="1" thickBot="1">
      <c r="B946" s="257" t="s">
        <v>870</v>
      </c>
      <c r="C946" s="248"/>
      <c r="D946" s="657" t="str">
        <f>'1PROJE'!$E$3</f>
        <v>GÜNEŞ PEN</v>
      </c>
      <c r="E946" s="658"/>
      <c r="F946" s="658"/>
      <c r="G946" s="659"/>
    </row>
    <row r="947" spans="2:9" ht="31.5" customHeight="1" thickBot="1">
      <c r="B947" s="257" t="s">
        <v>871</v>
      </c>
      <c r="C947" s="248"/>
      <c r="D947" s="644" t="str">
        <f>'1PROJE'!$F$3</f>
        <v>GÜRKAN BEY</v>
      </c>
      <c r="E947" s="645"/>
      <c r="F947" s="645"/>
      <c r="G947" s="646"/>
    </row>
    <row r="948" spans="2:9" ht="31.5" customHeight="1" thickBot="1">
      <c r="B948" s="257" t="s">
        <v>356</v>
      </c>
      <c r="C948" s="248"/>
      <c r="D948" s="647" t="e" cm="1">
        <f t="array" aca="1" ref="D948" ca="1">INDIRECT("xHesaplama!I"&amp;""&amp;ROW(D948)+70-7*ROUNDDOWN(ROW(D948)/8,0))</f>
        <v>#N/A</v>
      </c>
      <c r="E948" s="648"/>
      <c r="F948" s="648"/>
      <c r="G948" s="649"/>
    </row>
    <row r="949" spans="2:9" ht="31.5" customHeight="1" thickBot="1">
      <c r="B949" s="257" t="s">
        <v>342</v>
      </c>
      <c r="C949" s="248"/>
      <c r="D949" s="650" t="str">
        <f>$H$1</f>
        <v>KUTU</v>
      </c>
      <c r="E949" s="651"/>
      <c r="F949" s="651"/>
      <c r="G949" s="652"/>
    </row>
    <row r="950" spans="2:9" ht="31.5" customHeight="1" thickBot="1">
      <c r="B950" s="257" t="s">
        <v>114</v>
      </c>
      <c r="C950" s="248"/>
      <c r="D950" s="653" t="str">
        <f>'1PROJE'!$G$3</f>
        <v>Z 5001</v>
      </c>
      <c r="E950" s="654"/>
      <c r="F950" s="654"/>
      <c r="G950" s="655"/>
      <c r="I950" s="250"/>
    </row>
    <row r="951" spans="2:9" ht="31.5" customHeight="1" thickBot="1">
      <c r="B951" s="257" t="s">
        <v>98</v>
      </c>
      <c r="D951" s="331" cm="1">
        <f t="array" aca="1" ref="D951" ca="1">INDIRECT("xHesaplama!H"&amp;""&amp;ROW(D948)+70-7*ROUNDDOWN(ROW(D948)/8,0))</f>
        <v>0</v>
      </c>
      <c r="E951" s="332"/>
      <c r="F951" s="642" t="e">
        <f ca="1">VLOOKUP(LEFT(D951,6),$J$2:$K$21,2,0)</f>
        <v>#N/A</v>
      </c>
      <c r="G951" s="643"/>
    </row>
    <row r="952" spans="2:9" ht="31.5" customHeight="1" thickBot="1">
      <c r="B952" s="257" t="s">
        <v>832</v>
      </c>
      <c r="D952" s="252" t="s">
        <v>359</v>
      </c>
      <c r="E952" s="253" t="e" cm="1">
        <f t="array" aca="1" ref="E952" ca="1">INDIRECT("xHesaplama!J"&amp;""&amp;ROW(D948)+70-7*ROUNDDOWN(ROW(D948)/8,0))</f>
        <v>#N/A</v>
      </c>
      <c r="F952" s="254" t="s">
        <v>358</v>
      </c>
      <c r="G952" s="253" t="e" cm="1">
        <f t="array" aca="1" ref="G952" ca="1">INDIRECT("xHesaplama!K"&amp;""&amp;ROW(D948)+70-7*ROUNDDOWN(ROW(D948)/8,0))</f>
        <v>#N/A</v>
      </c>
    </row>
    <row r="953" spans="2:9" ht="69" customHeight="1" thickBot="1">
      <c r="B953" s="256" t="s">
        <v>869</v>
      </c>
      <c r="C953" s="248"/>
      <c r="D953" s="656"/>
      <c r="E953" s="656"/>
      <c r="F953" s="656"/>
      <c r="G953" s="656"/>
    </row>
    <row r="954" spans="2:9" ht="31.5" customHeight="1" thickBot="1">
      <c r="B954" s="257" t="s">
        <v>870</v>
      </c>
      <c r="C954" s="248"/>
      <c r="D954" s="657" t="str">
        <f>'1PROJE'!$E$3</f>
        <v>GÜNEŞ PEN</v>
      </c>
      <c r="E954" s="658"/>
      <c r="F954" s="658"/>
      <c r="G954" s="659"/>
    </row>
    <row r="955" spans="2:9" ht="31.5" customHeight="1" thickBot="1">
      <c r="B955" s="257" t="s">
        <v>871</v>
      </c>
      <c r="C955" s="248"/>
      <c r="D955" s="644" t="str">
        <f>'1PROJE'!$F$3</f>
        <v>GÜRKAN BEY</v>
      </c>
      <c r="E955" s="645"/>
      <c r="F955" s="645"/>
      <c r="G955" s="646"/>
    </row>
    <row r="956" spans="2:9" ht="31.5" customHeight="1" thickBot="1">
      <c r="B956" s="257" t="s">
        <v>356</v>
      </c>
      <c r="C956" s="248"/>
      <c r="D956" s="647" t="e" cm="1">
        <f t="array" aca="1" ref="D956" ca="1">INDIRECT("xHesaplama!I"&amp;""&amp;ROW(D956)+70-7*ROUNDDOWN(ROW(D956)/8,0))</f>
        <v>#N/A</v>
      </c>
      <c r="E956" s="648"/>
      <c r="F956" s="648"/>
      <c r="G956" s="649"/>
    </row>
    <row r="957" spans="2:9" ht="31.5" customHeight="1" thickBot="1">
      <c r="B957" s="257" t="s">
        <v>342</v>
      </c>
      <c r="C957" s="248"/>
      <c r="D957" s="650" t="str">
        <f>$H$1</f>
        <v>KUTU</v>
      </c>
      <c r="E957" s="651"/>
      <c r="F957" s="651"/>
      <c r="G957" s="652"/>
    </row>
    <row r="958" spans="2:9" ht="31.5" customHeight="1" thickBot="1">
      <c r="B958" s="257" t="s">
        <v>114</v>
      </c>
      <c r="C958" s="248"/>
      <c r="D958" s="653" t="str">
        <f>'1PROJE'!$G$3</f>
        <v>Z 5001</v>
      </c>
      <c r="E958" s="654"/>
      <c r="F958" s="654"/>
      <c r="G958" s="655"/>
      <c r="I958" s="250"/>
    </row>
    <row r="959" spans="2:9" ht="31.5" customHeight="1" thickBot="1">
      <c r="B959" s="257" t="s">
        <v>98</v>
      </c>
      <c r="D959" s="331" cm="1">
        <f t="array" aca="1" ref="D959" ca="1">INDIRECT("xHesaplama!H"&amp;""&amp;ROW(D956)+70-7*ROUNDDOWN(ROW(D956)/8,0))</f>
        <v>0</v>
      </c>
      <c r="E959" s="332"/>
      <c r="F959" s="642" t="e">
        <f ca="1">VLOOKUP(LEFT(D959,6),$J$2:$K$21,2,0)</f>
        <v>#N/A</v>
      </c>
      <c r="G959" s="643"/>
    </row>
    <row r="960" spans="2:9" ht="31.5" customHeight="1" thickBot="1">
      <c r="B960" s="257" t="s">
        <v>832</v>
      </c>
      <c r="D960" s="252" t="s">
        <v>359</v>
      </c>
      <c r="E960" s="253" t="e" cm="1">
        <f t="array" aca="1" ref="E960" ca="1">INDIRECT("xHesaplama!J"&amp;""&amp;ROW(D956)+70-7*ROUNDDOWN(ROW(D956)/8,0))</f>
        <v>#N/A</v>
      </c>
      <c r="F960" s="254" t="s">
        <v>358</v>
      </c>
      <c r="G960" s="253" t="e" cm="1">
        <f t="array" aca="1" ref="G960" ca="1">INDIRECT("xHesaplama!K"&amp;""&amp;ROW(D956)+70-7*ROUNDDOWN(ROW(D956)/8,0))</f>
        <v>#N/A</v>
      </c>
    </row>
    <row r="961" spans="2:9" ht="69" customHeight="1" thickBot="1">
      <c r="B961" s="256" t="s">
        <v>869</v>
      </c>
      <c r="C961" s="248"/>
      <c r="D961" s="656"/>
      <c r="E961" s="656"/>
      <c r="F961" s="656"/>
      <c r="G961" s="656"/>
    </row>
    <row r="962" spans="2:9" ht="31.5" customHeight="1" thickBot="1">
      <c r="B962" s="257" t="s">
        <v>870</v>
      </c>
      <c r="C962" s="248"/>
      <c r="D962" s="657" t="str">
        <f>'1PROJE'!$E$3</f>
        <v>GÜNEŞ PEN</v>
      </c>
      <c r="E962" s="658"/>
      <c r="F962" s="658"/>
      <c r="G962" s="659"/>
    </row>
    <row r="963" spans="2:9" ht="31.5" customHeight="1" thickBot="1">
      <c r="B963" s="257" t="s">
        <v>871</v>
      </c>
      <c r="C963" s="248"/>
      <c r="D963" s="644" t="str">
        <f>'1PROJE'!$F$3</f>
        <v>GÜRKAN BEY</v>
      </c>
      <c r="E963" s="645"/>
      <c r="F963" s="645"/>
      <c r="G963" s="646"/>
    </row>
    <row r="964" spans="2:9" ht="31.5" customHeight="1" thickBot="1">
      <c r="B964" s="257" t="s">
        <v>356</v>
      </c>
      <c r="C964" s="248"/>
      <c r="D964" s="647" t="e" cm="1">
        <f t="array" aca="1" ref="D964" ca="1">INDIRECT("xHesaplama!I"&amp;""&amp;ROW(D964)+70-7*ROUNDDOWN(ROW(D964)/8,0))</f>
        <v>#N/A</v>
      </c>
      <c r="E964" s="648"/>
      <c r="F964" s="648"/>
      <c r="G964" s="649"/>
    </row>
    <row r="965" spans="2:9" ht="31.5" customHeight="1" thickBot="1">
      <c r="B965" s="257" t="s">
        <v>342</v>
      </c>
      <c r="C965" s="248"/>
      <c r="D965" s="650" t="str">
        <f>$H$1</f>
        <v>KUTU</v>
      </c>
      <c r="E965" s="651"/>
      <c r="F965" s="651"/>
      <c r="G965" s="652"/>
    </row>
    <row r="966" spans="2:9" ht="31.5" customHeight="1" thickBot="1">
      <c r="B966" s="257" t="s">
        <v>114</v>
      </c>
      <c r="C966" s="248"/>
      <c r="D966" s="653" t="str">
        <f>'1PROJE'!$G$3</f>
        <v>Z 5001</v>
      </c>
      <c r="E966" s="654"/>
      <c r="F966" s="654"/>
      <c r="G966" s="655"/>
      <c r="I966" s="250"/>
    </row>
    <row r="967" spans="2:9" ht="31.5" customHeight="1" thickBot="1">
      <c r="B967" s="257" t="s">
        <v>98</v>
      </c>
      <c r="D967" s="331" cm="1">
        <f t="array" aca="1" ref="D967" ca="1">INDIRECT("xHesaplama!H"&amp;""&amp;ROW(D964)+70-7*ROUNDDOWN(ROW(D964)/8,0))</f>
        <v>0</v>
      </c>
      <c r="E967" s="332"/>
      <c r="F967" s="642" t="e">
        <f ca="1">VLOOKUP(LEFT(D967,6),$J$2:$K$21,2,0)</f>
        <v>#N/A</v>
      </c>
      <c r="G967" s="643"/>
    </row>
    <row r="968" spans="2:9" ht="31.5" customHeight="1" thickBot="1">
      <c r="B968" s="257" t="s">
        <v>832</v>
      </c>
      <c r="D968" s="252" t="s">
        <v>359</v>
      </c>
      <c r="E968" s="253" t="e" cm="1">
        <f t="array" aca="1" ref="E968" ca="1">INDIRECT("xHesaplama!J"&amp;""&amp;ROW(D964)+70-7*ROUNDDOWN(ROW(D964)/8,0))</f>
        <v>#N/A</v>
      </c>
      <c r="F968" s="254" t="s">
        <v>358</v>
      </c>
      <c r="G968" s="253" t="e" cm="1">
        <f t="array" aca="1" ref="G968" ca="1">INDIRECT("xHesaplama!K"&amp;""&amp;ROW(D964)+70-7*ROUNDDOWN(ROW(D964)/8,0))</f>
        <v>#N/A</v>
      </c>
    </row>
    <row r="969" spans="2:9" ht="69" customHeight="1" thickBot="1">
      <c r="B969" s="256" t="s">
        <v>869</v>
      </c>
      <c r="C969" s="248"/>
      <c r="D969" s="656"/>
      <c r="E969" s="656"/>
      <c r="F969" s="656"/>
      <c r="G969" s="656"/>
    </row>
    <row r="970" spans="2:9" ht="31.5" customHeight="1" thickBot="1">
      <c r="B970" s="257" t="s">
        <v>870</v>
      </c>
      <c r="C970" s="248"/>
      <c r="D970" s="657" t="str">
        <f>'1PROJE'!$E$3</f>
        <v>GÜNEŞ PEN</v>
      </c>
      <c r="E970" s="658"/>
      <c r="F970" s="658"/>
      <c r="G970" s="659"/>
    </row>
    <row r="971" spans="2:9" ht="31.5" customHeight="1" thickBot="1">
      <c r="B971" s="257" t="s">
        <v>871</v>
      </c>
      <c r="C971" s="248"/>
      <c r="D971" s="644" t="str">
        <f>'1PROJE'!$F$3</f>
        <v>GÜRKAN BEY</v>
      </c>
      <c r="E971" s="645"/>
      <c r="F971" s="645"/>
      <c r="G971" s="646"/>
    </row>
    <row r="972" spans="2:9" ht="31.5" customHeight="1" thickBot="1">
      <c r="B972" s="257" t="s">
        <v>356</v>
      </c>
      <c r="C972" s="248"/>
      <c r="D972" s="647" t="e" cm="1">
        <f t="array" aca="1" ref="D972" ca="1">INDIRECT("xHesaplama!I"&amp;""&amp;ROW(D972)+70-7*ROUNDDOWN(ROW(D972)/8,0))</f>
        <v>#N/A</v>
      </c>
      <c r="E972" s="648"/>
      <c r="F972" s="648"/>
      <c r="G972" s="649"/>
    </row>
    <row r="973" spans="2:9" ht="31.5" customHeight="1" thickBot="1">
      <c r="B973" s="257" t="s">
        <v>342</v>
      </c>
      <c r="C973" s="248"/>
      <c r="D973" s="650" t="str">
        <f>$H$1</f>
        <v>KUTU</v>
      </c>
      <c r="E973" s="651"/>
      <c r="F973" s="651"/>
      <c r="G973" s="652"/>
    </row>
    <row r="974" spans="2:9" ht="31.5" customHeight="1" thickBot="1">
      <c r="B974" s="257" t="s">
        <v>114</v>
      </c>
      <c r="C974" s="248"/>
      <c r="D974" s="653" t="str">
        <f>'1PROJE'!$G$3</f>
        <v>Z 5001</v>
      </c>
      <c r="E974" s="654"/>
      <c r="F974" s="654"/>
      <c r="G974" s="655"/>
      <c r="I974" s="250"/>
    </row>
    <row r="975" spans="2:9" ht="31.5" customHeight="1" thickBot="1">
      <c r="B975" s="257" t="s">
        <v>98</v>
      </c>
      <c r="D975" s="331" cm="1">
        <f t="array" aca="1" ref="D975" ca="1">INDIRECT("xHesaplama!H"&amp;""&amp;ROW(D972)+70-7*ROUNDDOWN(ROW(D972)/8,0))</f>
        <v>0</v>
      </c>
      <c r="E975" s="332"/>
      <c r="F975" s="642" t="e">
        <f ca="1">VLOOKUP(LEFT(D975,6),$J$2:$K$21,2,0)</f>
        <v>#N/A</v>
      </c>
      <c r="G975" s="643"/>
    </row>
    <row r="976" spans="2:9" ht="31.5" customHeight="1" thickBot="1">
      <c r="B976" s="257" t="s">
        <v>832</v>
      </c>
      <c r="D976" s="252" t="s">
        <v>359</v>
      </c>
      <c r="E976" s="253" t="e" cm="1">
        <f t="array" aca="1" ref="E976" ca="1">INDIRECT("xHesaplama!J"&amp;""&amp;ROW(D972)+70-7*ROUNDDOWN(ROW(D972)/8,0))</f>
        <v>#N/A</v>
      </c>
      <c r="F976" s="254" t="s">
        <v>358</v>
      </c>
      <c r="G976" s="253" t="e" cm="1">
        <f t="array" aca="1" ref="G976" ca="1">INDIRECT("xHesaplama!K"&amp;""&amp;ROW(D972)+70-7*ROUNDDOWN(ROW(D972)/8,0))</f>
        <v>#N/A</v>
      </c>
    </row>
    <row r="977" spans="2:9" ht="69" customHeight="1" thickBot="1">
      <c r="B977" s="256" t="s">
        <v>869</v>
      </c>
      <c r="C977" s="248"/>
      <c r="D977" s="656"/>
      <c r="E977" s="656"/>
      <c r="F977" s="656"/>
      <c r="G977" s="656"/>
    </row>
    <row r="978" spans="2:9" ht="31.5" customHeight="1" thickBot="1">
      <c r="B978" s="257" t="s">
        <v>870</v>
      </c>
      <c r="C978" s="248"/>
      <c r="D978" s="657" t="str">
        <f>'1PROJE'!$E$3</f>
        <v>GÜNEŞ PEN</v>
      </c>
      <c r="E978" s="658"/>
      <c r="F978" s="658"/>
      <c r="G978" s="659"/>
    </row>
    <row r="979" spans="2:9" ht="31.5" customHeight="1" thickBot="1">
      <c r="B979" s="257" t="s">
        <v>871</v>
      </c>
      <c r="C979" s="248"/>
      <c r="D979" s="644" t="str">
        <f>'1PROJE'!$F$3</f>
        <v>GÜRKAN BEY</v>
      </c>
      <c r="E979" s="645"/>
      <c r="F979" s="645"/>
      <c r="G979" s="646"/>
    </row>
    <row r="980" spans="2:9" ht="31.5" customHeight="1" thickBot="1">
      <c r="B980" s="257" t="s">
        <v>356</v>
      </c>
      <c r="C980" s="248"/>
      <c r="D980" s="647" t="e" cm="1">
        <f t="array" aca="1" ref="D980" ca="1">INDIRECT("xHesaplama!I"&amp;""&amp;ROW(D980)+70-7*ROUNDDOWN(ROW(D980)/8,0))</f>
        <v>#N/A</v>
      </c>
      <c r="E980" s="648"/>
      <c r="F980" s="648"/>
      <c r="G980" s="649"/>
    </row>
    <row r="981" spans="2:9" ht="31.5" customHeight="1" thickBot="1">
      <c r="B981" s="257" t="s">
        <v>342</v>
      </c>
      <c r="C981" s="248"/>
      <c r="D981" s="650" t="str">
        <f>$H$1</f>
        <v>KUTU</v>
      </c>
      <c r="E981" s="651"/>
      <c r="F981" s="651"/>
      <c r="G981" s="652"/>
    </row>
    <row r="982" spans="2:9" ht="31.5" customHeight="1" thickBot="1">
      <c r="B982" s="257" t="s">
        <v>114</v>
      </c>
      <c r="C982" s="248"/>
      <c r="D982" s="653" t="str">
        <f>'1PROJE'!$G$3</f>
        <v>Z 5001</v>
      </c>
      <c r="E982" s="654"/>
      <c r="F982" s="654"/>
      <c r="G982" s="655"/>
      <c r="I982" s="250"/>
    </row>
    <row r="983" spans="2:9" ht="31.5" customHeight="1" thickBot="1">
      <c r="B983" s="257" t="s">
        <v>98</v>
      </c>
      <c r="D983" s="331" cm="1">
        <f t="array" aca="1" ref="D983" ca="1">INDIRECT("xHesaplama!H"&amp;""&amp;ROW(D980)+70-7*ROUNDDOWN(ROW(D980)/8,0))</f>
        <v>0</v>
      </c>
      <c r="E983" s="332"/>
      <c r="F983" s="642" t="e">
        <f ca="1">VLOOKUP(LEFT(D983,6),$J$2:$K$21,2,0)</f>
        <v>#N/A</v>
      </c>
      <c r="G983" s="643"/>
    </row>
    <row r="984" spans="2:9" ht="31.5" customHeight="1" thickBot="1">
      <c r="B984" s="257" t="s">
        <v>832</v>
      </c>
      <c r="D984" s="252" t="s">
        <v>359</v>
      </c>
      <c r="E984" s="253" t="e" cm="1">
        <f t="array" aca="1" ref="E984" ca="1">INDIRECT("xHesaplama!J"&amp;""&amp;ROW(D980)+70-7*ROUNDDOWN(ROW(D980)/8,0))</f>
        <v>#N/A</v>
      </c>
      <c r="F984" s="254" t="s">
        <v>358</v>
      </c>
      <c r="G984" s="253" t="e" cm="1">
        <f t="array" aca="1" ref="G984" ca="1">INDIRECT("xHesaplama!K"&amp;""&amp;ROW(D980)+70-7*ROUNDDOWN(ROW(D980)/8,0))</f>
        <v>#N/A</v>
      </c>
    </row>
    <row r="985" spans="2:9" ht="69" customHeight="1" thickBot="1">
      <c r="B985" s="256" t="s">
        <v>869</v>
      </c>
      <c r="C985" s="248"/>
      <c r="D985" s="656"/>
      <c r="E985" s="656"/>
      <c r="F985" s="656"/>
      <c r="G985" s="656"/>
    </row>
    <row r="986" spans="2:9" ht="31.5" customHeight="1" thickBot="1">
      <c r="B986" s="257" t="s">
        <v>870</v>
      </c>
      <c r="C986" s="248"/>
      <c r="D986" s="657" t="str">
        <f>'1PROJE'!$E$3</f>
        <v>GÜNEŞ PEN</v>
      </c>
      <c r="E986" s="658"/>
      <c r="F986" s="658"/>
      <c r="G986" s="659"/>
    </row>
    <row r="987" spans="2:9" ht="31.5" customHeight="1" thickBot="1">
      <c r="B987" s="257" t="s">
        <v>871</v>
      </c>
      <c r="C987" s="248"/>
      <c r="D987" s="644" t="str">
        <f>'1PROJE'!$F$3</f>
        <v>GÜRKAN BEY</v>
      </c>
      <c r="E987" s="645"/>
      <c r="F987" s="645"/>
      <c r="G987" s="646"/>
    </row>
    <row r="988" spans="2:9" ht="31.5" customHeight="1" thickBot="1">
      <c r="B988" s="257" t="s">
        <v>356</v>
      </c>
      <c r="C988" s="248"/>
      <c r="D988" s="647" t="e" cm="1">
        <f t="array" aca="1" ref="D988" ca="1">INDIRECT("xHesaplama!I"&amp;""&amp;ROW(D988)+70-7*ROUNDDOWN(ROW(D988)/8,0))</f>
        <v>#N/A</v>
      </c>
      <c r="E988" s="648"/>
      <c r="F988" s="648"/>
      <c r="G988" s="649"/>
    </row>
    <row r="989" spans="2:9" ht="31.5" customHeight="1" thickBot="1">
      <c r="B989" s="257" t="s">
        <v>342</v>
      </c>
      <c r="C989" s="248"/>
      <c r="D989" s="650" t="str">
        <f>$H$1</f>
        <v>KUTU</v>
      </c>
      <c r="E989" s="651"/>
      <c r="F989" s="651"/>
      <c r="G989" s="652"/>
    </row>
    <row r="990" spans="2:9" ht="31.5" customHeight="1" thickBot="1">
      <c r="B990" s="257" t="s">
        <v>114</v>
      </c>
      <c r="C990" s="248"/>
      <c r="D990" s="653" t="str">
        <f>'1PROJE'!$G$3</f>
        <v>Z 5001</v>
      </c>
      <c r="E990" s="654"/>
      <c r="F990" s="654"/>
      <c r="G990" s="655"/>
      <c r="I990" s="250"/>
    </row>
    <row r="991" spans="2:9" ht="31.5" customHeight="1" thickBot="1">
      <c r="B991" s="257" t="s">
        <v>98</v>
      </c>
      <c r="D991" s="331" cm="1">
        <f t="array" aca="1" ref="D991" ca="1">INDIRECT("xHesaplama!H"&amp;""&amp;ROW(D988)+70-7*ROUNDDOWN(ROW(D988)/8,0))</f>
        <v>0</v>
      </c>
      <c r="E991" s="332"/>
      <c r="F991" s="642" t="e">
        <f ca="1">VLOOKUP(LEFT(D991,6),$J$2:$K$21,2,0)</f>
        <v>#N/A</v>
      </c>
      <c r="G991" s="643"/>
    </row>
    <row r="992" spans="2:9" ht="31.5" customHeight="1" thickBot="1">
      <c r="B992" s="257" t="s">
        <v>832</v>
      </c>
      <c r="D992" s="252" t="s">
        <v>359</v>
      </c>
      <c r="E992" s="253" t="e" cm="1">
        <f t="array" aca="1" ref="E992" ca="1">INDIRECT("xHesaplama!J"&amp;""&amp;ROW(D988)+70-7*ROUNDDOWN(ROW(D988)/8,0))</f>
        <v>#N/A</v>
      </c>
      <c r="F992" s="254" t="s">
        <v>358</v>
      </c>
      <c r="G992" s="253" t="e" cm="1">
        <f t="array" aca="1" ref="G992" ca="1">INDIRECT("xHesaplama!K"&amp;""&amp;ROW(D988)+70-7*ROUNDDOWN(ROW(D988)/8,0))</f>
        <v>#N/A</v>
      </c>
    </row>
    <row r="993" spans="2:9" ht="69" customHeight="1" thickBot="1">
      <c r="B993" s="256" t="s">
        <v>869</v>
      </c>
      <c r="C993" s="248"/>
      <c r="D993" s="656"/>
      <c r="E993" s="656"/>
      <c r="F993" s="656"/>
      <c r="G993" s="656"/>
    </row>
    <row r="994" spans="2:9" ht="31.5" customHeight="1" thickBot="1">
      <c r="B994" s="257" t="s">
        <v>870</v>
      </c>
      <c r="C994" s="248"/>
      <c r="D994" s="657" t="str">
        <f>'1PROJE'!$E$3</f>
        <v>GÜNEŞ PEN</v>
      </c>
      <c r="E994" s="658"/>
      <c r="F994" s="658"/>
      <c r="G994" s="659"/>
    </row>
    <row r="995" spans="2:9" ht="31.5" customHeight="1" thickBot="1">
      <c r="B995" s="257" t="s">
        <v>871</v>
      </c>
      <c r="C995" s="248"/>
      <c r="D995" s="644" t="str">
        <f>'1PROJE'!$F$3</f>
        <v>GÜRKAN BEY</v>
      </c>
      <c r="E995" s="645"/>
      <c r="F995" s="645"/>
      <c r="G995" s="646"/>
    </row>
    <row r="996" spans="2:9" ht="31.5" customHeight="1" thickBot="1">
      <c r="B996" s="257" t="s">
        <v>356</v>
      </c>
      <c r="C996" s="248"/>
      <c r="D996" s="647" t="e" cm="1">
        <f t="array" aca="1" ref="D996" ca="1">INDIRECT("xHesaplama!I"&amp;""&amp;ROW(D996)+70-7*ROUNDDOWN(ROW(D996)/8,0))</f>
        <v>#N/A</v>
      </c>
      <c r="E996" s="648"/>
      <c r="F996" s="648"/>
      <c r="G996" s="649"/>
    </row>
    <row r="997" spans="2:9" ht="31.5" customHeight="1" thickBot="1">
      <c r="B997" s="257" t="s">
        <v>342</v>
      </c>
      <c r="C997" s="248"/>
      <c r="D997" s="650" t="str">
        <f>$H$1</f>
        <v>KUTU</v>
      </c>
      <c r="E997" s="651"/>
      <c r="F997" s="651"/>
      <c r="G997" s="652"/>
    </row>
    <row r="998" spans="2:9" ht="31.5" customHeight="1" thickBot="1">
      <c r="B998" s="257" t="s">
        <v>114</v>
      </c>
      <c r="C998" s="248"/>
      <c r="D998" s="653" t="str">
        <f>'1PROJE'!$G$3</f>
        <v>Z 5001</v>
      </c>
      <c r="E998" s="654"/>
      <c r="F998" s="654"/>
      <c r="G998" s="655"/>
      <c r="I998" s="250"/>
    </row>
    <row r="999" spans="2:9" ht="31.5" customHeight="1" thickBot="1">
      <c r="B999" s="257" t="s">
        <v>98</v>
      </c>
      <c r="D999" s="331" cm="1">
        <f t="array" aca="1" ref="D999" ca="1">INDIRECT("xHesaplama!H"&amp;""&amp;ROW(D996)+70-7*ROUNDDOWN(ROW(D996)/8,0))</f>
        <v>0</v>
      </c>
      <c r="E999" s="332"/>
      <c r="F999" s="642" t="e">
        <f ca="1">VLOOKUP(LEFT(D999,6),$J$2:$K$21,2,0)</f>
        <v>#N/A</v>
      </c>
      <c r="G999" s="643"/>
    </row>
    <row r="1000" spans="2:9" ht="31.5" customHeight="1" thickBot="1">
      <c r="B1000" s="257" t="s">
        <v>832</v>
      </c>
      <c r="D1000" s="252" t="s">
        <v>359</v>
      </c>
      <c r="E1000" s="253" t="e" cm="1">
        <f t="array" aca="1" ref="E1000" ca="1">INDIRECT("xHesaplama!J"&amp;""&amp;ROW(D996)+70-7*ROUNDDOWN(ROW(D996)/8,0))</f>
        <v>#N/A</v>
      </c>
      <c r="F1000" s="254" t="s">
        <v>358</v>
      </c>
      <c r="G1000" s="253" t="e" cm="1">
        <f t="array" aca="1" ref="G1000" ca="1">INDIRECT("xHesaplama!K"&amp;""&amp;ROW(D996)+70-7*ROUNDDOWN(ROW(D996)/8,0))</f>
        <v>#N/A</v>
      </c>
    </row>
    <row r="1001" spans="2:9" ht="69" customHeight="1" thickBot="1">
      <c r="B1001" s="256" t="s">
        <v>869</v>
      </c>
      <c r="C1001" s="248"/>
      <c r="D1001" s="656"/>
      <c r="E1001" s="656"/>
      <c r="F1001" s="656"/>
      <c r="G1001" s="656"/>
    </row>
    <row r="1002" spans="2:9" ht="31.5" customHeight="1" thickBot="1">
      <c r="B1002" s="257" t="s">
        <v>870</v>
      </c>
      <c r="C1002" s="248"/>
      <c r="D1002" s="657" t="str">
        <f>'1PROJE'!$E$3</f>
        <v>GÜNEŞ PEN</v>
      </c>
      <c r="E1002" s="658"/>
      <c r="F1002" s="658"/>
      <c r="G1002" s="659"/>
    </row>
    <row r="1003" spans="2:9" ht="31.5" customHeight="1" thickBot="1">
      <c r="B1003" s="257" t="s">
        <v>871</v>
      </c>
      <c r="C1003" s="248"/>
      <c r="D1003" s="644" t="str">
        <f>'1PROJE'!$F$3</f>
        <v>GÜRKAN BEY</v>
      </c>
      <c r="E1003" s="645"/>
      <c r="F1003" s="645"/>
      <c r="G1003" s="646"/>
    </row>
    <row r="1004" spans="2:9" ht="31.5" customHeight="1" thickBot="1">
      <c r="B1004" s="257" t="s">
        <v>356</v>
      </c>
      <c r="C1004" s="248"/>
      <c r="D1004" s="647" t="e" cm="1">
        <f t="array" aca="1" ref="D1004" ca="1">INDIRECT("xHesaplama!I"&amp;""&amp;ROW(D1004)+70-7*ROUNDDOWN(ROW(D1004)/8,0))</f>
        <v>#N/A</v>
      </c>
      <c r="E1004" s="648"/>
      <c r="F1004" s="648"/>
      <c r="G1004" s="649"/>
    </row>
    <row r="1005" spans="2:9" ht="31.5" customHeight="1" thickBot="1">
      <c r="B1005" s="257" t="s">
        <v>342</v>
      </c>
      <c r="C1005" s="248"/>
      <c r="D1005" s="650" t="str">
        <f>$H$1</f>
        <v>KUTU</v>
      </c>
      <c r="E1005" s="651"/>
      <c r="F1005" s="651"/>
      <c r="G1005" s="652"/>
    </row>
    <row r="1006" spans="2:9" ht="31.5" customHeight="1" thickBot="1">
      <c r="B1006" s="257" t="s">
        <v>114</v>
      </c>
      <c r="C1006" s="248"/>
      <c r="D1006" s="653" t="str">
        <f>'1PROJE'!$G$3</f>
        <v>Z 5001</v>
      </c>
      <c r="E1006" s="654"/>
      <c r="F1006" s="654"/>
      <c r="G1006" s="655"/>
      <c r="I1006" s="250"/>
    </row>
    <row r="1007" spans="2:9" ht="31.5" customHeight="1" thickBot="1">
      <c r="B1007" s="257" t="s">
        <v>98</v>
      </c>
      <c r="D1007" s="331" cm="1">
        <f t="array" aca="1" ref="D1007" ca="1">INDIRECT("xHesaplama!H"&amp;""&amp;ROW(D1004)+70-7*ROUNDDOWN(ROW(D1004)/8,0))</f>
        <v>0</v>
      </c>
      <c r="E1007" s="332"/>
      <c r="F1007" s="642" t="e">
        <f ca="1">VLOOKUP(LEFT(D1007,6),$J$2:$K$21,2,0)</f>
        <v>#N/A</v>
      </c>
      <c r="G1007" s="643"/>
    </row>
    <row r="1008" spans="2:9" ht="31.5" customHeight="1" thickBot="1">
      <c r="B1008" s="257" t="s">
        <v>832</v>
      </c>
      <c r="D1008" s="252" t="s">
        <v>359</v>
      </c>
      <c r="E1008" s="253" t="e" cm="1">
        <f t="array" aca="1" ref="E1008" ca="1">INDIRECT("xHesaplama!J"&amp;""&amp;ROW(D1004)+70-7*ROUNDDOWN(ROW(D1004)/8,0))</f>
        <v>#N/A</v>
      </c>
      <c r="F1008" s="254" t="s">
        <v>358</v>
      </c>
      <c r="G1008" s="253" t="e" cm="1">
        <f t="array" aca="1" ref="G1008" ca="1">INDIRECT("xHesaplama!K"&amp;""&amp;ROW(D1004)+70-7*ROUNDDOWN(ROW(D1004)/8,0))</f>
        <v>#N/A</v>
      </c>
    </row>
    <row r="1009" spans="2:9" ht="69" customHeight="1" thickBot="1">
      <c r="B1009" s="256" t="s">
        <v>869</v>
      </c>
      <c r="C1009" s="248"/>
      <c r="D1009" s="656"/>
      <c r="E1009" s="656"/>
      <c r="F1009" s="656"/>
      <c r="G1009" s="656"/>
    </row>
    <row r="1010" spans="2:9" ht="31.5" customHeight="1" thickBot="1">
      <c r="B1010" s="257" t="s">
        <v>870</v>
      </c>
      <c r="C1010" s="248"/>
      <c r="D1010" s="657" t="str">
        <f>'1PROJE'!$E$3</f>
        <v>GÜNEŞ PEN</v>
      </c>
      <c r="E1010" s="658"/>
      <c r="F1010" s="658"/>
      <c r="G1010" s="659"/>
    </row>
    <row r="1011" spans="2:9" ht="31.5" customHeight="1" thickBot="1">
      <c r="B1011" s="257" t="s">
        <v>871</v>
      </c>
      <c r="C1011" s="248"/>
      <c r="D1011" s="644" t="str">
        <f>'1PROJE'!$F$3</f>
        <v>GÜRKAN BEY</v>
      </c>
      <c r="E1011" s="645"/>
      <c r="F1011" s="645"/>
      <c r="G1011" s="646"/>
    </row>
    <row r="1012" spans="2:9" ht="31.5" customHeight="1" thickBot="1">
      <c r="B1012" s="257" t="s">
        <v>356</v>
      </c>
      <c r="C1012" s="248"/>
      <c r="D1012" s="647" t="e" cm="1">
        <f t="array" aca="1" ref="D1012" ca="1">INDIRECT("xHesaplama!I"&amp;""&amp;ROW(D1012)+70-7*ROUNDDOWN(ROW(D1012)/8,0))</f>
        <v>#N/A</v>
      </c>
      <c r="E1012" s="648"/>
      <c r="F1012" s="648"/>
      <c r="G1012" s="649"/>
    </row>
    <row r="1013" spans="2:9" ht="31.5" customHeight="1" thickBot="1">
      <c r="B1013" s="257" t="s">
        <v>342</v>
      </c>
      <c r="C1013" s="248"/>
      <c r="D1013" s="650" t="str">
        <f>$H$1</f>
        <v>KUTU</v>
      </c>
      <c r="E1013" s="651"/>
      <c r="F1013" s="651"/>
      <c r="G1013" s="652"/>
    </row>
    <row r="1014" spans="2:9" ht="31.5" customHeight="1" thickBot="1">
      <c r="B1014" s="257" t="s">
        <v>114</v>
      </c>
      <c r="C1014" s="248"/>
      <c r="D1014" s="653" t="str">
        <f>'1PROJE'!$G$3</f>
        <v>Z 5001</v>
      </c>
      <c r="E1014" s="654"/>
      <c r="F1014" s="654"/>
      <c r="G1014" s="655"/>
      <c r="I1014" s="250"/>
    </row>
    <row r="1015" spans="2:9" ht="31.5" customHeight="1" thickBot="1">
      <c r="B1015" s="257" t="s">
        <v>98</v>
      </c>
      <c r="D1015" s="331" cm="1">
        <f t="array" aca="1" ref="D1015" ca="1">INDIRECT("xHesaplama!H"&amp;""&amp;ROW(D1012)+70-7*ROUNDDOWN(ROW(D1012)/8,0))</f>
        <v>0</v>
      </c>
      <c r="E1015" s="332"/>
      <c r="F1015" s="642" t="e">
        <f ca="1">VLOOKUP(LEFT(D1015,6),$J$2:$K$21,2,0)</f>
        <v>#N/A</v>
      </c>
      <c r="G1015" s="643"/>
    </row>
    <row r="1016" spans="2:9" ht="31.5" customHeight="1" thickBot="1">
      <c r="B1016" s="257" t="s">
        <v>832</v>
      </c>
      <c r="D1016" s="252" t="s">
        <v>359</v>
      </c>
      <c r="E1016" s="253" t="e" cm="1">
        <f t="array" aca="1" ref="E1016" ca="1">INDIRECT("xHesaplama!J"&amp;""&amp;ROW(D1012)+70-7*ROUNDDOWN(ROW(D1012)/8,0))</f>
        <v>#N/A</v>
      </c>
      <c r="F1016" s="254" t="s">
        <v>358</v>
      </c>
      <c r="G1016" s="253" t="e" cm="1">
        <f t="array" aca="1" ref="G1016" ca="1">INDIRECT("xHesaplama!K"&amp;""&amp;ROW(D1012)+70-7*ROUNDDOWN(ROW(D1012)/8,0))</f>
        <v>#N/A</v>
      </c>
    </row>
    <row r="1017" spans="2:9" ht="69" customHeight="1" thickBot="1">
      <c r="B1017" s="256" t="s">
        <v>869</v>
      </c>
      <c r="C1017" s="248"/>
      <c r="D1017" s="656"/>
      <c r="E1017" s="656"/>
      <c r="F1017" s="656"/>
      <c r="G1017" s="656"/>
    </row>
    <row r="1018" spans="2:9" ht="31.5" customHeight="1" thickBot="1">
      <c r="B1018" s="257" t="s">
        <v>870</v>
      </c>
      <c r="C1018" s="248"/>
      <c r="D1018" s="657" t="str">
        <f>'1PROJE'!$E$3</f>
        <v>GÜNEŞ PEN</v>
      </c>
      <c r="E1018" s="658"/>
      <c r="F1018" s="658"/>
      <c r="G1018" s="659"/>
    </row>
    <row r="1019" spans="2:9" ht="31.5" customHeight="1" thickBot="1">
      <c r="B1019" s="257" t="s">
        <v>871</v>
      </c>
      <c r="C1019" s="248"/>
      <c r="D1019" s="644" t="str">
        <f>'1PROJE'!$F$3</f>
        <v>GÜRKAN BEY</v>
      </c>
      <c r="E1019" s="645"/>
      <c r="F1019" s="645"/>
      <c r="G1019" s="646"/>
    </row>
    <row r="1020" spans="2:9" ht="31.5" customHeight="1" thickBot="1">
      <c r="B1020" s="257" t="s">
        <v>356</v>
      </c>
      <c r="C1020" s="248"/>
      <c r="D1020" s="647" t="e" cm="1">
        <f t="array" aca="1" ref="D1020" ca="1">INDIRECT("xHesaplama!I"&amp;""&amp;ROW(D1020)+70-7*ROUNDDOWN(ROW(D1020)/8,0))</f>
        <v>#N/A</v>
      </c>
      <c r="E1020" s="648"/>
      <c r="F1020" s="648"/>
      <c r="G1020" s="649"/>
    </row>
    <row r="1021" spans="2:9" ht="31.5" customHeight="1" thickBot="1">
      <c r="B1021" s="257" t="s">
        <v>342</v>
      </c>
      <c r="C1021" s="248"/>
      <c r="D1021" s="650" t="str">
        <f>$H$1</f>
        <v>KUTU</v>
      </c>
      <c r="E1021" s="651"/>
      <c r="F1021" s="651"/>
      <c r="G1021" s="652"/>
    </row>
    <row r="1022" spans="2:9" ht="31.5" customHeight="1" thickBot="1">
      <c r="B1022" s="257" t="s">
        <v>114</v>
      </c>
      <c r="C1022" s="248"/>
      <c r="D1022" s="653" t="str">
        <f>'1PROJE'!$G$3</f>
        <v>Z 5001</v>
      </c>
      <c r="E1022" s="654"/>
      <c r="F1022" s="654"/>
      <c r="G1022" s="655"/>
      <c r="I1022" s="250"/>
    </row>
    <row r="1023" spans="2:9" ht="31.5" customHeight="1" thickBot="1">
      <c r="B1023" s="257" t="s">
        <v>98</v>
      </c>
      <c r="D1023" s="331" cm="1">
        <f t="array" aca="1" ref="D1023" ca="1">INDIRECT("xHesaplama!H"&amp;""&amp;ROW(D1020)+70-7*ROUNDDOWN(ROW(D1020)/8,0))</f>
        <v>0</v>
      </c>
      <c r="E1023" s="332"/>
      <c r="F1023" s="642" t="e">
        <f ca="1">VLOOKUP(LEFT(D1023,6),$J$2:$K$21,2,0)</f>
        <v>#N/A</v>
      </c>
      <c r="G1023" s="643"/>
    </row>
    <row r="1024" spans="2:9" ht="31.5" customHeight="1" thickBot="1">
      <c r="B1024" s="257" t="s">
        <v>832</v>
      </c>
      <c r="D1024" s="252" t="s">
        <v>359</v>
      </c>
      <c r="E1024" s="253" t="e" cm="1">
        <f t="array" aca="1" ref="E1024" ca="1">INDIRECT("xHesaplama!J"&amp;""&amp;ROW(D1020)+70-7*ROUNDDOWN(ROW(D1020)/8,0))</f>
        <v>#N/A</v>
      </c>
      <c r="F1024" s="254" t="s">
        <v>358</v>
      </c>
      <c r="G1024" s="253" t="e" cm="1">
        <f t="array" aca="1" ref="G1024" ca="1">INDIRECT("xHesaplama!K"&amp;""&amp;ROW(D1020)+70-7*ROUNDDOWN(ROW(D1020)/8,0))</f>
        <v>#N/A</v>
      </c>
    </row>
    <row r="1025" spans="2:9" ht="69" customHeight="1" thickBot="1">
      <c r="B1025" s="256" t="s">
        <v>869</v>
      </c>
      <c r="C1025" s="248"/>
      <c r="D1025" s="656"/>
      <c r="E1025" s="656"/>
      <c r="F1025" s="656"/>
      <c r="G1025" s="656"/>
    </row>
    <row r="1026" spans="2:9" ht="31.5" customHeight="1" thickBot="1">
      <c r="B1026" s="257" t="s">
        <v>870</v>
      </c>
      <c r="C1026" s="248"/>
      <c r="D1026" s="657" t="str">
        <f>'1PROJE'!$E$3</f>
        <v>GÜNEŞ PEN</v>
      </c>
      <c r="E1026" s="658"/>
      <c r="F1026" s="658"/>
      <c r="G1026" s="659"/>
    </row>
    <row r="1027" spans="2:9" ht="31.5" customHeight="1" thickBot="1">
      <c r="B1027" s="257" t="s">
        <v>871</v>
      </c>
      <c r="C1027" s="248"/>
      <c r="D1027" s="644" t="str">
        <f>'1PROJE'!$F$3</f>
        <v>GÜRKAN BEY</v>
      </c>
      <c r="E1027" s="645"/>
      <c r="F1027" s="645"/>
      <c r="G1027" s="646"/>
    </row>
    <row r="1028" spans="2:9" ht="31.5" customHeight="1" thickBot="1">
      <c r="B1028" s="257" t="s">
        <v>356</v>
      </c>
      <c r="C1028" s="248"/>
      <c r="D1028" s="647" t="e" cm="1">
        <f t="array" aca="1" ref="D1028" ca="1">INDIRECT("xHesaplama!I"&amp;""&amp;ROW(D1028)+70-7*ROUNDDOWN(ROW(D1028)/8,0))</f>
        <v>#N/A</v>
      </c>
      <c r="E1028" s="648"/>
      <c r="F1028" s="648"/>
      <c r="G1028" s="649"/>
    </row>
    <row r="1029" spans="2:9" ht="31.5" customHeight="1" thickBot="1">
      <c r="B1029" s="257" t="s">
        <v>342</v>
      </c>
      <c r="C1029" s="248"/>
      <c r="D1029" s="650" t="str">
        <f>$H$1</f>
        <v>KUTU</v>
      </c>
      <c r="E1029" s="651"/>
      <c r="F1029" s="651"/>
      <c r="G1029" s="652"/>
    </row>
    <row r="1030" spans="2:9" ht="31.5" customHeight="1" thickBot="1">
      <c r="B1030" s="257" t="s">
        <v>114</v>
      </c>
      <c r="C1030" s="248"/>
      <c r="D1030" s="653" t="str">
        <f>'1PROJE'!$G$3</f>
        <v>Z 5001</v>
      </c>
      <c r="E1030" s="654"/>
      <c r="F1030" s="654"/>
      <c r="G1030" s="655"/>
      <c r="I1030" s="250"/>
    </row>
    <row r="1031" spans="2:9" ht="31.5" customHeight="1" thickBot="1">
      <c r="B1031" s="257" t="s">
        <v>98</v>
      </c>
      <c r="D1031" s="331" cm="1">
        <f t="array" aca="1" ref="D1031" ca="1">INDIRECT("xHesaplama!H"&amp;""&amp;ROW(D1028)+70-7*ROUNDDOWN(ROW(D1028)/8,0))</f>
        <v>0</v>
      </c>
      <c r="E1031" s="332"/>
      <c r="F1031" s="642" t="e">
        <f ca="1">VLOOKUP(LEFT(D1031,6),$J$2:$K$21,2,0)</f>
        <v>#N/A</v>
      </c>
      <c r="G1031" s="643"/>
    </row>
    <row r="1032" spans="2:9" ht="31.5" customHeight="1" thickBot="1">
      <c r="B1032" s="257" t="s">
        <v>832</v>
      </c>
      <c r="D1032" s="252" t="s">
        <v>359</v>
      </c>
      <c r="E1032" s="253" t="e" cm="1">
        <f t="array" aca="1" ref="E1032" ca="1">INDIRECT("xHesaplama!J"&amp;""&amp;ROW(D1028)+70-7*ROUNDDOWN(ROW(D1028)/8,0))</f>
        <v>#N/A</v>
      </c>
      <c r="F1032" s="254" t="s">
        <v>358</v>
      </c>
      <c r="G1032" s="253" t="e" cm="1">
        <f t="array" aca="1" ref="G1032" ca="1">INDIRECT("xHesaplama!K"&amp;""&amp;ROW(D1028)+70-7*ROUNDDOWN(ROW(D1028)/8,0))</f>
        <v>#N/A</v>
      </c>
    </row>
    <row r="1033" spans="2:9" ht="69" customHeight="1" thickBot="1">
      <c r="B1033" s="256" t="s">
        <v>869</v>
      </c>
      <c r="C1033" s="248"/>
      <c r="D1033" s="656"/>
      <c r="E1033" s="656"/>
      <c r="F1033" s="656"/>
      <c r="G1033" s="656"/>
    </row>
    <row r="1034" spans="2:9" ht="31.5" customHeight="1" thickBot="1">
      <c r="B1034" s="257" t="s">
        <v>870</v>
      </c>
      <c r="C1034" s="248"/>
      <c r="D1034" s="657" t="str">
        <f>'1PROJE'!$E$3</f>
        <v>GÜNEŞ PEN</v>
      </c>
      <c r="E1034" s="658"/>
      <c r="F1034" s="658"/>
      <c r="G1034" s="659"/>
    </row>
    <row r="1035" spans="2:9" ht="31.5" customHeight="1" thickBot="1">
      <c r="B1035" s="257" t="s">
        <v>871</v>
      </c>
      <c r="C1035" s="248"/>
      <c r="D1035" s="644" t="str">
        <f>'1PROJE'!$F$3</f>
        <v>GÜRKAN BEY</v>
      </c>
      <c r="E1035" s="645"/>
      <c r="F1035" s="645"/>
      <c r="G1035" s="646"/>
    </row>
    <row r="1036" spans="2:9" ht="31.5" customHeight="1" thickBot="1">
      <c r="B1036" s="257" t="s">
        <v>356</v>
      </c>
      <c r="C1036" s="248"/>
      <c r="D1036" s="647" t="e" cm="1">
        <f t="array" aca="1" ref="D1036" ca="1">INDIRECT("xHesaplama!I"&amp;""&amp;ROW(D1036)+70-7*ROUNDDOWN(ROW(D1036)/8,0))</f>
        <v>#N/A</v>
      </c>
      <c r="E1036" s="648"/>
      <c r="F1036" s="648"/>
      <c r="G1036" s="649"/>
    </row>
    <row r="1037" spans="2:9" ht="31.5" customHeight="1" thickBot="1">
      <c r="B1037" s="257" t="s">
        <v>342</v>
      </c>
      <c r="C1037" s="248"/>
      <c r="D1037" s="650" t="str">
        <f>$H$1</f>
        <v>KUTU</v>
      </c>
      <c r="E1037" s="651"/>
      <c r="F1037" s="651"/>
      <c r="G1037" s="652"/>
    </row>
    <row r="1038" spans="2:9" ht="31.5" customHeight="1" thickBot="1">
      <c r="B1038" s="257" t="s">
        <v>114</v>
      </c>
      <c r="C1038" s="248"/>
      <c r="D1038" s="653" t="str">
        <f>'1PROJE'!$G$3</f>
        <v>Z 5001</v>
      </c>
      <c r="E1038" s="654"/>
      <c r="F1038" s="654"/>
      <c r="G1038" s="655"/>
      <c r="I1038" s="250"/>
    </row>
    <row r="1039" spans="2:9" ht="31.5" customHeight="1" thickBot="1">
      <c r="B1039" s="257" t="s">
        <v>98</v>
      </c>
      <c r="D1039" s="331" cm="1">
        <f t="array" aca="1" ref="D1039" ca="1">INDIRECT("xHesaplama!H"&amp;""&amp;ROW(D1036)+70-7*ROUNDDOWN(ROW(D1036)/8,0))</f>
        <v>0</v>
      </c>
      <c r="E1039" s="332"/>
      <c r="F1039" s="642" t="e">
        <f ca="1">VLOOKUP(LEFT(D1039,6),$J$2:$K$21,2,0)</f>
        <v>#N/A</v>
      </c>
      <c r="G1039" s="643"/>
    </row>
    <row r="1040" spans="2:9" ht="31.5" customHeight="1" thickBot="1">
      <c r="B1040" s="257" t="s">
        <v>832</v>
      </c>
      <c r="D1040" s="252" t="s">
        <v>359</v>
      </c>
      <c r="E1040" s="253" t="e" cm="1">
        <f t="array" aca="1" ref="E1040" ca="1">INDIRECT("xHesaplama!J"&amp;""&amp;ROW(D1036)+70-7*ROUNDDOWN(ROW(D1036)/8,0))</f>
        <v>#N/A</v>
      </c>
      <c r="F1040" s="254" t="s">
        <v>358</v>
      </c>
      <c r="G1040" s="253" t="e" cm="1">
        <f t="array" aca="1" ref="G1040" ca="1">INDIRECT("xHesaplama!K"&amp;""&amp;ROW(D1036)+70-7*ROUNDDOWN(ROW(D1036)/8,0))</f>
        <v>#N/A</v>
      </c>
    </row>
    <row r="1041" spans="2:9" ht="69" customHeight="1" thickBot="1">
      <c r="B1041" s="256" t="s">
        <v>869</v>
      </c>
      <c r="C1041" s="248"/>
      <c r="D1041" s="656"/>
      <c r="E1041" s="656"/>
      <c r="F1041" s="656"/>
      <c r="G1041" s="656"/>
    </row>
    <row r="1042" spans="2:9" ht="31.5" customHeight="1" thickBot="1">
      <c r="B1042" s="257" t="s">
        <v>870</v>
      </c>
      <c r="C1042" s="248"/>
      <c r="D1042" s="657" t="str">
        <f>'1PROJE'!$E$3</f>
        <v>GÜNEŞ PEN</v>
      </c>
      <c r="E1042" s="658"/>
      <c r="F1042" s="658"/>
      <c r="G1042" s="659"/>
    </row>
    <row r="1043" spans="2:9" ht="31.5" customHeight="1" thickBot="1">
      <c r="B1043" s="257" t="s">
        <v>871</v>
      </c>
      <c r="C1043" s="248"/>
      <c r="D1043" s="644" t="str">
        <f>'1PROJE'!$F$3</f>
        <v>GÜRKAN BEY</v>
      </c>
      <c r="E1043" s="645"/>
      <c r="F1043" s="645"/>
      <c r="G1043" s="646"/>
    </row>
    <row r="1044" spans="2:9" ht="31.5" customHeight="1" thickBot="1">
      <c r="B1044" s="257" t="s">
        <v>356</v>
      </c>
      <c r="C1044" s="248"/>
      <c r="D1044" s="647" t="e" cm="1">
        <f t="array" aca="1" ref="D1044" ca="1">INDIRECT("xHesaplama!I"&amp;""&amp;ROW(D1044)+70-7*ROUNDDOWN(ROW(D1044)/8,0))</f>
        <v>#N/A</v>
      </c>
      <c r="E1044" s="648"/>
      <c r="F1044" s="648"/>
      <c r="G1044" s="649"/>
    </row>
    <row r="1045" spans="2:9" ht="31.5" customHeight="1" thickBot="1">
      <c r="B1045" s="257" t="s">
        <v>342</v>
      </c>
      <c r="C1045" s="248"/>
      <c r="D1045" s="650" t="str">
        <f>$H$1</f>
        <v>KUTU</v>
      </c>
      <c r="E1045" s="651"/>
      <c r="F1045" s="651"/>
      <c r="G1045" s="652"/>
    </row>
    <row r="1046" spans="2:9" ht="31.5" customHeight="1" thickBot="1">
      <c r="B1046" s="257" t="s">
        <v>114</v>
      </c>
      <c r="C1046" s="248"/>
      <c r="D1046" s="653" t="str">
        <f>'1PROJE'!$G$3</f>
        <v>Z 5001</v>
      </c>
      <c r="E1046" s="654"/>
      <c r="F1046" s="654"/>
      <c r="G1046" s="655"/>
      <c r="I1046" s="250"/>
    </row>
    <row r="1047" spans="2:9" ht="31.5" customHeight="1" thickBot="1">
      <c r="B1047" s="257" t="s">
        <v>98</v>
      </c>
      <c r="D1047" s="331" cm="1">
        <f t="array" aca="1" ref="D1047" ca="1">INDIRECT("xHesaplama!H"&amp;""&amp;ROW(D1044)+70-7*ROUNDDOWN(ROW(D1044)/8,0))</f>
        <v>0</v>
      </c>
      <c r="E1047" s="332"/>
      <c r="F1047" s="642" t="e">
        <f ca="1">VLOOKUP(LEFT(D1047,6),$J$2:$K$21,2,0)</f>
        <v>#N/A</v>
      </c>
      <c r="G1047" s="643"/>
    </row>
    <row r="1048" spans="2:9" ht="31.5" customHeight="1" thickBot="1">
      <c r="B1048" s="257" t="s">
        <v>832</v>
      </c>
      <c r="D1048" s="252" t="s">
        <v>359</v>
      </c>
      <c r="E1048" s="253" t="e" cm="1">
        <f t="array" aca="1" ref="E1048" ca="1">INDIRECT("xHesaplama!J"&amp;""&amp;ROW(D1044)+70-7*ROUNDDOWN(ROW(D1044)/8,0))</f>
        <v>#N/A</v>
      </c>
      <c r="F1048" s="254" t="s">
        <v>358</v>
      </c>
      <c r="G1048" s="253" t="e" cm="1">
        <f t="array" aca="1" ref="G1048" ca="1">INDIRECT("xHesaplama!K"&amp;""&amp;ROW(D1044)+70-7*ROUNDDOWN(ROW(D1044)/8,0))</f>
        <v>#N/A</v>
      </c>
    </row>
    <row r="1049" spans="2:9" ht="69" customHeight="1" thickBot="1">
      <c r="B1049" s="256" t="s">
        <v>869</v>
      </c>
      <c r="C1049" s="248"/>
      <c r="D1049" s="656"/>
      <c r="E1049" s="656"/>
      <c r="F1049" s="656"/>
      <c r="G1049" s="656"/>
    </row>
    <row r="1050" spans="2:9" ht="31.5" customHeight="1" thickBot="1">
      <c r="B1050" s="257" t="s">
        <v>870</v>
      </c>
      <c r="C1050" s="248"/>
      <c r="D1050" s="657" t="str">
        <f>'1PROJE'!$E$3</f>
        <v>GÜNEŞ PEN</v>
      </c>
      <c r="E1050" s="658"/>
      <c r="F1050" s="658"/>
      <c r="G1050" s="659"/>
    </row>
    <row r="1051" spans="2:9" ht="31.5" customHeight="1" thickBot="1">
      <c r="B1051" s="257" t="s">
        <v>871</v>
      </c>
      <c r="C1051" s="248"/>
      <c r="D1051" s="644" t="str">
        <f>'1PROJE'!$F$3</f>
        <v>GÜRKAN BEY</v>
      </c>
      <c r="E1051" s="645"/>
      <c r="F1051" s="645"/>
      <c r="G1051" s="646"/>
    </row>
    <row r="1052" spans="2:9" ht="31.5" customHeight="1" thickBot="1">
      <c r="B1052" s="257" t="s">
        <v>356</v>
      </c>
      <c r="C1052" s="248"/>
      <c r="D1052" s="647" t="e" cm="1">
        <f t="array" aca="1" ref="D1052" ca="1">INDIRECT("xHesaplama!I"&amp;""&amp;ROW(D1052)+70-7*ROUNDDOWN(ROW(D1052)/8,0))</f>
        <v>#N/A</v>
      </c>
      <c r="E1052" s="648"/>
      <c r="F1052" s="648"/>
      <c r="G1052" s="649"/>
    </row>
    <row r="1053" spans="2:9" ht="31.5" customHeight="1" thickBot="1">
      <c r="B1053" s="257" t="s">
        <v>342</v>
      </c>
      <c r="C1053" s="248"/>
      <c r="D1053" s="650" t="str">
        <f>$H$1</f>
        <v>KUTU</v>
      </c>
      <c r="E1053" s="651"/>
      <c r="F1053" s="651"/>
      <c r="G1053" s="652"/>
    </row>
    <row r="1054" spans="2:9" ht="31.5" customHeight="1" thickBot="1">
      <c r="B1054" s="257" t="s">
        <v>114</v>
      </c>
      <c r="C1054" s="248"/>
      <c r="D1054" s="653" t="str">
        <f>'1PROJE'!$G$3</f>
        <v>Z 5001</v>
      </c>
      <c r="E1054" s="654"/>
      <c r="F1054" s="654"/>
      <c r="G1054" s="655"/>
      <c r="I1054" s="250"/>
    </row>
    <row r="1055" spans="2:9" ht="31.5" customHeight="1" thickBot="1">
      <c r="B1055" s="257" t="s">
        <v>98</v>
      </c>
      <c r="D1055" s="331" cm="1">
        <f t="array" aca="1" ref="D1055" ca="1">INDIRECT("xHesaplama!H"&amp;""&amp;ROW(D1052)+70-7*ROUNDDOWN(ROW(D1052)/8,0))</f>
        <v>0</v>
      </c>
      <c r="E1055" s="332"/>
      <c r="F1055" s="642" t="e">
        <f ca="1">VLOOKUP(LEFT(D1055,6),$J$2:$K$21,2,0)</f>
        <v>#N/A</v>
      </c>
      <c r="G1055" s="643"/>
    </row>
    <row r="1056" spans="2:9" ht="31.5" customHeight="1" thickBot="1">
      <c r="B1056" s="257" t="s">
        <v>832</v>
      </c>
      <c r="D1056" s="252" t="s">
        <v>359</v>
      </c>
      <c r="E1056" s="253" t="e" cm="1">
        <f t="array" aca="1" ref="E1056" ca="1">INDIRECT("xHesaplama!J"&amp;""&amp;ROW(D1052)+70-7*ROUNDDOWN(ROW(D1052)/8,0))</f>
        <v>#N/A</v>
      </c>
      <c r="F1056" s="254" t="s">
        <v>358</v>
      </c>
      <c r="G1056" s="253" t="e" cm="1">
        <f t="array" aca="1" ref="G1056" ca="1">INDIRECT("xHesaplama!K"&amp;""&amp;ROW(D1052)+70-7*ROUNDDOWN(ROW(D1052)/8,0))</f>
        <v>#N/A</v>
      </c>
    </row>
    <row r="1057" spans="2:9" ht="69" customHeight="1" thickBot="1">
      <c r="B1057" s="256" t="s">
        <v>869</v>
      </c>
      <c r="C1057" s="248"/>
      <c r="D1057" s="656"/>
      <c r="E1057" s="656"/>
      <c r="F1057" s="656"/>
      <c r="G1057" s="656"/>
    </row>
    <row r="1058" spans="2:9" ht="31.5" customHeight="1" thickBot="1">
      <c r="B1058" s="257" t="s">
        <v>870</v>
      </c>
      <c r="C1058" s="248"/>
      <c r="D1058" s="657" t="str">
        <f>'1PROJE'!$E$3</f>
        <v>GÜNEŞ PEN</v>
      </c>
      <c r="E1058" s="658"/>
      <c r="F1058" s="658"/>
      <c r="G1058" s="659"/>
    </row>
    <row r="1059" spans="2:9" ht="31.5" customHeight="1" thickBot="1">
      <c r="B1059" s="257" t="s">
        <v>871</v>
      </c>
      <c r="C1059" s="248"/>
      <c r="D1059" s="644" t="str">
        <f>'1PROJE'!$F$3</f>
        <v>GÜRKAN BEY</v>
      </c>
      <c r="E1059" s="645"/>
      <c r="F1059" s="645"/>
      <c r="G1059" s="646"/>
    </row>
    <row r="1060" spans="2:9" ht="31.5" customHeight="1" thickBot="1">
      <c r="B1060" s="257" t="s">
        <v>356</v>
      </c>
      <c r="C1060" s="248"/>
      <c r="D1060" s="647" t="e" cm="1">
        <f t="array" aca="1" ref="D1060" ca="1">INDIRECT("xHesaplama!I"&amp;""&amp;ROW(D1060)+70-7*ROUNDDOWN(ROW(D1060)/8,0))</f>
        <v>#N/A</v>
      </c>
      <c r="E1060" s="648"/>
      <c r="F1060" s="648"/>
      <c r="G1060" s="649"/>
    </row>
    <row r="1061" spans="2:9" ht="31.5" customHeight="1" thickBot="1">
      <c r="B1061" s="257" t="s">
        <v>342</v>
      </c>
      <c r="C1061" s="248"/>
      <c r="D1061" s="650" t="str">
        <f>$H$1</f>
        <v>KUTU</v>
      </c>
      <c r="E1061" s="651"/>
      <c r="F1061" s="651"/>
      <c r="G1061" s="652"/>
    </row>
    <row r="1062" spans="2:9" ht="31.5" customHeight="1" thickBot="1">
      <c r="B1062" s="257" t="s">
        <v>114</v>
      </c>
      <c r="C1062" s="248"/>
      <c r="D1062" s="653" t="str">
        <f>'1PROJE'!$G$3</f>
        <v>Z 5001</v>
      </c>
      <c r="E1062" s="654"/>
      <c r="F1062" s="654"/>
      <c r="G1062" s="655"/>
      <c r="I1062" s="250"/>
    </row>
    <row r="1063" spans="2:9" ht="31.5" customHeight="1" thickBot="1">
      <c r="B1063" s="257" t="s">
        <v>98</v>
      </c>
      <c r="D1063" s="331" cm="1">
        <f t="array" aca="1" ref="D1063" ca="1">INDIRECT("xHesaplama!H"&amp;""&amp;ROW(D1060)+70-7*ROUNDDOWN(ROW(D1060)/8,0))</f>
        <v>0</v>
      </c>
      <c r="E1063" s="332"/>
      <c r="F1063" s="642" t="e">
        <f ca="1">VLOOKUP(LEFT(D1063,6),$J$2:$K$21,2,0)</f>
        <v>#N/A</v>
      </c>
      <c r="G1063" s="643"/>
    </row>
    <row r="1064" spans="2:9" ht="31.5" customHeight="1" thickBot="1">
      <c r="B1064" s="257" t="s">
        <v>832</v>
      </c>
      <c r="D1064" s="252" t="s">
        <v>359</v>
      </c>
      <c r="E1064" s="253" t="e" cm="1">
        <f t="array" aca="1" ref="E1064" ca="1">INDIRECT("xHesaplama!J"&amp;""&amp;ROW(D1060)+70-7*ROUNDDOWN(ROW(D1060)/8,0))</f>
        <v>#N/A</v>
      </c>
      <c r="F1064" s="254" t="s">
        <v>358</v>
      </c>
      <c r="G1064" s="253" t="e" cm="1">
        <f t="array" aca="1" ref="G1064" ca="1">INDIRECT("xHesaplama!K"&amp;""&amp;ROW(D1060)+70-7*ROUNDDOWN(ROW(D1060)/8,0))</f>
        <v>#N/A</v>
      </c>
    </row>
    <row r="1065" spans="2:9" ht="69" customHeight="1" thickBot="1">
      <c r="B1065" s="256" t="s">
        <v>869</v>
      </c>
      <c r="C1065" s="248"/>
      <c r="D1065" s="656"/>
      <c r="E1065" s="656"/>
      <c r="F1065" s="656"/>
      <c r="G1065" s="656"/>
    </row>
    <row r="1066" spans="2:9" ht="31.5" customHeight="1" thickBot="1">
      <c r="B1066" s="257" t="s">
        <v>870</v>
      </c>
      <c r="C1066" s="248"/>
      <c r="D1066" s="657" t="str">
        <f>'1PROJE'!$E$3</f>
        <v>GÜNEŞ PEN</v>
      </c>
      <c r="E1066" s="658"/>
      <c r="F1066" s="658"/>
      <c r="G1066" s="659"/>
    </row>
    <row r="1067" spans="2:9" ht="31.5" customHeight="1" thickBot="1">
      <c r="B1067" s="257" t="s">
        <v>871</v>
      </c>
      <c r="C1067" s="248"/>
      <c r="D1067" s="644" t="str">
        <f>'1PROJE'!$F$3</f>
        <v>GÜRKAN BEY</v>
      </c>
      <c r="E1067" s="645"/>
      <c r="F1067" s="645"/>
      <c r="G1067" s="646"/>
    </row>
    <row r="1068" spans="2:9" ht="31.5" customHeight="1" thickBot="1">
      <c r="B1068" s="257" t="s">
        <v>356</v>
      </c>
      <c r="C1068" s="248"/>
      <c r="D1068" s="647" t="e" cm="1">
        <f t="array" aca="1" ref="D1068" ca="1">INDIRECT("xHesaplama!I"&amp;""&amp;ROW(D1068)+70-7*ROUNDDOWN(ROW(D1068)/8,0))</f>
        <v>#N/A</v>
      </c>
      <c r="E1068" s="648"/>
      <c r="F1068" s="648"/>
      <c r="G1068" s="649"/>
    </row>
    <row r="1069" spans="2:9" ht="31.5" customHeight="1" thickBot="1">
      <c r="B1069" s="257" t="s">
        <v>342</v>
      </c>
      <c r="C1069" s="248"/>
      <c r="D1069" s="650" t="str">
        <f>$H$1</f>
        <v>KUTU</v>
      </c>
      <c r="E1069" s="651"/>
      <c r="F1069" s="651"/>
      <c r="G1069" s="652"/>
    </row>
    <row r="1070" spans="2:9" ht="31.5" customHeight="1" thickBot="1">
      <c r="B1070" s="257" t="s">
        <v>114</v>
      </c>
      <c r="C1070" s="248"/>
      <c r="D1070" s="653" t="str">
        <f>'1PROJE'!$G$3</f>
        <v>Z 5001</v>
      </c>
      <c r="E1070" s="654"/>
      <c r="F1070" s="654"/>
      <c r="G1070" s="655"/>
      <c r="I1070" s="250"/>
    </row>
    <row r="1071" spans="2:9" ht="31.5" customHeight="1" thickBot="1">
      <c r="B1071" s="257" t="s">
        <v>98</v>
      </c>
      <c r="D1071" s="331" cm="1">
        <f t="array" aca="1" ref="D1071" ca="1">INDIRECT("xHesaplama!H"&amp;""&amp;ROW(D1068)+70-7*ROUNDDOWN(ROW(D1068)/8,0))</f>
        <v>0</v>
      </c>
      <c r="E1071" s="332"/>
      <c r="F1071" s="642" t="e">
        <f ca="1">VLOOKUP(LEFT(D1071,6),$J$2:$K$21,2,0)</f>
        <v>#N/A</v>
      </c>
      <c r="G1071" s="643"/>
    </row>
    <row r="1072" spans="2:9" ht="31.5" customHeight="1" thickBot="1">
      <c r="B1072" s="257" t="s">
        <v>832</v>
      </c>
      <c r="D1072" s="252" t="s">
        <v>359</v>
      </c>
      <c r="E1072" s="253" t="e" cm="1">
        <f t="array" aca="1" ref="E1072" ca="1">INDIRECT("xHesaplama!J"&amp;""&amp;ROW(D1068)+70-7*ROUNDDOWN(ROW(D1068)/8,0))</f>
        <v>#N/A</v>
      </c>
      <c r="F1072" s="254" t="s">
        <v>358</v>
      </c>
      <c r="G1072" s="253" t="e" cm="1">
        <f t="array" aca="1" ref="G1072" ca="1">INDIRECT("xHesaplama!K"&amp;""&amp;ROW(D1068)+70-7*ROUNDDOWN(ROW(D1068)/8,0))</f>
        <v>#N/A</v>
      </c>
    </row>
    <row r="1073" spans="2:9" ht="69" customHeight="1" thickBot="1">
      <c r="B1073" s="256" t="s">
        <v>869</v>
      </c>
      <c r="C1073" s="248"/>
      <c r="D1073" s="656"/>
      <c r="E1073" s="656"/>
      <c r="F1073" s="656"/>
      <c r="G1073" s="656"/>
    </row>
    <row r="1074" spans="2:9" ht="31.5" customHeight="1" thickBot="1">
      <c r="B1074" s="257" t="s">
        <v>870</v>
      </c>
      <c r="C1074" s="248"/>
      <c r="D1074" s="657" t="str">
        <f>'1PROJE'!$E$3</f>
        <v>GÜNEŞ PEN</v>
      </c>
      <c r="E1074" s="658"/>
      <c r="F1074" s="658"/>
      <c r="G1074" s="659"/>
    </row>
    <row r="1075" spans="2:9" ht="31.5" customHeight="1" thickBot="1">
      <c r="B1075" s="257" t="s">
        <v>871</v>
      </c>
      <c r="C1075" s="248"/>
      <c r="D1075" s="644" t="str">
        <f>'1PROJE'!$F$3</f>
        <v>GÜRKAN BEY</v>
      </c>
      <c r="E1075" s="645"/>
      <c r="F1075" s="645"/>
      <c r="G1075" s="646"/>
    </row>
    <row r="1076" spans="2:9" ht="31.5" customHeight="1" thickBot="1">
      <c r="B1076" s="257" t="s">
        <v>356</v>
      </c>
      <c r="C1076" s="248"/>
      <c r="D1076" s="647" t="e" cm="1">
        <f t="array" aca="1" ref="D1076" ca="1">INDIRECT("xHesaplama!I"&amp;""&amp;ROW(D1076)+70-7*ROUNDDOWN(ROW(D1076)/8,0))</f>
        <v>#N/A</v>
      </c>
      <c r="E1076" s="648"/>
      <c r="F1076" s="648"/>
      <c r="G1076" s="649"/>
    </row>
    <row r="1077" spans="2:9" ht="31.5" customHeight="1" thickBot="1">
      <c r="B1077" s="257" t="s">
        <v>342</v>
      </c>
      <c r="C1077" s="248"/>
      <c r="D1077" s="650" t="str">
        <f>$H$1</f>
        <v>KUTU</v>
      </c>
      <c r="E1077" s="651"/>
      <c r="F1077" s="651"/>
      <c r="G1077" s="652"/>
    </row>
    <row r="1078" spans="2:9" ht="31.5" customHeight="1" thickBot="1">
      <c r="B1078" s="257" t="s">
        <v>114</v>
      </c>
      <c r="C1078" s="248"/>
      <c r="D1078" s="653" t="str">
        <f>'1PROJE'!$G$3</f>
        <v>Z 5001</v>
      </c>
      <c r="E1078" s="654"/>
      <c r="F1078" s="654"/>
      <c r="G1078" s="655"/>
      <c r="I1078" s="250"/>
    </row>
    <row r="1079" spans="2:9" ht="31.5" customHeight="1" thickBot="1">
      <c r="B1079" s="257" t="s">
        <v>98</v>
      </c>
      <c r="D1079" s="331" cm="1">
        <f t="array" aca="1" ref="D1079" ca="1">INDIRECT("xHesaplama!H"&amp;""&amp;ROW(D1076)+70-7*ROUNDDOWN(ROW(D1076)/8,0))</f>
        <v>0</v>
      </c>
      <c r="E1079" s="332"/>
      <c r="F1079" s="642" t="e">
        <f ca="1">VLOOKUP(LEFT(D1079,6),$J$2:$K$21,2,0)</f>
        <v>#N/A</v>
      </c>
      <c r="G1079" s="643"/>
    </row>
    <row r="1080" spans="2:9" ht="31.5" customHeight="1" thickBot="1">
      <c r="B1080" s="257" t="s">
        <v>832</v>
      </c>
      <c r="D1080" s="252" t="s">
        <v>359</v>
      </c>
      <c r="E1080" s="253" t="e" cm="1">
        <f t="array" aca="1" ref="E1080" ca="1">INDIRECT("xHesaplama!J"&amp;""&amp;ROW(D1076)+70-7*ROUNDDOWN(ROW(D1076)/8,0))</f>
        <v>#N/A</v>
      </c>
      <c r="F1080" s="254" t="s">
        <v>358</v>
      </c>
      <c r="G1080" s="253" t="e" cm="1">
        <f t="array" aca="1" ref="G1080" ca="1">INDIRECT("xHesaplama!K"&amp;""&amp;ROW(D1076)+70-7*ROUNDDOWN(ROW(D1076)/8,0))</f>
        <v>#N/A</v>
      </c>
    </row>
    <row r="1081" spans="2:9" ht="69" customHeight="1" thickBot="1">
      <c r="B1081" s="256" t="s">
        <v>869</v>
      </c>
      <c r="C1081" s="248"/>
      <c r="D1081" s="656"/>
      <c r="E1081" s="656"/>
      <c r="F1081" s="656"/>
      <c r="G1081" s="656"/>
    </row>
    <row r="1082" spans="2:9" ht="31.5" customHeight="1" thickBot="1">
      <c r="B1082" s="257" t="s">
        <v>870</v>
      </c>
      <c r="C1082" s="248"/>
      <c r="D1082" s="657" t="str">
        <f>'1PROJE'!$E$3</f>
        <v>GÜNEŞ PEN</v>
      </c>
      <c r="E1082" s="658"/>
      <c r="F1082" s="658"/>
      <c r="G1082" s="659"/>
    </row>
    <row r="1083" spans="2:9" ht="31.5" customHeight="1" thickBot="1">
      <c r="B1083" s="257" t="s">
        <v>871</v>
      </c>
      <c r="C1083" s="248"/>
      <c r="D1083" s="644" t="str">
        <f>'1PROJE'!$F$3</f>
        <v>GÜRKAN BEY</v>
      </c>
      <c r="E1083" s="645"/>
      <c r="F1083" s="645"/>
      <c r="G1083" s="646"/>
    </row>
    <row r="1084" spans="2:9" ht="31.5" customHeight="1" thickBot="1">
      <c r="B1084" s="257" t="s">
        <v>356</v>
      </c>
      <c r="C1084" s="248"/>
      <c r="D1084" s="647" t="e" cm="1">
        <f t="array" aca="1" ref="D1084" ca="1">INDIRECT("xHesaplama!I"&amp;""&amp;ROW(D1084)+70-7*ROUNDDOWN(ROW(D1084)/8,0))</f>
        <v>#N/A</v>
      </c>
      <c r="E1084" s="648"/>
      <c r="F1084" s="648"/>
      <c r="G1084" s="649"/>
    </row>
    <row r="1085" spans="2:9" ht="31.5" customHeight="1" thickBot="1">
      <c r="B1085" s="257" t="s">
        <v>342</v>
      </c>
      <c r="C1085" s="248"/>
      <c r="D1085" s="650" t="str">
        <f>$H$1</f>
        <v>KUTU</v>
      </c>
      <c r="E1085" s="651"/>
      <c r="F1085" s="651"/>
      <c r="G1085" s="652"/>
    </row>
    <row r="1086" spans="2:9" ht="31.5" customHeight="1" thickBot="1">
      <c r="B1086" s="257" t="s">
        <v>114</v>
      </c>
      <c r="C1086" s="248"/>
      <c r="D1086" s="653" t="str">
        <f>'1PROJE'!$G$3</f>
        <v>Z 5001</v>
      </c>
      <c r="E1086" s="654"/>
      <c r="F1086" s="654"/>
      <c r="G1086" s="655"/>
      <c r="I1086" s="250"/>
    </row>
    <row r="1087" spans="2:9" ht="31.5" customHeight="1" thickBot="1">
      <c r="B1087" s="257" t="s">
        <v>98</v>
      </c>
      <c r="D1087" s="331" cm="1">
        <f t="array" aca="1" ref="D1087" ca="1">INDIRECT("xHesaplama!H"&amp;""&amp;ROW(D1084)+70-7*ROUNDDOWN(ROW(D1084)/8,0))</f>
        <v>0</v>
      </c>
      <c r="E1087" s="332"/>
      <c r="F1087" s="642" t="e">
        <f ca="1">VLOOKUP(LEFT(D1087,6),$J$2:$K$21,2,0)</f>
        <v>#N/A</v>
      </c>
      <c r="G1087" s="643"/>
    </row>
    <row r="1088" spans="2:9" ht="31.5" customHeight="1" thickBot="1">
      <c r="B1088" s="257" t="s">
        <v>832</v>
      </c>
      <c r="D1088" s="252" t="s">
        <v>359</v>
      </c>
      <c r="E1088" s="253" t="e" cm="1">
        <f t="array" aca="1" ref="E1088" ca="1">INDIRECT("xHesaplama!J"&amp;""&amp;ROW(D1084)+70-7*ROUNDDOWN(ROW(D1084)/8,0))</f>
        <v>#N/A</v>
      </c>
      <c r="F1088" s="254" t="s">
        <v>358</v>
      </c>
      <c r="G1088" s="253" t="e" cm="1">
        <f t="array" aca="1" ref="G1088" ca="1">INDIRECT("xHesaplama!K"&amp;""&amp;ROW(D1084)+70-7*ROUNDDOWN(ROW(D1084)/8,0))</f>
        <v>#N/A</v>
      </c>
    </row>
    <row r="1089" spans="2:9" ht="69" customHeight="1" thickBot="1">
      <c r="B1089" s="256" t="s">
        <v>869</v>
      </c>
      <c r="C1089" s="248"/>
      <c r="D1089" s="656"/>
      <c r="E1089" s="656"/>
      <c r="F1089" s="656"/>
      <c r="G1089" s="656"/>
    </row>
    <row r="1090" spans="2:9" ht="31.5" customHeight="1" thickBot="1">
      <c r="B1090" s="257" t="s">
        <v>870</v>
      </c>
      <c r="C1090" s="248"/>
      <c r="D1090" s="657" t="str">
        <f>'1PROJE'!$E$3</f>
        <v>GÜNEŞ PEN</v>
      </c>
      <c r="E1090" s="658"/>
      <c r="F1090" s="658"/>
      <c r="G1090" s="659"/>
    </row>
    <row r="1091" spans="2:9" ht="31.5" customHeight="1" thickBot="1">
      <c r="B1091" s="257" t="s">
        <v>871</v>
      </c>
      <c r="C1091" s="248"/>
      <c r="D1091" s="644" t="str">
        <f>'1PROJE'!$F$3</f>
        <v>GÜRKAN BEY</v>
      </c>
      <c r="E1091" s="645"/>
      <c r="F1091" s="645"/>
      <c r="G1091" s="646"/>
    </row>
    <row r="1092" spans="2:9" ht="31.5" customHeight="1" thickBot="1">
      <c r="B1092" s="257" t="s">
        <v>356</v>
      </c>
      <c r="C1092" s="248"/>
      <c r="D1092" s="647" t="e" cm="1">
        <f t="array" aca="1" ref="D1092" ca="1">INDIRECT("xHesaplama!I"&amp;""&amp;ROW(D1092)+70-7*ROUNDDOWN(ROW(D1092)/8,0))</f>
        <v>#N/A</v>
      </c>
      <c r="E1092" s="648"/>
      <c r="F1092" s="648"/>
      <c r="G1092" s="649"/>
    </row>
    <row r="1093" spans="2:9" ht="31.5" customHeight="1" thickBot="1">
      <c r="B1093" s="257" t="s">
        <v>342</v>
      </c>
      <c r="C1093" s="248"/>
      <c r="D1093" s="650" t="str">
        <f>$H$1</f>
        <v>KUTU</v>
      </c>
      <c r="E1093" s="651"/>
      <c r="F1093" s="651"/>
      <c r="G1093" s="652"/>
    </row>
    <row r="1094" spans="2:9" ht="31.5" customHeight="1" thickBot="1">
      <c r="B1094" s="257" t="s">
        <v>114</v>
      </c>
      <c r="C1094" s="248"/>
      <c r="D1094" s="653" t="str">
        <f>'1PROJE'!$G$3</f>
        <v>Z 5001</v>
      </c>
      <c r="E1094" s="654"/>
      <c r="F1094" s="654"/>
      <c r="G1094" s="655"/>
      <c r="I1094" s="250"/>
    </row>
    <row r="1095" spans="2:9" ht="31.5" customHeight="1" thickBot="1">
      <c r="B1095" s="257" t="s">
        <v>98</v>
      </c>
      <c r="D1095" s="331" cm="1">
        <f t="array" aca="1" ref="D1095" ca="1">INDIRECT("xHesaplama!H"&amp;""&amp;ROW(D1092)+70-7*ROUNDDOWN(ROW(D1092)/8,0))</f>
        <v>0</v>
      </c>
      <c r="E1095" s="332"/>
      <c r="F1095" s="642" t="e">
        <f ca="1">VLOOKUP(LEFT(D1095,6),$J$2:$K$21,2,0)</f>
        <v>#N/A</v>
      </c>
      <c r="G1095" s="643"/>
    </row>
    <row r="1096" spans="2:9" ht="31.5" customHeight="1" thickBot="1">
      <c r="B1096" s="257" t="s">
        <v>832</v>
      </c>
      <c r="D1096" s="252" t="s">
        <v>359</v>
      </c>
      <c r="E1096" s="253" t="e" cm="1">
        <f t="array" aca="1" ref="E1096" ca="1">INDIRECT("xHesaplama!J"&amp;""&amp;ROW(D1092)+70-7*ROUNDDOWN(ROW(D1092)/8,0))</f>
        <v>#N/A</v>
      </c>
      <c r="F1096" s="254" t="s">
        <v>358</v>
      </c>
      <c r="G1096" s="253" t="e" cm="1">
        <f t="array" aca="1" ref="G1096" ca="1">INDIRECT("xHesaplama!K"&amp;""&amp;ROW(D1092)+70-7*ROUNDDOWN(ROW(D1092)/8,0))</f>
        <v>#N/A</v>
      </c>
    </row>
    <row r="1097" spans="2:9" ht="69" customHeight="1" thickBot="1">
      <c r="B1097" s="256" t="s">
        <v>869</v>
      </c>
      <c r="C1097" s="248"/>
      <c r="D1097" s="656"/>
      <c r="E1097" s="656"/>
      <c r="F1097" s="656"/>
      <c r="G1097" s="656"/>
    </row>
    <row r="1098" spans="2:9" ht="31.5" customHeight="1" thickBot="1">
      <c r="B1098" s="257" t="s">
        <v>870</v>
      </c>
      <c r="C1098" s="248"/>
      <c r="D1098" s="657" t="str">
        <f>'1PROJE'!$E$3</f>
        <v>GÜNEŞ PEN</v>
      </c>
      <c r="E1098" s="658"/>
      <c r="F1098" s="658"/>
      <c r="G1098" s="659"/>
    </row>
    <row r="1099" spans="2:9" ht="31.5" customHeight="1" thickBot="1">
      <c r="B1099" s="257" t="s">
        <v>871</v>
      </c>
      <c r="C1099" s="248"/>
      <c r="D1099" s="644" t="str">
        <f>'1PROJE'!$F$3</f>
        <v>GÜRKAN BEY</v>
      </c>
      <c r="E1099" s="645"/>
      <c r="F1099" s="645"/>
      <c r="G1099" s="646"/>
    </row>
    <row r="1100" spans="2:9" ht="31.5" customHeight="1" thickBot="1">
      <c r="B1100" s="257" t="s">
        <v>356</v>
      </c>
      <c r="C1100" s="248"/>
      <c r="D1100" s="647" t="e" cm="1">
        <f t="array" aca="1" ref="D1100" ca="1">INDIRECT("xHesaplama!I"&amp;""&amp;ROW(D1100)+70-7*ROUNDDOWN(ROW(D1100)/8,0))</f>
        <v>#N/A</v>
      </c>
      <c r="E1100" s="648"/>
      <c r="F1100" s="648"/>
      <c r="G1100" s="649"/>
    </row>
    <row r="1101" spans="2:9" ht="31.5" customHeight="1" thickBot="1">
      <c r="B1101" s="257" t="s">
        <v>342</v>
      </c>
      <c r="C1101" s="248"/>
      <c r="D1101" s="650" t="str">
        <f>$H$1</f>
        <v>KUTU</v>
      </c>
      <c r="E1101" s="651"/>
      <c r="F1101" s="651"/>
      <c r="G1101" s="652"/>
    </row>
    <row r="1102" spans="2:9" ht="31.5" customHeight="1" thickBot="1">
      <c r="B1102" s="257" t="s">
        <v>114</v>
      </c>
      <c r="C1102" s="248"/>
      <c r="D1102" s="653" t="str">
        <f>'1PROJE'!$G$3</f>
        <v>Z 5001</v>
      </c>
      <c r="E1102" s="654"/>
      <c r="F1102" s="654"/>
      <c r="G1102" s="655"/>
      <c r="I1102" s="250"/>
    </row>
    <row r="1103" spans="2:9" ht="31.5" customHeight="1" thickBot="1">
      <c r="B1103" s="257" t="s">
        <v>98</v>
      </c>
      <c r="D1103" s="331" cm="1">
        <f t="array" aca="1" ref="D1103" ca="1">INDIRECT("xHesaplama!H"&amp;""&amp;ROW(D1100)+70-7*ROUNDDOWN(ROW(D1100)/8,0))</f>
        <v>0</v>
      </c>
      <c r="E1103" s="332"/>
      <c r="F1103" s="642" t="e">
        <f ca="1">VLOOKUP(LEFT(D1103,6),$J$2:$K$21,2,0)</f>
        <v>#N/A</v>
      </c>
      <c r="G1103" s="643"/>
    </row>
    <row r="1104" spans="2:9" ht="31.5" customHeight="1" thickBot="1">
      <c r="B1104" s="257" t="s">
        <v>832</v>
      </c>
      <c r="D1104" s="252" t="s">
        <v>359</v>
      </c>
      <c r="E1104" s="253" t="e" cm="1">
        <f t="array" aca="1" ref="E1104" ca="1">INDIRECT("xHesaplama!J"&amp;""&amp;ROW(D1100)+70-7*ROUNDDOWN(ROW(D1100)/8,0))</f>
        <v>#N/A</v>
      </c>
      <c r="F1104" s="254" t="s">
        <v>358</v>
      </c>
      <c r="G1104" s="253" t="e" cm="1">
        <f t="array" aca="1" ref="G1104" ca="1">INDIRECT("xHesaplama!K"&amp;""&amp;ROW(D1100)+70-7*ROUNDDOWN(ROW(D1100)/8,0))</f>
        <v>#N/A</v>
      </c>
    </row>
    <row r="1105" spans="2:9" ht="69" customHeight="1" thickBot="1">
      <c r="B1105" s="256" t="s">
        <v>869</v>
      </c>
      <c r="C1105" s="248"/>
      <c r="D1105" s="656"/>
      <c r="E1105" s="656"/>
      <c r="F1105" s="656"/>
      <c r="G1105" s="656"/>
    </row>
    <row r="1106" spans="2:9" ht="31.5" customHeight="1" thickBot="1">
      <c r="B1106" s="257" t="s">
        <v>870</v>
      </c>
      <c r="C1106" s="248"/>
      <c r="D1106" s="657" t="str">
        <f>'1PROJE'!$E$3</f>
        <v>GÜNEŞ PEN</v>
      </c>
      <c r="E1106" s="658"/>
      <c r="F1106" s="658"/>
      <c r="G1106" s="659"/>
    </row>
    <row r="1107" spans="2:9" ht="31.5" customHeight="1" thickBot="1">
      <c r="B1107" s="257" t="s">
        <v>871</v>
      </c>
      <c r="C1107" s="248"/>
      <c r="D1107" s="644" t="str">
        <f>'1PROJE'!$F$3</f>
        <v>GÜRKAN BEY</v>
      </c>
      <c r="E1107" s="645"/>
      <c r="F1107" s="645"/>
      <c r="G1107" s="646"/>
    </row>
    <row r="1108" spans="2:9" ht="31.5" customHeight="1" thickBot="1">
      <c r="B1108" s="257" t="s">
        <v>356</v>
      </c>
      <c r="C1108" s="248"/>
      <c r="D1108" s="647" t="e" cm="1">
        <f t="array" aca="1" ref="D1108" ca="1">INDIRECT("xHesaplama!I"&amp;""&amp;ROW(D1108)+70-7*ROUNDDOWN(ROW(D1108)/8,0))</f>
        <v>#N/A</v>
      </c>
      <c r="E1108" s="648"/>
      <c r="F1108" s="648"/>
      <c r="G1108" s="649"/>
    </row>
    <row r="1109" spans="2:9" ht="31.5" customHeight="1" thickBot="1">
      <c r="B1109" s="257" t="s">
        <v>342</v>
      </c>
      <c r="C1109" s="248"/>
      <c r="D1109" s="650" t="str">
        <f>$H$1</f>
        <v>KUTU</v>
      </c>
      <c r="E1109" s="651"/>
      <c r="F1109" s="651"/>
      <c r="G1109" s="652"/>
    </row>
    <row r="1110" spans="2:9" ht="31.5" customHeight="1" thickBot="1">
      <c r="B1110" s="257" t="s">
        <v>114</v>
      </c>
      <c r="C1110" s="248"/>
      <c r="D1110" s="653" t="str">
        <f>'1PROJE'!$G$3</f>
        <v>Z 5001</v>
      </c>
      <c r="E1110" s="654"/>
      <c r="F1110" s="654"/>
      <c r="G1110" s="655"/>
      <c r="I1110" s="250"/>
    </row>
    <row r="1111" spans="2:9" ht="31.5" customHeight="1" thickBot="1">
      <c r="B1111" s="257" t="s">
        <v>98</v>
      </c>
      <c r="D1111" s="331" cm="1">
        <f t="array" aca="1" ref="D1111" ca="1">INDIRECT("xHesaplama!H"&amp;""&amp;ROW(D1108)+70-7*ROUNDDOWN(ROW(D1108)/8,0))</f>
        <v>0</v>
      </c>
      <c r="E1111" s="332"/>
      <c r="F1111" s="642" t="e">
        <f ca="1">VLOOKUP(LEFT(D1111,6),$J$2:$K$21,2,0)</f>
        <v>#N/A</v>
      </c>
      <c r="G1111" s="643"/>
    </row>
    <row r="1112" spans="2:9" ht="31.5" customHeight="1" thickBot="1">
      <c r="B1112" s="257" t="s">
        <v>832</v>
      </c>
      <c r="D1112" s="252" t="s">
        <v>359</v>
      </c>
      <c r="E1112" s="253" t="e" cm="1">
        <f t="array" aca="1" ref="E1112" ca="1">INDIRECT("xHesaplama!J"&amp;""&amp;ROW(D1108)+70-7*ROUNDDOWN(ROW(D1108)/8,0))</f>
        <v>#N/A</v>
      </c>
      <c r="F1112" s="254" t="s">
        <v>358</v>
      </c>
      <c r="G1112" s="253" t="e" cm="1">
        <f t="array" aca="1" ref="G1112" ca="1">INDIRECT("xHesaplama!K"&amp;""&amp;ROW(D1108)+70-7*ROUNDDOWN(ROW(D1108)/8,0))</f>
        <v>#N/A</v>
      </c>
    </row>
    <row r="1113" spans="2:9" ht="69" customHeight="1" thickBot="1">
      <c r="B1113" s="256" t="s">
        <v>869</v>
      </c>
      <c r="C1113" s="248"/>
      <c r="D1113" s="656"/>
      <c r="E1113" s="656"/>
      <c r="F1113" s="656"/>
      <c r="G1113" s="656"/>
    </row>
    <row r="1114" spans="2:9" ht="31.5" customHeight="1" thickBot="1">
      <c r="B1114" s="257" t="s">
        <v>870</v>
      </c>
      <c r="C1114" s="248"/>
      <c r="D1114" s="657" t="str">
        <f>'1PROJE'!$E$3</f>
        <v>GÜNEŞ PEN</v>
      </c>
      <c r="E1114" s="658"/>
      <c r="F1114" s="658"/>
      <c r="G1114" s="659"/>
    </row>
    <row r="1115" spans="2:9" ht="31.5" customHeight="1" thickBot="1">
      <c r="B1115" s="257" t="s">
        <v>871</v>
      </c>
      <c r="C1115" s="248"/>
      <c r="D1115" s="644" t="str">
        <f>'1PROJE'!$F$3</f>
        <v>GÜRKAN BEY</v>
      </c>
      <c r="E1115" s="645"/>
      <c r="F1115" s="645"/>
      <c r="G1115" s="646"/>
    </row>
    <row r="1116" spans="2:9" ht="31.5" customHeight="1" thickBot="1">
      <c r="B1116" s="257" t="s">
        <v>356</v>
      </c>
      <c r="C1116" s="248"/>
      <c r="D1116" s="647" t="e" cm="1">
        <f t="array" aca="1" ref="D1116" ca="1">INDIRECT("xHesaplama!I"&amp;""&amp;ROW(D1116)+70-7*ROUNDDOWN(ROW(D1116)/8,0))</f>
        <v>#N/A</v>
      </c>
      <c r="E1116" s="648"/>
      <c r="F1116" s="648"/>
      <c r="G1116" s="649"/>
    </row>
    <row r="1117" spans="2:9" ht="31.5" customHeight="1" thickBot="1">
      <c r="B1117" s="257" t="s">
        <v>342</v>
      </c>
      <c r="C1117" s="248"/>
      <c r="D1117" s="650" t="str">
        <f>$H$1</f>
        <v>KUTU</v>
      </c>
      <c r="E1117" s="651"/>
      <c r="F1117" s="651"/>
      <c r="G1117" s="652"/>
    </row>
    <row r="1118" spans="2:9" ht="31.5" customHeight="1" thickBot="1">
      <c r="B1118" s="257" t="s">
        <v>114</v>
      </c>
      <c r="C1118" s="248"/>
      <c r="D1118" s="653" t="str">
        <f>'1PROJE'!$G$3</f>
        <v>Z 5001</v>
      </c>
      <c r="E1118" s="654"/>
      <c r="F1118" s="654"/>
      <c r="G1118" s="655"/>
      <c r="I1118" s="250"/>
    </row>
    <row r="1119" spans="2:9" ht="31.5" customHeight="1" thickBot="1">
      <c r="B1119" s="257" t="s">
        <v>98</v>
      </c>
      <c r="D1119" s="331" cm="1">
        <f t="array" aca="1" ref="D1119" ca="1">INDIRECT("xHesaplama!H"&amp;""&amp;ROW(D1116)+70-7*ROUNDDOWN(ROW(D1116)/8,0))</f>
        <v>0</v>
      </c>
      <c r="E1119" s="332"/>
      <c r="F1119" s="642" t="e">
        <f ca="1">VLOOKUP(LEFT(D1119,6),$J$2:$K$21,2,0)</f>
        <v>#N/A</v>
      </c>
      <c r="G1119" s="643"/>
    </row>
    <row r="1120" spans="2:9" ht="31.5" customHeight="1" thickBot="1">
      <c r="B1120" s="257" t="s">
        <v>832</v>
      </c>
      <c r="D1120" s="252" t="s">
        <v>359</v>
      </c>
      <c r="E1120" s="253" t="e" cm="1">
        <f t="array" aca="1" ref="E1120" ca="1">INDIRECT("xHesaplama!J"&amp;""&amp;ROW(D1116)+70-7*ROUNDDOWN(ROW(D1116)/8,0))</f>
        <v>#N/A</v>
      </c>
      <c r="F1120" s="254" t="s">
        <v>358</v>
      </c>
      <c r="G1120" s="253" t="e" cm="1">
        <f t="array" aca="1" ref="G1120" ca="1">INDIRECT("xHesaplama!K"&amp;""&amp;ROW(D1116)+70-7*ROUNDDOWN(ROW(D1116)/8,0))</f>
        <v>#N/A</v>
      </c>
    </row>
    <row r="1121" spans="2:9" ht="69" customHeight="1" thickBot="1">
      <c r="B1121" s="256" t="s">
        <v>869</v>
      </c>
      <c r="C1121" s="248"/>
      <c r="D1121" s="656"/>
      <c r="E1121" s="656"/>
      <c r="F1121" s="656"/>
      <c r="G1121" s="656"/>
    </row>
    <row r="1122" spans="2:9" ht="31.5" customHeight="1" thickBot="1">
      <c r="B1122" s="257" t="s">
        <v>870</v>
      </c>
      <c r="C1122" s="248"/>
      <c r="D1122" s="657" t="str">
        <f>'1PROJE'!$E$3</f>
        <v>GÜNEŞ PEN</v>
      </c>
      <c r="E1122" s="658"/>
      <c r="F1122" s="658"/>
      <c r="G1122" s="659"/>
    </row>
    <row r="1123" spans="2:9" ht="31.5" customHeight="1" thickBot="1">
      <c r="B1123" s="257" t="s">
        <v>871</v>
      </c>
      <c r="C1123" s="248"/>
      <c r="D1123" s="644" t="str">
        <f>'1PROJE'!$F$3</f>
        <v>GÜRKAN BEY</v>
      </c>
      <c r="E1123" s="645"/>
      <c r="F1123" s="645"/>
      <c r="G1123" s="646"/>
    </row>
    <row r="1124" spans="2:9" ht="31.5" customHeight="1" thickBot="1">
      <c r="B1124" s="257" t="s">
        <v>356</v>
      </c>
      <c r="C1124" s="248"/>
      <c r="D1124" s="647" t="e" cm="1">
        <f t="array" aca="1" ref="D1124" ca="1">INDIRECT("xHesaplama!I"&amp;""&amp;ROW(D1124)+70-7*ROUNDDOWN(ROW(D1124)/8,0))</f>
        <v>#N/A</v>
      </c>
      <c r="E1124" s="648"/>
      <c r="F1124" s="648"/>
      <c r="G1124" s="649"/>
    </row>
    <row r="1125" spans="2:9" ht="31.5" customHeight="1" thickBot="1">
      <c r="B1125" s="257" t="s">
        <v>342</v>
      </c>
      <c r="C1125" s="248"/>
      <c r="D1125" s="650" t="str">
        <f>$H$1</f>
        <v>KUTU</v>
      </c>
      <c r="E1125" s="651"/>
      <c r="F1125" s="651"/>
      <c r="G1125" s="652"/>
    </row>
    <row r="1126" spans="2:9" ht="31.5" customHeight="1" thickBot="1">
      <c r="B1126" s="257" t="s">
        <v>114</v>
      </c>
      <c r="C1126" s="248"/>
      <c r="D1126" s="653" t="str">
        <f>'1PROJE'!$G$3</f>
        <v>Z 5001</v>
      </c>
      <c r="E1126" s="654"/>
      <c r="F1126" s="654"/>
      <c r="G1126" s="655"/>
      <c r="I1126" s="250"/>
    </row>
    <row r="1127" spans="2:9" ht="31.5" customHeight="1" thickBot="1">
      <c r="B1127" s="257" t="s">
        <v>98</v>
      </c>
      <c r="D1127" s="331" cm="1">
        <f t="array" aca="1" ref="D1127" ca="1">INDIRECT("xHesaplama!H"&amp;""&amp;ROW(D1124)+70-7*ROUNDDOWN(ROW(D1124)/8,0))</f>
        <v>0</v>
      </c>
      <c r="E1127" s="332"/>
      <c r="F1127" s="642" t="e">
        <f ca="1">VLOOKUP(LEFT(D1127,6),$J$2:$K$21,2,0)</f>
        <v>#N/A</v>
      </c>
      <c r="G1127" s="643"/>
    </row>
    <row r="1128" spans="2:9" ht="31.5" customHeight="1" thickBot="1">
      <c r="B1128" s="257" t="s">
        <v>832</v>
      </c>
      <c r="D1128" s="252" t="s">
        <v>359</v>
      </c>
      <c r="E1128" s="253" t="e" cm="1">
        <f t="array" aca="1" ref="E1128" ca="1">INDIRECT("xHesaplama!J"&amp;""&amp;ROW(D1124)+70-7*ROUNDDOWN(ROW(D1124)/8,0))</f>
        <v>#N/A</v>
      </c>
      <c r="F1128" s="254" t="s">
        <v>358</v>
      </c>
      <c r="G1128" s="253" t="e" cm="1">
        <f t="array" aca="1" ref="G1128" ca="1">INDIRECT("xHesaplama!K"&amp;""&amp;ROW(D1124)+70-7*ROUNDDOWN(ROW(D1124)/8,0))</f>
        <v>#N/A</v>
      </c>
    </row>
    <row r="1129" spans="2:9" ht="69" customHeight="1" thickBot="1">
      <c r="B1129" s="256" t="s">
        <v>869</v>
      </c>
      <c r="C1129" s="248"/>
      <c r="D1129" s="656"/>
      <c r="E1129" s="656"/>
      <c r="F1129" s="656"/>
      <c r="G1129" s="656"/>
    </row>
    <row r="1130" spans="2:9" ht="31.5" customHeight="1" thickBot="1">
      <c r="B1130" s="257" t="s">
        <v>870</v>
      </c>
      <c r="C1130" s="248"/>
      <c r="D1130" s="657" t="str">
        <f>'1PROJE'!$E$3</f>
        <v>GÜNEŞ PEN</v>
      </c>
      <c r="E1130" s="658"/>
      <c r="F1130" s="658"/>
      <c r="G1130" s="659"/>
    </row>
    <row r="1131" spans="2:9" ht="31.5" customHeight="1" thickBot="1">
      <c r="B1131" s="257" t="s">
        <v>871</v>
      </c>
      <c r="C1131" s="248"/>
      <c r="D1131" s="644" t="str">
        <f>'1PROJE'!$F$3</f>
        <v>GÜRKAN BEY</v>
      </c>
      <c r="E1131" s="645"/>
      <c r="F1131" s="645"/>
      <c r="G1131" s="646"/>
    </row>
    <row r="1132" spans="2:9" ht="31.5" customHeight="1" thickBot="1">
      <c r="B1132" s="257" t="s">
        <v>356</v>
      </c>
      <c r="C1132" s="248"/>
      <c r="D1132" s="647" t="e" cm="1">
        <f t="array" aca="1" ref="D1132" ca="1">INDIRECT("xHesaplama!I"&amp;""&amp;ROW(D1132)+70-7*ROUNDDOWN(ROW(D1132)/8,0))</f>
        <v>#N/A</v>
      </c>
      <c r="E1132" s="648"/>
      <c r="F1132" s="648"/>
      <c r="G1132" s="649"/>
    </row>
    <row r="1133" spans="2:9" ht="31.5" customHeight="1" thickBot="1">
      <c r="B1133" s="257" t="s">
        <v>342</v>
      </c>
      <c r="C1133" s="248"/>
      <c r="D1133" s="650" t="str">
        <f>$H$1</f>
        <v>KUTU</v>
      </c>
      <c r="E1133" s="651"/>
      <c r="F1133" s="651"/>
      <c r="G1133" s="652"/>
    </row>
    <row r="1134" spans="2:9" ht="31.5" customHeight="1" thickBot="1">
      <c r="B1134" s="257" t="s">
        <v>114</v>
      </c>
      <c r="C1134" s="248"/>
      <c r="D1134" s="653" t="str">
        <f>'1PROJE'!$G$3</f>
        <v>Z 5001</v>
      </c>
      <c r="E1134" s="654"/>
      <c r="F1134" s="654"/>
      <c r="G1134" s="655"/>
      <c r="I1134" s="250"/>
    </row>
    <row r="1135" spans="2:9" ht="31.5" customHeight="1" thickBot="1">
      <c r="B1135" s="257" t="s">
        <v>98</v>
      </c>
      <c r="D1135" s="331" cm="1">
        <f t="array" aca="1" ref="D1135" ca="1">INDIRECT("xHesaplama!H"&amp;""&amp;ROW(D1132)+70-7*ROUNDDOWN(ROW(D1132)/8,0))</f>
        <v>0</v>
      </c>
      <c r="E1135" s="332"/>
      <c r="F1135" s="642" t="e">
        <f ca="1">VLOOKUP(LEFT(D1135,6),$J$2:$K$21,2,0)</f>
        <v>#N/A</v>
      </c>
      <c r="G1135" s="643"/>
    </row>
    <row r="1136" spans="2:9" ht="31.5" customHeight="1" thickBot="1">
      <c r="B1136" s="257" t="s">
        <v>832</v>
      </c>
      <c r="D1136" s="252" t="s">
        <v>359</v>
      </c>
      <c r="E1136" s="253" t="e" cm="1">
        <f t="array" aca="1" ref="E1136" ca="1">INDIRECT("xHesaplama!J"&amp;""&amp;ROW(D1132)+70-7*ROUNDDOWN(ROW(D1132)/8,0))</f>
        <v>#N/A</v>
      </c>
      <c r="F1136" s="254" t="s">
        <v>358</v>
      </c>
      <c r="G1136" s="253" t="e" cm="1">
        <f t="array" aca="1" ref="G1136" ca="1">INDIRECT("xHesaplama!K"&amp;""&amp;ROW(D1132)+70-7*ROUNDDOWN(ROW(D1132)/8,0))</f>
        <v>#N/A</v>
      </c>
    </row>
    <row r="1137" spans="2:9" ht="69" customHeight="1" thickBot="1">
      <c r="B1137" s="256" t="s">
        <v>869</v>
      </c>
      <c r="C1137" s="248"/>
      <c r="D1137" s="656"/>
      <c r="E1137" s="656"/>
      <c r="F1137" s="656"/>
      <c r="G1137" s="656"/>
    </row>
    <row r="1138" spans="2:9" ht="31.5" customHeight="1" thickBot="1">
      <c r="B1138" s="257" t="s">
        <v>870</v>
      </c>
      <c r="C1138" s="248"/>
      <c r="D1138" s="657" t="str">
        <f>'1PROJE'!$E$3</f>
        <v>GÜNEŞ PEN</v>
      </c>
      <c r="E1138" s="658"/>
      <c r="F1138" s="658"/>
      <c r="G1138" s="659"/>
    </row>
    <row r="1139" spans="2:9" ht="31.5" customHeight="1" thickBot="1">
      <c r="B1139" s="257" t="s">
        <v>871</v>
      </c>
      <c r="C1139" s="248"/>
      <c r="D1139" s="644" t="str">
        <f>'1PROJE'!$F$3</f>
        <v>GÜRKAN BEY</v>
      </c>
      <c r="E1139" s="645"/>
      <c r="F1139" s="645"/>
      <c r="G1139" s="646"/>
    </row>
    <row r="1140" spans="2:9" ht="31.5" customHeight="1" thickBot="1">
      <c r="B1140" s="257" t="s">
        <v>356</v>
      </c>
      <c r="C1140" s="248"/>
      <c r="D1140" s="647" t="e" cm="1">
        <f t="array" aca="1" ref="D1140" ca="1">INDIRECT("xHesaplama!I"&amp;""&amp;ROW(D1140)+70-7*ROUNDDOWN(ROW(D1140)/8,0))</f>
        <v>#N/A</v>
      </c>
      <c r="E1140" s="648"/>
      <c r="F1140" s="648"/>
      <c r="G1140" s="649"/>
    </row>
    <row r="1141" spans="2:9" ht="31.5" customHeight="1" thickBot="1">
      <c r="B1141" s="257" t="s">
        <v>342</v>
      </c>
      <c r="C1141" s="248"/>
      <c r="D1141" s="650" t="str">
        <f>$H$1</f>
        <v>KUTU</v>
      </c>
      <c r="E1141" s="651"/>
      <c r="F1141" s="651"/>
      <c r="G1141" s="652"/>
    </row>
    <row r="1142" spans="2:9" ht="31.5" customHeight="1" thickBot="1">
      <c r="B1142" s="257" t="s">
        <v>114</v>
      </c>
      <c r="C1142" s="248"/>
      <c r="D1142" s="653" t="str">
        <f>'1PROJE'!$G$3</f>
        <v>Z 5001</v>
      </c>
      <c r="E1142" s="654"/>
      <c r="F1142" s="654"/>
      <c r="G1142" s="655"/>
      <c r="I1142" s="250"/>
    </row>
    <row r="1143" spans="2:9" ht="31.5" customHeight="1" thickBot="1">
      <c r="B1143" s="257" t="s">
        <v>98</v>
      </c>
      <c r="D1143" s="331" cm="1">
        <f t="array" aca="1" ref="D1143" ca="1">INDIRECT("xHesaplama!H"&amp;""&amp;ROW(D1140)+70-7*ROUNDDOWN(ROW(D1140)/8,0))</f>
        <v>0</v>
      </c>
      <c r="E1143" s="332"/>
      <c r="F1143" s="642" t="e">
        <f ca="1">VLOOKUP(LEFT(D1143,6),$J$2:$K$21,2,0)</f>
        <v>#N/A</v>
      </c>
      <c r="G1143" s="643"/>
    </row>
    <row r="1144" spans="2:9" ht="31.5" customHeight="1" thickBot="1">
      <c r="B1144" s="257" t="s">
        <v>832</v>
      </c>
      <c r="D1144" s="252" t="s">
        <v>359</v>
      </c>
      <c r="E1144" s="253" t="e" cm="1">
        <f t="array" aca="1" ref="E1144" ca="1">INDIRECT("xHesaplama!J"&amp;""&amp;ROW(D1140)+70-7*ROUNDDOWN(ROW(D1140)/8,0))</f>
        <v>#N/A</v>
      </c>
      <c r="F1144" s="254" t="s">
        <v>358</v>
      </c>
      <c r="G1144" s="253" t="e" cm="1">
        <f t="array" aca="1" ref="G1144" ca="1">INDIRECT("xHesaplama!K"&amp;""&amp;ROW(D1140)+70-7*ROUNDDOWN(ROW(D1140)/8,0))</f>
        <v>#N/A</v>
      </c>
    </row>
    <row r="1145" spans="2:9" ht="69" customHeight="1" thickBot="1">
      <c r="B1145" s="256" t="s">
        <v>869</v>
      </c>
      <c r="C1145" s="248"/>
      <c r="D1145" s="656"/>
      <c r="E1145" s="656"/>
      <c r="F1145" s="656"/>
      <c r="G1145" s="656"/>
    </row>
    <row r="1146" spans="2:9" ht="31.5" customHeight="1" thickBot="1">
      <c r="B1146" s="257" t="s">
        <v>870</v>
      </c>
      <c r="C1146" s="248"/>
      <c r="D1146" s="657" t="str">
        <f>'1PROJE'!$E$3</f>
        <v>GÜNEŞ PEN</v>
      </c>
      <c r="E1146" s="658"/>
      <c r="F1146" s="658"/>
      <c r="G1146" s="659"/>
    </row>
    <row r="1147" spans="2:9" ht="31.5" customHeight="1" thickBot="1">
      <c r="B1147" s="257" t="s">
        <v>871</v>
      </c>
      <c r="C1147" s="248"/>
      <c r="D1147" s="644" t="str">
        <f>'1PROJE'!$F$3</f>
        <v>GÜRKAN BEY</v>
      </c>
      <c r="E1147" s="645"/>
      <c r="F1147" s="645"/>
      <c r="G1147" s="646"/>
    </row>
    <row r="1148" spans="2:9" ht="31.5" customHeight="1" thickBot="1">
      <c r="B1148" s="257" t="s">
        <v>356</v>
      </c>
      <c r="C1148" s="248"/>
      <c r="D1148" s="647" t="e" cm="1">
        <f t="array" aca="1" ref="D1148" ca="1">INDIRECT("xHesaplama!I"&amp;""&amp;ROW(D1148)+70-7*ROUNDDOWN(ROW(D1148)/8,0))</f>
        <v>#N/A</v>
      </c>
      <c r="E1148" s="648"/>
      <c r="F1148" s="648"/>
      <c r="G1148" s="649"/>
    </row>
    <row r="1149" spans="2:9" ht="31.5" customHeight="1" thickBot="1">
      <c r="B1149" s="257" t="s">
        <v>342</v>
      </c>
      <c r="C1149" s="248"/>
      <c r="D1149" s="650" t="str">
        <f>$H$1</f>
        <v>KUTU</v>
      </c>
      <c r="E1149" s="651"/>
      <c r="F1149" s="651"/>
      <c r="G1149" s="652"/>
    </row>
    <row r="1150" spans="2:9" ht="31.5" customHeight="1" thickBot="1">
      <c r="B1150" s="257" t="s">
        <v>114</v>
      </c>
      <c r="C1150" s="248"/>
      <c r="D1150" s="653" t="str">
        <f>'1PROJE'!$G$3</f>
        <v>Z 5001</v>
      </c>
      <c r="E1150" s="654"/>
      <c r="F1150" s="654"/>
      <c r="G1150" s="655"/>
      <c r="I1150" s="250"/>
    </row>
    <row r="1151" spans="2:9" ht="31.5" customHeight="1" thickBot="1">
      <c r="B1151" s="257" t="s">
        <v>98</v>
      </c>
      <c r="D1151" s="331" cm="1">
        <f t="array" aca="1" ref="D1151" ca="1">INDIRECT("xHesaplama!H"&amp;""&amp;ROW(D1148)+70-7*ROUNDDOWN(ROW(D1148)/8,0))</f>
        <v>0</v>
      </c>
      <c r="E1151" s="332"/>
      <c r="F1151" s="642" t="e">
        <f ca="1">VLOOKUP(LEFT(D1151,6),$J$2:$K$21,2,0)</f>
        <v>#N/A</v>
      </c>
      <c r="G1151" s="643"/>
    </row>
    <row r="1152" spans="2:9" ht="31.5" customHeight="1" thickBot="1">
      <c r="B1152" s="257" t="s">
        <v>832</v>
      </c>
      <c r="D1152" s="252" t="s">
        <v>359</v>
      </c>
      <c r="E1152" s="253" t="e" cm="1">
        <f t="array" aca="1" ref="E1152" ca="1">INDIRECT("xHesaplama!J"&amp;""&amp;ROW(D1148)+70-7*ROUNDDOWN(ROW(D1148)/8,0))</f>
        <v>#N/A</v>
      </c>
      <c r="F1152" s="254" t="s">
        <v>358</v>
      </c>
      <c r="G1152" s="253" t="e" cm="1">
        <f t="array" aca="1" ref="G1152" ca="1">INDIRECT("xHesaplama!K"&amp;""&amp;ROW(D1148)+70-7*ROUNDDOWN(ROW(D1148)/8,0))</f>
        <v>#N/A</v>
      </c>
    </row>
    <row r="1153" spans="2:9" ht="69" customHeight="1" thickBot="1">
      <c r="B1153" s="256" t="s">
        <v>869</v>
      </c>
      <c r="C1153" s="248"/>
      <c r="D1153" s="656"/>
      <c r="E1153" s="656"/>
      <c r="F1153" s="656"/>
      <c r="G1153" s="656"/>
    </row>
    <row r="1154" spans="2:9" ht="31.5" customHeight="1" thickBot="1">
      <c r="B1154" s="257" t="s">
        <v>870</v>
      </c>
      <c r="C1154" s="248"/>
      <c r="D1154" s="657" t="str">
        <f>'1PROJE'!$E$3</f>
        <v>GÜNEŞ PEN</v>
      </c>
      <c r="E1154" s="658"/>
      <c r="F1154" s="658"/>
      <c r="G1154" s="659"/>
    </row>
    <row r="1155" spans="2:9" ht="31.5" customHeight="1" thickBot="1">
      <c r="B1155" s="257" t="s">
        <v>871</v>
      </c>
      <c r="C1155" s="248"/>
      <c r="D1155" s="644" t="str">
        <f>'1PROJE'!$F$3</f>
        <v>GÜRKAN BEY</v>
      </c>
      <c r="E1155" s="645"/>
      <c r="F1155" s="645"/>
      <c r="G1155" s="646"/>
    </row>
    <row r="1156" spans="2:9" ht="31.5" customHeight="1" thickBot="1">
      <c r="B1156" s="257" t="s">
        <v>356</v>
      </c>
      <c r="C1156" s="248"/>
      <c r="D1156" s="647" t="e" cm="1">
        <f t="array" aca="1" ref="D1156" ca="1">INDIRECT("xHesaplama!I"&amp;""&amp;ROW(D1156)+70-7*ROUNDDOWN(ROW(D1156)/8,0))</f>
        <v>#N/A</v>
      </c>
      <c r="E1156" s="648"/>
      <c r="F1156" s="648"/>
      <c r="G1156" s="649"/>
    </row>
    <row r="1157" spans="2:9" ht="31.5" customHeight="1" thickBot="1">
      <c r="B1157" s="257" t="s">
        <v>342</v>
      </c>
      <c r="C1157" s="248"/>
      <c r="D1157" s="650" t="str">
        <f>$H$1</f>
        <v>KUTU</v>
      </c>
      <c r="E1157" s="651"/>
      <c r="F1157" s="651"/>
      <c r="G1157" s="652"/>
    </row>
    <row r="1158" spans="2:9" ht="31.5" customHeight="1" thickBot="1">
      <c r="B1158" s="257" t="s">
        <v>114</v>
      </c>
      <c r="C1158" s="248"/>
      <c r="D1158" s="653" t="str">
        <f>'1PROJE'!$G$3</f>
        <v>Z 5001</v>
      </c>
      <c r="E1158" s="654"/>
      <c r="F1158" s="654"/>
      <c r="G1158" s="655"/>
      <c r="I1158" s="250"/>
    </row>
    <row r="1159" spans="2:9" ht="31.5" customHeight="1" thickBot="1">
      <c r="B1159" s="257" t="s">
        <v>98</v>
      </c>
      <c r="D1159" s="331" cm="1">
        <f t="array" aca="1" ref="D1159" ca="1">INDIRECT("xHesaplama!H"&amp;""&amp;ROW(D1156)+70-7*ROUNDDOWN(ROW(D1156)/8,0))</f>
        <v>0</v>
      </c>
      <c r="E1159" s="332"/>
      <c r="F1159" s="642" t="e">
        <f ca="1">VLOOKUP(LEFT(D1159,6),$J$2:$K$21,2,0)</f>
        <v>#N/A</v>
      </c>
      <c r="G1159" s="643"/>
    </row>
    <row r="1160" spans="2:9" ht="31.5" customHeight="1" thickBot="1">
      <c r="B1160" s="257" t="s">
        <v>832</v>
      </c>
      <c r="D1160" s="252" t="s">
        <v>359</v>
      </c>
      <c r="E1160" s="253" t="e" cm="1">
        <f t="array" aca="1" ref="E1160" ca="1">INDIRECT("xHesaplama!J"&amp;""&amp;ROW(D1156)+70-7*ROUNDDOWN(ROW(D1156)/8,0))</f>
        <v>#N/A</v>
      </c>
      <c r="F1160" s="254" t="s">
        <v>358</v>
      </c>
      <c r="G1160" s="253" t="e" cm="1">
        <f t="array" aca="1" ref="G1160" ca="1">INDIRECT("xHesaplama!K"&amp;""&amp;ROW(D1156)+70-7*ROUNDDOWN(ROW(D1156)/8,0))</f>
        <v>#N/A</v>
      </c>
    </row>
    <row r="1161" spans="2:9" ht="69" customHeight="1" thickBot="1">
      <c r="B1161" s="256" t="s">
        <v>869</v>
      </c>
      <c r="C1161" s="248"/>
      <c r="D1161" s="656"/>
      <c r="E1161" s="656"/>
      <c r="F1161" s="656"/>
      <c r="G1161" s="656"/>
    </row>
    <row r="1162" spans="2:9" ht="31.5" customHeight="1" thickBot="1">
      <c r="B1162" s="257" t="s">
        <v>870</v>
      </c>
      <c r="C1162" s="248"/>
      <c r="D1162" s="657" t="str">
        <f>'1PROJE'!$E$3</f>
        <v>GÜNEŞ PEN</v>
      </c>
      <c r="E1162" s="658"/>
      <c r="F1162" s="658"/>
      <c r="G1162" s="659"/>
    </row>
    <row r="1163" spans="2:9" ht="31.5" customHeight="1" thickBot="1">
      <c r="B1163" s="257" t="s">
        <v>871</v>
      </c>
      <c r="C1163" s="248"/>
      <c r="D1163" s="644" t="str">
        <f>'1PROJE'!$F$3</f>
        <v>GÜRKAN BEY</v>
      </c>
      <c r="E1163" s="645"/>
      <c r="F1163" s="645"/>
      <c r="G1163" s="646"/>
    </row>
    <row r="1164" spans="2:9" ht="31.5" customHeight="1" thickBot="1">
      <c r="B1164" s="257" t="s">
        <v>356</v>
      </c>
      <c r="C1164" s="248"/>
      <c r="D1164" s="647" t="e" cm="1">
        <f t="array" aca="1" ref="D1164" ca="1">INDIRECT("xHesaplama!I"&amp;""&amp;ROW(D1164)+70-7*ROUNDDOWN(ROW(D1164)/8,0))</f>
        <v>#N/A</v>
      </c>
      <c r="E1164" s="648"/>
      <c r="F1164" s="648"/>
      <c r="G1164" s="649"/>
    </row>
    <row r="1165" spans="2:9" ht="31.5" customHeight="1" thickBot="1">
      <c r="B1165" s="257" t="s">
        <v>342</v>
      </c>
      <c r="C1165" s="248"/>
      <c r="D1165" s="650" t="str">
        <f>$H$1</f>
        <v>KUTU</v>
      </c>
      <c r="E1165" s="651"/>
      <c r="F1165" s="651"/>
      <c r="G1165" s="652"/>
    </row>
    <row r="1166" spans="2:9" ht="31.5" customHeight="1" thickBot="1">
      <c r="B1166" s="257" t="s">
        <v>114</v>
      </c>
      <c r="C1166" s="248"/>
      <c r="D1166" s="653" t="str">
        <f>'1PROJE'!$G$3</f>
        <v>Z 5001</v>
      </c>
      <c r="E1166" s="654"/>
      <c r="F1166" s="654"/>
      <c r="G1166" s="655"/>
      <c r="I1166" s="250"/>
    </row>
    <row r="1167" spans="2:9" ht="31.5" customHeight="1" thickBot="1">
      <c r="B1167" s="257" t="s">
        <v>98</v>
      </c>
      <c r="D1167" s="331" cm="1">
        <f t="array" aca="1" ref="D1167" ca="1">INDIRECT("xHesaplama!H"&amp;""&amp;ROW(D1164)+70-7*ROUNDDOWN(ROW(D1164)/8,0))</f>
        <v>0</v>
      </c>
      <c r="E1167" s="332"/>
      <c r="F1167" s="642" t="e">
        <f ca="1">VLOOKUP(LEFT(D1167,6),$J$2:$K$21,2,0)</f>
        <v>#N/A</v>
      </c>
      <c r="G1167" s="643"/>
    </row>
    <row r="1168" spans="2:9" ht="31.5" customHeight="1" thickBot="1">
      <c r="B1168" s="257" t="s">
        <v>832</v>
      </c>
      <c r="D1168" s="252" t="s">
        <v>359</v>
      </c>
      <c r="E1168" s="253" t="e" cm="1">
        <f t="array" aca="1" ref="E1168" ca="1">INDIRECT("xHesaplama!J"&amp;""&amp;ROW(D1164)+70-7*ROUNDDOWN(ROW(D1164)/8,0))</f>
        <v>#N/A</v>
      </c>
      <c r="F1168" s="254" t="s">
        <v>358</v>
      </c>
      <c r="G1168" s="253" t="e" cm="1">
        <f t="array" aca="1" ref="G1168" ca="1">INDIRECT("xHesaplama!K"&amp;""&amp;ROW(D1164)+70-7*ROUNDDOWN(ROW(D1164)/8,0))</f>
        <v>#N/A</v>
      </c>
    </row>
    <row r="1169" spans="2:9" ht="69" customHeight="1" thickBot="1">
      <c r="B1169" s="256" t="s">
        <v>869</v>
      </c>
      <c r="C1169" s="248"/>
      <c r="D1169" s="656"/>
      <c r="E1169" s="656"/>
      <c r="F1169" s="656"/>
      <c r="G1169" s="656"/>
    </row>
    <row r="1170" spans="2:9" ht="31.5" customHeight="1" thickBot="1">
      <c r="B1170" s="257" t="s">
        <v>870</v>
      </c>
      <c r="C1170" s="248"/>
      <c r="D1170" s="657" t="str">
        <f>'1PROJE'!$E$3</f>
        <v>GÜNEŞ PEN</v>
      </c>
      <c r="E1170" s="658"/>
      <c r="F1170" s="658"/>
      <c r="G1170" s="659"/>
    </row>
    <row r="1171" spans="2:9" ht="31.5" customHeight="1" thickBot="1">
      <c r="B1171" s="257" t="s">
        <v>871</v>
      </c>
      <c r="C1171" s="248"/>
      <c r="D1171" s="644" t="str">
        <f>'1PROJE'!$F$3</f>
        <v>GÜRKAN BEY</v>
      </c>
      <c r="E1171" s="645"/>
      <c r="F1171" s="645"/>
      <c r="G1171" s="646"/>
    </row>
    <row r="1172" spans="2:9" ht="31.5" customHeight="1" thickBot="1">
      <c r="B1172" s="257" t="s">
        <v>356</v>
      </c>
      <c r="C1172" s="248"/>
      <c r="D1172" s="647" t="e" cm="1">
        <f t="array" aca="1" ref="D1172" ca="1">INDIRECT("xHesaplama!I"&amp;""&amp;ROW(D1172)+70-7*ROUNDDOWN(ROW(D1172)/8,0))</f>
        <v>#N/A</v>
      </c>
      <c r="E1172" s="648"/>
      <c r="F1172" s="648"/>
      <c r="G1172" s="649"/>
    </row>
    <row r="1173" spans="2:9" ht="31.5" customHeight="1" thickBot="1">
      <c r="B1173" s="257" t="s">
        <v>342</v>
      </c>
      <c r="C1173" s="248"/>
      <c r="D1173" s="650" t="str">
        <f>$H$1</f>
        <v>KUTU</v>
      </c>
      <c r="E1173" s="651"/>
      <c r="F1173" s="651"/>
      <c r="G1173" s="652"/>
    </row>
    <row r="1174" spans="2:9" ht="31.5" customHeight="1" thickBot="1">
      <c r="B1174" s="257" t="s">
        <v>114</v>
      </c>
      <c r="C1174" s="248"/>
      <c r="D1174" s="653" t="str">
        <f>'1PROJE'!$G$3</f>
        <v>Z 5001</v>
      </c>
      <c r="E1174" s="654"/>
      <c r="F1174" s="654"/>
      <c r="G1174" s="655"/>
      <c r="I1174" s="250"/>
    </row>
    <row r="1175" spans="2:9" ht="31.5" customHeight="1" thickBot="1">
      <c r="B1175" s="257" t="s">
        <v>98</v>
      </c>
      <c r="D1175" s="331" cm="1">
        <f t="array" aca="1" ref="D1175" ca="1">INDIRECT("xHesaplama!H"&amp;""&amp;ROW(D1172)+70-7*ROUNDDOWN(ROW(D1172)/8,0))</f>
        <v>0</v>
      </c>
      <c r="E1175" s="332"/>
      <c r="F1175" s="642" t="e">
        <f ca="1">VLOOKUP(LEFT(D1175,6),$J$2:$K$21,2,0)</f>
        <v>#N/A</v>
      </c>
      <c r="G1175" s="643"/>
    </row>
    <row r="1176" spans="2:9" ht="31.5" customHeight="1" thickBot="1">
      <c r="B1176" s="257" t="s">
        <v>832</v>
      </c>
      <c r="D1176" s="252" t="s">
        <v>359</v>
      </c>
      <c r="E1176" s="253" t="e" cm="1">
        <f t="array" aca="1" ref="E1176" ca="1">INDIRECT("xHesaplama!J"&amp;""&amp;ROW(D1172)+70-7*ROUNDDOWN(ROW(D1172)/8,0))</f>
        <v>#N/A</v>
      </c>
      <c r="F1176" s="254" t="s">
        <v>358</v>
      </c>
      <c r="G1176" s="253" t="e" cm="1">
        <f t="array" aca="1" ref="G1176" ca="1">INDIRECT("xHesaplama!K"&amp;""&amp;ROW(D1172)+70-7*ROUNDDOWN(ROW(D1172)/8,0))</f>
        <v>#N/A</v>
      </c>
    </row>
    <row r="1177" spans="2:9" ht="69" customHeight="1" thickBot="1">
      <c r="B1177" s="256" t="s">
        <v>869</v>
      </c>
      <c r="C1177" s="248"/>
      <c r="D1177" s="656"/>
      <c r="E1177" s="656"/>
      <c r="F1177" s="656"/>
      <c r="G1177" s="656"/>
    </row>
    <row r="1178" spans="2:9" ht="31.5" customHeight="1" thickBot="1">
      <c r="B1178" s="257" t="s">
        <v>870</v>
      </c>
      <c r="C1178" s="248"/>
      <c r="D1178" s="657" t="str">
        <f>'1PROJE'!$E$3</f>
        <v>GÜNEŞ PEN</v>
      </c>
      <c r="E1178" s="658"/>
      <c r="F1178" s="658"/>
      <c r="G1178" s="659"/>
    </row>
    <row r="1179" spans="2:9" ht="31.5" customHeight="1" thickBot="1">
      <c r="B1179" s="257" t="s">
        <v>871</v>
      </c>
      <c r="C1179" s="248"/>
      <c r="D1179" s="644" t="str">
        <f>'1PROJE'!$F$3</f>
        <v>GÜRKAN BEY</v>
      </c>
      <c r="E1179" s="645"/>
      <c r="F1179" s="645"/>
      <c r="G1179" s="646"/>
    </row>
    <row r="1180" spans="2:9" ht="31.5" customHeight="1" thickBot="1">
      <c r="B1180" s="257" t="s">
        <v>356</v>
      </c>
      <c r="C1180" s="248"/>
      <c r="D1180" s="647" t="e" cm="1">
        <f t="array" aca="1" ref="D1180" ca="1">INDIRECT("xHesaplama!I"&amp;""&amp;ROW(D1180)+70-7*ROUNDDOWN(ROW(D1180)/8,0))</f>
        <v>#N/A</v>
      </c>
      <c r="E1180" s="648"/>
      <c r="F1180" s="648"/>
      <c r="G1180" s="649"/>
    </row>
    <row r="1181" spans="2:9" ht="31.5" customHeight="1" thickBot="1">
      <c r="B1181" s="257" t="s">
        <v>342</v>
      </c>
      <c r="C1181" s="248"/>
      <c r="D1181" s="650" t="str">
        <f>$H$1</f>
        <v>KUTU</v>
      </c>
      <c r="E1181" s="651"/>
      <c r="F1181" s="651"/>
      <c r="G1181" s="652"/>
    </row>
    <row r="1182" spans="2:9" ht="31.5" customHeight="1" thickBot="1">
      <c r="B1182" s="257" t="s">
        <v>114</v>
      </c>
      <c r="C1182" s="248"/>
      <c r="D1182" s="653" t="str">
        <f>'1PROJE'!$G$3</f>
        <v>Z 5001</v>
      </c>
      <c r="E1182" s="654"/>
      <c r="F1182" s="654"/>
      <c r="G1182" s="655"/>
      <c r="I1182" s="250"/>
    </row>
    <row r="1183" spans="2:9" ht="31.5" customHeight="1" thickBot="1">
      <c r="B1183" s="257" t="s">
        <v>98</v>
      </c>
      <c r="D1183" s="331" cm="1">
        <f t="array" aca="1" ref="D1183" ca="1">INDIRECT("xHesaplama!H"&amp;""&amp;ROW(D1180)+70-7*ROUNDDOWN(ROW(D1180)/8,0))</f>
        <v>0</v>
      </c>
      <c r="E1183" s="332"/>
      <c r="F1183" s="642" t="e">
        <f ca="1">VLOOKUP(LEFT(D1183,6),$J$2:$K$21,2,0)</f>
        <v>#N/A</v>
      </c>
      <c r="G1183" s="643"/>
    </row>
    <row r="1184" spans="2:9" ht="31.5" customHeight="1" thickBot="1">
      <c r="B1184" s="257" t="s">
        <v>832</v>
      </c>
      <c r="D1184" s="252" t="s">
        <v>359</v>
      </c>
      <c r="E1184" s="253" t="e" cm="1">
        <f t="array" aca="1" ref="E1184" ca="1">INDIRECT("xHesaplama!J"&amp;""&amp;ROW(D1180)+70-7*ROUNDDOWN(ROW(D1180)/8,0))</f>
        <v>#N/A</v>
      </c>
      <c r="F1184" s="254" t="s">
        <v>358</v>
      </c>
      <c r="G1184" s="253" t="e" cm="1">
        <f t="array" aca="1" ref="G1184" ca="1">INDIRECT("xHesaplama!K"&amp;""&amp;ROW(D1180)+70-7*ROUNDDOWN(ROW(D1180)/8,0))</f>
        <v>#N/A</v>
      </c>
    </row>
    <row r="1185" spans="2:9" ht="69" customHeight="1" thickBot="1">
      <c r="B1185" s="256" t="s">
        <v>869</v>
      </c>
      <c r="C1185" s="248"/>
      <c r="D1185" s="656"/>
      <c r="E1185" s="656"/>
      <c r="F1185" s="656"/>
      <c r="G1185" s="656"/>
    </row>
    <row r="1186" spans="2:9" ht="31.5" customHeight="1" thickBot="1">
      <c r="B1186" s="257" t="s">
        <v>870</v>
      </c>
      <c r="C1186" s="248"/>
      <c r="D1186" s="657" t="str">
        <f>'1PROJE'!$E$3</f>
        <v>GÜNEŞ PEN</v>
      </c>
      <c r="E1186" s="658"/>
      <c r="F1186" s="658"/>
      <c r="G1186" s="659"/>
    </row>
    <row r="1187" spans="2:9" ht="31.5" customHeight="1" thickBot="1">
      <c r="B1187" s="257" t="s">
        <v>871</v>
      </c>
      <c r="C1187" s="248"/>
      <c r="D1187" s="644" t="str">
        <f>'1PROJE'!$F$3</f>
        <v>GÜRKAN BEY</v>
      </c>
      <c r="E1187" s="645"/>
      <c r="F1187" s="645"/>
      <c r="G1187" s="646"/>
    </row>
    <row r="1188" spans="2:9" ht="31.5" customHeight="1" thickBot="1">
      <c r="B1188" s="257" t="s">
        <v>356</v>
      </c>
      <c r="C1188" s="248"/>
      <c r="D1188" s="647" t="e" cm="1">
        <f t="array" aca="1" ref="D1188" ca="1">INDIRECT("xHesaplama!I"&amp;""&amp;ROW(D1188)+70-7*ROUNDDOWN(ROW(D1188)/8,0))</f>
        <v>#N/A</v>
      </c>
      <c r="E1188" s="648"/>
      <c r="F1188" s="648"/>
      <c r="G1188" s="649"/>
    </row>
    <row r="1189" spans="2:9" ht="31.5" customHeight="1" thickBot="1">
      <c r="B1189" s="257" t="s">
        <v>342</v>
      </c>
      <c r="C1189" s="248"/>
      <c r="D1189" s="650" t="str">
        <f>$H$1</f>
        <v>KUTU</v>
      </c>
      <c r="E1189" s="651"/>
      <c r="F1189" s="651"/>
      <c r="G1189" s="652"/>
    </row>
    <row r="1190" spans="2:9" ht="31.5" customHeight="1" thickBot="1">
      <c r="B1190" s="257" t="s">
        <v>114</v>
      </c>
      <c r="C1190" s="248"/>
      <c r="D1190" s="653" t="str">
        <f>'1PROJE'!$G$3</f>
        <v>Z 5001</v>
      </c>
      <c r="E1190" s="654"/>
      <c r="F1190" s="654"/>
      <c r="G1190" s="655"/>
      <c r="I1190" s="250"/>
    </row>
    <row r="1191" spans="2:9" ht="31.5" customHeight="1" thickBot="1">
      <c r="B1191" s="257" t="s">
        <v>98</v>
      </c>
      <c r="D1191" s="331" cm="1">
        <f t="array" aca="1" ref="D1191" ca="1">INDIRECT("xHesaplama!H"&amp;""&amp;ROW(D1188)+70-7*ROUNDDOWN(ROW(D1188)/8,0))</f>
        <v>0</v>
      </c>
      <c r="E1191" s="332"/>
      <c r="F1191" s="642" t="e">
        <f ca="1">VLOOKUP(LEFT(D1191,6),$J$2:$K$21,2,0)</f>
        <v>#N/A</v>
      </c>
      <c r="G1191" s="643"/>
    </row>
    <row r="1192" spans="2:9" ht="31.5" customHeight="1" thickBot="1">
      <c r="B1192" s="257" t="s">
        <v>832</v>
      </c>
      <c r="D1192" s="252" t="s">
        <v>359</v>
      </c>
      <c r="E1192" s="253" t="e" cm="1">
        <f t="array" aca="1" ref="E1192" ca="1">INDIRECT("xHesaplama!J"&amp;""&amp;ROW(D1188)+70-7*ROUNDDOWN(ROW(D1188)/8,0))</f>
        <v>#N/A</v>
      </c>
      <c r="F1192" s="254" t="s">
        <v>358</v>
      </c>
      <c r="G1192" s="253" t="e" cm="1">
        <f t="array" aca="1" ref="G1192" ca="1">INDIRECT("xHesaplama!K"&amp;""&amp;ROW(D1188)+70-7*ROUNDDOWN(ROW(D1188)/8,0))</f>
        <v>#N/A</v>
      </c>
    </row>
    <row r="1193" spans="2:9" ht="69" customHeight="1" thickBot="1">
      <c r="B1193" s="256" t="s">
        <v>869</v>
      </c>
      <c r="C1193" s="248"/>
      <c r="D1193" s="656"/>
      <c r="E1193" s="656"/>
      <c r="F1193" s="656"/>
      <c r="G1193" s="656"/>
    </row>
    <row r="1194" spans="2:9" ht="31.5" customHeight="1" thickBot="1">
      <c r="B1194" s="257" t="s">
        <v>870</v>
      </c>
      <c r="C1194" s="248"/>
      <c r="D1194" s="657" t="str">
        <f>'1PROJE'!$E$3</f>
        <v>GÜNEŞ PEN</v>
      </c>
      <c r="E1194" s="658"/>
      <c r="F1194" s="658"/>
      <c r="G1194" s="659"/>
    </row>
    <row r="1195" spans="2:9" ht="31.5" customHeight="1" thickBot="1">
      <c r="B1195" s="257" t="s">
        <v>871</v>
      </c>
      <c r="C1195" s="248"/>
      <c r="D1195" s="644" t="str">
        <f>'1PROJE'!$F$3</f>
        <v>GÜRKAN BEY</v>
      </c>
      <c r="E1195" s="645"/>
      <c r="F1195" s="645"/>
      <c r="G1195" s="646"/>
    </row>
    <row r="1196" spans="2:9" ht="31.5" customHeight="1" thickBot="1">
      <c r="B1196" s="257" t="s">
        <v>356</v>
      </c>
      <c r="C1196" s="248"/>
      <c r="D1196" s="647" t="e" cm="1">
        <f t="array" aca="1" ref="D1196" ca="1">INDIRECT("xHesaplama!I"&amp;""&amp;ROW(D1196)+70-7*ROUNDDOWN(ROW(D1196)/8,0))</f>
        <v>#N/A</v>
      </c>
      <c r="E1196" s="648"/>
      <c r="F1196" s="648"/>
      <c r="G1196" s="649"/>
    </row>
    <row r="1197" spans="2:9" ht="31.5" customHeight="1" thickBot="1">
      <c r="B1197" s="257" t="s">
        <v>342</v>
      </c>
      <c r="C1197" s="248"/>
      <c r="D1197" s="650" t="str">
        <f>$H$1</f>
        <v>KUTU</v>
      </c>
      <c r="E1197" s="651"/>
      <c r="F1197" s="651"/>
      <c r="G1197" s="652"/>
    </row>
    <row r="1198" spans="2:9" ht="31.5" customHeight="1" thickBot="1">
      <c r="B1198" s="257" t="s">
        <v>114</v>
      </c>
      <c r="C1198" s="248"/>
      <c r="D1198" s="653" t="str">
        <f>'1PROJE'!$G$3</f>
        <v>Z 5001</v>
      </c>
      <c r="E1198" s="654"/>
      <c r="F1198" s="654"/>
      <c r="G1198" s="655"/>
      <c r="I1198" s="250"/>
    </row>
    <row r="1199" spans="2:9" ht="31.5" customHeight="1" thickBot="1">
      <c r="B1199" s="257" t="s">
        <v>98</v>
      </c>
      <c r="D1199" s="331" cm="1">
        <f t="array" aca="1" ref="D1199" ca="1">INDIRECT("xHesaplama!H"&amp;""&amp;ROW(D1196)+70-7*ROUNDDOWN(ROW(D1196)/8,0))</f>
        <v>0</v>
      </c>
      <c r="E1199" s="332"/>
      <c r="F1199" s="642" t="e">
        <f ca="1">VLOOKUP(LEFT(D1199,6),$J$2:$K$21,2,0)</f>
        <v>#N/A</v>
      </c>
      <c r="G1199" s="643"/>
    </row>
    <row r="1200" spans="2:9" ht="31.5" customHeight="1" thickBot="1">
      <c r="B1200" s="257" t="s">
        <v>832</v>
      </c>
      <c r="D1200" s="252" t="s">
        <v>359</v>
      </c>
      <c r="E1200" s="253" t="e" cm="1">
        <f t="array" aca="1" ref="E1200" ca="1">INDIRECT("xHesaplama!J"&amp;""&amp;ROW(D1196)+70-7*ROUNDDOWN(ROW(D1196)/8,0))</f>
        <v>#N/A</v>
      </c>
      <c r="F1200" s="254" t="s">
        <v>358</v>
      </c>
      <c r="G1200" s="253" t="e" cm="1">
        <f t="array" aca="1" ref="G1200" ca="1">INDIRECT("xHesaplama!K"&amp;""&amp;ROW(D1196)+70-7*ROUNDDOWN(ROW(D1196)/8,0))</f>
        <v>#N/A</v>
      </c>
    </row>
    <row r="1201" spans="2:9" ht="69" customHeight="1" thickBot="1">
      <c r="B1201" s="256" t="s">
        <v>869</v>
      </c>
      <c r="C1201" s="248"/>
      <c r="D1201" s="656"/>
      <c r="E1201" s="656"/>
      <c r="F1201" s="656"/>
      <c r="G1201" s="656"/>
    </row>
    <row r="1202" spans="2:9" ht="31.5" customHeight="1" thickBot="1">
      <c r="B1202" s="257" t="s">
        <v>870</v>
      </c>
      <c r="C1202" s="248"/>
      <c r="D1202" s="657" t="str">
        <f>'1PROJE'!$E$3</f>
        <v>GÜNEŞ PEN</v>
      </c>
      <c r="E1202" s="658"/>
      <c r="F1202" s="658"/>
      <c r="G1202" s="659"/>
    </row>
    <row r="1203" spans="2:9" ht="31.5" customHeight="1" thickBot="1">
      <c r="B1203" s="257" t="s">
        <v>871</v>
      </c>
      <c r="C1203" s="248"/>
      <c r="D1203" s="644" t="str">
        <f>'1PROJE'!$F$3</f>
        <v>GÜRKAN BEY</v>
      </c>
      <c r="E1203" s="645"/>
      <c r="F1203" s="645"/>
      <c r="G1203" s="646"/>
    </row>
    <row r="1204" spans="2:9" ht="31.5" customHeight="1" thickBot="1">
      <c r="B1204" s="257" t="s">
        <v>356</v>
      </c>
      <c r="C1204" s="248"/>
      <c r="D1204" s="647" t="e" cm="1">
        <f t="array" aca="1" ref="D1204" ca="1">INDIRECT("xHesaplama!I"&amp;""&amp;ROW(D1204)+70-7*ROUNDDOWN(ROW(D1204)/8,0))</f>
        <v>#N/A</v>
      </c>
      <c r="E1204" s="648"/>
      <c r="F1204" s="648"/>
      <c r="G1204" s="649"/>
    </row>
    <row r="1205" spans="2:9" ht="31.5" customHeight="1" thickBot="1">
      <c r="B1205" s="257" t="s">
        <v>342</v>
      </c>
      <c r="C1205" s="248"/>
      <c r="D1205" s="650" t="str">
        <f>$H$1</f>
        <v>KUTU</v>
      </c>
      <c r="E1205" s="651"/>
      <c r="F1205" s="651"/>
      <c r="G1205" s="652"/>
    </row>
    <row r="1206" spans="2:9" ht="31.5" customHeight="1" thickBot="1">
      <c r="B1206" s="257" t="s">
        <v>114</v>
      </c>
      <c r="C1206" s="248"/>
      <c r="D1206" s="653" t="str">
        <f>'1PROJE'!$G$3</f>
        <v>Z 5001</v>
      </c>
      <c r="E1206" s="654"/>
      <c r="F1206" s="654"/>
      <c r="G1206" s="655"/>
      <c r="I1206" s="250"/>
    </row>
    <row r="1207" spans="2:9" ht="31.5" customHeight="1" thickBot="1">
      <c r="B1207" s="257" t="s">
        <v>98</v>
      </c>
      <c r="D1207" s="331" cm="1">
        <f t="array" aca="1" ref="D1207" ca="1">INDIRECT("xHesaplama!H"&amp;""&amp;ROW(D1204)+70-7*ROUNDDOWN(ROW(D1204)/8,0))</f>
        <v>0</v>
      </c>
      <c r="E1207" s="332"/>
      <c r="F1207" s="642" t="e">
        <f ca="1">VLOOKUP(LEFT(D1207,6),$J$2:$K$21,2,0)</f>
        <v>#N/A</v>
      </c>
      <c r="G1207" s="643"/>
    </row>
    <row r="1208" spans="2:9" ht="31.5" customHeight="1" thickBot="1">
      <c r="B1208" s="257" t="s">
        <v>832</v>
      </c>
      <c r="D1208" s="252" t="s">
        <v>359</v>
      </c>
      <c r="E1208" s="253" t="e" cm="1">
        <f t="array" aca="1" ref="E1208" ca="1">INDIRECT("xHesaplama!J"&amp;""&amp;ROW(D1204)+70-7*ROUNDDOWN(ROW(D1204)/8,0))</f>
        <v>#N/A</v>
      </c>
      <c r="F1208" s="254" t="s">
        <v>358</v>
      </c>
      <c r="G1208" s="253" t="e" cm="1">
        <f t="array" aca="1" ref="G1208" ca="1">INDIRECT("xHesaplama!K"&amp;""&amp;ROW(D1204)+70-7*ROUNDDOWN(ROW(D1204)/8,0))</f>
        <v>#N/A</v>
      </c>
    </row>
    <row r="1209" spans="2:9" ht="69" customHeight="1" thickBot="1">
      <c r="B1209" s="256" t="s">
        <v>869</v>
      </c>
      <c r="C1209" s="248"/>
      <c r="D1209" s="656"/>
      <c r="E1209" s="656"/>
      <c r="F1209" s="656"/>
      <c r="G1209" s="656"/>
    </row>
    <row r="1210" spans="2:9" ht="31.5" customHeight="1" thickBot="1">
      <c r="B1210" s="257" t="s">
        <v>870</v>
      </c>
      <c r="C1210" s="248"/>
      <c r="D1210" s="657" t="str">
        <f>'1PROJE'!$E$3</f>
        <v>GÜNEŞ PEN</v>
      </c>
      <c r="E1210" s="658"/>
      <c r="F1210" s="658"/>
      <c r="G1210" s="659"/>
    </row>
    <row r="1211" spans="2:9" ht="31.5" customHeight="1" thickBot="1">
      <c r="B1211" s="257" t="s">
        <v>871</v>
      </c>
      <c r="C1211" s="248"/>
      <c r="D1211" s="644" t="str">
        <f>'1PROJE'!$F$3</f>
        <v>GÜRKAN BEY</v>
      </c>
      <c r="E1211" s="645"/>
      <c r="F1211" s="645"/>
      <c r="G1211" s="646"/>
    </row>
    <row r="1212" spans="2:9" ht="31.5" customHeight="1" thickBot="1">
      <c r="B1212" s="257" t="s">
        <v>356</v>
      </c>
      <c r="C1212" s="248"/>
      <c r="D1212" s="647" t="e" cm="1">
        <f t="array" aca="1" ref="D1212" ca="1">INDIRECT("xHesaplama!I"&amp;""&amp;ROW(D1212)+70-7*ROUNDDOWN(ROW(D1212)/8,0))</f>
        <v>#N/A</v>
      </c>
      <c r="E1212" s="648"/>
      <c r="F1212" s="648"/>
      <c r="G1212" s="649"/>
    </row>
    <row r="1213" spans="2:9" ht="31.5" customHeight="1" thickBot="1">
      <c r="B1213" s="257" t="s">
        <v>342</v>
      </c>
      <c r="C1213" s="248"/>
      <c r="D1213" s="650" t="str">
        <f>$H$1</f>
        <v>KUTU</v>
      </c>
      <c r="E1213" s="651"/>
      <c r="F1213" s="651"/>
      <c r="G1213" s="652"/>
    </row>
    <row r="1214" spans="2:9" ht="31.5" customHeight="1" thickBot="1">
      <c r="B1214" s="257" t="s">
        <v>114</v>
      </c>
      <c r="C1214" s="248"/>
      <c r="D1214" s="653" t="str">
        <f>'1PROJE'!$G$3</f>
        <v>Z 5001</v>
      </c>
      <c r="E1214" s="654"/>
      <c r="F1214" s="654"/>
      <c r="G1214" s="655"/>
      <c r="I1214" s="250"/>
    </row>
    <row r="1215" spans="2:9" ht="31.5" customHeight="1" thickBot="1">
      <c r="B1215" s="257" t="s">
        <v>98</v>
      </c>
      <c r="D1215" s="331" cm="1">
        <f t="array" aca="1" ref="D1215" ca="1">INDIRECT("xHesaplama!H"&amp;""&amp;ROW(D1212)+70-7*ROUNDDOWN(ROW(D1212)/8,0))</f>
        <v>0</v>
      </c>
      <c r="E1215" s="332"/>
      <c r="F1215" s="642" t="e">
        <f ca="1">VLOOKUP(LEFT(D1215,6),$J$2:$K$21,2,0)</f>
        <v>#N/A</v>
      </c>
      <c r="G1215" s="643"/>
    </row>
    <row r="1216" spans="2:9" ht="31.5" customHeight="1" thickBot="1">
      <c r="B1216" s="257" t="s">
        <v>832</v>
      </c>
      <c r="D1216" s="252" t="s">
        <v>359</v>
      </c>
      <c r="E1216" s="253" t="e" cm="1">
        <f t="array" aca="1" ref="E1216" ca="1">INDIRECT("xHesaplama!J"&amp;""&amp;ROW(D1212)+70-7*ROUNDDOWN(ROW(D1212)/8,0))</f>
        <v>#N/A</v>
      </c>
      <c r="F1216" s="254" t="s">
        <v>358</v>
      </c>
      <c r="G1216" s="253" t="e" cm="1">
        <f t="array" aca="1" ref="G1216" ca="1">INDIRECT("xHesaplama!K"&amp;""&amp;ROW(D1212)+70-7*ROUNDDOWN(ROW(D1212)/8,0))</f>
        <v>#N/A</v>
      </c>
    </row>
    <row r="1217" spans="2:9" ht="69" customHeight="1" thickBot="1">
      <c r="B1217" s="256" t="s">
        <v>869</v>
      </c>
      <c r="C1217" s="248"/>
      <c r="D1217" s="656"/>
      <c r="E1217" s="656"/>
      <c r="F1217" s="656"/>
      <c r="G1217" s="656"/>
    </row>
    <row r="1218" spans="2:9" ht="31.5" customHeight="1" thickBot="1">
      <c r="B1218" s="257" t="s">
        <v>870</v>
      </c>
      <c r="C1218" s="248"/>
      <c r="D1218" s="657" t="str">
        <f>'1PROJE'!$E$3</f>
        <v>GÜNEŞ PEN</v>
      </c>
      <c r="E1218" s="658"/>
      <c r="F1218" s="658"/>
      <c r="G1218" s="659"/>
    </row>
    <row r="1219" spans="2:9" ht="31.5" customHeight="1" thickBot="1">
      <c r="B1219" s="257" t="s">
        <v>871</v>
      </c>
      <c r="C1219" s="248"/>
      <c r="D1219" s="644" t="str">
        <f>'1PROJE'!$F$3</f>
        <v>GÜRKAN BEY</v>
      </c>
      <c r="E1219" s="645"/>
      <c r="F1219" s="645"/>
      <c r="G1219" s="646"/>
    </row>
    <row r="1220" spans="2:9" ht="31.5" customHeight="1" thickBot="1">
      <c r="B1220" s="257" t="s">
        <v>356</v>
      </c>
      <c r="C1220" s="248"/>
      <c r="D1220" s="647" t="e" cm="1">
        <f t="array" aca="1" ref="D1220" ca="1">INDIRECT("xHesaplama!I"&amp;""&amp;ROW(D1220)+70-7*ROUNDDOWN(ROW(D1220)/8,0))</f>
        <v>#N/A</v>
      </c>
      <c r="E1220" s="648"/>
      <c r="F1220" s="648"/>
      <c r="G1220" s="649"/>
    </row>
    <row r="1221" spans="2:9" ht="31.5" customHeight="1" thickBot="1">
      <c r="B1221" s="257" t="s">
        <v>342</v>
      </c>
      <c r="C1221" s="248"/>
      <c r="D1221" s="650" t="str">
        <f>$H$1</f>
        <v>KUTU</v>
      </c>
      <c r="E1221" s="651"/>
      <c r="F1221" s="651"/>
      <c r="G1221" s="652"/>
    </row>
    <row r="1222" spans="2:9" ht="31.5" customHeight="1" thickBot="1">
      <c r="B1222" s="257" t="s">
        <v>114</v>
      </c>
      <c r="C1222" s="248"/>
      <c r="D1222" s="653" t="str">
        <f>'1PROJE'!$G$3</f>
        <v>Z 5001</v>
      </c>
      <c r="E1222" s="654"/>
      <c r="F1222" s="654"/>
      <c r="G1222" s="655"/>
      <c r="I1222" s="250"/>
    </row>
    <row r="1223" spans="2:9" ht="31.5" customHeight="1" thickBot="1">
      <c r="B1223" s="257" t="s">
        <v>98</v>
      </c>
      <c r="D1223" s="331" cm="1">
        <f t="array" aca="1" ref="D1223" ca="1">INDIRECT("xHesaplama!H"&amp;""&amp;ROW(D1220)+70-7*ROUNDDOWN(ROW(D1220)/8,0))</f>
        <v>0</v>
      </c>
      <c r="E1223" s="332"/>
      <c r="F1223" s="642" t="e">
        <f ca="1">VLOOKUP(LEFT(D1223,6),$J$2:$K$21,2,0)</f>
        <v>#N/A</v>
      </c>
      <c r="G1223" s="643"/>
    </row>
    <row r="1224" spans="2:9" ht="31.5" customHeight="1" thickBot="1">
      <c r="B1224" s="257" t="s">
        <v>832</v>
      </c>
      <c r="D1224" s="252" t="s">
        <v>359</v>
      </c>
      <c r="E1224" s="253" t="e" cm="1">
        <f t="array" aca="1" ref="E1224" ca="1">INDIRECT("xHesaplama!J"&amp;""&amp;ROW(D1220)+70-7*ROUNDDOWN(ROW(D1220)/8,0))</f>
        <v>#N/A</v>
      </c>
      <c r="F1224" s="254" t="s">
        <v>358</v>
      </c>
      <c r="G1224" s="253" t="e" cm="1">
        <f t="array" aca="1" ref="G1224" ca="1">INDIRECT("xHesaplama!K"&amp;""&amp;ROW(D1220)+70-7*ROUNDDOWN(ROW(D1220)/8,0))</f>
        <v>#N/A</v>
      </c>
    </row>
    <row r="1225" spans="2:9" ht="69" customHeight="1" thickBot="1">
      <c r="B1225" s="256" t="s">
        <v>869</v>
      </c>
      <c r="C1225" s="248"/>
      <c r="D1225" s="656"/>
      <c r="E1225" s="656"/>
      <c r="F1225" s="656"/>
      <c r="G1225" s="656"/>
    </row>
    <row r="1226" spans="2:9" ht="31.5" customHeight="1" thickBot="1">
      <c r="B1226" s="257" t="s">
        <v>870</v>
      </c>
      <c r="C1226" s="248"/>
      <c r="D1226" s="657" t="str">
        <f>'1PROJE'!$E$3</f>
        <v>GÜNEŞ PEN</v>
      </c>
      <c r="E1226" s="658"/>
      <c r="F1226" s="658"/>
      <c r="G1226" s="659"/>
    </row>
    <row r="1227" spans="2:9" ht="31.5" customHeight="1" thickBot="1">
      <c r="B1227" s="257" t="s">
        <v>871</v>
      </c>
      <c r="C1227" s="248"/>
      <c r="D1227" s="644" t="str">
        <f>'1PROJE'!$F$3</f>
        <v>GÜRKAN BEY</v>
      </c>
      <c r="E1227" s="645"/>
      <c r="F1227" s="645"/>
      <c r="G1227" s="646"/>
    </row>
    <row r="1228" spans="2:9" ht="31.5" customHeight="1" thickBot="1">
      <c r="B1228" s="257" t="s">
        <v>356</v>
      </c>
      <c r="C1228" s="248"/>
      <c r="D1228" s="647" t="e" cm="1">
        <f t="array" aca="1" ref="D1228" ca="1">INDIRECT("xHesaplama!I"&amp;""&amp;ROW(D1228)+70-7*ROUNDDOWN(ROW(D1228)/8,0))</f>
        <v>#N/A</v>
      </c>
      <c r="E1228" s="648"/>
      <c r="F1228" s="648"/>
      <c r="G1228" s="649"/>
    </row>
    <row r="1229" spans="2:9" ht="31.5" customHeight="1" thickBot="1">
      <c r="B1229" s="257" t="s">
        <v>342</v>
      </c>
      <c r="C1229" s="248"/>
      <c r="D1229" s="650" t="str">
        <f>$H$1</f>
        <v>KUTU</v>
      </c>
      <c r="E1229" s="651"/>
      <c r="F1229" s="651"/>
      <c r="G1229" s="652"/>
    </row>
    <row r="1230" spans="2:9" ht="31.5" customHeight="1" thickBot="1">
      <c r="B1230" s="257" t="s">
        <v>114</v>
      </c>
      <c r="C1230" s="248"/>
      <c r="D1230" s="653" t="str">
        <f>'1PROJE'!$G$3</f>
        <v>Z 5001</v>
      </c>
      <c r="E1230" s="654"/>
      <c r="F1230" s="654"/>
      <c r="G1230" s="655"/>
      <c r="I1230" s="250"/>
    </row>
    <row r="1231" spans="2:9" ht="31.5" customHeight="1" thickBot="1">
      <c r="B1231" s="257" t="s">
        <v>98</v>
      </c>
      <c r="D1231" s="331" cm="1">
        <f t="array" aca="1" ref="D1231" ca="1">INDIRECT("xHesaplama!H"&amp;""&amp;ROW(D1228)+70-7*ROUNDDOWN(ROW(D1228)/8,0))</f>
        <v>0</v>
      </c>
      <c r="E1231" s="332"/>
      <c r="F1231" s="642" t="e">
        <f ca="1">VLOOKUP(LEFT(D1231,6),$J$2:$K$21,2,0)</f>
        <v>#N/A</v>
      </c>
      <c r="G1231" s="643"/>
    </row>
    <row r="1232" spans="2:9" ht="31.5" customHeight="1" thickBot="1">
      <c r="B1232" s="257" t="s">
        <v>832</v>
      </c>
      <c r="D1232" s="252" t="s">
        <v>359</v>
      </c>
      <c r="E1232" s="253" t="e" cm="1">
        <f t="array" aca="1" ref="E1232" ca="1">INDIRECT("xHesaplama!J"&amp;""&amp;ROW(D1228)+70-7*ROUNDDOWN(ROW(D1228)/8,0))</f>
        <v>#N/A</v>
      </c>
      <c r="F1232" s="254" t="s">
        <v>358</v>
      </c>
      <c r="G1232" s="253" t="e" cm="1">
        <f t="array" aca="1" ref="G1232" ca="1">INDIRECT("xHesaplama!K"&amp;""&amp;ROW(D1228)+70-7*ROUNDDOWN(ROW(D1228)/8,0))</f>
        <v>#N/A</v>
      </c>
    </row>
    <row r="1233" spans="2:9" ht="69" customHeight="1" thickBot="1">
      <c r="B1233" s="256" t="s">
        <v>869</v>
      </c>
      <c r="C1233" s="248"/>
      <c r="D1233" s="656"/>
      <c r="E1233" s="656"/>
      <c r="F1233" s="656"/>
      <c r="G1233" s="656"/>
    </row>
    <row r="1234" spans="2:9" ht="31.5" customHeight="1" thickBot="1">
      <c r="B1234" s="257" t="s">
        <v>870</v>
      </c>
      <c r="C1234" s="248"/>
      <c r="D1234" s="657" t="str">
        <f>'1PROJE'!$E$3</f>
        <v>GÜNEŞ PEN</v>
      </c>
      <c r="E1234" s="658"/>
      <c r="F1234" s="658"/>
      <c r="G1234" s="659"/>
    </row>
    <row r="1235" spans="2:9" ht="31.5" customHeight="1" thickBot="1">
      <c r="B1235" s="257" t="s">
        <v>871</v>
      </c>
      <c r="C1235" s="248"/>
      <c r="D1235" s="644" t="str">
        <f>'1PROJE'!$F$3</f>
        <v>GÜRKAN BEY</v>
      </c>
      <c r="E1235" s="645"/>
      <c r="F1235" s="645"/>
      <c r="G1235" s="646"/>
    </row>
    <row r="1236" spans="2:9" ht="31.5" customHeight="1" thickBot="1">
      <c r="B1236" s="257" t="s">
        <v>356</v>
      </c>
      <c r="C1236" s="248"/>
      <c r="D1236" s="647" t="e" cm="1">
        <f t="array" aca="1" ref="D1236" ca="1">INDIRECT("xHesaplama!I"&amp;""&amp;ROW(D1236)+70-7*ROUNDDOWN(ROW(D1236)/8,0))</f>
        <v>#N/A</v>
      </c>
      <c r="E1236" s="648"/>
      <c r="F1236" s="648"/>
      <c r="G1236" s="649"/>
    </row>
    <row r="1237" spans="2:9" ht="31.5" customHeight="1" thickBot="1">
      <c r="B1237" s="257" t="s">
        <v>342</v>
      </c>
      <c r="C1237" s="248"/>
      <c r="D1237" s="650" t="str">
        <f>$H$1</f>
        <v>KUTU</v>
      </c>
      <c r="E1237" s="651"/>
      <c r="F1237" s="651"/>
      <c r="G1237" s="652"/>
    </row>
    <row r="1238" spans="2:9" ht="31.5" customHeight="1" thickBot="1">
      <c r="B1238" s="257" t="s">
        <v>114</v>
      </c>
      <c r="C1238" s="248"/>
      <c r="D1238" s="653" t="str">
        <f>'1PROJE'!$G$3</f>
        <v>Z 5001</v>
      </c>
      <c r="E1238" s="654"/>
      <c r="F1238" s="654"/>
      <c r="G1238" s="655"/>
      <c r="I1238" s="250"/>
    </row>
    <row r="1239" spans="2:9" ht="31.5" customHeight="1" thickBot="1">
      <c r="B1239" s="257" t="s">
        <v>98</v>
      </c>
      <c r="D1239" s="331" cm="1">
        <f t="array" aca="1" ref="D1239" ca="1">INDIRECT("xHesaplama!H"&amp;""&amp;ROW(D1236)+70-7*ROUNDDOWN(ROW(D1236)/8,0))</f>
        <v>0</v>
      </c>
      <c r="E1239" s="332"/>
      <c r="F1239" s="642" t="e">
        <f ca="1">VLOOKUP(LEFT(D1239,6),$J$2:$K$21,2,0)</f>
        <v>#N/A</v>
      </c>
      <c r="G1239" s="643"/>
    </row>
    <row r="1240" spans="2:9" ht="31.5" customHeight="1" thickBot="1">
      <c r="B1240" s="257" t="s">
        <v>832</v>
      </c>
      <c r="D1240" s="252" t="s">
        <v>359</v>
      </c>
      <c r="E1240" s="253" t="e" cm="1">
        <f t="array" aca="1" ref="E1240" ca="1">INDIRECT("xHesaplama!J"&amp;""&amp;ROW(D1236)+70-7*ROUNDDOWN(ROW(D1236)/8,0))</f>
        <v>#N/A</v>
      </c>
      <c r="F1240" s="254" t="s">
        <v>358</v>
      </c>
      <c r="G1240" s="253" t="e" cm="1">
        <f t="array" aca="1" ref="G1240" ca="1">INDIRECT("xHesaplama!K"&amp;""&amp;ROW(D1236)+70-7*ROUNDDOWN(ROW(D1236)/8,0))</f>
        <v>#N/A</v>
      </c>
    </row>
    <row r="1241" spans="2:9" ht="69" customHeight="1" thickBot="1">
      <c r="B1241" s="256" t="s">
        <v>869</v>
      </c>
      <c r="C1241" s="248"/>
      <c r="D1241" s="656"/>
      <c r="E1241" s="656"/>
      <c r="F1241" s="656"/>
      <c r="G1241" s="656"/>
    </row>
    <row r="1242" spans="2:9" ht="31.5" customHeight="1" thickBot="1">
      <c r="B1242" s="257" t="s">
        <v>870</v>
      </c>
      <c r="C1242" s="248"/>
      <c r="D1242" s="657" t="str">
        <f>'1PROJE'!$E$3</f>
        <v>GÜNEŞ PEN</v>
      </c>
      <c r="E1242" s="658"/>
      <c r="F1242" s="658"/>
      <c r="G1242" s="659"/>
    </row>
    <row r="1243" spans="2:9" ht="31.5" customHeight="1" thickBot="1">
      <c r="B1243" s="257" t="s">
        <v>871</v>
      </c>
      <c r="C1243" s="248"/>
      <c r="D1243" s="644" t="str">
        <f>'1PROJE'!$F$3</f>
        <v>GÜRKAN BEY</v>
      </c>
      <c r="E1243" s="645"/>
      <c r="F1243" s="645"/>
      <c r="G1243" s="646"/>
    </row>
    <row r="1244" spans="2:9" ht="31.5" customHeight="1" thickBot="1">
      <c r="B1244" s="257" t="s">
        <v>356</v>
      </c>
      <c r="C1244" s="248"/>
      <c r="D1244" s="647" t="e" cm="1">
        <f t="array" aca="1" ref="D1244" ca="1">INDIRECT("xHesaplama!I"&amp;""&amp;ROW(D1244)+70-7*ROUNDDOWN(ROW(D1244)/8,0))</f>
        <v>#N/A</v>
      </c>
      <c r="E1244" s="648"/>
      <c r="F1244" s="648"/>
      <c r="G1244" s="649"/>
    </row>
    <row r="1245" spans="2:9" ht="31.5" customHeight="1" thickBot="1">
      <c r="B1245" s="257" t="s">
        <v>342</v>
      </c>
      <c r="C1245" s="248"/>
      <c r="D1245" s="650" t="str">
        <f>$H$1</f>
        <v>KUTU</v>
      </c>
      <c r="E1245" s="651"/>
      <c r="F1245" s="651"/>
      <c r="G1245" s="652"/>
    </row>
    <row r="1246" spans="2:9" ht="31.5" customHeight="1" thickBot="1">
      <c r="B1246" s="257" t="s">
        <v>114</v>
      </c>
      <c r="C1246" s="248"/>
      <c r="D1246" s="653" t="str">
        <f>'1PROJE'!$G$3</f>
        <v>Z 5001</v>
      </c>
      <c r="E1246" s="654"/>
      <c r="F1246" s="654"/>
      <c r="G1246" s="655"/>
      <c r="I1246" s="250"/>
    </row>
    <row r="1247" spans="2:9" ht="31.5" customHeight="1" thickBot="1">
      <c r="B1247" s="257" t="s">
        <v>98</v>
      </c>
      <c r="D1247" s="331" cm="1">
        <f t="array" aca="1" ref="D1247" ca="1">INDIRECT("xHesaplama!H"&amp;""&amp;ROW(D1244)+70-7*ROUNDDOWN(ROW(D1244)/8,0))</f>
        <v>0</v>
      </c>
      <c r="E1247" s="332"/>
      <c r="F1247" s="642" t="e">
        <f ca="1">VLOOKUP(LEFT(D1247,6),$J$2:$K$21,2,0)</f>
        <v>#N/A</v>
      </c>
      <c r="G1247" s="643"/>
    </row>
    <row r="1248" spans="2:9" ht="31.5" customHeight="1" thickBot="1">
      <c r="B1248" s="257" t="s">
        <v>832</v>
      </c>
      <c r="D1248" s="252" t="s">
        <v>359</v>
      </c>
      <c r="E1248" s="253" t="e" cm="1">
        <f t="array" aca="1" ref="E1248" ca="1">INDIRECT("xHesaplama!J"&amp;""&amp;ROW(D1244)+70-7*ROUNDDOWN(ROW(D1244)/8,0))</f>
        <v>#N/A</v>
      </c>
      <c r="F1248" s="254" t="s">
        <v>358</v>
      </c>
      <c r="G1248" s="253" t="e" cm="1">
        <f t="array" aca="1" ref="G1248" ca="1">INDIRECT("xHesaplama!K"&amp;""&amp;ROW(D1244)+70-7*ROUNDDOWN(ROW(D1244)/8,0))</f>
        <v>#N/A</v>
      </c>
    </row>
    <row r="1249" spans="2:9" ht="69" customHeight="1" thickBot="1">
      <c r="B1249" s="256" t="s">
        <v>869</v>
      </c>
      <c r="C1249" s="248"/>
      <c r="D1249" s="656"/>
      <c r="E1249" s="656"/>
      <c r="F1249" s="656"/>
      <c r="G1249" s="656"/>
    </row>
    <row r="1250" spans="2:9" ht="31.5" customHeight="1" thickBot="1">
      <c r="B1250" s="257" t="s">
        <v>870</v>
      </c>
      <c r="C1250" s="248"/>
      <c r="D1250" s="657" t="str">
        <f>'1PROJE'!$E$3</f>
        <v>GÜNEŞ PEN</v>
      </c>
      <c r="E1250" s="658"/>
      <c r="F1250" s="658"/>
      <c r="G1250" s="659"/>
    </row>
    <row r="1251" spans="2:9" ht="31.5" customHeight="1" thickBot="1">
      <c r="B1251" s="257" t="s">
        <v>871</v>
      </c>
      <c r="C1251" s="248"/>
      <c r="D1251" s="644" t="str">
        <f>'1PROJE'!$F$3</f>
        <v>GÜRKAN BEY</v>
      </c>
      <c r="E1251" s="645"/>
      <c r="F1251" s="645"/>
      <c r="G1251" s="646"/>
    </row>
    <row r="1252" spans="2:9" ht="31.5" customHeight="1" thickBot="1">
      <c r="B1252" s="257" t="s">
        <v>356</v>
      </c>
      <c r="C1252" s="248"/>
      <c r="D1252" s="647" t="e" cm="1">
        <f t="array" aca="1" ref="D1252" ca="1">INDIRECT("xHesaplama!I"&amp;""&amp;ROW(D1252)+70-7*ROUNDDOWN(ROW(D1252)/8,0))</f>
        <v>#N/A</v>
      </c>
      <c r="E1252" s="648"/>
      <c r="F1252" s="648"/>
      <c r="G1252" s="649"/>
    </row>
    <row r="1253" spans="2:9" ht="31.5" customHeight="1" thickBot="1">
      <c r="B1253" s="257" t="s">
        <v>342</v>
      </c>
      <c r="C1253" s="248"/>
      <c r="D1253" s="650" t="str">
        <f>$H$1</f>
        <v>KUTU</v>
      </c>
      <c r="E1253" s="651"/>
      <c r="F1253" s="651"/>
      <c r="G1253" s="652"/>
    </row>
    <row r="1254" spans="2:9" ht="31.5" customHeight="1" thickBot="1">
      <c r="B1254" s="257" t="s">
        <v>114</v>
      </c>
      <c r="C1254" s="248"/>
      <c r="D1254" s="653" t="str">
        <f>'1PROJE'!$G$3</f>
        <v>Z 5001</v>
      </c>
      <c r="E1254" s="654"/>
      <c r="F1254" s="654"/>
      <c r="G1254" s="655"/>
      <c r="I1254" s="250"/>
    </row>
    <row r="1255" spans="2:9" ht="31.5" customHeight="1" thickBot="1">
      <c r="B1255" s="257" t="s">
        <v>98</v>
      </c>
      <c r="D1255" s="331" cm="1">
        <f t="array" aca="1" ref="D1255" ca="1">INDIRECT("xHesaplama!H"&amp;""&amp;ROW(D1252)+70-7*ROUNDDOWN(ROW(D1252)/8,0))</f>
        <v>0</v>
      </c>
      <c r="E1255" s="332"/>
      <c r="F1255" s="642" t="e">
        <f ca="1">VLOOKUP(LEFT(D1255,6),$J$2:$K$21,2,0)</f>
        <v>#N/A</v>
      </c>
      <c r="G1255" s="643"/>
    </row>
    <row r="1256" spans="2:9" ht="31.5" customHeight="1" thickBot="1">
      <c r="B1256" s="257" t="s">
        <v>832</v>
      </c>
      <c r="D1256" s="252" t="s">
        <v>359</v>
      </c>
      <c r="E1256" s="253" t="e" cm="1">
        <f t="array" aca="1" ref="E1256" ca="1">INDIRECT("xHesaplama!J"&amp;""&amp;ROW(D1252)+70-7*ROUNDDOWN(ROW(D1252)/8,0))</f>
        <v>#N/A</v>
      </c>
      <c r="F1256" s="254" t="s">
        <v>358</v>
      </c>
      <c r="G1256" s="253" t="e" cm="1">
        <f t="array" aca="1" ref="G1256" ca="1">INDIRECT("xHesaplama!K"&amp;""&amp;ROW(D1252)+70-7*ROUNDDOWN(ROW(D1252)/8,0))</f>
        <v>#N/A</v>
      </c>
    </row>
    <row r="1257" spans="2:9" ht="69" customHeight="1" thickBot="1">
      <c r="B1257" s="256" t="s">
        <v>869</v>
      </c>
      <c r="C1257" s="248"/>
      <c r="D1257" s="656"/>
      <c r="E1257" s="656"/>
      <c r="F1257" s="656"/>
      <c r="G1257" s="656"/>
    </row>
    <row r="1258" spans="2:9" ht="31.5" customHeight="1" thickBot="1">
      <c r="B1258" s="257" t="s">
        <v>870</v>
      </c>
      <c r="C1258" s="248"/>
      <c r="D1258" s="657" t="str">
        <f>'1PROJE'!$E$3</f>
        <v>GÜNEŞ PEN</v>
      </c>
      <c r="E1258" s="658"/>
      <c r="F1258" s="658"/>
      <c r="G1258" s="659"/>
    </row>
    <row r="1259" spans="2:9" ht="31.5" customHeight="1" thickBot="1">
      <c r="B1259" s="257" t="s">
        <v>871</v>
      </c>
      <c r="C1259" s="248"/>
      <c r="D1259" s="644" t="str">
        <f>'1PROJE'!$F$3</f>
        <v>GÜRKAN BEY</v>
      </c>
      <c r="E1259" s="645"/>
      <c r="F1259" s="645"/>
      <c r="G1259" s="646"/>
    </row>
    <row r="1260" spans="2:9" ht="31.5" customHeight="1" thickBot="1">
      <c r="B1260" s="257" t="s">
        <v>356</v>
      </c>
      <c r="C1260" s="248"/>
      <c r="D1260" s="647" t="e" cm="1">
        <f t="array" aca="1" ref="D1260" ca="1">INDIRECT("xHesaplama!I"&amp;""&amp;ROW(D1260)+70-7*ROUNDDOWN(ROW(D1260)/8,0))</f>
        <v>#N/A</v>
      </c>
      <c r="E1260" s="648"/>
      <c r="F1260" s="648"/>
      <c r="G1260" s="649"/>
    </row>
    <row r="1261" spans="2:9" ht="31.5" customHeight="1" thickBot="1">
      <c r="B1261" s="257" t="s">
        <v>342</v>
      </c>
      <c r="C1261" s="248"/>
      <c r="D1261" s="650" t="str">
        <f>$H$1</f>
        <v>KUTU</v>
      </c>
      <c r="E1261" s="651"/>
      <c r="F1261" s="651"/>
      <c r="G1261" s="652"/>
    </row>
    <row r="1262" spans="2:9" ht="31.5" customHeight="1" thickBot="1">
      <c r="B1262" s="257" t="s">
        <v>114</v>
      </c>
      <c r="C1262" s="248"/>
      <c r="D1262" s="653" t="str">
        <f>'1PROJE'!$G$3</f>
        <v>Z 5001</v>
      </c>
      <c r="E1262" s="654"/>
      <c r="F1262" s="654"/>
      <c r="G1262" s="655"/>
      <c r="I1262" s="250"/>
    </row>
    <row r="1263" spans="2:9" ht="31.5" customHeight="1" thickBot="1">
      <c r="B1263" s="257" t="s">
        <v>98</v>
      </c>
      <c r="D1263" s="331" cm="1">
        <f t="array" aca="1" ref="D1263" ca="1">INDIRECT("xHesaplama!H"&amp;""&amp;ROW(D1260)+70-7*ROUNDDOWN(ROW(D1260)/8,0))</f>
        <v>0</v>
      </c>
      <c r="E1263" s="332"/>
      <c r="F1263" s="642" t="e">
        <f ca="1">VLOOKUP(LEFT(D1263,6),$J$2:$K$21,2,0)</f>
        <v>#N/A</v>
      </c>
      <c r="G1263" s="643"/>
    </row>
    <row r="1264" spans="2:9" ht="31.5" customHeight="1" thickBot="1">
      <c r="B1264" s="257" t="s">
        <v>832</v>
      </c>
      <c r="D1264" s="252" t="s">
        <v>359</v>
      </c>
      <c r="E1264" s="253" t="e" cm="1">
        <f t="array" aca="1" ref="E1264" ca="1">INDIRECT("xHesaplama!J"&amp;""&amp;ROW(D1260)+70-7*ROUNDDOWN(ROW(D1260)/8,0))</f>
        <v>#N/A</v>
      </c>
      <c r="F1264" s="254" t="s">
        <v>358</v>
      </c>
      <c r="G1264" s="253" t="e" cm="1">
        <f t="array" aca="1" ref="G1264" ca="1">INDIRECT("xHesaplama!K"&amp;""&amp;ROW(D1260)+70-7*ROUNDDOWN(ROW(D1260)/8,0))</f>
        <v>#N/A</v>
      </c>
    </row>
    <row r="1265" spans="2:9" ht="69" customHeight="1" thickBot="1">
      <c r="B1265" s="256" t="s">
        <v>869</v>
      </c>
      <c r="C1265" s="248"/>
      <c r="D1265" s="656"/>
      <c r="E1265" s="656"/>
      <c r="F1265" s="656"/>
      <c r="G1265" s="656"/>
    </row>
    <row r="1266" spans="2:9" ht="31.5" customHeight="1" thickBot="1">
      <c r="B1266" s="257" t="s">
        <v>870</v>
      </c>
      <c r="C1266" s="248"/>
      <c r="D1266" s="657" t="str">
        <f>'1PROJE'!$E$3</f>
        <v>GÜNEŞ PEN</v>
      </c>
      <c r="E1266" s="658"/>
      <c r="F1266" s="658"/>
      <c r="G1266" s="659"/>
    </row>
    <row r="1267" spans="2:9" ht="31.5" customHeight="1" thickBot="1">
      <c r="B1267" s="257" t="s">
        <v>871</v>
      </c>
      <c r="C1267" s="248"/>
      <c r="D1267" s="644" t="str">
        <f>'1PROJE'!$F$3</f>
        <v>GÜRKAN BEY</v>
      </c>
      <c r="E1267" s="645"/>
      <c r="F1267" s="645"/>
      <c r="G1267" s="646"/>
    </row>
    <row r="1268" spans="2:9" ht="31.5" customHeight="1" thickBot="1">
      <c r="B1268" s="257" t="s">
        <v>356</v>
      </c>
      <c r="C1268" s="248"/>
      <c r="D1268" s="647" t="e" cm="1">
        <f t="array" aca="1" ref="D1268" ca="1">INDIRECT("xHesaplama!I"&amp;""&amp;ROW(D1268)+70-7*ROUNDDOWN(ROW(D1268)/8,0))</f>
        <v>#N/A</v>
      </c>
      <c r="E1268" s="648"/>
      <c r="F1268" s="648"/>
      <c r="G1268" s="649"/>
    </row>
    <row r="1269" spans="2:9" ht="31.5" customHeight="1" thickBot="1">
      <c r="B1269" s="257" t="s">
        <v>342</v>
      </c>
      <c r="C1269" s="248"/>
      <c r="D1269" s="650" t="str">
        <f>$H$1</f>
        <v>KUTU</v>
      </c>
      <c r="E1269" s="651"/>
      <c r="F1269" s="651"/>
      <c r="G1269" s="652"/>
    </row>
    <row r="1270" spans="2:9" ht="31.5" customHeight="1" thickBot="1">
      <c r="B1270" s="257" t="s">
        <v>114</v>
      </c>
      <c r="C1270" s="248"/>
      <c r="D1270" s="653" t="str">
        <f>'1PROJE'!$G$3</f>
        <v>Z 5001</v>
      </c>
      <c r="E1270" s="654"/>
      <c r="F1270" s="654"/>
      <c r="G1270" s="655"/>
      <c r="I1270" s="250"/>
    </row>
    <row r="1271" spans="2:9" ht="31.5" customHeight="1" thickBot="1">
      <c r="B1271" s="257" t="s">
        <v>98</v>
      </c>
      <c r="D1271" s="331" cm="1">
        <f t="array" aca="1" ref="D1271" ca="1">INDIRECT("xHesaplama!H"&amp;""&amp;ROW(D1268)+70-7*ROUNDDOWN(ROW(D1268)/8,0))</f>
        <v>0</v>
      </c>
      <c r="E1271" s="332"/>
      <c r="F1271" s="642" t="e">
        <f ca="1">VLOOKUP(LEFT(D1271,6),$J$2:$K$21,2,0)</f>
        <v>#N/A</v>
      </c>
      <c r="G1271" s="643"/>
    </row>
    <row r="1272" spans="2:9" ht="31.5" customHeight="1" thickBot="1">
      <c r="B1272" s="257" t="s">
        <v>832</v>
      </c>
      <c r="D1272" s="252" t="s">
        <v>359</v>
      </c>
      <c r="E1272" s="253" t="e" cm="1">
        <f t="array" aca="1" ref="E1272" ca="1">INDIRECT("xHesaplama!J"&amp;""&amp;ROW(D1268)+70-7*ROUNDDOWN(ROW(D1268)/8,0))</f>
        <v>#N/A</v>
      </c>
      <c r="F1272" s="254" t="s">
        <v>358</v>
      </c>
      <c r="G1272" s="253" t="e" cm="1">
        <f t="array" aca="1" ref="G1272" ca="1">INDIRECT("xHesaplama!K"&amp;""&amp;ROW(D1268)+70-7*ROUNDDOWN(ROW(D1268)/8,0))</f>
        <v>#N/A</v>
      </c>
    </row>
    <row r="1273" spans="2:9" ht="69" customHeight="1" thickBot="1">
      <c r="B1273" s="256" t="s">
        <v>869</v>
      </c>
      <c r="C1273" s="248"/>
      <c r="D1273" s="656"/>
      <c r="E1273" s="656"/>
      <c r="F1273" s="656"/>
      <c r="G1273" s="656"/>
    </row>
    <row r="1274" spans="2:9" ht="31.5" customHeight="1" thickBot="1">
      <c r="B1274" s="257" t="s">
        <v>870</v>
      </c>
      <c r="C1274" s="248"/>
      <c r="D1274" s="657" t="str">
        <f>'1PROJE'!$E$3</f>
        <v>GÜNEŞ PEN</v>
      </c>
      <c r="E1274" s="658"/>
      <c r="F1274" s="658"/>
      <c r="G1274" s="659"/>
    </row>
    <row r="1275" spans="2:9" ht="31.5" customHeight="1" thickBot="1">
      <c r="B1275" s="257" t="s">
        <v>871</v>
      </c>
      <c r="C1275" s="248"/>
      <c r="D1275" s="644" t="str">
        <f>'1PROJE'!$F$3</f>
        <v>GÜRKAN BEY</v>
      </c>
      <c r="E1275" s="645"/>
      <c r="F1275" s="645"/>
      <c r="G1275" s="646"/>
    </row>
    <row r="1276" spans="2:9" ht="31.5" customHeight="1" thickBot="1">
      <c r="B1276" s="257" t="s">
        <v>356</v>
      </c>
      <c r="C1276" s="248"/>
      <c r="D1276" s="647" t="e" cm="1">
        <f t="array" aca="1" ref="D1276" ca="1">INDIRECT("xHesaplama!I"&amp;""&amp;ROW(D1276)+70-7*ROUNDDOWN(ROW(D1276)/8,0))</f>
        <v>#N/A</v>
      </c>
      <c r="E1276" s="648"/>
      <c r="F1276" s="648"/>
      <c r="G1276" s="649"/>
    </row>
    <row r="1277" spans="2:9" ht="31.5" customHeight="1" thickBot="1">
      <c r="B1277" s="257" t="s">
        <v>342</v>
      </c>
      <c r="C1277" s="248"/>
      <c r="D1277" s="650" t="str">
        <f>$H$1</f>
        <v>KUTU</v>
      </c>
      <c r="E1277" s="651"/>
      <c r="F1277" s="651"/>
      <c r="G1277" s="652"/>
    </row>
    <row r="1278" spans="2:9" ht="31.5" customHeight="1" thickBot="1">
      <c r="B1278" s="257" t="s">
        <v>114</v>
      </c>
      <c r="C1278" s="248"/>
      <c r="D1278" s="653" t="str">
        <f>'1PROJE'!$G$3</f>
        <v>Z 5001</v>
      </c>
      <c r="E1278" s="654"/>
      <c r="F1278" s="654"/>
      <c r="G1278" s="655"/>
      <c r="I1278" s="250"/>
    </row>
    <row r="1279" spans="2:9" ht="31.5" customHeight="1" thickBot="1">
      <c r="B1279" s="257" t="s">
        <v>98</v>
      </c>
      <c r="D1279" s="331" cm="1">
        <f t="array" aca="1" ref="D1279" ca="1">INDIRECT("xHesaplama!H"&amp;""&amp;ROW(D1276)+70-7*ROUNDDOWN(ROW(D1276)/8,0))</f>
        <v>0</v>
      </c>
      <c r="E1279" s="332"/>
      <c r="F1279" s="642" t="e">
        <f ca="1">VLOOKUP(LEFT(D1279,6),$J$2:$K$21,2,0)</f>
        <v>#N/A</v>
      </c>
      <c r="G1279" s="643"/>
    </row>
    <row r="1280" spans="2:9" ht="31.5" customHeight="1" thickBot="1">
      <c r="B1280" s="257" t="s">
        <v>832</v>
      </c>
      <c r="D1280" s="252" t="s">
        <v>359</v>
      </c>
      <c r="E1280" s="253" t="e" cm="1">
        <f t="array" aca="1" ref="E1280" ca="1">INDIRECT("xHesaplama!J"&amp;""&amp;ROW(D1276)+70-7*ROUNDDOWN(ROW(D1276)/8,0))</f>
        <v>#N/A</v>
      </c>
      <c r="F1280" s="254" t="s">
        <v>358</v>
      </c>
      <c r="G1280" s="253" t="e" cm="1">
        <f t="array" aca="1" ref="G1280" ca="1">INDIRECT("xHesaplama!K"&amp;""&amp;ROW(D1276)+70-7*ROUNDDOWN(ROW(D1276)/8,0))</f>
        <v>#N/A</v>
      </c>
    </row>
    <row r="1281" spans="2:9" ht="69" customHeight="1" thickBot="1">
      <c r="B1281" s="256" t="s">
        <v>869</v>
      </c>
      <c r="C1281" s="248"/>
      <c r="D1281" s="656"/>
      <c r="E1281" s="656"/>
      <c r="F1281" s="656"/>
      <c r="G1281" s="656"/>
    </row>
    <row r="1282" spans="2:9" ht="31.5" customHeight="1" thickBot="1">
      <c r="B1282" s="257" t="s">
        <v>870</v>
      </c>
      <c r="C1282" s="248"/>
      <c r="D1282" s="657" t="str">
        <f>'1PROJE'!$E$3</f>
        <v>GÜNEŞ PEN</v>
      </c>
      <c r="E1282" s="658"/>
      <c r="F1282" s="658"/>
      <c r="G1282" s="659"/>
    </row>
    <row r="1283" spans="2:9" ht="31.5" customHeight="1" thickBot="1">
      <c r="B1283" s="257" t="s">
        <v>871</v>
      </c>
      <c r="C1283" s="248"/>
      <c r="D1283" s="644" t="str">
        <f>'1PROJE'!$F$3</f>
        <v>GÜRKAN BEY</v>
      </c>
      <c r="E1283" s="645"/>
      <c r="F1283" s="645"/>
      <c r="G1283" s="646"/>
    </row>
    <row r="1284" spans="2:9" ht="31.5" customHeight="1" thickBot="1">
      <c r="B1284" s="257" t="s">
        <v>356</v>
      </c>
      <c r="C1284" s="248"/>
      <c r="D1284" s="647" t="e" cm="1">
        <f t="array" aca="1" ref="D1284" ca="1">INDIRECT("xHesaplama!I"&amp;""&amp;ROW(D1284)+70-7*ROUNDDOWN(ROW(D1284)/8,0))</f>
        <v>#N/A</v>
      </c>
      <c r="E1284" s="648"/>
      <c r="F1284" s="648"/>
      <c r="G1284" s="649"/>
    </row>
    <row r="1285" spans="2:9" ht="31.5" customHeight="1" thickBot="1">
      <c r="B1285" s="257" t="s">
        <v>342</v>
      </c>
      <c r="C1285" s="248"/>
      <c r="D1285" s="650" t="str">
        <f>$H$1</f>
        <v>KUTU</v>
      </c>
      <c r="E1285" s="651"/>
      <c r="F1285" s="651"/>
      <c r="G1285" s="652"/>
    </row>
    <row r="1286" spans="2:9" ht="31.5" customHeight="1" thickBot="1">
      <c r="B1286" s="257" t="s">
        <v>114</v>
      </c>
      <c r="C1286" s="248"/>
      <c r="D1286" s="653" t="str">
        <f>'1PROJE'!$G$3</f>
        <v>Z 5001</v>
      </c>
      <c r="E1286" s="654"/>
      <c r="F1286" s="654"/>
      <c r="G1286" s="655"/>
      <c r="I1286" s="250"/>
    </row>
    <row r="1287" spans="2:9" ht="31.5" customHeight="1" thickBot="1">
      <c r="B1287" s="257" t="s">
        <v>98</v>
      </c>
      <c r="D1287" s="331" cm="1">
        <f t="array" aca="1" ref="D1287" ca="1">INDIRECT("xHesaplama!H"&amp;""&amp;ROW(D1284)+70-7*ROUNDDOWN(ROW(D1284)/8,0))</f>
        <v>0</v>
      </c>
      <c r="E1287" s="332"/>
      <c r="F1287" s="642" t="e">
        <f ca="1">VLOOKUP(LEFT(D1287,6),$J$2:$K$21,2,0)</f>
        <v>#N/A</v>
      </c>
      <c r="G1287" s="643"/>
    </row>
    <row r="1288" spans="2:9" ht="31.5" customHeight="1" thickBot="1">
      <c r="B1288" s="257" t="s">
        <v>832</v>
      </c>
      <c r="D1288" s="252" t="s">
        <v>359</v>
      </c>
      <c r="E1288" s="253" t="e" cm="1">
        <f t="array" aca="1" ref="E1288" ca="1">INDIRECT("xHesaplama!J"&amp;""&amp;ROW(D1284)+70-7*ROUNDDOWN(ROW(D1284)/8,0))</f>
        <v>#N/A</v>
      </c>
      <c r="F1288" s="254" t="s">
        <v>358</v>
      </c>
      <c r="G1288" s="253" t="e" cm="1">
        <f t="array" aca="1" ref="G1288" ca="1">INDIRECT("xHesaplama!K"&amp;""&amp;ROW(D1284)+70-7*ROUNDDOWN(ROW(D1284)/8,0))</f>
        <v>#N/A</v>
      </c>
    </row>
    <row r="1289" spans="2:9" ht="69" customHeight="1" thickBot="1">
      <c r="B1289" s="256" t="s">
        <v>869</v>
      </c>
      <c r="C1289" s="248"/>
      <c r="D1289" s="656"/>
      <c r="E1289" s="656"/>
      <c r="F1289" s="656"/>
      <c r="G1289" s="656"/>
    </row>
    <row r="1290" spans="2:9" ht="31.5" customHeight="1" thickBot="1">
      <c r="B1290" s="257" t="s">
        <v>870</v>
      </c>
      <c r="C1290" s="248"/>
      <c r="D1290" s="657" t="str">
        <f>'1PROJE'!$E$3</f>
        <v>GÜNEŞ PEN</v>
      </c>
      <c r="E1290" s="658"/>
      <c r="F1290" s="658"/>
      <c r="G1290" s="659"/>
    </row>
    <row r="1291" spans="2:9" ht="31.5" customHeight="1" thickBot="1">
      <c r="B1291" s="257" t="s">
        <v>871</v>
      </c>
      <c r="C1291" s="248"/>
      <c r="D1291" s="644" t="str">
        <f>'1PROJE'!$F$3</f>
        <v>GÜRKAN BEY</v>
      </c>
      <c r="E1291" s="645"/>
      <c r="F1291" s="645"/>
      <c r="G1291" s="646"/>
    </row>
    <row r="1292" spans="2:9" ht="31.5" customHeight="1" thickBot="1">
      <c r="B1292" s="257" t="s">
        <v>356</v>
      </c>
      <c r="C1292" s="248"/>
      <c r="D1292" s="647" t="e" cm="1">
        <f t="array" aca="1" ref="D1292" ca="1">INDIRECT("xHesaplama!I"&amp;""&amp;ROW(D1292)+70-7*ROUNDDOWN(ROW(D1292)/8,0))</f>
        <v>#N/A</v>
      </c>
      <c r="E1292" s="648"/>
      <c r="F1292" s="648"/>
      <c r="G1292" s="649"/>
    </row>
    <row r="1293" spans="2:9" ht="31.5" customHeight="1" thickBot="1">
      <c r="B1293" s="257" t="s">
        <v>342</v>
      </c>
      <c r="C1293" s="248"/>
      <c r="D1293" s="650" t="str">
        <f>$H$1</f>
        <v>KUTU</v>
      </c>
      <c r="E1293" s="651"/>
      <c r="F1293" s="651"/>
      <c r="G1293" s="652"/>
    </row>
    <row r="1294" spans="2:9" ht="31.5" customHeight="1" thickBot="1">
      <c r="B1294" s="257" t="s">
        <v>114</v>
      </c>
      <c r="C1294" s="248"/>
      <c r="D1294" s="653" t="str">
        <f>'1PROJE'!$G$3</f>
        <v>Z 5001</v>
      </c>
      <c r="E1294" s="654"/>
      <c r="F1294" s="654"/>
      <c r="G1294" s="655"/>
      <c r="I1294" s="250"/>
    </row>
    <row r="1295" spans="2:9" ht="31.5" customHeight="1" thickBot="1">
      <c r="B1295" s="257" t="s">
        <v>98</v>
      </c>
      <c r="D1295" s="331" cm="1">
        <f t="array" aca="1" ref="D1295" ca="1">INDIRECT("xHesaplama!H"&amp;""&amp;ROW(D1292)+70-7*ROUNDDOWN(ROW(D1292)/8,0))</f>
        <v>0</v>
      </c>
      <c r="E1295" s="332"/>
      <c r="F1295" s="642" t="e">
        <f ca="1">VLOOKUP(LEFT(D1295,6),$J$2:$K$21,2,0)</f>
        <v>#N/A</v>
      </c>
      <c r="G1295" s="643"/>
    </row>
    <row r="1296" spans="2:9" ht="31.5" customHeight="1" thickBot="1">
      <c r="B1296" s="257" t="s">
        <v>832</v>
      </c>
      <c r="D1296" s="252" t="s">
        <v>359</v>
      </c>
      <c r="E1296" s="253" t="e" cm="1">
        <f t="array" aca="1" ref="E1296" ca="1">INDIRECT("xHesaplama!J"&amp;""&amp;ROW(D1292)+70-7*ROUNDDOWN(ROW(D1292)/8,0))</f>
        <v>#N/A</v>
      </c>
      <c r="F1296" s="254" t="s">
        <v>358</v>
      </c>
      <c r="G1296" s="253" t="e" cm="1">
        <f t="array" aca="1" ref="G1296" ca="1">INDIRECT("xHesaplama!K"&amp;""&amp;ROW(D1292)+70-7*ROUNDDOWN(ROW(D1292)/8,0))</f>
        <v>#N/A</v>
      </c>
    </row>
    <row r="1297" spans="2:9" ht="69" customHeight="1" thickBot="1">
      <c r="B1297" s="256" t="s">
        <v>869</v>
      </c>
      <c r="C1297" s="248"/>
      <c r="D1297" s="656"/>
      <c r="E1297" s="656"/>
      <c r="F1297" s="656"/>
      <c r="G1297" s="656"/>
    </row>
    <row r="1298" spans="2:9" ht="31.5" customHeight="1" thickBot="1">
      <c r="B1298" s="257" t="s">
        <v>870</v>
      </c>
      <c r="C1298" s="248"/>
      <c r="D1298" s="657" t="str">
        <f>'1PROJE'!$E$3</f>
        <v>GÜNEŞ PEN</v>
      </c>
      <c r="E1298" s="658"/>
      <c r="F1298" s="658"/>
      <c r="G1298" s="659"/>
    </row>
    <row r="1299" spans="2:9" ht="31.5" customHeight="1" thickBot="1">
      <c r="B1299" s="257" t="s">
        <v>871</v>
      </c>
      <c r="C1299" s="248"/>
      <c r="D1299" s="644" t="str">
        <f>'1PROJE'!$F$3</f>
        <v>GÜRKAN BEY</v>
      </c>
      <c r="E1299" s="645"/>
      <c r="F1299" s="645"/>
      <c r="G1299" s="646"/>
    </row>
    <row r="1300" spans="2:9" ht="31.5" customHeight="1" thickBot="1">
      <c r="B1300" s="257" t="s">
        <v>356</v>
      </c>
      <c r="C1300" s="248"/>
      <c r="D1300" s="647" t="e" cm="1">
        <f t="array" aca="1" ref="D1300" ca="1">INDIRECT("xHesaplama!I"&amp;""&amp;ROW(D1300)+70-7*ROUNDDOWN(ROW(D1300)/8,0))</f>
        <v>#N/A</v>
      </c>
      <c r="E1300" s="648"/>
      <c r="F1300" s="648"/>
      <c r="G1300" s="649"/>
    </row>
    <row r="1301" spans="2:9" ht="31.5" customHeight="1" thickBot="1">
      <c r="B1301" s="257" t="s">
        <v>342</v>
      </c>
      <c r="C1301" s="248"/>
      <c r="D1301" s="650" t="str">
        <f>$H$1</f>
        <v>KUTU</v>
      </c>
      <c r="E1301" s="651"/>
      <c r="F1301" s="651"/>
      <c r="G1301" s="652"/>
    </row>
    <row r="1302" spans="2:9" ht="31.5" customHeight="1" thickBot="1">
      <c r="B1302" s="257" t="s">
        <v>114</v>
      </c>
      <c r="C1302" s="248"/>
      <c r="D1302" s="653" t="str">
        <f>'1PROJE'!$G$3</f>
        <v>Z 5001</v>
      </c>
      <c r="E1302" s="654"/>
      <c r="F1302" s="654"/>
      <c r="G1302" s="655"/>
      <c r="I1302" s="250"/>
    </row>
    <row r="1303" spans="2:9" ht="31.5" customHeight="1" thickBot="1">
      <c r="B1303" s="257" t="s">
        <v>98</v>
      </c>
      <c r="D1303" s="331" cm="1">
        <f t="array" aca="1" ref="D1303" ca="1">INDIRECT("xHesaplama!H"&amp;""&amp;ROW(D1300)+70-7*ROUNDDOWN(ROW(D1300)/8,0))</f>
        <v>0</v>
      </c>
      <c r="E1303" s="332"/>
      <c r="F1303" s="642" t="e">
        <f ca="1">VLOOKUP(LEFT(D1303,6),$J$2:$K$21,2,0)</f>
        <v>#N/A</v>
      </c>
      <c r="G1303" s="643"/>
    </row>
    <row r="1304" spans="2:9" ht="31.5" customHeight="1" thickBot="1">
      <c r="B1304" s="257" t="s">
        <v>832</v>
      </c>
      <c r="D1304" s="252" t="s">
        <v>359</v>
      </c>
      <c r="E1304" s="253" t="e" cm="1">
        <f t="array" aca="1" ref="E1304" ca="1">INDIRECT("xHesaplama!J"&amp;""&amp;ROW(D1300)+70-7*ROUNDDOWN(ROW(D1300)/8,0))</f>
        <v>#N/A</v>
      </c>
      <c r="F1304" s="254" t="s">
        <v>358</v>
      </c>
      <c r="G1304" s="253" t="e" cm="1">
        <f t="array" aca="1" ref="G1304" ca="1">INDIRECT("xHesaplama!K"&amp;""&amp;ROW(D1300)+70-7*ROUNDDOWN(ROW(D1300)/8,0))</f>
        <v>#N/A</v>
      </c>
    </row>
    <row r="1305" spans="2:9" ht="69" customHeight="1" thickBot="1">
      <c r="B1305" s="256" t="s">
        <v>869</v>
      </c>
      <c r="C1305" s="248"/>
      <c r="D1305" s="656"/>
      <c r="E1305" s="656"/>
      <c r="F1305" s="656"/>
      <c r="G1305" s="656"/>
    </row>
    <row r="1306" spans="2:9" ht="31.5" customHeight="1" thickBot="1">
      <c r="B1306" s="257" t="s">
        <v>870</v>
      </c>
      <c r="C1306" s="248"/>
      <c r="D1306" s="657" t="str">
        <f>'1PROJE'!$E$3</f>
        <v>GÜNEŞ PEN</v>
      </c>
      <c r="E1306" s="658"/>
      <c r="F1306" s="658"/>
      <c r="G1306" s="659"/>
    </row>
    <row r="1307" spans="2:9" ht="31.5" customHeight="1" thickBot="1">
      <c r="B1307" s="257" t="s">
        <v>871</v>
      </c>
      <c r="C1307" s="248"/>
      <c r="D1307" s="644" t="str">
        <f>'1PROJE'!$F$3</f>
        <v>GÜRKAN BEY</v>
      </c>
      <c r="E1307" s="645"/>
      <c r="F1307" s="645"/>
      <c r="G1307" s="646"/>
    </row>
    <row r="1308" spans="2:9" ht="31.5" customHeight="1" thickBot="1">
      <c r="B1308" s="257" t="s">
        <v>356</v>
      </c>
      <c r="C1308" s="248"/>
      <c r="D1308" s="647" t="e" cm="1">
        <f t="array" aca="1" ref="D1308" ca="1">INDIRECT("xHesaplama!I"&amp;""&amp;ROW(D1308)+70-7*ROUNDDOWN(ROW(D1308)/8,0))</f>
        <v>#N/A</v>
      </c>
      <c r="E1308" s="648"/>
      <c r="F1308" s="648"/>
      <c r="G1308" s="649"/>
    </row>
    <row r="1309" spans="2:9" ht="31.5" customHeight="1" thickBot="1">
      <c r="B1309" s="257" t="s">
        <v>342</v>
      </c>
      <c r="C1309" s="248"/>
      <c r="D1309" s="650" t="str">
        <f>$H$1</f>
        <v>KUTU</v>
      </c>
      <c r="E1309" s="651"/>
      <c r="F1309" s="651"/>
      <c r="G1309" s="652"/>
    </row>
    <row r="1310" spans="2:9" ht="31.5" customHeight="1" thickBot="1">
      <c r="B1310" s="257" t="s">
        <v>114</v>
      </c>
      <c r="C1310" s="248"/>
      <c r="D1310" s="653" t="str">
        <f>'1PROJE'!$G$3</f>
        <v>Z 5001</v>
      </c>
      <c r="E1310" s="654"/>
      <c r="F1310" s="654"/>
      <c r="G1310" s="655"/>
      <c r="I1310" s="250"/>
    </row>
    <row r="1311" spans="2:9" ht="31.5" customHeight="1" thickBot="1">
      <c r="B1311" s="257" t="s">
        <v>98</v>
      </c>
      <c r="D1311" s="331" cm="1">
        <f t="array" aca="1" ref="D1311" ca="1">INDIRECT("xHesaplama!H"&amp;""&amp;ROW(D1308)+70-7*ROUNDDOWN(ROW(D1308)/8,0))</f>
        <v>0</v>
      </c>
      <c r="E1311" s="332"/>
      <c r="F1311" s="642" t="e">
        <f ca="1">VLOOKUP(LEFT(D1311,6),$J$2:$K$21,2,0)</f>
        <v>#N/A</v>
      </c>
      <c r="G1311" s="643"/>
    </row>
    <row r="1312" spans="2:9" ht="31.5" customHeight="1" thickBot="1">
      <c r="B1312" s="257" t="s">
        <v>832</v>
      </c>
      <c r="D1312" s="252" t="s">
        <v>359</v>
      </c>
      <c r="E1312" s="253" t="e" cm="1">
        <f t="array" aca="1" ref="E1312" ca="1">INDIRECT("xHesaplama!J"&amp;""&amp;ROW(D1308)+70-7*ROUNDDOWN(ROW(D1308)/8,0))</f>
        <v>#N/A</v>
      </c>
      <c r="F1312" s="254" t="s">
        <v>358</v>
      </c>
      <c r="G1312" s="253" t="e" cm="1">
        <f t="array" aca="1" ref="G1312" ca="1">INDIRECT("xHesaplama!K"&amp;""&amp;ROW(D1308)+70-7*ROUNDDOWN(ROW(D1308)/8,0))</f>
        <v>#N/A</v>
      </c>
    </row>
    <row r="1313" spans="2:9" ht="69" customHeight="1" thickBot="1">
      <c r="B1313" s="256" t="s">
        <v>869</v>
      </c>
      <c r="C1313" s="248"/>
      <c r="D1313" s="656"/>
      <c r="E1313" s="656"/>
      <c r="F1313" s="656"/>
      <c r="G1313" s="656"/>
    </row>
    <row r="1314" spans="2:9" ht="31.5" customHeight="1" thickBot="1">
      <c r="B1314" s="257" t="s">
        <v>870</v>
      </c>
      <c r="C1314" s="248"/>
      <c r="D1314" s="657" t="str">
        <f>'1PROJE'!$E$3</f>
        <v>GÜNEŞ PEN</v>
      </c>
      <c r="E1314" s="658"/>
      <c r="F1314" s="658"/>
      <c r="G1314" s="659"/>
    </row>
    <row r="1315" spans="2:9" ht="31.5" customHeight="1" thickBot="1">
      <c r="B1315" s="257" t="s">
        <v>871</v>
      </c>
      <c r="C1315" s="248"/>
      <c r="D1315" s="644" t="str">
        <f>'1PROJE'!$F$3</f>
        <v>GÜRKAN BEY</v>
      </c>
      <c r="E1315" s="645"/>
      <c r="F1315" s="645"/>
      <c r="G1315" s="646"/>
    </row>
    <row r="1316" spans="2:9" ht="31.5" customHeight="1" thickBot="1">
      <c r="B1316" s="257" t="s">
        <v>356</v>
      </c>
      <c r="C1316" s="248"/>
      <c r="D1316" s="647" t="e" cm="1">
        <f t="array" aca="1" ref="D1316" ca="1">INDIRECT("xHesaplama!I"&amp;""&amp;ROW(D1316)+70-7*ROUNDDOWN(ROW(D1316)/8,0))</f>
        <v>#N/A</v>
      </c>
      <c r="E1316" s="648"/>
      <c r="F1316" s="648"/>
      <c r="G1316" s="649"/>
    </row>
    <row r="1317" spans="2:9" ht="31.5" customHeight="1" thickBot="1">
      <c r="B1317" s="257" t="s">
        <v>342</v>
      </c>
      <c r="C1317" s="248"/>
      <c r="D1317" s="650" t="str">
        <f>$H$1</f>
        <v>KUTU</v>
      </c>
      <c r="E1317" s="651"/>
      <c r="F1317" s="651"/>
      <c r="G1317" s="652"/>
    </row>
    <row r="1318" spans="2:9" ht="31.5" customHeight="1" thickBot="1">
      <c r="B1318" s="257" t="s">
        <v>114</v>
      </c>
      <c r="C1318" s="248"/>
      <c r="D1318" s="653" t="str">
        <f>'1PROJE'!$G$3</f>
        <v>Z 5001</v>
      </c>
      <c r="E1318" s="654"/>
      <c r="F1318" s="654"/>
      <c r="G1318" s="655"/>
      <c r="I1318" s="250"/>
    </row>
    <row r="1319" spans="2:9" ht="31.5" customHeight="1" thickBot="1">
      <c r="B1319" s="257" t="s">
        <v>98</v>
      </c>
      <c r="D1319" s="331" cm="1">
        <f t="array" aca="1" ref="D1319" ca="1">INDIRECT("xHesaplama!H"&amp;""&amp;ROW(D1316)+70-7*ROUNDDOWN(ROW(D1316)/8,0))</f>
        <v>0</v>
      </c>
      <c r="E1319" s="332"/>
      <c r="F1319" s="642" t="e">
        <f ca="1">VLOOKUP(LEFT(D1319,6),$J$2:$K$21,2,0)</f>
        <v>#N/A</v>
      </c>
      <c r="G1319" s="643"/>
    </row>
    <row r="1320" spans="2:9" ht="31.5" customHeight="1" thickBot="1">
      <c r="B1320" s="257" t="s">
        <v>832</v>
      </c>
      <c r="D1320" s="252" t="s">
        <v>359</v>
      </c>
      <c r="E1320" s="253" t="e" cm="1">
        <f t="array" aca="1" ref="E1320" ca="1">INDIRECT("xHesaplama!J"&amp;""&amp;ROW(D1316)+70-7*ROUNDDOWN(ROW(D1316)/8,0))</f>
        <v>#N/A</v>
      </c>
      <c r="F1320" s="254" t="s">
        <v>358</v>
      </c>
      <c r="G1320" s="253" t="e" cm="1">
        <f t="array" aca="1" ref="G1320" ca="1">INDIRECT("xHesaplama!K"&amp;""&amp;ROW(D1316)+70-7*ROUNDDOWN(ROW(D1316)/8,0))</f>
        <v>#N/A</v>
      </c>
    </row>
    <row r="1321" spans="2:9" ht="69" customHeight="1" thickBot="1">
      <c r="B1321" s="256" t="s">
        <v>869</v>
      </c>
      <c r="C1321" s="248"/>
      <c r="D1321" s="656"/>
      <c r="E1321" s="656"/>
      <c r="F1321" s="656"/>
      <c r="G1321" s="656"/>
    </row>
    <row r="1322" spans="2:9" ht="31.5" customHeight="1" thickBot="1">
      <c r="B1322" s="257" t="s">
        <v>870</v>
      </c>
      <c r="C1322" s="248"/>
      <c r="D1322" s="657" t="str">
        <f>'1PROJE'!$E$3</f>
        <v>GÜNEŞ PEN</v>
      </c>
      <c r="E1322" s="658"/>
      <c r="F1322" s="658"/>
      <c r="G1322" s="659"/>
    </row>
    <row r="1323" spans="2:9" ht="31.5" customHeight="1" thickBot="1">
      <c r="B1323" s="257" t="s">
        <v>871</v>
      </c>
      <c r="C1323" s="248"/>
      <c r="D1323" s="644" t="str">
        <f>'1PROJE'!$F$3</f>
        <v>GÜRKAN BEY</v>
      </c>
      <c r="E1323" s="645"/>
      <c r="F1323" s="645"/>
      <c r="G1323" s="646"/>
    </row>
    <row r="1324" spans="2:9" ht="31.5" customHeight="1" thickBot="1">
      <c r="B1324" s="257" t="s">
        <v>356</v>
      </c>
      <c r="C1324" s="248"/>
      <c r="D1324" s="647" t="e" cm="1">
        <f t="array" aca="1" ref="D1324" ca="1">INDIRECT("xHesaplama!I"&amp;""&amp;ROW(D1324)+70-7*ROUNDDOWN(ROW(D1324)/8,0))</f>
        <v>#N/A</v>
      </c>
      <c r="E1324" s="648"/>
      <c r="F1324" s="648"/>
      <c r="G1324" s="649"/>
    </row>
    <row r="1325" spans="2:9" ht="31.5" customHeight="1" thickBot="1">
      <c r="B1325" s="257" t="s">
        <v>342</v>
      </c>
      <c r="C1325" s="248"/>
      <c r="D1325" s="650" t="str">
        <f>$H$1</f>
        <v>KUTU</v>
      </c>
      <c r="E1325" s="651"/>
      <c r="F1325" s="651"/>
      <c r="G1325" s="652"/>
    </row>
    <row r="1326" spans="2:9" ht="31.5" customHeight="1" thickBot="1">
      <c r="B1326" s="257" t="s">
        <v>114</v>
      </c>
      <c r="C1326" s="248"/>
      <c r="D1326" s="653" t="str">
        <f>'1PROJE'!$G$3</f>
        <v>Z 5001</v>
      </c>
      <c r="E1326" s="654"/>
      <c r="F1326" s="654"/>
      <c r="G1326" s="655"/>
      <c r="I1326" s="250"/>
    </row>
    <row r="1327" spans="2:9" ht="31.5" customHeight="1" thickBot="1">
      <c r="B1327" s="257" t="s">
        <v>98</v>
      </c>
      <c r="D1327" s="331" cm="1">
        <f t="array" aca="1" ref="D1327" ca="1">INDIRECT("xHesaplama!H"&amp;""&amp;ROW(D1324)+70-7*ROUNDDOWN(ROW(D1324)/8,0))</f>
        <v>0</v>
      </c>
      <c r="E1327" s="332"/>
      <c r="F1327" s="642" t="e">
        <f ca="1">VLOOKUP(LEFT(D1327,6),$J$2:$K$21,2,0)</f>
        <v>#N/A</v>
      </c>
      <c r="G1327" s="643"/>
    </row>
    <row r="1328" spans="2:9" ht="31.5" customHeight="1" thickBot="1">
      <c r="B1328" s="257" t="s">
        <v>832</v>
      </c>
      <c r="D1328" s="252" t="s">
        <v>359</v>
      </c>
      <c r="E1328" s="253" t="e" cm="1">
        <f t="array" aca="1" ref="E1328" ca="1">INDIRECT("xHesaplama!J"&amp;""&amp;ROW(D1324)+70-7*ROUNDDOWN(ROW(D1324)/8,0))</f>
        <v>#N/A</v>
      </c>
      <c r="F1328" s="254" t="s">
        <v>358</v>
      </c>
      <c r="G1328" s="253" t="e" cm="1">
        <f t="array" aca="1" ref="G1328" ca="1">INDIRECT("xHesaplama!K"&amp;""&amp;ROW(D1324)+70-7*ROUNDDOWN(ROW(D1324)/8,0))</f>
        <v>#N/A</v>
      </c>
    </row>
    <row r="1329" spans="2:9" ht="69" customHeight="1" thickBot="1">
      <c r="B1329" s="256" t="s">
        <v>869</v>
      </c>
      <c r="C1329" s="248"/>
      <c r="D1329" s="656"/>
      <c r="E1329" s="656"/>
      <c r="F1329" s="656"/>
      <c r="G1329" s="656"/>
    </row>
    <row r="1330" spans="2:9" ht="31.5" customHeight="1" thickBot="1">
      <c r="B1330" s="257" t="s">
        <v>870</v>
      </c>
      <c r="C1330" s="248"/>
      <c r="D1330" s="657" t="str">
        <f>'1PROJE'!$E$3</f>
        <v>GÜNEŞ PEN</v>
      </c>
      <c r="E1330" s="658"/>
      <c r="F1330" s="658"/>
      <c r="G1330" s="659"/>
    </row>
    <row r="1331" spans="2:9" ht="31.5" customHeight="1" thickBot="1">
      <c r="B1331" s="257" t="s">
        <v>871</v>
      </c>
      <c r="C1331" s="248"/>
      <c r="D1331" s="644" t="str">
        <f>'1PROJE'!$F$3</f>
        <v>GÜRKAN BEY</v>
      </c>
      <c r="E1331" s="645"/>
      <c r="F1331" s="645"/>
      <c r="G1331" s="646"/>
    </row>
    <row r="1332" spans="2:9" ht="31.5" customHeight="1" thickBot="1">
      <c r="B1332" s="257" t="s">
        <v>356</v>
      </c>
      <c r="C1332" s="248"/>
      <c r="D1332" s="647" t="e" cm="1">
        <f t="array" aca="1" ref="D1332" ca="1">INDIRECT("xHesaplama!I"&amp;""&amp;ROW(D1332)+70-7*ROUNDDOWN(ROW(D1332)/8,0))</f>
        <v>#N/A</v>
      </c>
      <c r="E1332" s="648"/>
      <c r="F1332" s="648"/>
      <c r="G1332" s="649"/>
    </row>
    <row r="1333" spans="2:9" ht="31.5" customHeight="1" thickBot="1">
      <c r="B1333" s="257" t="s">
        <v>342</v>
      </c>
      <c r="C1333" s="248"/>
      <c r="D1333" s="650" t="str">
        <f>$H$1</f>
        <v>KUTU</v>
      </c>
      <c r="E1333" s="651"/>
      <c r="F1333" s="651"/>
      <c r="G1333" s="652"/>
    </row>
    <row r="1334" spans="2:9" ht="31.5" customHeight="1" thickBot="1">
      <c r="B1334" s="257" t="s">
        <v>114</v>
      </c>
      <c r="C1334" s="248"/>
      <c r="D1334" s="653" t="str">
        <f>'1PROJE'!$G$3</f>
        <v>Z 5001</v>
      </c>
      <c r="E1334" s="654"/>
      <c r="F1334" s="654"/>
      <c r="G1334" s="655"/>
      <c r="I1334" s="250"/>
    </row>
    <row r="1335" spans="2:9" ht="31.5" customHeight="1" thickBot="1">
      <c r="B1335" s="257" t="s">
        <v>98</v>
      </c>
      <c r="D1335" s="331" cm="1">
        <f t="array" aca="1" ref="D1335" ca="1">INDIRECT("xHesaplama!H"&amp;""&amp;ROW(D1332)+70-7*ROUNDDOWN(ROW(D1332)/8,0))</f>
        <v>0</v>
      </c>
      <c r="E1335" s="332"/>
      <c r="F1335" s="642" t="e">
        <f ca="1">VLOOKUP(LEFT(D1335,6),$J$2:$K$21,2,0)</f>
        <v>#N/A</v>
      </c>
      <c r="G1335" s="643"/>
    </row>
    <row r="1336" spans="2:9" ht="31.5" customHeight="1" thickBot="1">
      <c r="B1336" s="257" t="s">
        <v>832</v>
      </c>
      <c r="D1336" s="252" t="s">
        <v>359</v>
      </c>
      <c r="E1336" s="253" t="e" cm="1">
        <f t="array" aca="1" ref="E1336" ca="1">INDIRECT("xHesaplama!J"&amp;""&amp;ROW(D1332)+70-7*ROUNDDOWN(ROW(D1332)/8,0))</f>
        <v>#N/A</v>
      </c>
      <c r="F1336" s="254" t="s">
        <v>358</v>
      </c>
      <c r="G1336" s="253" t="e" cm="1">
        <f t="array" aca="1" ref="G1336" ca="1">INDIRECT("xHesaplama!K"&amp;""&amp;ROW(D1332)+70-7*ROUNDDOWN(ROW(D1332)/8,0))</f>
        <v>#N/A</v>
      </c>
    </row>
    <row r="1337" spans="2:9" ht="69" customHeight="1" thickBot="1">
      <c r="B1337" s="256" t="s">
        <v>869</v>
      </c>
      <c r="C1337" s="248"/>
      <c r="D1337" s="656"/>
      <c r="E1337" s="656"/>
      <c r="F1337" s="656"/>
      <c r="G1337" s="656"/>
    </row>
    <row r="1338" spans="2:9" ht="31.5" customHeight="1" thickBot="1">
      <c r="B1338" s="257" t="s">
        <v>870</v>
      </c>
      <c r="C1338" s="248"/>
      <c r="D1338" s="657" t="str">
        <f>'1PROJE'!$E$3</f>
        <v>GÜNEŞ PEN</v>
      </c>
      <c r="E1338" s="658"/>
      <c r="F1338" s="658"/>
      <c r="G1338" s="659"/>
    </row>
    <row r="1339" spans="2:9" ht="31.5" customHeight="1" thickBot="1">
      <c r="B1339" s="257" t="s">
        <v>871</v>
      </c>
      <c r="C1339" s="248"/>
      <c r="D1339" s="644" t="str">
        <f>'1PROJE'!$F$3</f>
        <v>GÜRKAN BEY</v>
      </c>
      <c r="E1339" s="645"/>
      <c r="F1339" s="645"/>
      <c r="G1339" s="646"/>
    </row>
    <row r="1340" spans="2:9" ht="31.5" customHeight="1" thickBot="1">
      <c r="B1340" s="257" t="s">
        <v>356</v>
      </c>
      <c r="C1340" s="248"/>
      <c r="D1340" s="647" t="e" cm="1">
        <f t="array" aca="1" ref="D1340" ca="1">INDIRECT("xHesaplama!I"&amp;""&amp;ROW(D1340)+70-7*ROUNDDOWN(ROW(D1340)/8,0))</f>
        <v>#N/A</v>
      </c>
      <c r="E1340" s="648"/>
      <c r="F1340" s="648"/>
      <c r="G1340" s="649"/>
    </row>
    <row r="1341" spans="2:9" ht="31.5" customHeight="1" thickBot="1">
      <c r="B1341" s="257" t="s">
        <v>342</v>
      </c>
      <c r="C1341" s="248"/>
      <c r="D1341" s="650" t="str">
        <f>$H$1</f>
        <v>KUTU</v>
      </c>
      <c r="E1341" s="651"/>
      <c r="F1341" s="651"/>
      <c r="G1341" s="652"/>
    </row>
    <row r="1342" spans="2:9" ht="31.5" customHeight="1" thickBot="1">
      <c r="B1342" s="257" t="s">
        <v>114</v>
      </c>
      <c r="C1342" s="248"/>
      <c r="D1342" s="653" t="str">
        <f>'1PROJE'!$G$3</f>
        <v>Z 5001</v>
      </c>
      <c r="E1342" s="654"/>
      <c r="F1342" s="654"/>
      <c r="G1342" s="655"/>
      <c r="I1342" s="250"/>
    </row>
    <row r="1343" spans="2:9" ht="31.5" customHeight="1" thickBot="1">
      <c r="B1343" s="257" t="s">
        <v>98</v>
      </c>
      <c r="D1343" s="331" cm="1">
        <f t="array" aca="1" ref="D1343" ca="1">INDIRECT("xHesaplama!H"&amp;""&amp;ROW(D1340)+70-7*ROUNDDOWN(ROW(D1340)/8,0))</f>
        <v>0</v>
      </c>
      <c r="E1343" s="332"/>
      <c r="F1343" s="642" t="e">
        <f ca="1">VLOOKUP(LEFT(D1343,6),$J$2:$K$21,2,0)</f>
        <v>#N/A</v>
      </c>
      <c r="G1343" s="643"/>
    </row>
    <row r="1344" spans="2:9" ht="31.5" customHeight="1" thickBot="1">
      <c r="B1344" s="257" t="s">
        <v>832</v>
      </c>
      <c r="D1344" s="252" t="s">
        <v>359</v>
      </c>
      <c r="E1344" s="253" t="e" cm="1">
        <f t="array" aca="1" ref="E1344" ca="1">INDIRECT("xHesaplama!J"&amp;""&amp;ROW(D1340)+70-7*ROUNDDOWN(ROW(D1340)/8,0))</f>
        <v>#N/A</v>
      </c>
      <c r="F1344" s="254" t="s">
        <v>358</v>
      </c>
      <c r="G1344" s="253" t="e" cm="1">
        <f t="array" aca="1" ref="G1344" ca="1">INDIRECT("xHesaplama!K"&amp;""&amp;ROW(D1340)+70-7*ROUNDDOWN(ROW(D1340)/8,0))</f>
        <v>#N/A</v>
      </c>
    </row>
    <row r="1345" spans="2:9" ht="69" customHeight="1" thickBot="1">
      <c r="B1345" s="256" t="s">
        <v>869</v>
      </c>
      <c r="C1345" s="248"/>
      <c r="D1345" s="656"/>
      <c r="E1345" s="656"/>
      <c r="F1345" s="656"/>
      <c r="G1345" s="656"/>
    </row>
    <row r="1346" spans="2:9" ht="31.5" customHeight="1" thickBot="1">
      <c r="B1346" s="257" t="s">
        <v>870</v>
      </c>
      <c r="C1346" s="248"/>
      <c r="D1346" s="657" t="str">
        <f>'1PROJE'!$E$3</f>
        <v>GÜNEŞ PEN</v>
      </c>
      <c r="E1346" s="658"/>
      <c r="F1346" s="658"/>
      <c r="G1346" s="659"/>
    </row>
    <row r="1347" spans="2:9" ht="31.5" customHeight="1" thickBot="1">
      <c r="B1347" s="257" t="s">
        <v>871</v>
      </c>
      <c r="C1347" s="248"/>
      <c r="D1347" s="644" t="str">
        <f>'1PROJE'!$F$3</f>
        <v>GÜRKAN BEY</v>
      </c>
      <c r="E1347" s="645"/>
      <c r="F1347" s="645"/>
      <c r="G1347" s="646"/>
    </row>
    <row r="1348" spans="2:9" ht="31.5" customHeight="1" thickBot="1">
      <c r="B1348" s="257" t="s">
        <v>356</v>
      </c>
      <c r="C1348" s="248"/>
      <c r="D1348" s="647" t="e" cm="1">
        <f t="array" aca="1" ref="D1348" ca="1">INDIRECT("xHesaplama!I"&amp;""&amp;ROW(D1348)+70-7*ROUNDDOWN(ROW(D1348)/8,0))</f>
        <v>#N/A</v>
      </c>
      <c r="E1348" s="648"/>
      <c r="F1348" s="648"/>
      <c r="G1348" s="649"/>
    </row>
    <row r="1349" spans="2:9" ht="31.5" customHeight="1" thickBot="1">
      <c r="B1349" s="257" t="s">
        <v>342</v>
      </c>
      <c r="C1349" s="248"/>
      <c r="D1349" s="650" t="str">
        <f>$H$1</f>
        <v>KUTU</v>
      </c>
      <c r="E1349" s="651"/>
      <c r="F1349" s="651"/>
      <c r="G1349" s="652"/>
    </row>
    <row r="1350" spans="2:9" ht="31.5" customHeight="1" thickBot="1">
      <c r="B1350" s="257" t="s">
        <v>114</v>
      </c>
      <c r="C1350" s="248"/>
      <c r="D1350" s="653" t="str">
        <f>'1PROJE'!$G$3</f>
        <v>Z 5001</v>
      </c>
      <c r="E1350" s="654"/>
      <c r="F1350" s="654"/>
      <c r="G1350" s="655"/>
      <c r="I1350" s="250"/>
    </row>
    <row r="1351" spans="2:9" ht="31.5" customHeight="1" thickBot="1">
      <c r="B1351" s="257" t="s">
        <v>98</v>
      </c>
      <c r="D1351" s="331" cm="1">
        <f t="array" aca="1" ref="D1351" ca="1">INDIRECT("xHesaplama!H"&amp;""&amp;ROW(D1348)+70-7*ROUNDDOWN(ROW(D1348)/8,0))</f>
        <v>0</v>
      </c>
      <c r="E1351" s="332"/>
      <c r="F1351" s="642" t="e">
        <f ca="1">VLOOKUP(LEFT(D1351,6),$J$2:$K$21,2,0)</f>
        <v>#N/A</v>
      </c>
      <c r="G1351" s="643"/>
    </row>
    <row r="1352" spans="2:9" ht="31.5" customHeight="1" thickBot="1">
      <c r="B1352" s="257" t="s">
        <v>832</v>
      </c>
      <c r="D1352" s="252" t="s">
        <v>359</v>
      </c>
      <c r="E1352" s="253" t="e" cm="1">
        <f t="array" aca="1" ref="E1352" ca="1">INDIRECT("xHesaplama!J"&amp;""&amp;ROW(D1348)+70-7*ROUNDDOWN(ROW(D1348)/8,0))</f>
        <v>#N/A</v>
      </c>
      <c r="F1352" s="254" t="s">
        <v>358</v>
      </c>
      <c r="G1352" s="253" t="e" cm="1">
        <f t="array" aca="1" ref="G1352" ca="1">INDIRECT("xHesaplama!K"&amp;""&amp;ROW(D1348)+70-7*ROUNDDOWN(ROW(D1348)/8,0))</f>
        <v>#N/A</v>
      </c>
    </row>
    <row r="1353" spans="2:9" ht="69" customHeight="1" thickBot="1">
      <c r="B1353" s="256" t="s">
        <v>869</v>
      </c>
      <c r="C1353" s="248"/>
      <c r="D1353" s="656"/>
      <c r="E1353" s="656"/>
      <c r="F1353" s="656"/>
      <c r="G1353" s="656"/>
    </row>
    <row r="1354" spans="2:9" ht="31.5" customHeight="1" thickBot="1">
      <c r="B1354" s="257" t="s">
        <v>870</v>
      </c>
      <c r="C1354" s="248"/>
      <c r="D1354" s="657" t="str">
        <f>'1PROJE'!$E$3</f>
        <v>GÜNEŞ PEN</v>
      </c>
      <c r="E1354" s="658"/>
      <c r="F1354" s="658"/>
      <c r="G1354" s="659"/>
    </row>
    <row r="1355" spans="2:9" ht="31.5" customHeight="1" thickBot="1">
      <c r="B1355" s="257" t="s">
        <v>871</v>
      </c>
      <c r="C1355" s="248"/>
      <c r="D1355" s="644" t="str">
        <f>'1PROJE'!$F$3</f>
        <v>GÜRKAN BEY</v>
      </c>
      <c r="E1355" s="645"/>
      <c r="F1355" s="645"/>
      <c r="G1355" s="646"/>
    </row>
    <row r="1356" spans="2:9" ht="31.5" customHeight="1" thickBot="1">
      <c r="B1356" s="257" t="s">
        <v>356</v>
      </c>
      <c r="C1356" s="248"/>
      <c r="D1356" s="647" t="e" cm="1">
        <f t="array" aca="1" ref="D1356" ca="1">INDIRECT("xHesaplama!I"&amp;""&amp;ROW(D1356)+70-7*ROUNDDOWN(ROW(D1356)/8,0))</f>
        <v>#N/A</v>
      </c>
      <c r="E1356" s="648"/>
      <c r="F1356" s="648"/>
      <c r="G1356" s="649"/>
    </row>
    <row r="1357" spans="2:9" ht="31.5" customHeight="1" thickBot="1">
      <c r="B1357" s="257" t="s">
        <v>342</v>
      </c>
      <c r="C1357" s="248"/>
      <c r="D1357" s="650" t="str">
        <f>$H$1</f>
        <v>KUTU</v>
      </c>
      <c r="E1357" s="651"/>
      <c r="F1357" s="651"/>
      <c r="G1357" s="652"/>
    </row>
    <row r="1358" spans="2:9" ht="31.5" customHeight="1" thickBot="1">
      <c r="B1358" s="257" t="s">
        <v>114</v>
      </c>
      <c r="C1358" s="248"/>
      <c r="D1358" s="653" t="str">
        <f>'1PROJE'!$G$3</f>
        <v>Z 5001</v>
      </c>
      <c r="E1358" s="654"/>
      <c r="F1358" s="654"/>
      <c r="G1358" s="655"/>
      <c r="I1358" s="250"/>
    </row>
    <row r="1359" spans="2:9" ht="31.5" customHeight="1" thickBot="1">
      <c r="B1359" s="257" t="s">
        <v>98</v>
      </c>
      <c r="D1359" s="331" cm="1">
        <f t="array" aca="1" ref="D1359" ca="1">INDIRECT("xHesaplama!H"&amp;""&amp;ROW(D1356)+70-7*ROUNDDOWN(ROW(D1356)/8,0))</f>
        <v>0</v>
      </c>
      <c r="E1359" s="332"/>
      <c r="F1359" s="642" t="e">
        <f ca="1">VLOOKUP(LEFT(D1359,6),$J$2:$K$21,2,0)</f>
        <v>#N/A</v>
      </c>
      <c r="G1359" s="643"/>
    </row>
    <row r="1360" spans="2:9" ht="31.5" customHeight="1" thickBot="1">
      <c r="B1360" s="257" t="s">
        <v>832</v>
      </c>
      <c r="D1360" s="252" t="s">
        <v>359</v>
      </c>
      <c r="E1360" s="253" t="e" cm="1">
        <f t="array" aca="1" ref="E1360" ca="1">INDIRECT("xHesaplama!J"&amp;""&amp;ROW(D1356)+70-7*ROUNDDOWN(ROW(D1356)/8,0))</f>
        <v>#N/A</v>
      </c>
      <c r="F1360" s="254" t="s">
        <v>358</v>
      </c>
      <c r="G1360" s="253" t="e" cm="1">
        <f t="array" aca="1" ref="G1360" ca="1">INDIRECT("xHesaplama!K"&amp;""&amp;ROW(D1356)+70-7*ROUNDDOWN(ROW(D1356)/8,0))</f>
        <v>#N/A</v>
      </c>
    </row>
    <row r="1361" spans="2:9" ht="69" customHeight="1" thickBot="1">
      <c r="B1361" s="256" t="s">
        <v>869</v>
      </c>
      <c r="C1361" s="248"/>
      <c r="D1361" s="656"/>
      <c r="E1361" s="656"/>
      <c r="F1361" s="656"/>
      <c r="G1361" s="656"/>
    </row>
    <row r="1362" spans="2:9" ht="31.5" customHeight="1" thickBot="1">
      <c r="B1362" s="257" t="s">
        <v>870</v>
      </c>
      <c r="C1362" s="248"/>
      <c r="D1362" s="657" t="str">
        <f>'1PROJE'!$E$3</f>
        <v>GÜNEŞ PEN</v>
      </c>
      <c r="E1362" s="658"/>
      <c r="F1362" s="658"/>
      <c r="G1362" s="659"/>
    </row>
    <row r="1363" spans="2:9" ht="31.5" customHeight="1" thickBot="1">
      <c r="B1363" s="257" t="s">
        <v>871</v>
      </c>
      <c r="C1363" s="248"/>
      <c r="D1363" s="644" t="str">
        <f>'1PROJE'!$F$3</f>
        <v>GÜRKAN BEY</v>
      </c>
      <c r="E1363" s="645"/>
      <c r="F1363" s="645"/>
      <c r="G1363" s="646"/>
    </row>
    <row r="1364" spans="2:9" ht="31.5" customHeight="1" thickBot="1">
      <c r="B1364" s="257" t="s">
        <v>356</v>
      </c>
      <c r="C1364" s="248"/>
      <c r="D1364" s="647" t="e" cm="1">
        <f t="array" aca="1" ref="D1364" ca="1">INDIRECT("xHesaplama!I"&amp;""&amp;ROW(D1364)+70-7*ROUNDDOWN(ROW(D1364)/8,0))</f>
        <v>#N/A</v>
      </c>
      <c r="E1364" s="648"/>
      <c r="F1364" s="648"/>
      <c r="G1364" s="649"/>
    </row>
    <row r="1365" spans="2:9" ht="31.5" customHeight="1" thickBot="1">
      <c r="B1365" s="257" t="s">
        <v>342</v>
      </c>
      <c r="C1365" s="248"/>
      <c r="D1365" s="650" t="str">
        <f>$H$1</f>
        <v>KUTU</v>
      </c>
      <c r="E1365" s="651"/>
      <c r="F1365" s="651"/>
      <c r="G1365" s="652"/>
    </row>
    <row r="1366" spans="2:9" ht="31.5" customHeight="1" thickBot="1">
      <c r="B1366" s="257" t="s">
        <v>114</v>
      </c>
      <c r="C1366" s="248"/>
      <c r="D1366" s="653" t="str">
        <f>'1PROJE'!$G$3</f>
        <v>Z 5001</v>
      </c>
      <c r="E1366" s="654"/>
      <c r="F1366" s="654"/>
      <c r="G1366" s="655"/>
      <c r="I1366" s="250"/>
    </row>
    <row r="1367" spans="2:9" ht="31.5" customHeight="1" thickBot="1">
      <c r="B1367" s="257" t="s">
        <v>98</v>
      </c>
      <c r="D1367" s="331" cm="1">
        <f t="array" aca="1" ref="D1367" ca="1">INDIRECT("xHesaplama!H"&amp;""&amp;ROW(D1364)+70-7*ROUNDDOWN(ROW(D1364)/8,0))</f>
        <v>0</v>
      </c>
      <c r="E1367" s="332"/>
      <c r="F1367" s="642" t="e">
        <f ca="1">VLOOKUP(LEFT(D1367,6),$J$2:$K$21,2,0)</f>
        <v>#N/A</v>
      </c>
      <c r="G1367" s="643"/>
    </row>
    <row r="1368" spans="2:9" ht="31.5" customHeight="1" thickBot="1">
      <c r="B1368" s="257" t="s">
        <v>832</v>
      </c>
      <c r="D1368" s="252" t="s">
        <v>359</v>
      </c>
      <c r="E1368" s="253" t="e" cm="1">
        <f t="array" aca="1" ref="E1368" ca="1">INDIRECT("xHesaplama!J"&amp;""&amp;ROW(D1364)+70-7*ROUNDDOWN(ROW(D1364)/8,0))</f>
        <v>#N/A</v>
      </c>
      <c r="F1368" s="254" t="s">
        <v>358</v>
      </c>
      <c r="G1368" s="253" t="e" cm="1">
        <f t="array" aca="1" ref="G1368" ca="1">INDIRECT("xHesaplama!K"&amp;""&amp;ROW(D1364)+70-7*ROUNDDOWN(ROW(D1364)/8,0))</f>
        <v>#N/A</v>
      </c>
    </row>
    <row r="1369" spans="2:9" ht="69" customHeight="1" thickBot="1">
      <c r="B1369" s="256" t="s">
        <v>869</v>
      </c>
      <c r="C1369" s="248"/>
      <c r="D1369" s="656"/>
      <c r="E1369" s="656"/>
      <c r="F1369" s="656"/>
      <c r="G1369" s="656"/>
    </row>
    <row r="1370" spans="2:9" ht="31.5" customHeight="1" thickBot="1">
      <c r="B1370" s="257" t="s">
        <v>870</v>
      </c>
      <c r="C1370" s="248"/>
      <c r="D1370" s="657" t="str">
        <f>'1PROJE'!$E$3</f>
        <v>GÜNEŞ PEN</v>
      </c>
      <c r="E1370" s="658"/>
      <c r="F1370" s="658"/>
      <c r="G1370" s="659"/>
    </row>
    <row r="1371" spans="2:9" ht="31.5" customHeight="1" thickBot="1">
      <c r="B1371" s="257" t="s">
        <v>871</v>
      </c>
      <c r="C1371" s="248"/>
      <c r="D1371" s="644" t="str">
        <f>'1PROJE'!$F$3</f>
        <v>GÜRKAN BEY</v>
      </c>
      <c r="E1371" s="645"/>
      <c r="F1371" s="645"/>
      <c r="G1371" s="646"/>
    </row>
    <row r="1372" spans="2:9" ht="31.5" customHeight="1" thickBot="1">
      <c r="B1372" s="257" t="s">
        <v>356</v>
      </c>
      <c r="C1372" s="248"/>
      <c r="D1372" s="647" t="e" cm="1">
        <f t="array" aca="1" ref="D1372" ca="1">INDIRECT("xHesaplama!I"&amp;""&amp;ROW(D1372)+70-7*ROUNDDOWN(ROW(D1372)/8,0))</f>
        <v>#N/A</v>
      </c>
      <c r="E1372" s="648"/>
      <c r="F1372" s="648"/>
      <c r="G1372" s="649"/>
    </row>
    <row r="1373" spans="2:9" ht="31.5" customHeight="1" thickBot="1">
      <c r="B1373" s="257" t="s">
        <v>342</v>
      </c>
      <c r="C1373" s="248"/>
      <c r="D1373" s="650" t="str">
        <f>$H$1</f>
        <v>KUTU</v>
      </c>
      <c r="E1373" s="651"/>
      <c r="F1373" s="651"/>
      <c r="G1373" s="652"/>
    </row>
    <row r="1374" spans="2:9" ht="31.5" customHeight="1" thickBot="1">
      <c r="B1374" s="257" t="s">
        <v>114</v>
      </c>
      <c r="C1374" s="248"/>
      <c r="D1374" s="653" t="str">
        <f>'1PROJE'!$G$3</f>
        <v>Z 5001</v>
      </c>
      <c r="E1374" s="654"/>
      <c r="F1374" s="654"/>
      <c r="G1374" s="655"/>
      <c r="I1374" s="250"/>
    </row>
    <row r="1375" spans="2:9" ht="31.5" customHeight="1" thickBot="1">
      <c r="B1375" s="257" t="s">
        <v>98</v>
      </c>
      <c r="D1375" s="331" cm="1">
        <f t="array" aca="1" ref="D1375" ca="1">INDIRECT("xHesaplama!H"&amp;""&amp;ROW(D1372)+70-7*ROUNDDOWN(ROW(D1372)/8,0))</f>
        <v>0</v>
      </c>
      <c r="E1375" s="332"/>
      <c r="F1375" s="642" t="e">
        <f ca="1">VLOOKUP(LEFT(D1375,6),$J$2:$K$21,2,0)</f>
        <v>#N/A</v>
      </c>
      <c r="G1375" s="643"/>
    </row>
    <row r="1376" spans="2:9" ht="31.5" customHeight="1" thickBot="1">
      <c r="B1376" s="257" t="s">
        <v>832</v>
      </c>
      <c r="D1376" s="252" t="s">
        <v>359</v>
      </c>
      <c r="E1376" s="253" t="e" cm="1">
        <f t="array" aca="1" ref="E1376" ca="1">INDIRECT("xHesaplama!J"&amp;""&amp;ROW(D1372)+70-7*ROUNDDOWN(ROW(D1372)/8,0))</f>
        <v>#N/A</v>
      </c>
      <c r="F1376" s="254" t="s">
        <v>358</v>
      </c>
      <c r="G1376" s="253" t="e" cm="1">
        <f t="array" aca="1" ref="G1376" ca="1">INDIRECT("xHesaplama!K"&amp;""&amp;ROW(D1372)+70-7*ROUNDDOWN(ROW(D1372)/8,0))</f>
        <v>#N/A</v>
      </c>
    </row>
    <row r="1377" spans="2:9" ht="69" customHeight="1" thickBot="1">
      <c r="B1377" s="256" t="s">
        <v>869</v>
      </c>
      <c r="C1377" s="248"/>
      <c r="D1377" s="656"/>
      <c r="E1377" s="656"/>
      <c r="F1377" s="656"/>
      <c r="G1377" s="656"/>
    </row>
    <row r="1378" spans="2:9" ht="31.5" customHeight="1" thickBot="1">
      <c r="B1378" s="257" t="s">
        <v>870</v>
      </c>
      <c r="C1378" s="248"/>
      <c r="D1378" s="657" t="str">
        <f>'1PROJE'!$E$3</f>
        <v>GÜNEŞ PEN</v>
      </c>
      <c r="E1378" s="658"/>
      <c r="F1378" s="658"/>
      <c r="G1378" s="659"/>
    </row>
    <row r="1379" spans="2:9" ht="31.5" customHeight="1" thickBot="1">
      <c r="B1379" s="257" t="s">
        <v>871</v>
      </c>
      <c r="C1379" s="248"/>
      <c r="D1379" s="644" t="str">
        <f>'1PROJE'!$F$3</f>
        <v>GÜRKAN BEY</v>
      </c>
      <c r="E1379" s="645"/>
      <c r="F1379" s="645"/>
      <c r="G1379" s="646"/>
    </row>
    <row r="1380" spans="2:9" ht="31.5" customHeight="1" thickBot="1">
      <c r="B1380" s="257" t="s">
        <v>356</v>
      </c>
      <c r="C1380" s="248"/>
      <c r="D1380" s="647" t="e" cm="1">
        <f t="array" aca="1" ref="D1380" ca="1">INDIRECT("xHesaplama!I"&amp;""&amp;ROW(D1380)+70-7*ROUNDDOWN(ROW(D1380)/8,0))</f>
        <v>#N/A</v>
      </c>
      <c r="E1380" s="648"/>
      <c r="F1380" s="648"/>
      <c r="G1380" s="649"/>
    </row>
    <row r="1381" spans="2:9" ht="31.5" customHeight="1" thickBot="1">
      <c r="B1381" s="257" t="s">
        <v>342</v>
      </c>
      <c r="C1381" s="248"/>
      <c r="D1381" s="650" t="str">
        <f>$H$1</f>
        <v>KUTU</v>
      </c>
      <c r="E1381" s="651"/>
      <c r="F1381" s="651"/>
      <c r="G1381" s="652"/>
    </row>
    <row r="1382" spans="2:9" ht="31.5" customHeight="1" thickBot="1">
      <c r="B1382" s="257" t="s">
        <v>114</v>
      </c>
      <c r="C1382" s="248"/>
      <c r="D1382" s="653" t="str">
        <f>'1PROJE'!$G$3</f>
        <v>Z 5001</v>
      </c>
      <c r="E1382" s="654"/>
      <c r="F1382" s="654"/>
      <c r="G1382" s="655"/>
      <c r="I1382" s="250"/>
    </row>
    <row r="1383" spans="2:9" ht="31.5" customHeight="1" thickBot="1">
      <c r="B1383" s="257" t="s">
        <v>98</v>
      </c>
      <c r="D1383" s="331" cm="1">
        <f t="array" aca="1" ref="D1383" ca="1">INDIRECT("xHesaplama!H"&amp;""&amp;ROW(D1380)+70-7*ROUNDDOWN(ROW(D1380)/8,0))</f>
        <v>0</v>
      </c>
      <c r="E1383" s="332"/>
      <c r="F1383" s="642" t="e">
        <f ca="1">VLOOKUP(LEFT(D1383,6),$J$2:$K$21,2,0)</f>
        <v>#N/A</v>
      </c>
      <c r="G1383" s="643"/>
    </row>
    <row r="1384" spans="2:9" ht="31.5" customHeight="1" thickBot="1">
      <c r="B1384" s="257" t="s">
        <v>832</v>
      </c>
      <c r="D1384" s="252" t="s">
        <v>359</v>
      </c>
      <c r="E1384" s="253" t="e" cm="1">
        <f t="array" aca="1" ref="E1384" ca="1">INDIRECT("xHesaplama!J"&amp;""&amp;ROW(D1380)+70-7*ROUNDDOWN(ROW(D1380)/8,0))</f>
        <v>#N/A</v>
      </c>
      <c r="F1384" s="254" t="s">
        <v>358</v>
      </c>
      <c r="G1384" s="253" t="e" cm="1">
        <f t="array" aca="1" ref="G1384" ca="1">INDIRECT("xHesaplama!K"&amp;""&amp;ROW(D1380)+70-7*ROUNDDOWN(ROW(D1380)/8,0))</f>
        <v>#N/A</v>
      </c>
    </row>
    <row r="1385" spans="2:9" ht="69" customHeight="1" thickBot="1">
      <c r="B1385" s="256" t="s">
        <v>869</v>
      </c>
      <c r="C1385" s="248"/>
      <c r="D1385" s="656"/>
      <c r="E1385" s="656"/>
      <c r="F1385" s="656"/>
      <c r="G1385" s="656"/>
    </row>
    <row r="1386" spans="2:9" ht="31.5" customHeight="1" thickBot="1">
      <c r="B1386" s="257" t="s">
        <v>870</v>
      </c>
      <c r="C1386" s="248"/>
      <c r="D1386" s="657" t="str">
        <f>'1PROJE'!$E$3</f>
        <v>GÜNEŞ PEN</v>
      </c>
      <c r="E1386" s="658"/>
      <c r="F1386" s="658"/>
      <c r="G1386" s="659"/>
    </row>
    <row r="1387" spans="2:9" ht="31.5" customHeight="1" thickBot="1">
      <c r="B1387" s="257" t="s">
        <v>871</v>
      </c>
      <c r="C1387" s="248"/>
      <c r="D1387" s="644" t="str">
        <f>'1PROJE'!$F$3</f>
        <v>GÜRKAN BEY</v>
      </c>
      <c r="E1387" s="645"/>
      <c r="F1387" s="645"/>
      <c r="G1387" s="646"/>
    </row>
    <row r="1388" spans="2:9" ht="31.5" customHeight="1" thickBot="1">
      <c r="B1388" s="257" t="s">
        <v>356</v>
      </c>
      <c r="C1388" s="248"/>
      <c r="D1388" s="647" t="e" cm="1">
        <f t="array" aca="1" ref="D1388" ca="1">INDIRECT("xHesaplama!I"&amp;""&amp;ROW(D1388)+70-7*ROUNDDOWN(ROW(D1388)/8,0))</f>
        <v>#N/A</v>
      </c>
      <c r="E1388" s="648"/>
      <c r="F1388" s="648"/>
      <c r="G1388" s="649"/>
    </row>
    <row r="1389" spans="2:9" ht="31.5" customHeight="1" thickBot="1">
      <c r="B1389" s="257" t="s">
        <v>342</v>
      </c>
      <c r="C1389" s="248"/>
      <c r="D1389" s="650" t="str">
        <f>$H$1</f>
        <v>KUTU</v>
      </c>
      <c r="E1389" s="651"/>
      <c r="F1389" s="651"/>
      <c r="G1389" s="652"/>
    </row>
    <row r="1390" spans="2:9" ht="31.5" customHeight="1" thickBot="1">
      <c r="B1390" s="257" t="s">
        <v>114</v>
      </c>
      <c r="C1390" s="248"/>
      <c r="D1390" s="653" t="str">
        <f>'1PROJE'!$G$3</f>
        <v>Z 5001</v>
      </c>
      <c r="E1390" s="654"/>
      <c r="F1390" s="654"/>
      <c r="G1390" s="655"/>
      <c r="I1390" s="250"/>
    </row>
    <row r="1391" spans="2:9" ht="31.5" customHeight="1" thickBot="1">
      <c r="B1391" s="257" t="s">
        <v>98</v>
      </c>
      <c r="D1391" s="331" cm="1">
        <f t="array" aca="1" ref="D1391" ca="1">INDIRECT("xHesaplama!H"&amp;""&amp;ROW(D1388)+70-7*ROUNDDOWN(ROW(D1388)/8,0))</f>
        <v>0</v>
      </c>
      <c r="E1391" s="332"/>
      <c r="F1391" s="642" t="e">
        <f ca="1">VLOOKUP(LEFT(D1391,6),$J$2:$K$21,2,0)</f>
        <v>#N/A</v>
      </c>
      <c r="G1391" s="643"/>
    </row>
    <row r="1392" spans="2:9" ht="31.5" customHeight="1" thickBot="1">
      <c r="B1392" s="257" t="s">
        <v>832</v>
      </c>
      <c r="D1392" s="252" t="s">
        <v>359</v>
      </c>
      <c r="E1392" s="253" t="e" cm="1">
        <f t="array" aca="1" ref="E1392" ca="1">INDIRECT("xHesaplama!J"&amp;""&amp;ROW(D1388)+70-7*ROUNDDOWN(ROW(D1388)/8,0))</f>
        <v>#N/A</v>
      </c>
      <c r="F1392" s="254" t="s">
        <v>358</v>
      </c>
      <c r="G1392" s="253" t="e" cm="1">
        <f t="array" aca="1" ref="G1392" ca="1">INDIRECT("xHesaplama!K"&amp;""&amp;ROW(D1388)+70-7*ROUNDDOWN(ROW(D1388)/8,0))</f>
        <v>#N/A</v>
      </c>
    </row>
    <row r="1393" spans="2:9" ht="69" customHeight="1" thickBot="1">
      <c r="B1393" s="256" t="s">
        <v>869</v>
      </c>
      <c r="C1393" s="248"/>
      <c r="D1393" s="656"/>
      <c r="E1393" s="656"/>
      <c r="F1393" s="656"/>
      <c r="G1393" s="656"/>
    </row>
    <row r="1394" spans="2:9" ht="31.5" customHeight="1" thickBot="1">
      <c r="B1394" s="257" t="s">
        <v>870</v>
      </c>
      <c r="C1394" s="248"/>
      <c r="D1394" s="657" t="str">
        <f>'1PROJE'!$E$3</f>
        <v>GÜNEŞ PEN</v>
      </c>
      <c r="E1394" s="658"/>
      <c r="F1394" s="658"/>
      <c r="G1394" s="659"/>
    </row>
    <row r="1395" spans="2:9" ht="31.5" customHeight="1" thickBot="1">
      <c r="B1395" s="257" t="s">
        <v>871</v>
      </c>
      <c r="C1395" s="248"/>
      <c r="D1395" s="644" t="str">
        <f>'1PROJE'!$F$3</f>
        <v>GÜRKAN BEY</v>
      </c>
      <c r="E1395" s="645"/>
      <c r="F1395" s="645"/>
      <c r="G1395" s="646"/>
    </row>
    <row r="1396" spans="2:9" ht="31.5" customHeight="1" thickBot="1">
      <c r="B1396" s="257" t="s">
        <v>356</v>
      </c>
      <c r="C1396" s="248"/>
      <c r="D1396" s="647" t="e" cm="1">
        <f t="array" aca="1" ref="D1396" ca="1">INDIRECT("xHesaplama!I"&amp;""&amp;ROW(D1396)+70-7*ROUNDDOWN(ROW(D1396)/8,0))</f>
        <v>#N/A</v>
      </c>
      <c r="E1396" s="648"/>
      <c r="F1396" s="648"/>
      <c r="G1396" s="649"/>
    </row>
    <row r="1397" spans="2:9" ht="31.5" customHeight="1" thickBot="1">
      <c r="B1397" s="257" t="s">
        <v>342</v>
      </c>
      <c r="C1397" s="248"/>
      <c r="D1397" s="650" t="str">
        <f>$H$1</f>
        <v>KUTU</v>
      </c>
      <c r="E1397" s="651"/>
      <c r="F1397" s="651"/>
      <c r="G1397" s="652"/>
    </row>
    <row r="1398" spans="2:9" ht="31.5" customHeight="1" thickBot="1">
      <c r="B1398" s="257" t="s">
        <v>114</v>
      </c>
      <c r="C1398" s="248"/>
      <c r="D1398" s="653" t="str">
        <f>'1PROJE'!$G$3</f>
        <v>Z 5001</v>
      </c>
      <c r="E1398" s="654"/>
      <c r="F1398" s="654"/>
      <c r="G1398" s="655"/>
      <c r="I1398" s="250"/>
    </row>
    <row r="1399" spans="2:9" ht="31.5" customHeight="1" thickBot="1">
      <c r="B1399" s="257" t="s">
        <v>98</v>
      </c>
      <c r="D1399" s="331" cm="1">
        <f t="array" aca="1" ref="D1399" ca="1">INDIRECT("xHesaplama!H"&amp;""&amp;ROW(D1396)+70-7*ROUNDDOWN(ROW(D1396)/8,0))</f>
        <v>0</v>
      </c>
      <c r="E1399" s="332"/>
      <c r="F1399" s="642" t="e">
        <f ca="1">VLOOKUP(LEFT(D1399,6),$J$2:$K$21,2,0)</f>
        <v>#N/A</v>
      </c>
      <c r="G1399" s="643"/>
    </row>
    <row r="1400" spans="2:9" ht="31.5" customHeight="1" thickBot="1">
      <c r="B1400" s="257" t="s">
        <v>832</v>
      </c>
      <c r="D1400" s="252" t="s">
        <v>359</v>
      </c>
      <c r="E1400" s="253" t="e" cm="1">
        <f t="array" aca="1" ref="E1400" ca="1">INDIRECT("xHesaplama!J"&amp;""&amp;ROW(D1396)+70-7*ROUNDDOWN(ROW(D1396)/8,0))</f>
        <v>#N/A</v>
      </c>
      <c r="F1400" s="254" t="s">
        <v>358</v>
      </c>
      <c r="G1400" s="253" t="e" cm="1">
        <f t="array" aca="1" ref="G1400" ca="1">INDIRECT("xHesaplama!K"&amp;""&amp;ROW(D1396)+70-7*ROUNDDOWN(ROW(D1396)/8,0))</f>
        <v>#N/A</v>
      </c>
    </row>
    <row r="1401" spans="2:9" ht="69" customHeight="1" thickBot="1">
      <c r="B1401" s="256" t="s">
        <v>869</v>
      </c>
      <c r="C1401" s="248"/>
      <c r="D1401" s="656"/>
      <c r="E1401" s="656"/>
      <c r="F1401" s="656"/>
      <c r="G1401" s="656"/>
    </row>
    <row r="1402" spans="2:9" ht="31.5" customHeight="1" thickBot="1">
      <c r="B1402" s="257" t="s">
        <v>870</v>
      </c>
      <c r="C1402" s="248"/>
      <c r="D1402" s="657" t="str">
        <f>'1PROJE'!$E$3</f>
        <v>GÜNEŞ PEN</v>
      </c>
      <c r="E1402" s="658"/>
      <c r="F1402" s="658"/>
      <c r="G1402" s="659"/>
    </row>
    <row r="1403" spans="2:9" ht="31.5" customHeight="1" thickBot="1">
      <c r="B1403" s="257" t="s">
        <v>871</v>
      </c>
      <c r="C1403" s="248"/>
      <c r="D1403" s="644" t="str">
        <f>'1PROJE'!$F$3</f>
        <v>GÜRKAN BEY</v>
      </c>
      <c r="E1403" s="645"/>
      <c r="F1403" s="645"/>
      <c r="G1403" s="646"/>
    </row>
    <row r="1404" spans="2:9" ht="31.5" customHeight="1" thickBot="1">
      <c r="B1404" s="257" t="s">
        <v>356</v>
      </c>
      <c r="C1404" s="248"/>
      <c r="D1404" s="647" t="e" cm="1">
        <f t="array" aca="1" ref="D1404" ca="1">INDIRECT("xHesaplama!I"&amp;""&amp;ROW(D1404)+70-7*ROUNDDOWN(ROW(D1404)/8,0))</f>
        <v>#N/A</v>
      </c>
      <c r="E1404" s="648"/>
      <c r="F1404" s="648"/>
      <c r="G1404" s="649"/>
    </row>
    <row r="1405" spans="2:9" ht="31.5" customHeight="1" thickBot="1">
      <c r="B1405" s="257" t="s">
        <v>342</v>
      </c>
      <c r="C1405" s="248"/>
      <c r="D1405" s="650" t="str">
        <f>$H$1</f>
        <v>KUTU</v>
      </c>
      <c r="E1405" s="651"/>
      <c r="F1405" s="651"/>
      <c r="G1405" s="652"/>
    </row>
    <row r="1406" spans="2:9" ht="31.5" customHeight="1" thickBot="1">
      <c r="B1406" s="257" t="s">
        <v>114</v>
      </c>
      <c r="C1406" s="248"/>
      <c r="D1406" s="653" t="str">
        <f>'1PROJE'!$G$3</f>
        <v>Z 5001</v>
      </c>
      <c r="E1406" s="654"/>
      <c r="F1406" s="654"/>
      <c r="G1406" s="655"/>
      <c r="I1406" s="250"/>
    </row>
    <row r="1407" spans="2:9" ht="31.5" customHeight="1" thickBot="1">
      <c r="B1407" s="257" t="s">
        <v>98</v>
      </c>
      <c r="D1407" s="331" cm="1">
        <f t="array" aca="1" ref="D1407" ca="1">INDIRECT("xHesaplama!H"&amp;""&amp;ROW(D1404)+70-7*ROUNDDOWN(ROW(D1404)/8,0))</f>
        <v>0</v>
      </c>
      <c r="E1407" s="332"/>
      <c r="F1407" s="642" t="e">
        <f ca="1">VLOOKUP(LEFT(D1407,6),$J$2:$K$21,2,0)</f>
        <v>#N/A</v>
      </c>
      <c r="G1407" s="643"/>
    </row>
    <row r="1408" spans="2:9" ht="31.5" customHeight="1" thickBot="1">
      <c r="B1408" s="257" t="s">
        <v>832</v>
      </c>
      <c r="D1408" s="252" t="s">
        <v>359</v>
      </c>
      <c r="E1408" s="253" t="e" cm="1">
        <f t="array" aca="1" ref="E1408" ca="1">INDIRECT("xHesaplama!J"&amp;""&amp;ROW(D1404)+70-7*ROUNDDOWN(ROW(D1404)/8,0))</f>
        <v>#N/A</v>
      </c>
      <c r="F1408" s="254" t="s">
        <v>358</v>
      </c>
      <c r="G1408" s="253" t="e" cm="1">
        <f t="array" aca="1" ref="G1408" ca="1">INDIRECT("xHesaplama!K"&amp;""&amp;ROW(D1404)+70-7*ROUNDDOWN(ROW(D1404)/8,0))</f>
        <v>#N/A</v>
      </c>
    </row>
    <row r="1409" spans="2:9" ht="69" customHeight="1" thickBot="1">
      <c r="B1409" s="256" t="s">
        <v>869</v>
      </c>
      <c r="C1409" s="248"/>
      <c r="D1409" s="656"/>
      <c r="E1409" s="656"/>
      <c r="F1409" s="656"/>
      <c r="G1409" s="656"/>
    </row>
    <row r="1410" spans="2:9" ht="31.5" customHeight="1" thickBot="1">
      <c r="B1410" s="257" t="s">
        <v>870</v>
      </c>
      <c r="C1410" s="248"/>
      <c r="D1410" s="657" t="str">
        <f>'1PROJE'!$E$3</f>
        <v>GÜNEŞ PEN</v>
      </c>
      <c r="E1410" s="658"/>
      <c r="F1410" s="658"/>
      <c r="G1410" s="659"/>
    </row>
    <row r="1411" spans="2:9" ht="31.5" customHeight="1" thickBot="1">
      <c r="B1411" s="257" t="s">
        <v>871</v>
      </c>
      <c r="C1411" s="248"/>
      <c r="D1411" s="644" t="str">
        <f>'1PROJE'!$F$3</f>
        <v>GÜRKAN BEY</v>
      </c>
      <c r="E1411" s="645"/>
      <c r="F1411" s="645"/>
      <c r="G1411" s="646"/>
    </row>
    <row r="1412" spans="2:9" ht="31.5" customHeight="1" thickBot="1">
      <c r="B1412" s="257" t="s">
        <v>356</v>
      </c>
      <c r="C1412" s="248"/>
      <c r="D1412" s="647" t="e" cm="1">
        <f t="array" aca="1" ref="D1412" ca="1">INDIRECT("xHesaplama!I"&amp;""&amp;ROW(D1412)+70-7*ROUNDDOWN(ROW(D1412)/8,0))</f>
        <v>#N/A</v>
      </c>
      <c r="E1412" s="648"/>
      <c r="F1412" s="648"/>
      <c r="G1412" s="649"/>
    </row>
    <row r="1413" spans="2:9" ht="31.5" customHeight="1" thickBot="1">
      <c r="B1413" s="257" t="s">
        <v>342</v>
      </c>
      <c r="C1413" s="248"/>
      <c r="D1413" s="650" t="str">
        <f>$H$1</f>
        <v>KUTU</v>
      </c>
      <c r="E1413" s="651"/>
      <c r="F1413" s="651"/>
      <c r="G1413" s="652"/>
    </row>
    <row r="1414" spans="2:9" ht="31.5" customHeight="1" thickBot="1">
      <c r="B1414" s="257" t="s">
        <v>114</v>
      </c>
      <c r="C1414" s="248"/>
      <c r="D1414" s="653" t="str">
        <f>'1PROJE'!$G$3</f>
        <v>Z 5001</v>
      </c>
      <c r="E1414" s="654"/>
      <c r="F1414" s="654"/>
      <c r="G1414" s="655"/>
      <c r="I1414" s="250"/>
    </row>
    <row r="1415" spans="2:9" ht="31.5" customHeight="1" thickBot="1">
      <c r="B1415" s="257" t="s">
        <v>98</v>
      </c>
      <c r="D1415" s="331" cm="1">
        <f t="array" aca="1" ref="D1415" ca="1">INDIRECT("xHesaplama!H"&amp;""&amp;ROW(D1412)+70-7*ROUNDDOWN(ROW(D1412)/8,0))</f>
        <v>0</v>
      </c>
      <c r="E1415" s="332"/>
      <c r="F1415" s="642" t="e">
        <f ca="1">VLOOKUP(LEFT(D1415,6),$J$2:$K$21,2,0)</f>
        <v>#N/A</v>
      </c>
      <c r="G1415" s="643"/>
    </row>
    <row r="1416" spans="2:9" ht="31.5" customHeight="1" thickBot="1">
      <c r="B1416" s="257" t="s">
        <v>832</v>
      </c>
      <c r="D1416" s="252" t="s">
        <v>359</v>
      </c>
      <c r="E1416" s="253" t="e" cm="1">
        <f t="array" aca="1" ref="E1416" ca="1">INDIRECT("xHesaplama!J"&amp;""&amp;ROW(D1412)+70-7*ROUNDDOWN(ROW(D1412)/8,0))</f>
        <v>#N/A</v>
      </c>
      <c r="F1416" s="254" t="s">
        <v>358</v>
      </c>
      <c r="G1416" s="253" t="e" cm="1">
        <f t="array" aca="1" ref="G1416" ca="1">INDIRECT("xHesaplama!K"&amp;""&amp;ROW(D1412)+70-7*ROUNDDOWN(ROW(D1412)/8,0))</f>
        <v>#N/A</v>
      </c>
    </row>
    <row r="1417" spans="2:9" ht="69" customHeight="1" thickBot="1">
      <c r="B1417" s="256" t="s">
        <v>869</v>
      </c>
      <c r="C1417" s="248"/>
      <c r="D1417" s="656"/>
      <c r="E1417" s="656"/>
      <c r="F1417" s="656"/>
      <c r="G1417" s="656"/>
    </row>
    <row r="1418" spans="2:9" ht="31.5" customHeight="1" thickBot="1">
      <c r="B1418" s="257" t="s">
        <v>870</v>
      </c>
      <c r="C1418" s="248"/>
      <c r="D1418" s="657" t="str">
        <f>'1PROJE'!$E$3</f>
        <v>GÜNEŞ PEN</v>
      </c>
      <c r="E1418" s="658"/>
      <c r="F1418" s="658"/>
      <c r="G1418" s="659"/>
    </row>
    <row r="1419" spans="2:9" ht="31.5" customHeight="1" thickBot="1">
      <c r="B1419" s="257" t="s">
        <v>871</v>
      </c>
      <c r="C1419" s="248"/>
      <c r="D1419" s="644" t="str">
        <f>'1PROJE'!$F$3</f>
        <v>GÜRKAN BEY</v>
      </c>
      <c r="E1419" s="645"/>
      <c r="F1419" s="645"/>
      <c r="G1419" s="646"/>
    </row>
    <row r="1420" spans="2:9" ht="31.5" customHeight="1" thickBot="1">
      <c r="B1420" s="257" t="s">
        <v>356</v>
      </c>
      <c r="C1420" s="248"/>
      <c r="D1420" s="647" t="e" cm="1">
        <f t="array" aca="1" ref="D1420" ca="1">INDIRECT("xHesaplama!I"&amp;""&amp;ROW(D1420)+70-7*ROUNDDOWN(ROW(D1420)/8,0))</f>
        <v>#N/A</v>
      </c>
      <c r="E1420" s="648"/>
      <c r="F1420" s="648"/>
      <c r="G1420" s="649"/>
    </row>
    <row r="1421" spans="2:9" ht="31.5" customHeight="1" thickBot="1">
      <c r="B1421" s="257" t="s">
        <v>342</v>
      </c>
      <c r="C1421" s="248"/>
      <c r="D1421" s="650" t="str">
        <f>$H$1</f>
        <v>KUTU</v>
      </c>
      <c r="E1421" s="651"/>
      <c r="F1421" s="651"/>
      <c r="G1421" s="652"/>
    </row>
    <row r="1422" spans="2:9" ht="31.5" customHeight="1" thickBot="1">
      <c r="B1422" s="257" t="s">
        <v>114</v>
      </c>
      <c r="C1422" s="248"/>
      <c r="D1422" s="653" t="str">
        <f>'1PROJE'!$G$3</f>
        <v>Z 5001</v>
      </c>
      <c r="E1422" s="654"/>
      <c r="F1422" s="654"/>
      <c r="G1422" s="655"/>
      <c r="I1422" s="250"/>
    </row>
    <row r="1423" spans="2:9" ht="31.5" customHeight="1" thickBot="1">
      <c r="B1423" s="257" t="s">
        <v>98</v>
      </c>
      <c r="D1423" s="331" cm="1">
        <f t="array" aca="1" ref="D1423" ca="1">INDIRECT("xHesaplama!H"&amp;""&amp;ROW(D1420)+70-7*ROUNDDOWN(ROW(D1420)/8,0))</f>
        <v>0</v>
      </c>
      <c r="E1423" s="332"/>
      <c r="F1423" s="642" t="e">
        <f ca="1">VLOOKUP(LEFT(D1423,6),$J$2:$K$21,2,0)</f>
        <v>#N/A</v>
      </c>
      <c r="G1423" s="643"/>
    </row>
    <row r="1424" spans="2:9" ht="31.5" customHeight="1" thickBot="1">
      <c r="B1424" s="257" t="s">
        <v>832</v>
      </c>
      <c r="D1424" s="252" t="s">
        <v>359</v>
      </c>
      <c r="E1424" s="253" t="e" cm="1">
        <f t="array" aca="1" ref="E1424" ca="1">INDIRECT("xHesaplama!J"&amp;""&amp;ROW(D1420)+70-7*ROUNDDOWN(ROW(D1420)/8,0))</f>
        <v>#N/A</v>
      </c>
      <c r="F1424" s="254" t="s">
        <v>358</v>
      </c>
      <c r="G1424" s="253" t="e" cm="1">
        <f t="array" aca="1" ref="G1424" ca="1">INDIRECT("xHesaplama!K"&amp;""&amp;ROW(D1420)+70-7*ROUNDDOWN(ROW(D1420)/8,0))</f>
        <v>#N/A</v>
      </c>
    </row>
    <row r="1425" spans="2:9" ht="69" customHeight="1" thickBot="1">
      <c r="B1425" s="256" t="s">
        <v>869</v>
      </c>
      <c r="C1425" s="248"/>
      <c r="D1425" s="656"/>
      <c r="E1425" s="656"/>
      <c r="F1425" s="656"/>
      <c r="G1425" s="656"/>
    </row>
    <row r="1426" spans="2:9" ht="31.5" customHeight="1" thickBot="1">
      <c r="B1426" s="257" t="s">
        <v>870</v>
      </c>
      <c r="C1426" s="248"/>
      <c r="D1426" s="657" t="str">
        <f>'1PROJE'!$E$3</f>
        <v>GÜNEŞ PEN</v>
      </c>
      <c r="E1426" s="658"/>
      <c r="F1426" s="658"/>
      <c r="G1426" s="659"/>
    </row>
    <row r="1427" spans="2:9" ht="31.5" customHeight="1" thickBot="1">
      <c r="B1427" s="257" t="s">
        <v>871</v>
      </c>
      <c r="C1427" s="248"/>
      <c r="D1427" s="644" t="str">
        <f>'1PROJE'!$F$3</f>
        <v>GÜRKAN BEY</v>
      </c>
      <c r="E1427" s="645"/>
      <c r="F1427" s="645"/>
      <c r="G1427" s="646"/>
    </row>
    <row r="1428" spans="2:9" ht="31.5" customHeight="1" thickBot="1">
      <c r="B1428" s="257" t="s">
        <v>356</v>
      </c>
      <c r="C1428" s="248"/>
      <c r="D1428" s="647" t="e" cm="1">
        <f t="array" aca="1" ref="D1428" ca="1">INDIRECT("xHesaplama!I"&amp;""&amp;ROW(D1428)+70-7*ROUNDDOWN(ROW(D1428)/8,0))</f>
        <v>#N/A</v>
      </c>
      <c r="E1428" s="648"/>
      <c r="F1428" s="648"/>
      <c r="G1428" s="649"/>
    </row>
    <row r="1429" spans="2:9" ht="31.5" customHeight="1" thickBot="1">
      <c r="B1429" s="257" t="s">
        <v>342</v>
      </c>
      <c r="C1429" s="248"/>
      <c r="D1429" s="650" t="str">
        <f>$H$1</f>
        <v>KUTU</v>
      </c>
      <c r="E1429" s="651"/>
      <c r="F1429" s="651"/>
      <c r="G1429" s="652"/>
    </row>
    <row r="1430" spans="2:9" ht="31.5" customHeight="1" thickBot="1">
      <c r="B1430" s="257" t="s">
        <v>114</v>
      </c>
      <c r="C1430" s="248"/>
      <c r="D1430" s="653" t="str">
        <f>'1PROJE'!$G$3</f>
        <v>Z 5001</v>
      </c>
      <c r="E1430" s="654"/>
      <c r="F1430" s="654"/>
      <c r="G1430" s="655"/>
      <c r="I1430" s="250"/>
    </row>
    <row r="1431" spans="2:9" ht="31.5" customHeight="1" thickBot="1">
      <c r="B1431" s="257" t="s">
        <v>98</v>
      </c>
      <c r="D1431" s="331" cm="1">
        <f t="array" aca="1" ref="D1431" ca="1">INDIRECT("xHesaplama!H"&amp;""&amp;ROW(D1428)+70-7*ROUNDDOWN(ROW(D1428)/8,0))</f>
        <v>0</v>
      </c>
      <c r="E1431" s="332"/>
      <c r="F1431" s="642" t="e">
        <f ca="1">VLOOKUP(LEFT(D1431,6),$J$2:$K$21,2,0)</f>
        <v>#N/A</v>
      </c>
      <c r="G1431" s="643"/>
    </row>
    <row r="1432" spans="2:9" ht="31.5" customHeight="1" thickBot="1">
      <c r="B1432" s="257" t="s">
        <v>832</v>
      </c>
      <c r="D1432" s="252" t="s">
        <v>359</v>
      </c>
      <c r="E1432" s="253" t="e" cm="1">
        <f t="array" aca="1" ref="E1432" ca="1">INDIRECT("xHesaplama!J"&amp;""&amp;ROW(D1428)+70-7*ROUNDDOWN(ROW(D1428)/8,0))</f>
        <v>#N/A</v>
      </c>
      <c r="F1432" s="254" t="s">
        <v>358</v>
      </c>
      <c r="G1432" s="253" t="e" cm="1">
        <f t="array" aca="1" ref="G1432" ca="1">INDIRECT("xHesaplama!K"&amp;""&amp;ROW(D1428)+70-7*ROUNDDOWN(ROW(D1428)/8,0))</f>
        <v>#N/A</v>
      </c>
    </row>
    <row r="1433" spans="2:9" ht="69" customHeight="1" thickBot="1">
      <c r="B1433" s="256" t="s">
        <v>869</v>
      </c>
      <c r="C1433" s="248"/>
      <c r="D1433" s="656"/>
      <c r="E1433" s="656"/>
      <c r="F1433" s="656"/>
      <c r="G1433" s="656"/>
    </row>
    <row r="1434" spans="2:9" ht="31.5" customHeight="1" thickBot="1">
      <c r="B1434" s="257" t="s">
        <v>870</v>
      </c>
      <c r="C1434" s="248"/>
      <c r="D1434" s="657" t="str">
        <f>'1PROJE'!$E$3</f>
        <v>GÜNEŞ PEN</v>
      </c>
      <c r="E1434" s="658"/>
      <c r="F1434" s="658"/>
      <c r="G1434" s="659"/>
    </row>
    <row r="1435" spans="2:9" ht="31.5" customHeight="1" thickBot="1">
      <c r="B1435" s="257" t="s">
        <v>871</v>
      </c>
      <c r="C1435" s="248"/>
      <c r="D1435" s="644" t="str">
        <f>'1PROJE'!$F$3</f>
        <v>GÜRKAN BEY</v>
      </c>
      <c r="E1435" s="645"/>
      <c r="F1435" s="645"/>
      <c r="G1435" s="646"/>
    </row>
    <row r="1436" spans="2:9" ht="31.5" customHeight="1" thickBot="1">
      <c r="B1436" s="257" t="s">
        <v>356</v>
      </c>
      <c r="C1436" s="248"/>
      <c r="D1436" s="647" t="e" cm="1">
        <f t="array" aca="1" ref="D1436" ca="1">INDIRECT("xHesaplama!I"&amp;""&amp;ROW(D1436)+70-7*ROUNDDOWN(ROW(D1436)/8,0))</f>
        <v>#N/A</v>
      </c>
      <c r="E1436" s="648"/>
      <c r="F1436" s="648"/>
      <c r="G1436" s="649"/>
    </row>
    <row r="1437" spans="2:9" ht="31.5" customHeight="1" thickBot="1">
      <c r="B1437" s="257" t="s">
        <v>342</v>
      </c>
      <c r="C1437" s="248"/>
      <c r="D1437" s="650" t="str">
        <f>$H$1</f>
        <v>KUTU</v>
      </c>
      <c r="E1437" s="651"/>
      <c r="F1437" s="651"/>
      <c r="G1437" s="652"/>
    </row>
    <row r="1438" spans="2:9" ht="31.5" customHeight="1" thickBot="1">
      <c r="B1438" s="257" t="s">
        <v>114</v>
      </c>
      <c r="C1438" s="248"/>
      <c r="D1438" s="653" t="str">
        <f>'1PROJE'!$G$3</f>
        <v>Z 5001</v>
      </c>
      <c r="E1438" s="654"/>
      <c r="F1438" s="654"/>
      <c r="G1438" s="655"/>
      <c r="I1438" s="250"/>
    </row>
    <row r="1439" spans="2:9" ht="31.5" customHeight="1" thickBot="1">
      <c r="B1439" s="257" t="s">
        <v>98</v>
      </c>
      <c r="D1439" s="331" cm="1">
        <f t="array" aca="1" ref="D1439" ca="1">INDIRECT("xHesaplama!H"&amp;""&amp;ROW(D1436)+70-7*ROUNDDOWN(ROW(D1436)/8,0))</f>
        <v>0</v>
      </c>
      <c r="E1439" s="332"/>
      <c r="F1439" s="642" t="e">
        <f ca="1">VLOOKUP(LEFT(D1439,6),$J$2:$K$21,2,0)</f>
        <v>#N/A</v>
      </c>
      <c r="G1439" s="643"/>
    </row>
    <row r="1440" spans="2:9" ht="31.5" customHeight="1" thickBot="1">
      <c r="B1440" s="257" t="s">
        <v>832</v>
      </c>
      <c r="D1440" s="252" t="s">
        <v>359</v>
      </c>
      <c r="E1440" s="253" t="e" cm="1">
        <f t="array" aca="1" ref="E1440" ca="1">INDIRECT("xHesaplama!J"&amp;""&amp;ROW(D1436)+70-7*ROUNDDOWN(ROW(D1436)/8,0))</f>
        <v>#N/A</v>
      </c>
      <c r="F1440" s="254" t="s">
        <v>358</v>
      </c>
      <c r="G1440" s="253" t="e" cm="1">
        <f t="array" aca="1" ref="G1440" ca="1">INDIRECT("xHesaplama!K"&amp;""&amp;ROW(D1436)+70-7*ROUNDDOWN(ROW(D1436)/8,0))</f>
        <v>#N/A</v>
      </c>
    </row>
    <row r="1441" spans="2:9" ht="69" customHeight="1" thickBot="1">
      <c r="B1441" s="256" t="s">
        <v>869</v>
      </c>
      <c r="C1441" s="248"/>
      <c r="D1441" s="656"/>
      <c r="E1441" s="656"/>
      <c r="F1441" s="656"/>
      <c r="G1441" s="656"/>
    </row>
    <row r="1442" spans="2:9" ht="31.5" customHeight="1" thickBot="1">
      <c r="B1442" s="257" t="s">
        <v>870</v>
      </c>
      <c r="C1442" s="248"/>
      <c r="D1442" s="657" t="str">
        <f>'1PROJE'!$E$3</f>
        <v>GÜNEŞ PEN</v>
      </c>
      <c r="E1442" s="658"/>
      <c r="F1442" s="658"/>
      <c r="G1442" s="659"/>
    </row>
    <row r="1443" spans="2:9" ht="31.5" customHeight="1" thickBot="1">
      <c r="B1443" s="257" t="s">
        <v>871</v>
      </c>
      <c r="C1443" s="248"/>
      <c r="D1443" s="644" t="str">
        <f>'1PROJE'!$F$3</f>
        <v>GÜRKAN BEY</v>
      </c>
      <c r="E1443" s="645"/>
      <c r="F1443" s="645"/>
      <c r="G1443" s="646"/>
    </row>
    <row r="1444" spans="2:9" ht="31.5" customHeight="1" thickBot="1">
      <c r="B1444" s="257" t="s">
        <v>356</v>
      </c>
      <c r="C1444" s="248"/>
      <c r="D1444" s="647" t="e" cm="1">
        <f t="array" aca="1" ref="D1444" ca="1">INDIRECT("xHesaplama!I"&amp;""&amp;ROW(D1444)+70-7*ROUNDDOWN(ROW(D1444)/8,0))</f>
        <v>#N/A</v>
      </c>
      <c r="E1444" s="648"/>
      <c r="F1444" s="648"/>
      <c r="G1444" s="649"/>
    </row>
    <row r="1445" spans="2:9" ht="31.5" customHeight="1" thickBot="1">
      <c r="B1445" s="257" t="s">
        <v>342</v>
      </c>
      <c r="C1445" s="248"/>
      <c r="D1445" s="650" t="str">
        <f>$H$1</f>
        <v>KUTU</v>
      </c>
      <c r="E1445" s="651"/>
      <c r="F1445" s="651"/>
      <c r="G1445" s="652"/>
    </row>
    <row r="1446" spans="2:9" ht="31.5" customHeight="1" thickBot="1">
      <c r="B1446" s="257" t="s">
        <v>114</v>
      </c>
      <c r="C1446" s="248"/>
      <c r="D1446" s="653" t="str">
        <f>'1PROJE'!$G$3</f>
        <v>Z 5001</v>
      </c>
      <c r="E1446" s="654"/>
      <c r="F1446" s="654"/>
      <c r="G1446" s="655"/>
      <c r="I1446" s="250"/>
    </row>
    <row r="1447" spans="2:9" ht="31.5" customHeight="1" thickBot="1">
      <c r="B1447" s="257" t="s">
        <v>98</v>
      </c>
      <c r="D1447" s="331" cm="1">
        <f t="array" aca="1" ref="D1447" ca="1">INDIRECT("xHesaplama!H"&amp;""&amp;ROW(D1444)+70-7*ROUNDDOWN(ROW(D1444)/8,0))</f>
        <v>0</v>
      </c>
      <c r="E1447" s="332"/>
      <c r="F1447" s="642" t="e">
        <f ca="1">VLOOKUP(LEFT(D1447,6),$J$2:$K$21,2,0)</f>
        <v>#N/A</v>
      </c>
      <c r="G1447" s="643"/>
    </row>
    <row r="1448" spans="2:9" ht="31.5" customHeight="1" thickBot="1">
      <c r="B1448" s="257" t="s">
        <v>832</v>
      </c>
      <c r="D1448" s="252" t="s">
        <v>359</v>
      </c>
      <c r="E1448" s="253" t="e" cm="1">
        <f t="array" aca="1" ref="E1448" ca="1">INDIRECT("xHesaplama!J"&amp;""&amp;ROW(D1444)+70-7*ROUNDDOWN(ROW(D1444)/8,0))</f>
        <v>#N/A</v>
      </c>
      <c r="F1448" s="254" t="s">
        <v>358</v>
      </c>
      <c r="G1448" s="253" t="e" cm="1">
        <f t="array" aca="1" ref="G1448" ca="1">INDIRECT("xHesaplama!K"&amp;""&amp;ROW(D1444)+70-7*ROUNDDOWN(ROW(D1444)/8,0))</f>
        <v>#N/A</v>
      </c>
    </row>
    <row r="1449" spans="2:9" ht="69" customHeight="1" thickBot="1">
      <c r="B1449" s="256" t="s">
        <v>869</v>
      </c>
      <c r="C1449" s="248"/>
      <c r="D1449" s="656"/>
      <c r="E1449" s="656"/>
      <c r="F1449" s="656"/>
      <c r="G1449" s="656"/>
    </row>
    <row r="1450" spans="2:9" ht="31.5" customHeight="1" thickBot="1">
      <c r="B1450" s="257" t="s">
        <v>870</v>
      </c>
      <c r="C1450" s="248"/>
      <c r="D1450" s="657" t="str">
        <f>'1PROJE'!$E$3</f>
        <v>GÜNEŞ PEN</v>
      </c>
      <c r="E1450" s="658"/>
      <c r="F1450" s="658"/>
      <c r="G1450" s="659"/>
    </row>
    <row r="1451" spans="2:9" ht="31.5" customHeight="1" thickBot="1">
      <c r="B1451" s="257" t="s">
        <v>871</v>
      </c>
      <c r="C1451" s="248"/>
      <c r="D1451" s="644" t="str">
        <f>'1PROJE'!$F$3</f>
        <v>GÜRKAN BEY</v>
      </c>
      <c r="E1451" s="645"/>
      <c r="F1451" s="645"/>
      <c r="G1451" s="646"/>
    </row>
    <row r="1452" spans="2:9" ht="31.5" customHeight="1" thickBot="1">
      <c r="B1452" s="257" t="s">
        <v>356</v>
      </c>
      <c r="C1452" s="248"/>
      <c r="D1452" s="647" t="e" cm="1">
        <f t="array" aca="1" ref="D1452" ca="1">INDIRECT("xHesaplama!I"&amp;""&amp;ROW(D1452)+70-7*ROUNDDOWN(ROW(D1452)/8,0))</f>
        <v>#N/A</v>
      </c>
      <c r="E1452" s="648"/>
      <c r="F1452" s="648"/>
      <c r="G1452" s="649"/>
    </row>
    <row r="1453" spans="2:9" ht="31.5" customHeight="1" thickBot="1">
      <c r="B1453" s="257" t="s">
        <v>342</v>
      </c>
      <c r="C1453" s="248"/>
      <c r="D1453" s="650" t="str">
        <f>$H$1</f>
        <v>KUTU</v>
      </c>
      <c r="E1453" s="651"/>
      <c r="F1453" s="651"/>
      <c r="G1453" s="652"/>
    </row>
    <row r="1454" spans="2:9" ht="31.5" customHeight="1" thickBot="1">
      <c r="B1454" s="257" t="s">
        <v>114</v>
      </c>
      <c r="C1454" s="248"/>
      <c r="D1454" s="653" t="str">
        <f>'1PROJE'!$G$3</f>
        <v>Z 5001</v>
      </c>
      <c r="E1454" s="654"/>
      <c r="F1454" s="654"/>
      <c r="G1454" s="655"/>
      <c r="I1454" s="250"/>
    </row>
    <row r="1455" spans="2:9" ht="31.5" customHeight="1" thickBot="1">
      <c r="B1455" s="257" t="s">
        <v>98</v>
      </c>
      <c r="D1455" s="331" cm="1">
        <f t="array" aca="1" ref="D1455" ca="1">INDIRECT("xHesaplama!H"&amp;""&amp;ROW(D1452)+70-7*ROUNDDOWN(ROW(D1452)/8,0))</f>
        <v>0</v>
      </c>
      <c r="E1455" s="332"/>
      <c r="F1455" s="642" t="e">
        <f ca="1">VLOOKUP(LEFT(D1455,6),$J$2:$K$21,2,0)</f>
        <v>#N/A</v>
      </c>
      <c r="G1455" s="643"/>
    </row>
    <row r="1456" spans="2:9" ht="31.5" customHeight="1" thickBot="1">
      <c r="B1456" s="257" t="s">
        <v>832</v>
      </c>
      <c r="D1456" s="252" t="s">
        <v>359</v>
      </c>
      <c r="E1456" s="253" t="e" cm="1">
        <f t="array" aca="1" ref="E1456" ca="1">INDIRECT("xHesaplama!J"&amp;""&amp;ROW(D1452)+70-7*ROUNDDOWN(ROW(D1452)/8,0))</f>
        <v>#N/A</v>
      </c>
      <c r="F1456" s="254" t="s">
        <v>358</v>
      </c>
      <c r="G1456" s="253" t="e" cm="1">
        <f t="array" aca="1" ref="G1456" ca="1">INDIRECT("xHesaplama!K"&amp;""&amp;ROW(D1452)+70-7*ROUNDDOWN(ROW(D1452)/8,0))</f>
        <v>#N/A</v>
      </c>
    </row>
    <row r="1457" spans="2:9" ht="69" customHeight="1" thickBot="1">
      <c r="B1457" s="256" t="s">
        <v>869</v>
      </c>
      <c r="C1457" s="248"/>
      <c r="D1457" s="656"/>
      <c r="E1457" s="656"/>
      <c r="F1457" s="656"/>
      <c r="G1457" s="656"/>
    </row>
    <row r="1458" spans="2:9" ht="31.5" customHeight="1" thickBot="1">
      <c r="B1458" s="257" t="s">
        <v>870</v>
      </c>
      <c r="C1458" s="248"/>
      <c r="D1458" s="657" t="str">
        <f>'1PROJE'!$E$3</f>
        <v>GÜNEŞ PEN</v>
      </c>
      <c r="E1458" s="658"/>
      <c r="F1458" s="658"/>
      <c r="G1458" s="659"/>
    </row>
    <row r="1459" spans="2:9" ht="31.5" customHeight="1" thickBot="1">
      <c r="B1459" s="257" t="s">
        <v>871</v>
      </c>
      <c r="C1459" s="248"/>
      <c r="D1459" s="644" t="str">
        <f>'1PROJE'!$F$3</f>
        <v>GÜRKAN BEY</v>
      </c>
      <c r="E1459" s="645"/>
      <c r="F1459" s="645"/>
      <c r="G1459" s="646"/>
    </row>
    <row r="1460" spans="2:9" ht="31.5" customHeight="1" thickBot="1">
      <c r="B1460" s="257" t="s">
        <v>356</v>
      </c>
      <c r="C1460" s="248"/>
      <c r="D1460" s="647" t="e" cm="1">
        <f t="array" aca="1" ref="D1460" ca="1">INDIRECT("xHesaplama!I"&amp;""&amp;ROW(D1460)+70-7*ROUNDDOWN(ROW(D1460)/8,0))</f>
        <v>#N/A</v>
      </c>
      <c r="E1460" s="648"/>
      <c r="F1460" s="648"/>
      <c r="G1460" s="649"/>
    </row>
    <row r="1461" spans="2:9" ht="31.5" customHeight="1" thickBot="1">
      <c r="B1461" s="257" t="s">
        <v>342</v>
      </c>
      <c r="C1461" s="248"/>
      <c r="D1461" s="650" t="str">
        <f>$H$1</f>
        <v>KUTU</v>
      </c>
      <c r="E1461" s="651"/>
      <c r="F1461" s="651"/>
      <c r="G1461" s="652"/>
    </row>
    <row r="1462" spans="2:9" ht="31.5" customHeight="1" thickBot="1">
      <c r="B1462" s="257" t="s">
        <v>114</v>
      </c>
      <c r="C1462" s="248"/>
      <c r="D1462" s="653" t="str">
        <f>'1PROJE'!$G$3</f>
        <v>Z 5001</v>
      </c>
      <c r="E1462" s="654"/>
      <c r="F1462" s="654"/>
      <c r="G1462" s="655"/>
      <c r="I1462" s="250"/>
    </row>
    <row r="1463" spans="2:9" ht="31.5" customHeight="1" thickBot="1">
      <c r="B1463" s="257" t="s">
        <v>98</v>
      </c>
      <c r="D1463" s="331" cm="1">
        <f t="array" aca="1" ref="D1463" ca="1">INDIRECT("xHesaplama!H"&amp;""&amp;ROW(D1460)+70-7*ROUNDDOWN(ROW(D1460)/8,0))</f>
        <v>0</v>
      </c>
      <c r="E1463" s="332"/>
      <c r="F1463" s="642" t="e">
        <f ca="1">VLOOKUP(LEFT(D1463,6),$J$2:$K$21,2,0)</f>
        <v>#N/A</v>
      </c>
      <c r="G1463" s="643"/>
    </row>
    <row r="1464" spans="2:9" ht="31.5" customHeight="1" thickBot="1">
      <c r="B1464" s="257" t="s">
        <v>832</v>
      </c>
      <c r="D1464" s="252" t="s">
        <v>359</v>
      </c>
      <c r="E1464" s="253" t="e" cm="1">
        <f t="array" aca="1" ref="E1464" ca="1">INDIRECT("xHesaplama!J"&amp;""&amp;ROW(D1460)+70-7*ROUNDDOWN(ROW(D1460)/8,0))</f>
        <v>#N/A</v>
      </c>
      <c r="F1464" s="254" t="s">
        <v>358</v>
      </c>
      <c r="G1464" s="253" t="e" cm="1">
        <f t="array" aca="1" ref="G1464" ca="1">INDIRECT("xHesaplama!K"&amp;""&amp;ROW(D1460)+70-7*ROUNDDOWN(ROW(D1460)/8,0))</f>
        <v>#N/A</v>
      </c>
    </row>
    <row r="1465" spans="2:9" ht="69" customHeight="1" thickBot="1">
      <c r="B1465" s="256" t="s">
        <v>869</v>
      </c>
      <c r="C1465" s="248"/>
      <c r="D1465" s="656"/>
      <c r="E1465" s="656"/>
      <c r="F1465" s="656"/>
      <c r="G1465" s="656"/>
    </row>
    <row r="1466" spans="2:9" ht="31.5" customHeight="1" thickBot="1">
      <c r="B1466" s="257" t="s">
        <v>870</v>
      </c>
      <c r="C1466" s="248"/>
      <c r="D1466" s="657" t="str">
        <f>'1PROJE'!$E$3</f>
        <v>GÜNEŞ PEN</v>
      </c>
      <c r="E1466" s="658"/>
      <c r="F1466" s="658"/>
      <c r="G1466" s="659"/>
    </row>
    <row r="1467" spans="2:9" ht="31.5" customHeight="1" thickBot="1">
      <c r="B1467" s="257" t="s">
        <v>871</v>
      </c>
      <c r="C1467" s="248"/>
      <c r="D1467" s="644" t="str">
        <f>'1PROJE'!$F$3</f>
        <v>GÜRKAN BEY</v>
      </c>
      <c r="E1467" s="645"/>
      <c r="F1467" s="645"/>
      <c r="G1467" s="646"/>
    </row>
    <row r="1468" spans="2:9" ht="31.5" customHeight="1" thickBot="1">
      <c r="B1468" s="257" t="s">
        <v>356</v>
      </c>
      <c r="C1468" s="248"/>
      <c r="D1468" s="647" t="e" cm="1">
        <f t="array" aca="1" ref="D1468" ca="1">INDIRECT("xHesaplama!I"&amp;""&amp;ROW(D1468)+70-7*ROUNDDOWN(ROW(D1468)/8,0))</f>
        <v>#N/A</v>
      </c>
      <c r="E1468" s="648"/>
      <c r="F1468" s="648"/>
      <c r="G1468" s="649"/>
    </row>
    <row r="1469" spans="2:9" ht="31.5" customHeight="1" thickBot="1">
      <c r="B1469" s="257" t="s">
        <v>342</v>
      </c>
      <c r="C1469" s="248"/>
      <c r="D1469" s="650" t="str">
        <f>$H$1</f>
        <v>KUTU</v>
      </c>
      <c r="E1469" s="651"/>
      <c r="F1469" s="651"/>
      <c r="G1469" s="652"/>
    </row>
    <row r="1470" spans="2:9" ht="31.5" customHeight="1" thickBot="1">
      <c r="B1470" s="257" t="s">
        <v>114</v>
      </c>
      <c r="C1470" s="248"/>
      <c r="D1470" s="653" t="str">
        <f>'1PROJE'!$G$3</f>
        <v>Z 5001</v>
      </c>
      <c r="E1470" s="654"/>
      <c r="F1470" s="654"/>
      <c r="G1470" s="655"/>
      <c r="I1470" s="250"/>
    </row>
    <row r="1471" spans="2:9" ht="31.5" customHeight="1" thickBot="1">
      <c r="B1471" s="257" t="s">
        <v>98</v>
      </c>
      <c r="D1471" s="331" cm="1">
        <f t="array" aca="1" ref="D1471" ca="1">INDIRECT("xHesaplama!H"&amp;""&amp;ROW(D1468)+70-7*ROUNDDOWN(ROW(D1468)/8,0))</f>
        <v>0</v>
      </c>
      <c r="E1471" s="332"/>
      <c r="F1471" s="642" t="e">
        <f ca="1">VLOOKUP(LEFT(D1471,6),$J$2:$K$21,2,0)</f>
        <v>#N/A</v>
      </c>
      <c r="G1471" s="643"/>
    </row>
    <row r="1472" spans="2:9" ht="31.5" customHeight="1" thickBot="1">
      <c r="B1472" s="257" t="s">
        <v>832</v>
      </c>
      <c r="D1472" s="252" t="s">
        <v>359</v>
      </c>
      <c r="E1472" s="253" t="e" cm="1">
        <f t="array" aca="1" ref="E1472" ca="1">INDIRECT("xHesaplama!J"&amp;""&amp;ROW(D1468)+70-7*ROUNDDOWN(ROW(D1468)/8,0))</f>
        <v>#N/A</v>
      </c>
      <c r="F1472" s="254" t="s">
        <v>358</v>
      </c>
      <c r="G1472" s="253" t="e" cm="1">
        <f t="array" aca="1" ref="G1472" ca="1">INDIRECT("xHesaplama!K"&amp;""&amp;ROW(D1468)+70-7*ROUNDDOWN(ROW(D1468)/8,0))</f>
        <v>#N/A</v>
      </c>
    </row>
    <row r="1473" spans="2:9" ht="69" customHeight="1" thickBot="1">
      <c r="B1473" s="256" t="s">
        <v>869</v>
      </c>
      <c r="C1473" s="248"/>
      <c r="D1473" s="656"/>
      <c r="E1473" s="656"/>
      <c r="F1473" s="656"/>
      <c r="G1473" s="656"/>
    </row>
    <row r="1474" spans="2:9" ht="31.5" customHeight="1" thickBot="1">
      <c r="B1474" s="257" t="s">
        <v>870</v>
      </c>
      <c r="C1474" s="248"/>
      <c r="D1474" s="657" t="str">
        <f>'1PROJE'!$E$3</f>
        <v>GÜNEŞ PEN</v>
      </c>
      <c r="E1474" s="658"/>
      <c r="F1474" s="658"/>
      <c r="G1474" s="659"/>
    </row>
    <row r="1475" spans="2:9" ht="31.5" customHeight="1" thickBot="1">
      <c r="B1475" s="257" t="s">
        <v>871</v>
      </c>
      <c r="C1475" s="248"/>
      <c r="D1475" s="644" t="str">
        <f>'1PROJE'!$F$3</f>
        <v>GÜRKAN BEY</v>
      </c>
      <c r="E1475" s="645"/>
      <c r="F1475" s="645"/>
      <c r="G1475" s="646"/>
    </row>
    <row r="1476" spans="2:9" ht="31.5" customHeight="1" thickBot="1">
      <c r="B1476" s="257" t="s">
        <v>356</v>
      </c>
      <c r="C1476" s="248"/>
      <c r="D1476" s="647" t="e" cm="1">
        <f t="array" aca="1" ref="D1476" ca="1">INDIRECT("xHesaplama!I"&amp;""&amp;ROW(D1476)+70-7*ROUNDDOWN(ROW(D1476)/8,0))</f>
        <v>#N/A</v>
      </c>
      <c r="E1476" s="648"/>
      <c r="F1476" s="648"/>
      <c r="G1476" s="649"/>
    </row>
    <row r="1477" spans="2:9" ht="31.5" customHeight="1" thickBot="1">
      <c r="B1477" s="257" t="s">
        <v>342</v>
      </c>
      <c r="C1477" s="248"/>
      <c r="D1477" s="650" t="str">
        <f>$H$1</f>
        <v>KUTU</v>
      </c>
      <c r="E1477" s="651"/>
      <c r="F1477" s="651"/>
      <c r="G1477" s="652"/>
    </row>
    <row r="1478" spans="2:9" ht="31.5" customHeight="1" thickBot="1">
      <c r="B1478" s="257" t="s">
        <v>114</v>
      </c>
      <c r="C1478" s="248"/>
      <c r="D1478" s="653" t="str">
        <f>'1PROJE'!$G$3</f>
        <v>Z 5001</v>
      </c>
      <c r="E1478" s="654"/>
      <c r="F1478" s="654"/>
      <c r="G1478" s="655"/>
      <c r="I1478" s="250"/>
    </row>
    <row r="1479" spans="2:9" ht="31.5" customHeight="1" thickBot="1">
      <c r="B1479" s="257" t="s">
        <v>98</v>
      </c>
      <c r="D1479" s="331" cm="1">
        <f t="array" aca="1" ref="D1479" ca="1">INDIRECT("xHesaplama!H"&amp;""&amp;ROW(D1476)+70-7*ROUNDDOWN(ROW(D1476)/8,0))</f>
        <v>0</v>
      </c>
      <c r="E1479" s="332"/>
      <c r="F1479" s="642" t="e">
        <f ca="1">VLOOKUP(LEFT(D1479,6),$J$2:$K$21,2,0)</f>
        <v>#N/A</v>
      </c>
      <c r="G1479" s="643"/>
    </row>
    <row r="1480" spans="2:9" ht="31.5" customHeight="1" thickBot="1">
      <c r="B1480" s="257" t="s">
        <v>832</v>
      </c>
      <c r="D1480" s="252" t="s">
        <v>359</v>
      </c>
      <c r="E1480" s="253" t="e" cm="1">
        <f t="array" aca="1" ref="E1480" ca="1">INDIRECT("xHesaplama!J"&amp;""&amp;ROW(D1476)+70-7*ROUNDDOWN(ROW(D1476)/8,0))</f>
        <v>#N/A</v>
      </c>
      <c r="F1480" s="254" t="s">
        <v>358</v>
      </c>
      <c r="G1480" s="253" t="e" cm="1">
        <f t="array" aca="1" ref="G1480" ca="1">INDIRECT("xHesaplama!K"&amp;""&amp;ROW(D1476)+70-7*ROUNDDOWN(ROW(D1476)/8,0))</f>
        <v>#N/A</v>
      </c>
    </row>
    <row r="1481" spans="2:9" ht="69" customHeight="1" thickBot="1">
      <c r="B1481" s="256" t="s">
        <v>869</v>
      </c>
      <c r="C1481" s="248"/>
      <c r="D1481" s="656"/>
      <c r="E1481" s="656"/>
      <c r="F1481" s="656"/>
      <c r="G1481" s="656"/>
    </row>
    <row r="1482" spans="2:9" ht="31.5" customHeight="1" thickBot="1">
      <c r="B1482" s="257" t="s">
        <v>870</v>
      </c>
      <c r="C1482" s="248"/>
      <c r="D1482" s="657" t="str">
        <f>'1PROJE'!$E$3</f>
        <v>GÜNEŞ PEN</v>
      </c>
      <c r="E1482" s="658"/>
      <c r="F1482" s="658"/>
      <c r="G1482" s="659"/>
    </row>
    <row r="1483" spans="2:9" ht="31.5" customHeight="1" thickBot="1">
      <c r="B1483" s="257" t="s">
        <v>871</v>
      </c>
      <c r="C1483" s="248"/>
      <c r="D1483" s="644" t="str">
        <f>'1PROJE'!$F$3</f>
        <v>GÜRKAN BEY</v>
      </c>
      <c r="E1483" s="645"/>
      <c r="F1483" s="645"/>
      <c r="G1483" s="646"/>
    </row>
    <row r="1484" spans="2:9" ht="31.5" customHeight="1" thickBot="1">
      <c r="B1484" s="257" t="s">
        <v>356</v>
      </c>
      <c r="C1484" s="248"/>
      <c r="D1484" s="647" t="e" cm="1">
        <f t="array" aca="1" ref="D1484" ca="1">INDIRECT("xHesaplama!I"&amp;""&amp;ROW(D1484)+70-7*ROUNDDOWN(ROW(D1484)/8,0))</f>
        <v>#N/A</v>
      </c>
      <c r="E1484" s="648"/>
      <c r="F1484" s="648"/>
      <c r="G1484" s="649"/>
    </row>
    <row r="1485" spans="2:9" ht="31.5" customHeight="1" thickBot="1">
      <c r="B1485" s="257" t="s">
        <v>342</v>
      </c>
      <c r="C1485" s="248"/>
      <c r="D1485" s="650" t="str">
        <f>$H$1</f>
        <v>KUTU</v>
      </c>
      <c r="E1485" s="651"/>
      <c r="F1485" s="651"/>
      <c r="G1485" s="652"/>
    </row>
    <row r="1486" spans="2:9" ht="31.5" customHeight="1" thickBot="1">
      <c r="B1486" s="257" t="s">
        <v>114</v>
      </c>
      <c r="C1486" s="248"/>
      <c r="D1486" s="653" t="str">
        <f>'1PROJE'!$G$3</f>
        <v>Z 5001</v>
      </c>
      <c r="E1486" s="654"/>
      <c r="F1486" s="654"/>
      <c r="G1486" s="655"/>
      <c r="I1486" s="250"/>
    </row>
    <row r="1487" spans="2:9" ht="31.5" customHeight="1" thickBot="1">
      <c r="B1487" s="257" t="s">
        <v>98</v>
      </c>
      <c r="D1487" s="331" cm="1">
        <f t="array" aca="1" ref="D1487" ca="1">INDIRECT("xHesaplama!H"&amp;""&amp;ROW(D1484)+70-7*ROUNDDOWN(ROW(D1484)/8,0))</f>
        <v>0</v>
      </c>
      <c r="E1487" s="332"/>
      <c r="F1487" s="642" t="e">
        <f ca="1">VLOOKUP(LEFT(D1487,6),$J$2:$K$21,2,0)</f>
        <v>#N/A</v>
      </c>
      <c r="G1487" s="643"/>
    </row>
    <row r="1488" spans="2:9" ht="31.5" customHeight="1" thickBot="1">
      <c r="B1488" s="257" t="s">
        <v>832</v>
      </c>
      <c r="D1488" s="252" t="s">
        <v>359</v>
      </c>
      <c r="E1488" s="253" t="e" cm="1">
        <f t="array" aca="1" ref="E1488" ca="1">INDIRECT("xHesaplama!J"&amp;""&amp;ROW(D1484)+70-7*ROUNDDOWN(ROW(D1484)/8,0))</f>
        <v>#N/A</v>
      </c>
      <c r="F1488" s="254" t="s">
        <v>358</v>
      </c>
      <c r="G1488" s="253" t="e" cm="1">
        <f t="array" aca="1" ref="G1488" ca="1">INDIRECT("xHesaplama!K"&amp;""&amp;ROW(D1484)+70-7*ROUNDDOWN(ROW(D1484)/8,0))</f>
        <v>#N/A</v>
      </c>
    </row>
    <row r="1489" spans="2:9" ht="69" customHeight="1" thickBot="1">
      <c r="B1489" s="256" t="s">
        <v>869</v>
      </c>
      <c r="C1489" s="248"/>
      <c r="D1489" s="656"/>
      <c r="E1489" s="656"/>
      <c r="F1489" s="656"/>
      <c r="G1489" s="656"/>
    </row>
    <row r="1490" spans="2:9" ht="31.5" customHeight="1" thickBot="1">
      <c r="B1490" s="257" t="s">
        <v>870</v>
      </c>
      <c r="C1490" s="248"/>
      <c r="D1490" s="657" t="str">
        <f>'1PROJE'!$E$3</f>
        <v>GÜNEŞ PEN</v>
      </c>
      <c r="E1490" s="658"/>
      <c r="F1490" s="658"/>
      <c r="G1490" s="659"/>
    </row>
    <row r="1491" spans="2:9" ht="31.5" customHeight="1" thickBot="1">
      <c r="B1491" s="257" t="s">
        <v>871</v>
      </c>
      <c r="C1491" s="248"/>
      <c r="D1491" s="644" t="str">
        <f>'1PROJE'!$F$3</f>
        <v>GÜRKAN BEY</v>
      </c>
      <c r="E1491" s="645"/>
      <c r="F1491" s="645"/>
      <c r="G1491" s="646"/>
    </row>
    <row r="1492" spans="2:9" ht="31.5" customHeight="1" thickBot="1">
      <c r="B1492" s="257" t="s">
        <v>356</v>
      </c>
      <c r="C1492" s="248"/>
      <c r="D1492" s="647" t="e" cm="1">
        <f t="array" aca="1" ref="D1492" ca="1">INDIRECT("xHesaplama!I"&amp;""&amp;ROW(D1492)+70-7*ROUNDDOWN(ROW(D1492)/8,0))</f>
        <v>#N/A</v>
      </c>
      <c r="E1492" s="648"/>
      <c r="F1492" s="648"/>
      <c r="G1492" s="649"/>
    </row>
    <row r="1493" spans="2:9" ht="31.5" customHeight="1" thickBot="1">
      <c r="B1493" s="257" t="s">
        <v>342</v>
      </c>
      <c r="C1493" s="248"/>
      <c r="D1493" s="650" t="str">
        <f>$H$1</f>
        <v>KUTU</v>
      </c>
      <c r="E1493" s="651"/>
      <c r="F1493" s="651"/>
      <c r="G1493" s="652"/>
    </row>
    <row r="1494" spans="2:9" ht="31.5" customHeight="1" thickBot="1">
      <c r="B1494" s="257" t="s">
        <v>114</v>
      </c>
      <c r="C1494" s="248"/>
      <c r="D1494" s="653" t="str">
        <f>'1PROJE'!$G$3</f>
        <v>Z 5001</v>
      </c>
      <c r="E1494" s="654"/>
      <c r="F1494" s="654"/>
      <c r="G1494" s="655"/>
      <c r="I1494" s="250"/>
    </row>
    <row r="1495" spans="2:9" ht="31.5" customHeight="1" thickBot="1">
      <c r="B1495" s="257" t="s">
        <v>98</v>
      </c>
      <c r="D1495" s="331" cm="1">
        <f t="array" aca="1" ref="D1495" ca="1">INDIRECT("xHesaplama!H"&amp;""&amp;ROW(D1492)+70-7*ROUNDDOWN(ROW(D1492)/8,0))</f>
        <v>0</v>
      </c>
      <c r="E1495" s="332"/>
      <c r="F1495" s="642" t="e">
        <f ca="1">VLOOKUP(LEFT(D1495,6),$J$2:$K$21,2,0)</f>
        <v>#N/A</v>
      </c>
      <c r="G1495" s="643"/>
    </row>
    <row r="1496" spans="2:9" ht="31.5" customHeight="1" thickBot="1">
      <c r="B1496" s="257" t="s">
        <v>832</v>
      </c>
      <c r="D1496" s="252" t="s">
        <v>359</v>
      </c>
      <c r="E1496" s="253" t="e" cm="1">
        <f t="array" aca="1" ref="E1496" ca="1">INDIRECT("xHesaplama!J"&amp;""&amp;ROW(D1492)+70-7*ROUNDDOWN(ROW(D1492)/8,0))</f>
        <v>#N/A</v>
      </c>
      <c r="F1496" s="254" t="s">
        <v>358</v>
      </c>
      <c r="G1496" s="253" t="e" cm="1">
        <f t="array" aca="1" ref="G1496" ca="1">INDIRECT("xHesaplama!K"&amp;""&amp;ROW(D1492)+70-7*ROUNDDOWN(ROW(D1492)/8,0))</f>
        <v>#N/A</v>
      </c>
    </row>
    <row r="1497" spans="2:9" ht="69" customHeight="1" thickBot="1">
      <c r="B1497" s="256" t="s">
        <v>869</v>
      </c>
      <c r="C1497" s="248"/>
      <c r="D1497" s="656"/>
      <c r="E1497" s="656"/>
      <c r="F1497" s="656"/>
      <c r="G1497" s="656"/>
    </row>
    <row r="1498" spans="2:9" ht="31.5" customHeight="1" thickBot="1">
      <c r="B1498" s="257" t="s">
        <v>870</v>
      </c>
      <c r="C1498" s="248"/>
      <c r="D1498" s="657" t="str">
        <f>'1PROJE'!$E$3</f>
        <v>GÜNEŞ PEN</v>
      </c>
      <c r="E1498" s="658"/>
      <c r="F1498" s="658"/>
      <c r="G1498" s="659"/>
    </row>
    <row r="1499" spans="2:9" ht="31.5" customHeight="1" thickBot="1">
      <c r="B1499" s="257" t="s">
        <v>871</v>
      </c>
      <c r="C1499" s="248"/>
      <c r="D1499" s="644" t="str">
        <f>'1PROJE'!$F$3</f>
        <v>GÜRKAN BEY</v>
      </c>
      <c r="E1499" s="645"/>
      <c r="F1499" s="645"/>
      <c r="G1499" s="646"/>
    </row>
    <row r="1500" spans="2:9" ht="31.5" customHeight="1" thickBot="1">
      <c r="B1500" s="257" t="s">
        <v>356</v>
      </c>
      <c r="C1500" s="248"/>
      <c r="D1500" s="647" t="e" cm="1">
        <f t="array" aca="1" ref="D1500" ca="1">INDIRECT("xHesaplama!I"&amp;""&amp;ROW(D1500)+70-7*ROUNDDOWN(ROW(D1500)/8,0))</f>
        <v>#N/A</v>
      </c>
      <c r="E1500" s="648"/>
      <c r="F1500" s="648"/>
      <c r="G1500" s="649"/>
    </row>
    <row r="1501" spans="2:9" ht="31.5" customHeight="1" thickBot="1">
      <c r="B1501" s="257" t="s">
        <v>342</v>
      </c>
      <c r="C1501" s="248"/>
      <c r="D1501" s="650" t="str">
        <f>$H$1</f>
        <v>KUTU</v>
      </c>
      <c r="E1501" s="651"/>
      <c r="F1501" s="651"/>
      <c r="G1501" s="652"/>
    </row>
    <row r="1502" spans="2:9" ht="31.5" customHeight="1" thickBot="1">
      <c r="B1502" s="257" t="s">
        <v>114</v>
      </c>
      <c r="C1502" s="248"/>
      <c r="D1502" s="653" t="str">
        <f>'1PROJE'!$G$3</f>
        <v>Z 5001</v>
      </c>
      <c r="E1502" s="654"/>
      <c r="F1502" s="654"/>
      <c r="G1502" s="655"/>
      <c r="I1502" s="250"/>
    </row>
    <row r="1503" spans="2:9" ht="31.5" customHeight="1" thickBot="1">
      <c r="B1503" s="257" t="s">
        <v>98</v>
      </c>
      <c r="D1503" s="331" cm="1">
        <f t="array" aca="1" ref="D1503" ca="1">INDIRECT("xHesaplama!H"&amp;""&amp;ROW(D1500)+70-7*ROUNDDOWN(ROW(D1500)/8,0))</f>
        <v>0</v>
      </c>
      <c r="E1503" s="332"/>
      <c r="F1503" s="642" t="e">
        <f ca="1">VLOOKUP(LEFT(D1503,6),$J$2:$K$21,2,0)</f>
        <v>#N/A</v>
      </c>
      <c r="G1503" s="643"/>
    </row>
    <row r="1504" spans="2:9" ht="31.5" customHeight="1" thickBot="1">
      <c r="B1504" s="257" t="s">
        <v>832</v>
      </c>
      <c r="D1504" s="252" t="s">
        <v>359</v>
      </c>
      <c r="E1504" s="253" t="e" cm="1">
        <f t="array" aca="1" ref="E1504" ca="1">INDIRECT("xHesaplama!J"&amp;""&amp;ROW(D1500)+70-7*ROUNDDOWN(ROW(D1500)/8,0))</f>
        <v>#N/A</v>
      </c>
      <c r="F1504" s="254" t="s">
        <v>358</v>
      </c>
      <c r="G1504" s="253" t="e" cm="1">
        <f t="array" aca="1" ref="G1504" ca="1">INDIRECT("xHesaplama!K"&amp;""&amp;ROW(D1500)+70-7*ROUNDDOWN(ROW(D1500)/8,0))</f>
        <v>#N/A</v>
      </c>
    </row>
    <row r="1505" spans="2:9" ht="69" customHeight="1" thickBot="1">
      <c r="B1505" s="256" t="s">
        <v>869</v>
      </c>
      <c r="C1505" s="248"/>
      <c r="D1505" s="656"/>
      <c r="E1505" s="656"/>
      <c r="F1505" s="656"/>
      <c r="G1505" s="656"/>
    </row>
    <row r="1506" spans="2:9" ht="31.5" customHeight="1" thickBot="1">
      <c r="B1506" s="257" t="s">
        <v>870</v>
      </c>
      <c r="C1506" s="248"/>
      <c r="D1506" s="657" t="str">
        <f>'1PROJE'!$E$3</f>
        <v>GÜNEŞ PEN</v>
      </c>
      <c r="E1506" s="658"/>
      <c r="F1506" s="658"/>
      <c r="G1506" s="659"/>
    </row>
    <row r="1507" spans="2:9" ht="31.5" customHeight="1" thickBot="1">
      <c r="B1507" s="257" t="s">
        <v>871</v>
      </c>
      <c r="C1507" s="248"/>
      <c r="D1507" s="644" t="str">
        <f>'1PROJE'!$F$3</f>
        <v>GÜRKAN BEY</v>
      </c>
      <c r="E1507" s="645"/>
      <c r="F1507" s="645"/>
      <c r="G1507" s="646"/>
    </row>
    <row r="1508" spans="2:9" ht="31.5" customHeight="1" thickBot="1">
      <c r="B1508" s="257" t="s">
        <v>356</v>
      </c>
      <c r="C1508" s="248"/>
      <c r="D1508" s="647" t="e" cm="1">
        <f t="array" aca="1" ref="D1508" ca="1">INDIRECT("xHesaplama!I"&amp;""&amp;ROW(D1508)+70-7*ROUNDDOWN(ROW(D1508)/8,0))</f>
        <v>#N/A</v>
      </c>
      <c r="E1508" s="648"/>
      <c r="F1508" s="648"/>
      <c r="G1508" s="649"/>
    </row>
    <row r="1509" spans="2:9" ht="31.5" customHeight="1" thickBot="1">
      <c r="B1509" s="257" t="s">
        <v>342</v>
      </c>
      <c r="C1509" s="248"/>
      <c r="D1509" s="650" t="str">
        <f>$H$1</f>
        <v>KUTU</v>
      </c>
      <c r="E1509" s="651"/>
      <c r="F1509" s="651"/>
      <c r="G1509" s="652"/>
    </row>
    <row r="1510" spans="2:9" ht="31.5" customHeight="1" thickBot="1">
      <c r="B1510" s="257" t="s">
        <v>114</v>
      </c>
      <c r="C1510" s="248"/>
      <c r="D1510" s="653" t="str">
        <f>'1PROJE'!$G$3</f>
        <v>Z 5001</v>
      </c>
      <c r="E1510" s="654"/>
      <c r="F1510" s="654"/>
      <c r="G1510" s="655"/>
      <c r="I1510" s="250"/>
    </row>
    <row r="1511" spans="2:9" ht="31.5" customHeight="1" thickBot="1">
      <c r="B1511" s="257" t="s">
        <v>98</v>
      </c>
      <c r="D1511" s="331" cm="1">
        <f t="array" aca="1" ref="D1511" ca="1">INDIRECT("xHesaplama!H"&amp;""&amp;ROW(D1508)+70-7*ROUNDDOWN(ROW(D1508)/8,0))</f>
        <v>0</v>
      </c>
      <c r="E1511" s="332"/>
      <c r="F1511" s="642" t="e">
        <f ca="1">VLOOKUP(LEFT(D1511,6),$J$2:$K$21,2,0)</f>
        <v>#N/A</v>
      </c>
      <c r="G1511" s="643"/>
    </row>
    <row r="1512" spans="2:9" ht="31.5" customHeight="1" thickBot="1">
      <c r="B1512" s="257" t="s">
        <v>832</v>
      </c>
      <c r="D1512" s="252" t="s">
        <v>359</v>
      </c>
      <c r="E1512" s="253" t="e" cm="1">
        <f t="array" aca="1" ref="E1512" ca="1">INDIRECT("xHesaplama!J"&amp;""&amp;ROW(D1508)+70-7*ROUNDDOWN(ROW(D1508)/8,0))</f>
        <v>#N/A</v>
      </c>
      <c r="F1512" s="254" t="s">
        <v>358</v>
      </c>
      <c r="G1512" s="253" t="e" cm="1">
        <f t="array" aca="1" ref="G1512" ca="1">INDIRECT("xHesaplama!K"&amp;""&amp;ROW(D1508)+70-7*ROUNDDOWN(ROW(D1508)/8,0))</f>
        <v>#N/A</v>
      </c>
    </row>
    <row r="1513" spans="2:9" ht="69" customHeight="1" thickBot="1">
      <c r="B1513" s="256" t="s">
        <v>869</v>
      </c>
      <c r="C1513" s="248"/>
      <c r="D1513" s="656"/>
      <c r="E1513" s="656"/>
      <c r="F1513" s="656"/>
      <c r="G1513" s="656"/>
    </row>
    <row r="1514" spans="2:9" ht="31.5" customHeight="1" thickBot="1">
      <c r="B1514" s="257" t="s">
        <v>870</v>
      </c>
      <c r="C1514" s="248"/>
      <c r="D1514" s="657" t="str">
        <f>'1PROJE'!$E$3</f>
        <v>GÜNEŞ PEN</v>
      </c>
      <c r="E1514" s="658"/>
      <c r="F1514" s="658"/>
      <c r="G1514" s="659"/>
    </row>
    <row r="1515" spans="2:9" ht="31.5" customHeight="1" thickBot="1">
      <c r="B1515" s="257" t="s">
        <v>871</v>
      </c>
      <c r="C1515" s="248"/>
      <c r="D1515" s="644" t="str">
        <f>'1PROJE'!$F$3</f>
        <v>GÜRKAN BEY</v>
      </c>
      <c r="E1515" s="645"/>
      <c r="F1515" s="645"/>
      <c r="G1515" s="646"/>
    </row>
    <row r="1516" spans="2:9" ht="31.5" customHeight="1" thickBot="1">
      <c r="B1516" s="257" t="s">
        <v>356</v>
      </c>
      <c r="C1516" s="248"/>
      <c r="D1516" s="647" t="e" cm="1">
        <f t="array" aca="1" ref="D1516" ca="1">INDIRECT("xHesaplama!I"&amp;""&amp;ROW(D1516)+70-7*ROUNDDOWN(ROW(D1516)/8,0))</f>
        <v>#N/A</v>
      </c>
      <c r="E1516" s="648"/>
      <c r="F1516" s="648"/>
      <c r="G1516" s="649"/>
    </row>
    <row r="1517" spans="2:9" ht="31.5" customHeight="1" thickBot="1">
      <c r="B1517" s="257" t="s">
        <v>342</v>
      </c>
      <c r="C1517" s="248"/>
      <c r="D1517" s="650" t="str">
        <f>$H$1</f>
        <v>KUTU</v>
      </c>
      <c r="E1517" s="651"/>
      <c r="F1517" s="651"/>
      <c r="G1517" s="652"/>
    </row>
    <row r="1518" spans="2:9" ht="31.5" customHeight="1" thickBot="1">
      <c r="B1518" s="257" t="s">
        <v>114</v>
      </c>
      <c r="C1518" s="248"/>
      <c r="D1518" s="653" t="str">
        <f>'1PROJE'!$G$3</f>
        <v>Z 5001</v>
      </c>
      <c r="E1518" s="654"/>
      <c r="F1518" s="654"/>
      <c r="G1518" s="655"/>
      <c r="I1518" s="250"/>
    </row>
    <row r="1519" spans="2:9" ht="31.5" customHeight="1" thickBot="1">
      <c r="B1519" s="257" t="s">
        <v>98</v>
      </c>
      <c r="D1519" s="331" cm="1">
        <f t="array" aca="1" ref="D1519" ca="1">INDIRECT("xHesaplama!H"&amp;""&amp;ROW(D1516)+70-7*ROUNDDOWN(ROW(D1516)/8,0))</f>
        <v>0</v>
      </c>
      <c r="E1519" s="332"/>
      <c r="F1519" s="642" t="e">
        <f ca="1">VLOOKUP(LEFT(D1519,6),$J$2:$K$21,2,0)</f>
        <v>#N/A</v>
      </c>
      <c r="G1519" s="643"/>
    </row>
    <row r="1520" spans="2:9" ht="31.5" customHeight="1" thickBot="1">
      <c r="B1520" s="257" t="s">
        <v>832</v>
      </c>
      <c r="D1520" s="252" t="s">
        <v>359</v>
      </c>
      <c r="E1520" s="253" t="e" cm="1">
        <f t="array" aca="1" ref="E1520" ca="1">INDIRECT("xHesaplama!J"&amp;""&amp;ROW(D1516)+70-7*ROUNDDOWN(ROW(D1516)/8,0))</f>
        <v>#N/A</v>
      </c>
      <c r="F1520" s="254" t="s">
        <v>358</v>
      </c>
      <c r="G1520" s="253" t="e" cm="1">
        <f t="array" aca="1" ref="G1520" ca="1">INDIRECT("xHesaplama!K"&amp;""&amp;ROW(D1516)+70-7*ROUNDDOWN(ROW(D1516)/8,0))</f>
        <v>#N/A</v>
      </c>
    </row>
    <row r="1521" spans="2:9" ht="69" customHeight="1" thickBot="1">
      <c r="B1521" s="256" t="s">
        <v>869</v>
      </c>
      <c r="C1521" s="248"/>
      <c r="D1521" s="656"/>
      <c r="E1521" s="656"/>
      <c r="F1521" s="656"/>
      <c r="G1521" s="656"/>
    </row>
    <row r="1522" spans="2:9" ht="31.5" customHeight="1" thickBot="1">
      <c r="B1522" s="257" t="s">
        <v>870</v>
      </c>
      <c r="C1522" s="248"/>
      <c r="D1522" s="657" t="str">
        <f>'1PROJE'!$E$3</f>
        <v>GÜNEŞ PEN</v>
      </c>
      <c r="E1522" s="658"/>
      <c r="F1522" s="658"/>
      <c r="G1522" s="659"/>
    </row>
    <row r="1523" spans="2:9" ht="31.5" customHeight="1" thickBot="1">
      <c r="B1523" s="257" t="s">
        <v>871</v>
      </c>
      <c r="C1523" s="248"/>
      <c r="D1523" s="644" t="str">
        <f>'1PROJE'!$F$3</f>
        <v>GÜRKAN BEY</v>
      </c>
      <c r="E1523" s="645"/>
      <c r="F1523" s="645"/>
      <c r="G1523" s="646"/>
    </row>
    <row r="1524" spans="2:9" ht="31.5" customHeight="1" thickBot="1">
      <c r="B1524" s="257" t="s">
        <v>356</v>
      </c>
      <c r="C1524" s="248"/>
      <c r="D1524" s="647" t="e" cm="1">
        <f t="array" aca="1" ref="D1524" ca="1">INDIRECT("xHesaplama!I"&amp;""&amp;ROW(D1524)+70-7*ROUNDDOWN(ROW(D1524)/8,0))</f>
        <v>#N/A</v>
      </c>
      <c r="E1524" s="648"/>
      <c r="F1524" s="648"/>
      <c r="G1524" s="649"/>
    </row>
    <row r="1525" spans="2:9" ht="31.5" customHeight="1" thickBot="1">
      <c r="B1525" s="257" t="s">
        <v>342</v>
      </c>
      <c r="C1525" s="248"/>
      <c r="D1525" s="650" t="str">
        <f>$H$1</f>
        <v>KUTU</v>
      </c>
      <c r="E1525" s="651"/>
      <c r="F1525" s="651"/>
      <c r="G1525" s="652"/>
    </row>
    <row r="1526" spans="2:9" ht="31.5" customHeight="1" thickBot="1">
      <c r="B1526" s="257" t="s">
        <v>114</v>
      </c>
      <c r="C1526" s="248"/>
      <c r="D1526" s="653" t="str">
        <f>'1PROJE'!$G$3</f>
        <v>Z 5001</v>
      </c>
      <c r="E1526" s="654"/>
      <c r="F1526" s="654"/>
      <c r="G1526" s="655"/>
      <c r="I1526" s="250"/>
    </row>
    <row r="1527" spans="2:9" ht="31.5" customHeight="1" thickBot="1">
      <c r="B1527" s="257" t="s">
        <v>98</v>
      </c>
      <c r="D1527" s="331" cm="1">
        <f t="array" aca="1" ref="D1527" ca="1">INDIRECT("xHesaplama!H"&amp;""&amp;ROW(D1524)+70-7*ROUNDDOWN(ROW(D1524)/8,0))</f>
        <v>0</v>
      </c>
      <c r="E1527" s="332"/>
      <c r="F1527" s="642" t="e">
        <f ca="1">VLOOKUP(LEFT(D1527,6),$J$2:$K$21,2,0)</f>
        <v>#N/A</v>
      </c>
      <c r="G1527" s="643"/>
    </row>
    <row r="1528" spans="2:9" ht="31.5" customHeight="1" thickBot="1">
      <c r="B1528" s="257" t="s">
        <v>832</v>
      </c>
      <c r="D1528" s="252" t="s">
        <v>359</v>
      </c>
      <c r="E1528" s="253" t="e" cm="1">
        <f t="array" aca="1" ref="E1528" ca="1">INDIRECT("xHesaplama!J"&amp;""&amp;ROW(D1524)+70-7*ROUNDDOWN(ROW(D1524)/8,0))</f>
        <v>#N/A</v>
      </c>
      <c r="F1528" s="254" t="s">
        <v>358</v>
      </c>
      <c r="G1528" s="253" t="e" cm="1">
        <f t="array" aca="1" ref="G1528" ca="1">INDIRECT("xHesaplama!K"&amp;""&amp;ROW(D1524)+70-7*ROUNDDOWN(ROW(D1524)/8,0))</f>
        <v>#N/A</v>
      </c>
    </row>
    <row r="1529" spans="2:9" ht="69" customHeight="1" thickBot="1">
      <c r="B1529" s="256" t="s">
        <v>869</v>
      </c>
      <c r="C1529" s="248"/>
      <c r="D1529" s="656"/>
      <c r="E1529" s="656"/>
      <c r="F1529" s="656"/>
      <c r="G1529" s="656"/>
    </row>
    <row r="1530" spans="2:9" ht="31.5" customHeight="1" thickBot="1">
      <c r="B1530" s="257" t="s">
        <v>870</v>
      </c>
      <c r="C1530" s="248"/>
      <c r="D1530" s="657" t="str">
        <f>'1PROJE'!$E$3</f>
        <v>GÜNEŞ PEN</v>
      </c>
      <c r="E1530" s="658"/>
      <c r="F1530" s="658"/>
      <c r="G1530" s="659"/>
    </row>
    <row r="1531" spans="2:9" ht="31.5" customHeight="1" thickBot="1">
      <c r="B1531" s="257" t="s">
        <v>871</v>
      </c>
      <c r="C1531" s="248"/>
      <c r="D1531" s="644" t="str">
        <f>'1PROJE'!$F$3</f>
        <v>GÜRKAN BEY</v>
      </c>
      <c r="E1531" s="645"/>
      <c r="F1531" s="645"/>
      <c r="G1531" s="646"/>
    </row>
    <row r="1532" spans="2:9" ht="31.5" customHeight="1" thickBot="1">
      <c r="B1532" s="257" t="s">
        <v>356</v>
      </c>
      <c r="C1532" s="248"/>
      <c r="D1532" s="647" t="e" cm="1">
        <f t="array" aca="1" ref="D1532" ca="1">INDIRECT("xHesaplama!I"&amp;""&amp;ROW(D1532)+70-7*ROUNDDOWN(ROW(D1532)/8,0))</f>
        <v>#N/A</v>
      </c>
      <c r="E1532" s="648"/>
      <c r="F1532" s="648"/>
      <c r="G1532" s="649"/>
    </row>
    <row r="1533" spans="2:9" ht="31.5" customHeight="1" thickBot="1">
      <c r="B1533" s="257" t="s">
        <v>342</v>
      </c>
      <c r="C1533" s="248"/>
      <c r="D1533" s="650" t="str">
        <f>$H$1</f>
        <v>KUTU</v>
      </c>
      <c r="E1533" s="651"/>
      <c r="F1533" s="651"/>
      <c r="G1533" s="652"/>
    </row>
    <row r="1534" spans="2:9" ht="31.5" customHeight="1" thickBot="1">
      <c r="B1534" s="257" t="s">
        <v>114</v>
      </c>
      <c r="C1534" s="248"/>
      <c r="D1534" s="653" t="str">
        <f>'1PROJE'!$G$3</f>
        <v>Z 5001</v>
      </c>
      <c r="E1534" s="654"/>
      <c r="F1534" s="654"/>
      <c r="G1534" s="655"/>
      <c r="I1534" s="250"/>
    </row>
    <row r="1535" spans="2:9" ht="31.5" customHeight="1" thickBot="1">
      <c r="B1535" s="257" t="s">
        <v>98</v>
      </c>
      <c r="D1535" s="331" cm="1">
        <f t="array" aca="1" ref="D1535" ca="1">INDIRECT("xHesaplama!H"&amp;""&amp;ROW(D1532)+70-7*ROUNDDOWN(ROW(D1532)/8,0))</f>
        <v>0</v>
      </c>
      <c r="E1535" s="332"/>
      <c r="F1535" s="642" t="e">
        <f ca="1">VLOOKUP(LEFT(D1535,6),$J$2:$K$21,2,0)</f>
        <v>#N/A</v>
      </c>
      <c r="G1535" s="643"/>
    </row>
    <row r="1536" spans="2:9" ht="31.5" customHeight="1" thickBot="1">
      <c r="B1536" s="257" t="s">
        <v>832</v>
      </c>
      <c r="D1536" s="252" t="s">
        <v>359</v>
      </c>
      <c r="E1536" s="253" t="e" cm="1">
        <f t="array" aca="1" ref="E1536" ca="1">INDIRECT("xHesaplama!J"&amp;""&amp;ROW(D1532)+70-7*ROUNDDOWN(ROW(D1532)/8,0))</f>
        <v>#N/A</v>
      </c>
      <c r="F1536" s="254" t="s">
        <v>358</v>
      </c>
      <c r="G1536" s="253" t="e" cm="1">
        <f t="array" aca="1" ref="G1536" ca="1">INDIRECT("xHesaplama!K"&amp;""&amp;ROW(D1532)+70-7*ROUNDDOWN(ROW(D1532)/8,0))</f>
        <v>#N/A</v>
      </c>
    </row>
    <row r="1537" spans="2:9" ht="69" customHeight="1" thickBot="1">
      <c r="B1537" s="256" t="s">
        <v>869</v>
      </c>
      <c r="C1537" s="248"/>
      <c r="D1537" s="656"/>
      <c r="E1537" s="656"/>
      <c r="F1537" s="656"/>
      <c r="G1537" s="656"/>
    </row>
    <row r="1538" spans="2:9" ht="31.5" customHeight="1" thickBot="1">
      <c r="B1538" s="257" t="s">
        <v>870</v>
      </c>
      <c r="C1538" s="248"/>
      <c r="D1538" s="657" t="str">
        <f>'1PROJE'!$E$3</f>
        <v>GÜNEŞ PEN</v>
      </c>
      <c r="E1538" s="658"/>
      <c r="F1538" s="658"/>
      <c r="G1538" s="659"/>
    </row>
    <row r="1539" spans="2:9" ht="31.5" customHeight="1" thickBot="1">
      <c r="B1539" s="257" t="s">
        <v>871</v>
      </c>
      <c r="C1539" s="248"/>
      <c r="D1539" s="644" t="str">
        <f>'1PROJE'!$F$3</f>
        <v>GÜRKAN BEY</v>
      </c>
      <c r="E1539" s="645"/>
      <c r="F1539" s="645"/>
      <c r="G1539" s="646"/>
    </row>
    <row r="1540" spans="2:9" ht="31.5" customHeight="1" thickBot="1">
      <c r="B1540" s="257" t="s">
        <v>356</v>
      </c>
      <c r="C1540" s="248"/>
      <c r="D1540" s="647" t="e" cm="1">
        <f t="array" aca="1" ref="D1540" ca="1">INDIRECT("xHesaplama!I"&amp;""&amp;ROW(D1540)+70-7*ROUNDDOWN(ROW(D1540)/8,0))</f>
        <v>#N/A</v>
      </c>
      <c r="E1540" s="648"/>
      <c r="F1540" s="648"/>
      <c r="G1540" s="649"/>
    </row>
    <row r="1541" spans="2:9" ht="31.5" customHeight="1" thickBot="1">
      <c r="B1541" s="257" t="s">
        <v>342</v>
      </c>
      <c r="C1541" s="248"/>
      <c r="D1541" s="650" t="str">
        <f>$H$1</f>
        <v>KUTU</v>
      </c>
      <c r="E1541" s="651"/>
      <c r="F1541" s="651"/>
      <c r="G1541" s="652"/>
    </row>
    <row r="1542" spans="2:9" ht="31.5" customHeight="1" thickBot="1">
      <c r="B1542" s="257" t="s">
        <v>114</v>
      </c>
      <c r="C1542" s="248"/>
      <c r="D1542" s="653" t="str">
        <f>'1PROJE'!$G$3</f>
        <v>Z 5001</v>
      </c>
      <c r="E1542" s="654"/>
      <c r="F1542" s="654"/>
      <c r="G1542" s="655"/>
      <c r="I1542" s="250"/>
    </row>
    <row r="1543" spans="2:9" ht="31.5" customHeight="1" thickBot="1">
      <c r="B1543" s="257" t="s">
        <v>98</v>
      </c>
      <c r="D1543" s="331" cm="1">
        <f t="array" aca="1" ref="D1543" ca="1">INDIRECT("xHesaplama!H"&amp;""&amp;ROW(D1540)+70-7*ROUNDDOWN(ROW(D1540)/8,0))</f>
        <v>0</v>
      </c>
      <c r="E1543" s="332"/>
      <c r="F1543" s="642" t="e">
        <f ca="1">VLOOKUP(LEFT(D1543,6),$J$2:$K$21,2,0)</f>
        <v>#N/A</v>
      </c>
      <c r="G1543" s="643"/>
    </row>
    <row r="1544" spans="2:9" ht="31.5" customHeight="1" thickBot="1">
      <c r="B1544" s="257" t="s">
        <v>832</v>
      </c>
      <c r="D1544" s="252" t="s">
        <v>359</v>
      </c>
      <c r="E1544" s="253" t="e" cm="1">
        <f t="array" aca="1" ref="E1544" ca="1">INDIRECT("xHesaplama!J"&amp;""&amp;ROW(D1540)+70-7*ROUNDDOWN(ROW(D1540)/8,0))</f>
        <v>#N/A</v>
      </c>
      <c r="F1544" s="254" t="s">
        <v>358</v>
      </c>
      <c r="G1544" s="253" t="e" cm="1">
        <f t="array" aca="1" ref="G1544" ca="1">INDIRECT("xHesaplama!K"&amp;""&amp;ROW(D1540)+70-7*ROUNDDOWN(ROW(D1540)/8,0))</f>
        <v>#N/A</v>
      </c>
    </row>
    <row r="1545" spans="2:9" ht="69" customHeight="1" thickBot="1">
      <c r="B1545" s="256" t="s">
        <v>869</v>
      </c>
      <c r="C1545" s="248"/>
      <c r="D1545" s="656"/>
      <c r="E1545" s="656"/>
      <c r="F1545" s="656"/>
      <c r="G1545" s="656"/>
    </row>
    <row r="1546" spans="2:9" ht="31.5" customHeight="1" thickBot="1">
      <c r="B1546" s="257" t="s">
        <v>870</v>
      </c>
      <c r="C1546" s="248"/>
      <c r="D1546" s="657" t="str">
        <f>'1PROJE'!$E$3</f>
        <v>GÜNEŞ PEN</v>
      </c>
      <c r="E1546" s="658"/>
      <c r="F1546" s="658"/>
      <c r="G1546" s="659"/>
    </row>
    <row r="1547" spans="2:9" ht="31.5" customHeight="1" thickBot="1">
      <c r="B1547" s="257" t="s">
        <v>871</v>
      </c>
      <c r="C1547" s="248"/>
      <c r="D1547" s="644" t="str">
        <f>'1PROJE'!$F$3</f>
        <v>GÜRKAN BEY</v>
      </c>
      <c r="E1547" s="645"/>
      <c r="F1547" s="645"/>
      <c r="G1547" s="646"/>
    </row>
    <row r="1548" spans="2:9" ht="31.5" customHeight="1" thickBot="1">
      <c r="B1548" s="257" t="s">
        <v>356</v>
      </c>
      <c r="C1548" s="248"/>
      <c r="D1548" s="647" t="e" cm="1">
        <f t="array" aca="1" ref="D1548" ca="1">INDIRECT("xHesaplama!I"&amp;""&amp;ROW(D1548)+70-7*ROUNDDOWN(ROW(D1548)/8,0))</f>
        <v>#N/A</v>
      </c>
      <c r="E1548" s="648"/>
      <c r="F1548" s="648"/>
      <c r="G1548" s="649"/>
    </row>
    <row r="1549" spans="2:9" ht="31.5" customHeight="1" thickBot="1">
      <c r="B1549" s="257" t="s">
        <v>342</v>
      </c>
      <c r="C1549" s="248"/>
      <c r="D1549" s="650" t="str">
        <f>$H$1</f>
        <v>KUTU</v>
      </c>
      <c r="E1549" s="651"/>
      <c r="F1549" s="651"/>
      <c r="G1549" s="652"/>
    </row>
    <row r="1550" spans="2:9" ht="31.5" customHeight="1" thickBot="1">
      <c r="B1550" s="257" t="s">
        <v>114</v>
      </c>
      <c r="C1550" s="248"/>
      <c r="D1550" s="653" t="str">
        <f>'1PROJE'!$G$3</f>
        <v>Z 5001</v>
      </c>
      <c r="E1550" s="654"/>
      <c r="F1550" s="654"/>
      <c r="G1550" s="655"/>
      <c r="I1550" s="250"/>
    </row>
    <row r="1551" spans="2:9" ht="31.5" customHeight="1" thickBot="1">
      <c r="B1551" s="257" t="s">
        <v>98</v>
      </c>
      <c r="D1551" s="331" cm="1">
        <f t="array" aca="1" ref="D1551" ca="1">INDIRECT("xHesaplama!H"&amp;""&amp;ROW(D1548)+70-7*ROUNDDOWN(ROW(D1548)/8,0))</f>
        <v>0</v>
      </c>
      <c r="E1551" s="332"/>
      <c r="F1551" s="642" t="e">
        <f ca="1">VLOOKUP(LEFT(D1551,6),$J$2:$K$21,2,0)</f>
        <v>#N/A</v>
      </c>
      <c r="G1551" s="643"/>
    </row>
    <row r="1552" spans="2:9" ht="31.5" customHeight="1" thickBot="1">
      <c r="B1552" s="257" t="s">
        <v>832</v>
      </c>
      <c r="D1552" s="252" t="s">
        <v>359</v>
      </c>
      <c r="E1552" s="253" t="e" cm="1">
        <f t="array" aca="1" ref="E1552" ca="1">INDIRECT("xHesaplama!J"&amp;""&amp;ROW(D1548)+70-7*ROUNDDOWN(ROW(D1548)/8,0))</f>
        <v>#N/A</v>
      </c>
      <c r="F1552" s="254" t="s">
        <v>358</v>
      </c>
      <c r="G1552" s="253" t="e" cm="1">
        <f t="array" aca="1" ref="G1552" ca="1">INDIRECT("xHesaplama!K"&amp;""&amp;ROW(D1548)+70-7*ROUNDDOWN(ROW(D1548)/8,0))</f>
        <v>#N/A</v>
      </c>
    </row>
    <row r="1553" spans="2:9" ht="69" customHeight="1" thickBot="1">
      <c r="B1553" s="256" t="s">
        <v>869</v>
      </c>
      <c r="C1553" s="248"/>
      <c r="D1553" s="656"/>
      <c r="E1553" s="656"/>
      <c r="F1553" s="656"/>
      <c r="G1553" s="656"/>
    </row>
    <row r="1554" spans="2:9" ht="31.5" customHeight="1" thickBot="1">
      <c r="B1554" s="257" t="s">
        <v>870</v>
      </c>
      <c r="C1554" s="248"/>
      <c r="D1554" s="657" t="str">
        <f>'1PROJE'!$E$3</f>
        <v>GÜNEŞ PEN</v>
      </c>
      <c r="E1554" s="658"/>
      <c r="F1554" s="658"/>
      <c r="G1554" s="659"/>
    </row>
    <row r="1555" spans="2:9" ht="31.5" customHeight="1" thickBot="1">
      <c r="B1555" s="257" t="s">
        <v>871</v>
      </c>
      <c r="C1555" s="248"/>
      <c r="D1555" s="644" t="str">
        <f>'1PROJE'!$F$3</f>
        <v>GÜRKAN BEY</v>
      </c>
      <c r="E1555" s="645"/>
      <c r="F1555" s="645"/>
      <c r="G1555" s="646"/>
    </row>
    <row r="1556" spans="2:9" ht="31.5" customHeight="1" thickBot="1">
      <c r="B1556" s="257" t="s">
        <v>356</v>
      </c>
      <c r="C1556" s="248"/>
      <c r="D1556" s="647" t="e" cm="1">
        <f t="array" aca="1" ref="D1556" ca="1">INDIRECT("xHesaplama!I"&amp;""&amp;ROW(D1556)+70-7*ROUNDDOWN(ROW(D1556)/8,0))</f>
        <v>#N/A</v>
      </c>
      <c r="E1556" s="648"/>
      <c r="F1556" s="648"/>
      <c r="G1556" s="649"/>
    </row>
    <row r="1557" spans="2:9" ht="31.5" customHeight="1" thickBot="1">
      <c r="B1557" s="257" t="s">
        <v>342</v>
      </c>
      <c r="C1557" s="248"/>
      <c r="D1557" s="650" t="str">
        <f>$H$1</f>
        <v>KUTU</v>
      </c>
      <c r="E1557" s="651"/>
      <c r="F1557" s="651"/>
      <c r="G1557" s="652"/>
    </row>
    <row r="1558" spans="2:9" ht="31.5" customHeight="1" thickBot="1">
      <c r="B1558" s="257" t="s">
        <v>114</v>
      </c>
      <c r="C1558" s="248"/>
      <c r="D1558" s="653" t="str">
        <f>'1PROJE'!$G$3</f>
        <v>Z 5001</v>
      </c>
      <c r="E1558" s="654"/>
      <c r="F1558" s="654"/>
      <c r="G1558" s="655"/>
      <c r="I1558" s="250"/>
    </row>
    <row r="1559" spans="2:9" ht="31.5" customHeight="1" thickBot="1">
      <c r="B1559" s="257" t="s">
        <v>98</v>
      </c>
      <c r="D1559" s="331" cm="1">
        <f t="array" aca="1" ref="D1559" ca="1">INDIRECT("xHesaplama!H"&amp;""&amp;ROW(D1556)+70-7*ROUNDDOWN(ROW(D1556)/8,0))</f>
        <v>0</v>
      </c>
      <c r="E1559" s="332"/>
      <c r="F1559" s="642" t="e">
        <f ca="1">VLOOKUP(LEFT(D1559,6),$J$2:$K$21,2,0)</f>
        <v>#N/A</v>
      </c>
      <c r="G1559" s="643"/>
    </row>
    <row r="1560" spans="2:9" ht="31.5" customHeight="1" thickBot="1">
      <c r="B1560" s="257" t="s">
        <v>832</v>
      </c>
      <c r="D1560" s="252" t="s">
        <v>359</v>
      </c>
      <c r="E1560" s="253" t="e" cm="1">
        <f t="array" aca="1" ref="E1560" ca="1">INDIRECT("xHesaplama!J"&amp;""&amp;ROW(D1556)+70-7*ROUNDDOWN(ROW(D1556)/8,0))</f>
        <v>#N/A</v>
      </c>
      <c r="F1560" s="254" t="s">
        <v>358</v>
      </c>
      <c r="G1560" s="253" t="e" cm="1">
        <f t="array" aca="1" ref="G1560" ca="1">INDIRECT("xHesaplama!K"&amp;""&amp;ROW(D1556)+70-7*ROUNDDOWN(ROW(D1556)/8,0))</f>
        <v>#N/A</v>
      </c>
    </row>
    <row r="1561" spans="2:9" ht="69" customHeight="1" thickBot="1">
      <c r="B1561" s="256" t="s">
        <v>869</v>
      </c>
      <c r="C1561" s="248"/>
      <c r="D1561" s="656"/>
      <c r="E1561" s="656"/>
      <c r="F1561" s="656"/>
      <c r="G1561" s="656"/>
    </row>
    <row r="1562" spans="2:9" ht="31.5" customHeight="1" thickBot="1">
      <c r="B1562" s="257" t="s">
        <v>870</v>
      </c>
      <c r="C1562" s="248"/>
      <c r="D1562" s="657" t="str">
        <f>'1PROJE'!$E$3</f>
        <v>GÜNEŞ PEN</v>
      </c>
      <c r="E1562" s="658"/>
      <c r="F1562" s="658"/>
      <c r="G1562" s="659"/>
    </row>
    <row r="1563" spans="2:9" ht="31.5" customHeight="1" thickBot="1">
      <c r="B1563" s="257" t="s">
        <v>871</v>
      </c>
      <c r="C1563" s="248"/>
      <c r="D1563" s="644" t="str">
        <f>'1PROJE'!$F$3</f>
        <v>GÜRKAN BEY</v>
      </c>
      <c r="E1563" s="645"/>
      <c r="F1563" s="645"/>
      <c r="G1563" s="646"/>
    </row>
    <row r="1564" spans="2:9" ht="31.5" customHeight="1" thickBot="1">
      <c r="B1564" s="257" t="s">
        <v>356</v>
      </c>
      <c r="C1564" s="248"/>
      <c r="D1564" s="647" t="e" cm="1">
        <f t="array" aca="1" ref="D1564" ca="1">INDIRECT("xHesaplama!I"&amp;""&amp;ROW(D1564)+70-7*ROUNDDOWN(ROW(D1564)/8,0))</f>
        <v>#N/A</v>
      </c>
      <c r="E1564" s="648"/>
      <c r="F1564" s="648"/>
      <c r="G1564" s="649"/>
    </row>
    <row r="1565" spans="2:9" ht="31.5" customHeight="1" thickBot="1">
      <c r="B1565" s="257" t="s">
        <v>342</v>
      </c>
      <c r="C1565" s="248"/>
      <c r="D1565" s="650" t="str">
        <f>$H$1</f>
        <v>KUTU</v>
      </c>
      <c r="E1565" s="651"/>
      <c r="F1565" s="651"/>
      <c r="G1565" s="652"/>
    </row>
    <row r="1566" spans="2:9" ht="31.5" customHeight="1" thickBot="1">
      <c r="B1566" s="257" t="s">
        <v>114</v>
      </c>
      <c r="C1566" s="248"/>
      <c r="D1566" s="653" t="str">
        <f>'1PROJE'!$G$3</f>
        <v>Z 5001</v>
      </c>
      <c r="E1566" s="654"/>
      <c r="F1566" s="654"/>
      <c r="G1566" s="655"/>
      <c r="I1566" s="250"/>
    </row>
    <row r="1567" spans="2:9" ht="31.5" customHeight="1" thickBot="1">
      <c r="B1567" s="257" t="s">
        <v>98</v>
      </c>
      <c r="D1567" s="331" cm="1">
        <f t="array" aca="1" ref="D1567" ca="1">INDIRECT("xHesaplama!H"&amp;""&amp;ROW(D1564)+70-7*ROUNDDOWN(ROW(D1564)/8,0))</f>
        <v>0</v>
      </c>
      <c r="E1567" s="332"/>
      <c r="F1567" s="642" t="e">
        <f ca="1">VLOOKUP(LEFT(D1567,6),$J$2:$K$21,2,0)</f>
        <v>#N/A</v>
      </c>
      <c r="G1567" s="643"/>
    </row>
    <row r="1568" spans="2:9" ht="31.5" customHeight="1" thickBot="1">
      <c r="B1568" s="257" t="s">
        <v>832</v>
      </c>
      <c r="D1568" s="252" t="s">
        <v>359</v>
      </c>
      <c r="E1568" s="253" t="e" cm="1">
        <f t="array" aca="1" ref="E1568" ca="1">INDIRECT("xHesaplama!J"&amp;""&amp;ROW(D1564)+70-7*ROUNDDOWN(ROW(D1564)/8,0))</f>
        <v>#N/A</v>
      </c>
      <c r="F1568" s="254" t="s">
        <v>358</v>
      </c>
      <c r="G1568" s="253" t="e" cm="1">
        <f t="array" aca="1" ref="G1568" ca="1">INDIRECT("xHesaplama!K"&amp;""&amp;ROW(D1564)+70-7*ROUNDDOWN(ROW(D1564)/8,0))</f>
        <v>#N/A</v>
      </c>
    </row>
    <row r="1569" spans="2:9" ht="69" customHeight="1" thickBot="1">
      <c r="B1569" s="256" t="s">
        <v>869</v>
      </c>
      <c r="C1569" s="248"/>
      <c r="D1569" s="656"/>
      <c r="E1569" s="656"/>
      <c r="F1569" s="656"/>
      <c r="G1569" s="656"/>
    </row>
    <row r="1570" spans="2:9" ht="31.5" customHeight="1" thickBot="1">
      <c r="B1570" s="257" t="s">
        <v>870</v>
      </c>
      <c r="C1570" s="248"/>
      <c r="D1570" s="657" t="str">
        <f>'1PROJE'!$E$3</f>
        <v>GÜNEŞ PEN</v>
      </c>
      <c r="E1570" s="658"/>
      <c r="F1570" s="658"/>
      <c r="G1570" s="659"/>
    </row>
    <row r="1571" spans="2:9" ht="31.5" customHeight="1" thickBot="1">
      <c r="B1571" s="257" t="s">
        <v>871</v>
      </c>
      <c r="C1571" s="248"/>
      <c r="D1571" s="644" t="str">
        <f>'1PROJE'!$F$3</f>
        <v>GÜRKAN BEY</v>
      </c>
      <c r="E1571" s="645"/>
      <c r="F1571" s="645"/>
      <c r="G1571" s="646"/>
    </row>
    <row r="1572" spans="2:9" ht="31.5" customHeight="1" thickBot="1">
      <c r="B1572" s="257" t="s">
        <v>356</v>
      </c>
      <c r="C1572" s="248"/>
      <c r="D1572" s="647" t="e" cm="1">
        <f t="array" aca="1" ref="D1572" ca="1">INDIRECT("xHesaplama!I"&amp;""&amp;ROW(D1572)+70-7*ROUNDDOWN(ROW(D1572)/8,0))</f>
        <v>#N/A</v>
      </c>
      <c r="E1572" s="648"/>
      <c r="F1572" s="648"/>
      <c r="G1572" s="649"/>
    </row>
    <row r="1573" spans="2:9" ht="31.5" customHeight="1" thickBot="1">
      <c r="B1573" s="257" t="s">
        <v>342</v>
      </c>
      <c r="C1573" s="248"/>
      <c r="D1573" s="650" t="str">
        <f>$H$1</f>
        <v>KUTU</v>
      </c>
      <c r="E1573" s="651"/>
      <c r="F1573" s="651"/>
      <c r="G1573" s="652"/>
    </row>
    <row r="1574" spans="2:9" ht="31.5" customHeight="1" thickBot="1">
      <c r="B1574" s="257" t="s">
        <v>114</v>
      </c>
      <c r="C1574" s="248"/>
      <c r="D1574" s="653" t="str">
        <f>'1PROJE'!$G$3</f>
        <v>Z 5001</v>
      </c>
      <c r="E1574" s="654"/>
      <c r="F1574" s="654"/>
      <c r="G1574" s="655"/>
      <c r="I1574" s="250"/>
    </row>
    <row r="1575" spans="2:9" ht="31.5" customHeight="1" thickBot="1">
      <c r="B1575" s="257" t="s">
        <v>98</v>
      </c>
      <c r="D1575" s="331" cm="1">
        <f t="array" aca="1" ref="D1575" ca="1">INDIRECT("xHesaplama!H"&amp;""&amp;ROW(D1572)+70-7*ROUNDDOWN(ROW(D1572)/8,0))</f>
        <v>0</v>
      </c>
      <c r="E1575" s="332"/>
      <c r="F1575" s="642" t="e">
        <f ca="1">VLOOKUP(LEFT(D1575,6),$J$2:$K$21,2,0)</f>
        <v>#N/A</v>
      </c>
      <c r="G1575" s="643"/>
    </row>
    <row r="1576" spans="2:9" ht="31.5" customHeight="1" thickBot="1">
      <c r="B1576" s="257" t="s">
        <v>832</v>
      </c>
      <c r="D1576" s="252" t="s">
        <v>359</v>
      </c>
      <c r="E1576" s="253" t="e" cm="1">
        <f t="array" aca="1" ref="E1576" ca="1">INDIRECT("xHesaplama!J"&amp;""&amp;ROW(D1572)+70-7*ROUNDDOWN(ROW(D1572)/8,0))</f>
        <v>#N/A</v>
      </c>
      <c r="F1576" s="254" t="s">
        <v>358</v>
      </c>
      <c r="G1576" s="253" t="e" cm="1">
        <f t="array" aca="1" ref="G1576" ca="1">INDIRECT("xHesaplama!K"&amp;""&amp;ROW(D1572)+70-7*ROUNDDOWN(ROW(D1572)/8,0))</f>
        <v>#N/A</v>
      </c>
    </row>
    <row r="1577" spans="2:9" ht="69" customHeight="1" thickBot="1">
      <c r="B1577" s="256" t="s">
        <v>869</v>
      </c>
      <c r="C1577" s="248"/>
      <c r="D1577" s="656"/>
      <c r="E1577" s="656"/>
      <c r="F1577" s="656"/>
      <c r="G1577" s="656"/>
    </row>
    <row r="1578" spans="2:9" ht="31.5" customHeight="1" thickBot="1">
      <c r="B1578" s="257" t="s">
        <v>870</v>
      </c>
      <c r="C1578" s="248"/>
      <c r="D1578" s="657" t="str">
        <f>'1PROJE'!$E$3</f>
        <v>GÜNEŞ PEN</v>
      </c>
      <c r="E1578" s="658"/>
      <c r="F1578" s="658"/>
      <c r="G1578" s="659"/>
    </row>
    <row r="1579" spans="2:9" ht="31.5" customHeight="1" thickBot="1">
      <c r="B1579" s="257" t="s">
        <v>871</v>
      </c>
      <c r="C1579" s="248"/>
      <c r="D1579" s="644" t="str">
        <f>'1PROJE'!$F$3</f>
        <v>GÜRKAN BEY</v>
      </c>
      <c r="E1579" s="645"/>
      <c r="F1579" s="645"/>
      <c r="G1579" s="646"/>
    </row>
    <row r="1580" spans="2:9" ht="31.5" customHeight="1" thickBot="1">
      <c r="B1580" s="257" t="s">
        <v>356</v>
      </c>
      <c r="C1580" s="248"/>
      <c r="D1580" s="647" t="e" cm="1">
        <f t="array" aca="1" ref="D1580" ca="1">INDIRECT("xHesaplama!I"&amp;""&amp;ROW(D1580)+70-7*ROUNDDOWN(ROW(D1580)/8,0))</f>
        <v>#N/A</v>
      </c>
      <c r="E1580" s="648"/>
      <c r="F1580" s="648"/>
      <c r="G1580" s="649"/>
    </row>
    <row r="1581" spans="2:9" ht="31.5" customHeight="1" thickBot="1">
      <c r="B1581" s="257" t="s">
        <v>342</v>
      </c>
      <c r="C1581" s="248"/>
      <c r="D1581" s="650" t="str">
        <f>$H$1</f>
        <v>KUTU</v>
      </c>
      <c r="E1581" s="651"/>
      <c r="F1581" s="651"/>
      <c r="G1581" s="652"/>
    </row>
    <row r="1582" spans="2:9" ht="31.5" customHeight="1" thickBot="1">
      <c r="B1582" s="257" t="s">
        <v>114</v>
      </c>
      <c r="C1582" s="248"/>
      <c r="D1582" s="653" t="str">
        <f>'1PROJE'!$G$3</f>
        <v>Z 5001</v>
      </c>
      <c r="E1582" s="654"/>
      <c r="F1582" s="654"/>
      <c r="G1582" s="655"/>
      <c r="I1582" s="250"/>
    </row>
    <row r="1583" spans="2:9" ht="31.5" customHeight="1" thickBot="1">
      <c r="B1583" s="257" t="s">
        <v>98</v>
      </c>
      <c r="D1583" s="331" cm="1">
        <f t="array" aca="1" ref="D1583" ca="1">INDIRECT("xHesaplama!H"&amp;""&amp;ROW(D1580)+70-7*ROUNDDOWN(ROW(D1580)/8,0))</f>
        <v>0</v>
      </c>
      <c r="E1583" s="332"/>
      <c r="F1583" s="642" t="e">
        <f ca="1">VLOOKUP(LEFT(D1583,6),$J$2:$K$21,2,0)</f>
        <v>#N/A</v>
      </c>
      <c r="G1583" s="643"/>
    </row>
    <row r="1584" spans="2:9" ht="31.5" customHeight="1" thickBot="1">
      <c r="B1584" s="257" t="s">
        <v>832</v>
      </c>
      <c r="D1584" s="252" t="s">
        <v>359</v>
      </c>
      <c r="E1584" s="253" t="e" cm="1">
        <f t="array" aca="1" ref="E1584" ca="1">INDIRECT("xHesaplama!J"&amp;""&amp;ROW(D1580)+70-7*ROUNDDOWN(ROW(D1580)/8,0))</f>
        <v>#N/A</v>
      </c>
      <c r="F1584" s="254" t="s">
        <v>358</v>
      </c>
      <c r="G1584" s="253" t="e" cm="1">
        <f t="array" aca="1" ref="G1584" ca="1">INDIRECT("xHesaplama!K"&amp;""&amp;ROW(D1580)+70-7*ROUNDDOWN(ROW(D1580)/8,0))</f>
        <v>#N/A</v>
      </c>
    </row>
    <row r="1585" spans="2:9" ht="69" customHeight="1" thickBot="1">
      <c r="B1585" s="256" t="s">
        <v>869</v>
      </c>
      <c r="C1585" s="248"/>
      <c r="D1585" s="656"/>
      <c r="E1585" s="656"/>
      <c r="F1585" s="656"/>
      <c r="G1585" s="656"/>
    </row>
    <row r="1586" spans="2:9" ht="31.5" customHeight="1" thickBot="1">
      <c r="B1586" s="257" t="s">
        <v>870</v>
      </c>
      <c r="C1586" s="248"/>
      <c r="D1586" s="657" t="str">
        <f>'1PROJE'!$E$3</f>
        <v>GÜNEŞ PEN</v>
      </c>
      <c r="E1586" s="658"/>
      <c r="F1586" s="658"/>
      <c r="G1586" s="659"/>
    </row>
    <row r="1587" spans="2:9" ht="31.5" customHeight="1" thickBot="1">
      <c r="B1587" s="257" t="s">
        <v>871</v>
      </c>
      <c r="C1587" s="248"/>
      <c r="D1587" s="644" t="str">
        <f>'1PROJE'!$F$3</f>
        <v>GÜRKAN BEY</v>
      </c>
      <c r="E1587" s="645"/>
      <c r="F1587" s="645"/>
      <c r="G1587" s="646"/>
    </row>
    <row r="1588" spans="2:9" ht="31.5" customHeight="1" thickBot="1">
      <c r="B1588" s="257" t="s">
        <v>356</v>
      </c>
      <c r="C1588" s="248"/>
      <c r="D1588" s="647" t="e" cm="1">
        <f t="array" aca="1" ref="D1588" ca="1">INDIRECT("xHesaplama!I"&amp;""&amp;ROW(D1588)+70-7*ROUNDDOWN(ROW(D1588)/8,0))</f>
        <v>#N/A</v>
      </c>
      <c r="E1588" s="648"/>
      <c r="F1588" s="648"/>
      <c r="G1588" s="649"/>
    </row>
    <row r="1589" spans="2:9" ht="31.5" customHeight="1" thickBot="1">
      <c r="B1589" s="257" t="s">
        <v>342</v>
      </c>
      <c r="C1589" s="248"/>
      <c r="D1589" s="650" t="str">
        <f>$H$1</f>
        <v>KUTU</v>
      </c>
      <c r="E1589" s="651"/>
      <c r="F1589" s="651"/>
      <c r="G1589" s="652"/>
    </row>
    <row r="1590" spans="2:9" ht="31.5" customHeight="1" thickBot="1">
      <c r="B1590" s="257" t="s">
        <v>114</v>
      </c>
      <c r="C1590" s="248"/>
      <c r="D1590" s="653" t="str">
        <f>'1PROJE'!$G$3</f>
        <v>Z 5001</v>
      </c>
      <c r="E1590" s="654"/>
      <c r="F1590" s="654"/>
      <c r="G1590" s="655"/>
      <c r="I1590" s="250"/>
    </row>
    <row r="1591" spans="2:9" ht="31.5" customHeight="1" thickBot="1">
      <c r="B1591" s="257" t="s">
        <v>98</v>
      </c>
      <c r="D1591" s="331" cm="1">
        <f t="array" aca="1" ref="D1591" ca="1">INDIRECT("xHesaplama!H"&amp;""&amp;ROW(D1588)+70-7*ROUNDDOWN(ROW(D1588)/8,0))</f>
        <v>0</v>
      </c>
      <c r="E1591" s="332"/>
      <c r="F1591" s="642" t="e">
        <f ca="1">VLOOKUP(LEFT(D1591,6),$J$2:$K$21,2,0)</f>
        <v>#N/A</v>
      </c>
      <c r="G1591" s="643"/>
    </row>
    <row r="1592" spans="2:9" ht="31.5" customHeight="1" thickBot="1">
      <c r="B1592" s="257" t="s">
        <v>832</v>
      </c>
      <c r="D1592" s="252" t="s">
        <v>359</v>
      </c>
      <c r="E1592" s="253" t="e" cm="1">
        <f t="array" aca="1" ref="E1592" ca="1">INDIRECT("xHesaplama!J"&amp;""&amp;ROW(D1588)+70-7*ROUNDDOWN(ROW(D1588)/8,0))</f>
        <v>#N/A</v>
      </c>
      <c r="F1592" s="254" t="s">
        <v>358</v>
      </c>
      <c r="G1592" s="253" t="e" cm="1">
        <f t="array" aca="1" ref="G1592" ca="1">INDIRECT("xHesaplama!K"&amp;""&amp;ROW(D1588)+70-7*ROUNDDOWN(ROW(D1588)/8,0))</f>
        <v>#N/A</v>
      </c>
    </row>
    <row r="1593" spans="2:9" ht="69" customHeight="1" thickBot="1">
      <c r="B1593" s="256" t="s">
        <v>869</v>
      </c>
      <c r="C1593" s="248"/>
      <c r="D1593" s="656"/>
      <c r="E1593" s="656"/>
      <c r="F1593" s="656"/>
      <c r="G1593" s="656"/>
    </row>
    <row r="1594" spans="2:9" ht="31.5" customHeight="1" thickBot="1">
      <c r="B1594" s="257" t="s">
        <v>870</v>
      </c>
      <c r="C1594" s="248"/>
      <c r="D1594" s="657" t="str">
        <f>'1PROJE'!$E$3</f>
        <v>GÜNEŞ PEN</v>
      </c>
      <c r="E1594" s="658"/>
      <c r="F1594" s="658"/>
      <c r="G1594" s="659"/>
    </row>
    <row r="1595" spans="2:9" ht="31.5" customHeight="1" thickBot="1">
      <c r="B1595" s="257" t="s">
        <v>871</v>
      </c>
      <c r="C1595" s="248"/>
      <c r="D1595" s="644" t="str">
        <f>'1PROJE'!$F$3</f>
        <v>GÜRKAN BEY</v>
      </c>
      <c r="E1595" s="645"/>
      <c r="F1595" s="645"/>
      <c r="G1595" s="646"/>
    </row>
    <row r="1596" spans="2:9" ht="31.5" customHeight="1" thickBot="1">
      <c r="B1596" s="257" t="s">
        <v>356</v>
      </c>
      <c r="C1596" s="248"/>
      <c r="D1596" s="647" t="e" cm="1">
        <f t="array" aca="1" ref="D1596" ca="1">INDIRECT("xHesaplama!I"&amp;""&amp;ROW(D1596)+70-7*ROUNDDOWN(ROW(D1596)/8,0))</f>
        <v>#N/A</v>
      </c>
      <c r="E1596" s="648"/>
      <c r="F1596" s="648"/>
      <c r="G1596" s="649"/>
    </row>
    <row r="1597" spans="2:9" ht="31.5" customHeight="1" thickBot="1">
      <c r="B1597" s="257" t="s">
        <v>342</v>
      </c>
      <c r="C1597" s="248"/>
      <c r="D1597" s="650" t="str">
        <f>$H$1</f>
        <v>KUTU</v>
      </c>
      <c r="E1597" s="651"/>
      <c r="F1597" s="651"/>
      <c r="G1597" s="652"/>
    </row>
    <row r="1598" spans="2:9" ht="31.5" customHeight="1" thickBot="1">
      <c r="B1598" s="257" t="s">
        <v>114</v>
      </c>
      <c r="C1598" s="248"/>
      <c r="D1598" s="653" t="str">
        <f>'1PROJE'!$G$3</f>
        <v>Z 5001</v>
      </c>
      <c r="E1598" s="654"/>
      <c r="F1598" s="654"/>
      <c r="G1598" s="655"/>
      <c r="I1598" s="250"/>
    </row>
    <row r="1599" spans="2:9" ht="31.5" customHeight="1" thickBot="1">
      <c r="B1599" s="257" t="s">
        <v>98</v>
      </c>
      <c r="D1599" s="331" cm="1">
        <f t="array" aca="1" ref="D1599" ca="1">INDIRECT("xHesaplama!H"&amp;""&amp;ROW(D1596)+70-7*ROUNDDOWN(ROW(D1596)/8,0))</f>
        <v>0</v>
      </c>
      <c r="E1599" s="332"/>
      <c r="F1599" s="642" t="e">
        <f ca="1">VLOOKUP(LEFT(D1599,6),$J$2:$K$21,2,0)</f>
        <v>#N/A</v>
      </c>
      <c r="G1599" s="643"/>
    </row>
    <row r="1600" spans="2:9" ht="31.5" customHeight="1" thickBot="1">
      <c r="B1600" s="257" t="s">
        <v>832</v>
      </c>
      <c r="D1600" s="252" t="s">
        <v>359</v>
      </c>
      <c r="E1600" s="253" t="e" cm="1">
        <f t="array" aca="1" ref="E1600" ca="1">INDIRECT("xHesaplama!J"&amp;""&amp;ROW(D1596)+70-7*ROUNDDOWN(ROW(D1596)/8,0))</f>
        <v>#N/A</v>
      </c>
      <c r="F1600" s="254" t="s">
        <v>358</v>
      </c>
      <c r="G1600" s="253" t="e" cm="1">
        <f t="array" aca="1" ref="G1600" ca="1">INDIRECT("xHesaplama!K"&amp;""&amp;ROW(D1596)+70-7*ROUNDDOWN(ROW(D1596)/8,0))</f>
        <v>#N/A</v>
      </c>
    </row>
  </sheetData>
  <mergeCells count="1400">
    <mergeCell ref="D1586:G1586"/>
    <mergeCell ref="D1587:G1587"/>
    <mergeCell ref="D1588:G1588"/>
    <mergeCell ref="D1589:G1589"/>
    <mergeCell ref="D1590:G1590"/>
    <mergeCell ref="D1593:G1593"/>
    <mergeCell ref="D1594:G1594"/>
    <mergeCell ref="D1595:G1595"/>
    <mergeCell ref="D1596:G1596"/>
    <mergeCell ref="D1597:G1597"/>
    <mergeCell ref="D1598:G1598"/>
    <mergeCell ref="D1566:G1566"/>
    <mergeCell ref="D1569:G1569"/>
    <mergeCell ref="D1570:G1570"/>
    <mergeCell ref="D1571:G1571"/>
    <mergeCell ref="D1572:G1572"/>
    <mergeCell ref="D1573:G1573"/>
    <mergeCell ref="D1574:G1574"/>
    <mergeCell ref="D1577:G1577"/>
    <mergeCell ref="D1578:G1578"/>
    <mergeCell ref="D1579:G1579"/>
    <mergeCell ref="D1580:G1580"/>
    <mergeCell ref="D1581:G1581"/>
    <mergeCell ref="D1582:G1582"/>
    <mergeCell ref="D1585:G1585"/>
    <mergeCell ref="F1567:G1567"/>
    <mergeCell ref="F1575:G1575"/>
    <mergeCell ref="F1583:G1583"/>
    <mergeCell ref="F1591:G1591"/>
    <mergeCell ref="D1547:G1547"/>
    <mergeCell ref="D1548:G1548"/>
    <mergeCell ref="D1549:G1549"/>
    <mergeCell ref="D1550:G1550"/>
    <mergeCell ref="D1553:G1553"/>
    <mergeCell ref="D1554:G1554"/>
    <mergeCell ref="D1555:G1555"/>
    <mergeCell ref="D1556:G1556"/>
    <mergeCell ref="D1557:G1557"/>
    <mergeCell ref="D1558:G1558"/>
    <mergeCell ref="D1561:G1561"/>
    <mergeCell ref="D1562:G1562"/>
    <mergeCell ref="D1563:G1563"/>
    <mergeCell ref="D1564:G1564"/>
    <mergeCell ref="D1565:G1565"/>
    <mergeCell ref="F1551:G1551"/>
    <mergeCell ref="F1559:G1559"/>
    <mergeCell ref="D1529:G1529"/>
    <mergeCell ref="D1530:G1530"/>
    <mergeCell ref="D1531:G1531"/>
    <mergeCell ref="D1532:G1532"/>
    <mergeCell ref="D1533:G1533"/>
    <mergeCell ref="D1534:G1534"/>
    <mergeCell ref="D1537:G1537"/>
    <mergeCell ref="D1538:G1538"/>
    <mergeCell ref="D1539:G1539"/>
    <mergeCell ref="D1540:G1540"/>
    <mergeCell ref="D1541:G1541"/>
    <mergeCell ref="D1542:G1542"/>
    <mergeCell ref="D1545:G1545"/>
    <mergeCell ref="D1546:G1546"/>
    <mergeCell ref="F1527:G1527"/>
    <mergeCell ref="F1535:G1535"/>
    <mergeCell ref="F1543:G1543"/>
    <mergeCell ref="D1508:G1508"/>
    <mergeCell ref="D1509:G1509"/>
    <mergeCell ref="D1510:G1510"/>
    <mergeCell ref="D1513:G1513"/>
    <mergeCell ref="D1514:G1514"/>
    <mergeCell ref="D1515:G1515"/>
    <mergeCell ref="D1516:G1516"/>
    <mergeCell ref="D1517:G1517"/>
    <mergeCell ref="D1518:G1518"/>
    <mergeCell ref="D1521:G1521"/>
    <mergeCell ref="D1522:G1522"/>
    <mergeCell ref="D1523:G1523"/>
    <mergeCell ref="D1524:G1524"/>
    <mergeCell ref="D1525:G1525"/>
    <mergeCell ref="D1526:G1526"/>
    <mergeCell ref="F1511:G1511"/>
    <mergeCell ref="F1519:G1519"/>
    <mergeCell ref="D1489:G1489"/>
    <mergeCell ref="D1490:G1490"/>
    <mergeCell ref="D1491:G1491"/>
    <mergeCell ref="D1492:G1492"/>
    <mergeCell ref="D1493:G1493"/>
    <mergeCell ref="D1494:G1494"/>
    <mergeCell ref="D1497:G1497"/>
    <mergeCell ref="D1498:G1498"/>
    <mergeCell ref="D1499:G1499"/>
    <mergeCell ref="D1500:G1500"/>
    <mergeCell ref="D1501:G1501"/>
    <mergeCell ref="D1502:G1502"/>
    <mergeCell ref="D1505:G1505"/>
    <mergeCell ref="D1506:G1506"/>
    <mergeCell ref="D1507:G1507"/>
    <mergeCell ref="F1495:G1495"/>
    <mergeCell ref="F1503:G1503"/>
    <mergeCell ref="D1469:G1469"/>
    <mergeCell ref="D1470:G1470"/>
    <mergeCell ref="D1473:G1473"/>
    <mergeCell ref="D1474:G1474"/>
    <mergeCell ref="D1475:G1475"/>
    <mergeCell ref="D1476:G1476"/>
    <mergeCell ref="D1477:G1477"/>
    <mergeCell ref="D1478:G1478"/>
    <mergeCell ref="D1481:G1481"/>
    <mergeCell ref="D1482:G1482"/>
    <mergeCell ref="D1483:G1483"/>
    <mergeCell ref="D1484:G1484"/>
    <mergeCell ref="D1485:G1485"/>
    <mergeCell ref="D1486:G1486"/>
    <mergeCell ref="F1471:G1471"/>
    <mergeCell ref="F1487:G1487"/>
    <mergeCell ref="F1479:G1479"/>
    <mergeCell ref="D1450:G1450"/>
    <mergeCell ref="D1451:G1451"/>
    <mergeCell ref="D1452:G1452"/>
    <mergeCell ref="D1453:G1453"/>
    <mergeCell ref="D1454:G1454"/>
    <mergeCell ref="D1457:G1457"/>
    <mergeCell ref="D1458:G1458"/>
    <mergeCell ref="D1459:G1459"/>
    <mergeCell ref="D1460:G1460"/>
    <mergeCell ref="D1461:G1461"/>
    <mergeCell ref="D1462:G1462"/>
    <mergeCell ref="D1465:G1465"/>
    <mergeCell ref="D1466:G1466"/>
    <mergeCell ref="D1467:G1467"/>
    <mergeCell ref="D1468:G1468"/>
    <mergeCell ref="F1455:G1455"/>
    <mergeCell ref="F1463:G1463"/>
    <mergeCell ref="D1430:G1430"/>
    <mergeCell ref="D1433:G1433"/>
    <mergeCell ref="D1434:G1434"/>
    <mergeCell ref="D1435:G1435"/>
    <mergeCell ref="D1436:G1436"/>
    <mergeCell ref="D1437:G1437"/>
    <mergeCell ref="D1438:G1438"/>
    <mergeCell ref="D1441:G1441"/>
    <mergeCell ref="D1442:G1442"/>
    <mergeCell ref="D1443:G1443"/>
    <mergeCell ref="D1444:G1444"/>
    <mergeCell ref="D1445:G1445"/>
    <mergeCell ref="D1446:G1446"/>
    <mergeCell ref="D1449:G1449"/>
    <mergeCell ref="F1431:G1431"/>
    <mergeCell ref="F1447:G1447"/>
    <mergeCell ref="F1439:G1439"/>
    <mergeCell ref="D1411:G1411"/>
    <mergeCell ref="D1412:G1412"/>
    <mergeCell ref="D1413:G1413"/>
    <mergeCell ref="D1414:G1414"/>
    <mergeCell ref="D1417:G1417"/>
    <mergeCell ref="D1418:G1418"/>
    <mergeCell ref="D1419:G1419"/>
    <mergeCell ref="D1420:G1420"/>
    <mergeCell ref="D1421:G1421"/>
    <mergeCell ref="D1422:G1422"/>
    <mergeCell ref="D1425:G1425"/>
    <mergeCell ref="D1426:G1426"/>
    <mergeCell ref="D1427:G1427"/>
    <mergeCell ref="D1428:G1428"/>
    <mergeCell ref="D1429:G1429"/>
    <mergeCell ref="F1415:G1415"/>
    <mergeCell ref="F1423:G1423"/>
    <mergeCell ref="D1393:G1393"/>
    <mergeCell ref="D1394:G1394"/>
    <mergeCell ref="D1395:G1395"/>
    <mergeCell ref="D1396:G1396"/>
    <mergeCell ref="D1397:G1397"/>
    <mergeCell ref="D1398:G1398"/>
    <mergeCell ref="D1401:G1401"/>
    <mergeCell ref="D1402:G1402"/>
    <mergeCell ref="D1403:G1403"/>
    <mergeCell ref="D1404:G1404"/>
    <mergeCell ref="D1405:G1405"/>
    <mergeCell ref="D1406:G1406"/>
    <mergeCell ref="D1409:G1409"/>
    <mergeCell ref="D1410:G1410"/>
    <mergeCell ref="F1391:G1391"/>
    <mergeCell ref="F1399:G1399"/>
    <mergeCell ref="F1407:G1407"/>
    <mergeCell ref="D1372:G1372"/>
    <mergeCell ref="D1373:G1373"/>
    <mergeCell ref="D1374:G1374"/>
    <mergeCell ref="D1377:G1377"/>
    <mergeCell ref="D1378:G1378"/>
    <mergeCell ref="D1379:G1379"/>
    <mergeCell ref="D1380:G1380"/>
    <mergeCell ref="D1381:G1381"/>
    <mergeCell ref="D1382:G1382"/>
    <mergeCell ref="D1385:G1385"/>
    <mergeCell ref="D1386:G1386"/>
    <mergeCell ref="D1387:G1387"/>
    <mergeCell ref="D1388:G1388"/>
    <mergeCell ref="D1389:G1389"/>
    <mergeCell ref="D1390:G1390"/>
    <mergeCell ref="F1375:G1375"/>
    <mergeCell ref="F1383:G1383"/>
    <mergeCell ref="D1353:G1353"/>
    <mergeCell ref="D1354:G1354"/>
    <mergeCell ref="D1355:G1355"/>
    <mergeCell ref="D1356:G1356"/>
    <mergeCell ref="D1357:G1357"/>
    <mergeCell ref="D1358:G1358"/>
    <mergeCell ref="D1361:G1361"/>
    <mergeCell ref="D1362:G1362"/>
    <mergeCell ref="D1363:G1363"/>
    <mergeCell ref="D1364:G1364"/>
    <mergeCell ref="D1365:G1365"/>
    <mergeCell ref="D1366:G1366"/>
    <mergeCell ref="D1369:G1369"/>
    <mergeCell ref="D1370:G1370"/>
    <mergeCell ref="D1371:G1371"/>
    <mergeCell ref="F1359:G1359"/>
    <mergeCell ref="F1367:G1367"/>
    <mergeCell ref="D9:G9"/>
    <mergeCell ref="D10:G10"/>
    <mergeCell ref="D11:G11"/>
    <mergeCell ref="D12:G12"/>
    <mergeCell ref="D13:G13"/>
    <mergeCell ref="D1:G1"/>
    <mergeCell ref="D2:G2"/>
    <mergeCell ref="D3:G3"/>
    <mergeCell ref="D4:G4"/>
    <mergeCell ref="D5:G5"/>
    <mergeCell ref="D6:G6"/>
    <mergeCell ref="D35:G35"/>
    <mergeCell ref="D36:G36"/>
    <mergeCell ref="D37:G37"/>
    <mergeCell ref="D17:G17"/>
    <mergeCell ref="D18:G18"/>
    <mergeCell ref="D19:G19"/>
    <mergeCell ref="D20:G20"/>
    <mergeCell ref="F7:G7"/>
    <mergeCell ref="F15:G15"/>
    <mergeCell ref="D38:G38"/>
    <mergeCell ref="D41:G41"/>
    <mergeCell ref="D28:G28"/>
    <mergeCell ref="D29:G29"/>
    <mergeCell ref="D30:G30"/>
    <mergeCell ref="D33:G33"/>
    <mergeCell ref="D34:G34"/>
    <mergeCell ref="D21:G21"/>
    <mergeCell ref="D22:G22"/>
    <mergeCell ref="D25:G25"/>
    <mergeCell ref="D26:G26"/>
    <mergeCell ref="D27:G27"/>
    <mergeCell ref="D57:G57"/>
    <mergeCell ref="F23:G23"/>
    <mergeCell ref="F31:G31"/>
    <mergeCell ref="F39:G39"/>
    <mergeCell ref="D14:G14"/>
    <mergeCell ref="D58:G58"/>
    <mergeCell ref="D59:G59"/>
    <mergeCell ref="D60:G60"/>
    <mergeCell ref="D61:G61"/>
    <mergeCell ref="D49:G49"/>
    <mergeCell ref="D50:G50"/>
    <mergeCell ref="D51:G51"/>
    <mergeCell ref="D52:G52"/>
    <mergeCell ref="D53:G53"/>
    <mergeCell ref="D54:G54"/>
    <mergeCell ref="D42:G42"/>
    <mergeCell ref="D43:G43"/>
    <mergeCell ref="D44:G44"/>
    <mergeCell ref="D45:G45"/>
    <mergeCell ref="D46:G46"/>
    <mergeCell ref="D76:G76"/>
    <mergeCell ref="F47:G47"/>
    <mergeCell ref="F55:G55"/>
    <mergeCell ref="D83:G83"/>
    <mergeCell ref="D84:G84"/>
    <mergeCell ref="D85:G85"/>
    <mergeCell ref="D86:G86"/>
    <mergeCell ref="D89:G89"/>
    <mergeCell ref="F87:G87"/>
    <mergeCell ref="F95:G95"/>
    <mergeCell ref="D77:G77"/>
    <mergeCell ref="D78:G78"/>
    <mergeCell ref="D81:G81"/>
    <mergeCell ref="D82:G82"/>
    <mergeCell ref="D69:G69"/>
    <mergeCell ref="D70:G70"/>
    <mergeCell ref="D73:G73"/>
    <mergeCell ref="D74:G74"/>
    <mergeCell ref="D75:G75"/>
    <mergeCell ref="D62:G62"/>
    <mergeCell ref="D65:G65"/>
    <mergeCell ref="D66:G66"/>
    <mergeCell ref="D67:G67"/>
    <mergeCell ref="D68:G68"/>
    <mergeCell ref="F63:G63"/>
    <mergeCell ref="F71:G71"/>
    <mergeCell ref="F79:G79"/>
    <mergeCell ref="D105:G105"/>
    <mergeCell ref="D106:G106"/>
    <mergeCell ref="D107:G107"/>
    <mergeCell ref="D108:G108"/>
    <mergeCell ref="D109:G109"/>
    <mergeCell ref="F103:G103"/>
    <mergeCell ref="F111:G111"/>
    <mergeCell ref="F119:G119"/>
    <mergeCell ref="D97:G97"/>
    <mergeCell ref="D98:G98"/>
    <mergeCell ref="D99:G99"/>
    <mergeCell ref="D100:G100"/>
    <mergeCell ref="D101:G101"/>
    <mergeCell ref="D102:G102"/>
    <mergeCell ref="D90:G90"/>
    <mergeCell ref="D91:G91"/>
    <mergeCell ref="D92:G92"/>
    <mergeCell ref="D93:G93"/>
    <mergeCell ref="D94:G94"/>
    <mergeCell ref="D124:G124"/>
    <mergeCell ref="D125:G125"/>
    <mergeCell ref="D126:G126"/>
    <mergeCell ref="D129:G129"/>
    <mergeCell ref="D130:G130"/>
    <mergeCell ref="F127:G127"/>
    <mergeCell ref="F135:G135"/>
    <mergeCell ref="F143:G143"/>
    <mergeCell ref="D117:G117"/>
    <mergeCell ref="D118:G118"/>
    <mergeCell ref="D121:G121"/>
    <mergeCell ref="D122:G122"/>
    <mergeCell ref="D123:G123"/>
    <mergeCell ref="D110:G110"/>
    <mergeCell ref="D113:G113"/>
    <mergeCell ref="D114:G114"/>
    <mergeCell ref="D115:G115"/>
    <mergeCell ref="D116:G116"/>
    <mergeCell ref="D145:G145"/>
    <mergeCell ref="D146:G146"/>
    <mergeCell ref="D147:G147"/>
    <mergeCell ref="D148:G148"/>
    <mergeCell ref="D149:G149"/>
    <mergeCell ref="D150:G150"/>
    <mergeCell ref="F151:G151"/>
    <mergeCell ref="F159:G159"/>
    <mergeCell ref="D138:G138"/>
    <mergeCell ref="D139:G139"/>
    <mergeCell ref="D140:G140"/>
    <mergeCell ref="D141:G141"/>
    <mergeCell ref="D142:G142"/>
    <mergeCell ref="D131:G131"/>
    <mergeCell ref="D132:G132"/>
    <mergeCell ref="D133:G133"/>
    <mergeCell ref="D134:G134"/>
    <mergeCell ref="D137:G137"/>
    <mergeCell ref="D165:G165"/>
    <mergeCell ref="D166:G166"/>
    <mergeCell ref="D169:G169"/>
    <mergeCell ref="D170:G170"/>
    <mergeCell ref="D171:G171"/>
    <mergeCell ref="F167:G167"/>
    <mergeCell ref="F175:G175"/>
    <mergeCell ref="F183:G183"/>
    <mergeCell ref="D158:G158"/>
    <mergeCell ref="D161:G161"/>
    <mergeCell ref="D162:G162"/>
    <mergeCell ref="D163:G163"/>
    <mergeCell ref="D164:G164"/>
    <mergeCell ref="D153:G153"/>
    <mergeCell ref="D154:G154"/>
    <mergeCell ref="D155:G155"/>
    <mergeCell ref="D156:G156"/>
    <mergeCell ref="D157:G157"/>
    <mergeCell ref="D186:G186"/>
    <mergeCell ref="D187:G187"/>
    <mergeCell ref="D188:G188"/>
    <mergeCell ref="D189:G189"/>
    <mergeCell ref="D190:G190"/>
    <mergeCell ref="F199:G199"/>
    <mergeCell ref="F191:G191"/>
    <mergeCell ref="D179:G179"/>
    <mergeCell ref="D180:G180"/>
    <mergeCell ref="D181:G181"/>
    <mergeCell ref="D182:G182"/>
    <mergeCell ref="D185:G185"/>
    <mergeCell ref="D172:G172"/>
    <mergeCell ref="D173:G173"/>
    <mergeCell ref="D174:G174"/>
    <mergeCell ref="D177:G177"/>
    <mergeCell ref="D178:G178"/>
    <mergeCell ref="D206:G206"/>
    <mergeCell ref="D209:G209"/>
    <mergeCell ref="D210:G210"/>
    <mergeCell ref="D211:G211"/>
    <mergeCell ref="D212:G212"/>
    <mergeCell ref="F207:G207"/>
    <mergeCell ref="F215:G215"/>
    <mergeCell ref="F223:G223"/>
    <mergeCell ref="D201:G201"/>
    <mergeCell ref="D202:G202"/>
    <mergeCell ref="D203:G203"/>
    <mergeCell ref="D204:G204"/>
    <mergeCell ref="D205:G205"/>
    <mergeCell ref="D193:G193"/>
    <mergeCell ref="D194:G194"/>
    <mergeCell ref="D195:G195"/>
    <mergeCell ref="D196:G196"/>
    <mergeCell ref="D197:G197"/>
    <mergeCell ref="D198:G198"/>
    <mergeCell ref="D227:G227"/>
    <mergeCell ref="D228:G228"/>
    <mergeCell ref="D229:G229"/>
    <mergeCell ref="D230:G230"/>
    <mergeCell ref="D233:G233"/>
    <mergeCell ref="F231:G231"/>
    <mergeCell ref="F239:G239"/>
    <mergeCell ref="D220:G220"/>
    <mergeCell ref="D221:G221"/>
    <mergeCell ref="D222:G222"/>
    <mergeCell ref="D225:G225"/>
    <mergeCell ref="D226:G226"/>
    <mergeCell ref="D213:G213"/>
    <mergeCell ref="D214:G214"/>
    <mergeCell ref="D217:G217"/>
    <mergeCell ref="D218:G218"/>
    <mergeCell ref="D219:G219"/>
    <mergeCell ref="D249:G249"/>
    <mergeCell ref="D250:G250"/>
    <mergeCell ref="D251:G251"/>
    <mergeCell ref="D252:G252"/>
    <mergeCell ref="D253:G253"/>
    <mergeCell ref="F247:G247"/>
    <mergeCell ref="F255:G255"/>
    <mergeCell ref="F263:G263"/>
    <mergeCell ref="D241:G241"/>
    <mergeCell ref="D242:G242"/>
    <mergeCell ref="D243:G243"/>
    <mergeCell ref="D244:G244"/>
    <mergeCell ref="D245:G245"/>
    <mergeCell ref="D246:G246"/>
    <mergeCell ref="D234:G234"/>
    <mergeCell ref="D235:G235"/>
    <mergeCell ref="D236:G236"/>
    <mergeCell ref="D237:G237"/>
    <mergeCell ref="D238:G238"/>
    <mergeCell ref="D268:G268"/>
    <mergeCell ref="D269:G269"/>
    <mergeCell ref="D270:G270"/>
    <mergeCell ref="D273:G273"/>
    <mergeCell ref="D274:G274"/>
    <mergeCell ref="F271:G271"/>
    <mergeCell ref="F279:G279"/>
    <mergeCell ref="F287:G287"/>
    <mergeCell ref="D261:G261"/>
    <mergeCell ref="D262:G262"/>
    <mergeCell ref="D265:G265"/>
    <mergeCell ref="D266:G266"/>
    <mergeCell ref="D267:G267"/>
    <mergeCell ref="D254:G254"/>
    <mergeCell ref="D257:G257"/>
    <mergeCell ref="D258:G258"/>
    <mergeCell ref="D259:G259"/>
    <mergeCell ref="D260:G260"/>
    <mergeCell ref="D289:G289"/>
    <mergeCell ref="D290:G290"/>
    <mergeCell ref="D291:G291"/>
    <mergeCell ref="D292:G292"/>
    <mergeCell ref="D293:G293"/>
    <mergeCell ref="D294:G294"/>
    <mergeCell ref="F295:G295"/>
    <mergeCell ref="F303:G303"/>
    <mergeCell ref="D282:G282"/>
    <mergeCell ref="D283:G283"/>
    <mergeCell ref="D284:G284"/>
    <mergeCell ref="D285:G285"/>
    <mergeCell ref="D286:G286"/>
    <mergeCell ref="D275:G275"/>
    <mergeCell ref="D276:G276"/>
    <mergeCell ref="D277:G277"/>
    <mergeCell ref="D278:G278"/>
    <mergeCell ref="D281:G281"/>
    <mergeCell ref="D309:G309"/>
    <mergeCell ref="D310:G310"/>
    <mergeCell ref="D313:G313"/>
    <mergeCell ref="D314:G314"/>
    <mergeCell ref="D315:G315"/>
    <mergeCell ref="F311:G311"/>
    <mergeCell ref="F319:G319"/>
    <mergeCell ref="F327:G327"/>
    <mergeCell ref="D302:G302"/>
    <mergeCell ref="D305:G305"/>
    <mergeCell ref="D306:G306"/>
    <mergeCell ref="D307:G307"/>
    <mergeCell ref="D308:G308"/>
    <mergeCell ref="D297:G297"/>
    <mergeCell ref="D298:G298"/>
    <mergeCell ref="D299:G299"/>
    <mergeCell ref="D300:G300"/>
    <mergeCell ref="D301:G301"/>
    <mergeCell ref="D330:G330"/>
    <mergeCell ref="D331:G331"/>
    <mergeCell ref="D332:G332"/>
    <mergeCell ref="D333:G333"/>
    <mergeCell ref="D334:G334"/>
    <mergeCell ref="F335:G335"/>
    <mergeCell ref="F343:G343"/>
    <mergeCell ref="D323:G323"/>
    <mergeCell ref="D324:G324"/>
    <mergeCell ref="D325:G325"/>
    <mergeCell ref="D326:G326"/>
    <mergeCell ref="D329:G329"/>
    <mergeCell ref="D316:G316"/>
    <mergeCell ref="D317:G317"/>
    <mergeCell ref="D318:G318"/>
    <mergeCell ref="D321:G321"/>
    <mergeCell ref="D322:G322"/>
    <mergeCell ref="D350:G350"/>
    <mergeCell ref="D353:G353"/>
    <mergeCell ref="D354:G354"/>
    <mergeCell ref="D355:G355"/>
    <mergeCell ref="D356:G356"/>
    <mergeCell ref="F351:G351"/>
    <mergeCell ref="F359:G359"/>
    <mergeCell ref="F367:G367"/>
    <mergeCell ref="D345:G345"/>
    <mergeCell ref="D346:G346"/>
    <mergeCell ref="D347:G347"/>
    <mergeCell ref="D348:G348"/>
    <mergeCell ref="D349:G349"/>
    <mergeCell ref="D337:G337"/>
    <mergeCell ref="D338:G338"/>
    <mergeCell ref="D339:G339"/>
    <mergeCell ref="D340:G340"/>
    <mergeCell ref="D341:G341"/>
    <mergeCell ref="D342:G342"/>
    <mergeCell ref="D371:G371"/>
    <mergeCell ref="D372:G372"/>
    <mergeCell ref="D373:G373"/>
    <mergeCell ref="D374:G374"/>
    <mergeCell ref="D377:G377"/>
    <mergeCell ref="F375:G375"/>
    <mergeCell ref="F383:G383"/>
    <mergeCell ref="D364:G364"/>
    <mergeCell ref="D365:G365"/>
    <mergeCell ref="D366:G366"/>
    <mergeCell ref="D369:G369"/>
    <mergeCell ref="D370:G370"/>
    <mergeCell ref="D357:G357"/>
    <mergeCell ref="D358:G358"/>
    <mergeCell ref="D361:G361"/>
    <mergeCell ref="D362:G362"/>
    <mergeCell ref="D363:G363"/>
    <mergeCell ref="D393:G393"/>
    <mergeCell ref="D394:G394"/>
    <mergeCell ref="D395:G395"/>
    <mergeCell ref="D396:G396"/>
    <mergeCell ref="D397:G397"/>
    <mergeCell ref="F391:G391"/>
    <mergeCell ref="F399:G399"/>
    <mergeCell ref="F407:G407"/>
    <mergeCell ref="D385:G385"/>
    <mergeCell ref="D386:G386"/>
    <mergeCell ref="D387:G387"/>
    <mergeCell ref="D388:G388"/>
    <mergeCell ref="D389:G389"/>
    <mergeCell ref="D390:G390"/>
    <mergeCell ref="D378:G378"/>
    <mergeCell ref="D379:G379"/>
    <mergeCell ref="D380:G380"/>
    <mergeCell ref="D381:G381"/>
    <mergeCell ref="D382:G382"/>
    <mergeCell ref="D412:G412"/>
    <mergeCell ref="D413:G413"/>
    <mergeCell ref="D414:G414"/>
    <mergeCell ref="D417:G417"/>
    <mergeCell ref="D418:G418"/>
    <mergeCell ref="F415:G415"/>
    <mergeCell ref="F423:G423"/>
    <mergeCell ref="F431:G431"/>
    <mergeCell ref="D405:G405"/>
    <mergeCell ref="D406:G406"/>
    <mergeCell ref="D409:G409"/>
    <mergeCell ref="D410:G410"/>
    <mergeCell ref="D411:G411"/>
    <mergeCell ref="D398:G398"/>
    <mergeCell ref="D401:G401"/>
    <mergeCell ref="D402:G402"/>
    <mergeCell ref="D403:G403"/>
    <mergeCell ref="D404:G404"/>
    <mergeCell ref="D433:G433"/>
    <mergeCell ref="D434:G434"/>
    <mergeCell ref="D435:G435"/>
    <mergeCell ref="D436:G436"/>
    <mergeCell ref="D437:G437"/>
    <mergeCell ref="D438:G438"/>
    <mergeCell ref="F439:G439"/>
    <mergeCell ref="F447:G447"/>
    <mergeCell ref="D426:G426"/>
    <mergeCell ref="D427:G427"/>
    <mergeCell ref="D428:G428"/>
    <mergeCell ref="D429:G429"/>
    <mergeCell ref="D430:G430"/>
    <mergeCell ref="D419:G419"/>
    <mergeCell ref="D420:G420"/>
    <mergeCell ref="D421:G421"/>
    <mergeCell ref="D422:G422"/>
    <mergeCell ref="D425:G425"/>
    <mergeCell ref="D453:G453"/>
    <mergeCell ref="D454:G454"/>
    <mergeCell ref="D457:G457"/>
    <mergeCell ref="D458:G458"/>
    <mergeCell ref="D459:G459"/>
    <mergeCell ref="F455:G455"/>
    <mergeCell ref="F463:G463"/>
    <mergeCell ref="F471:G471"/>
    <mergeCell ref="D446:G446"/>
    <mergeCell ref="D449:G449"/>
    <mergeCell ref="D450:G450"/>
    <mergeCell ref="D451:G451"/>
    <mergeCell ref="D452:G452"/>
    <mergeCell ref="D441:G441"/>
    <mergeCell ref="D442:G442"/>
    <mergeCell ref="D443:G443"/>
    <mergeCell ref="D444:G444"/>
    <mergeCell ref="D445:G445"/>
    <mergeCell ref="D474:G474"/>
    <mergeCell ref="D475:G475"/>
    <mergeCell ref="D476:G476"/>
    <mergeCell ref="D477:G477"/>
    <mergeCell ref="D478:G478"/>
    <mergeCell ref="F479:G479"/>
    <mergeCell ref="F487:G487"/>
    <mergeCell ref="D467:G467"/>
    <mergeCell ref="D468:G468"/>
    <mergeCell ref="D469:G469"/>
    <mergeCell ref="D470:G470"/>
    <mergeCell ref="D473:G473"/>
    <mergeCell ref="D460:G460"/>
    <mergeCell ref="D461:G461"/>
    <mergeCell ref="D462:G462"/>
    <mergeCell ref="D465:G465"/>
    <mergeCell ref="D466:G466"/>
    <mergeCell ref="D494:G494"/>
    <mergeCell ref="D497:G497"/>
    <mergeCell ref="D498:G498"/>
    <mergeCell ref="D499:G499"/>
    <mergeCell ref="D500:G500"/>
    <mergeCell ref="F495:G495"/>
    <mergeCell ref="F503:G503"/>
    <mergeCell ref="F511:G511"/>
    <mergeCell ref="D489:G489"/>
    <mergeCell ref="D490:G490"/>
    <mergeCell ref="D491:G491"/>
    <mergeCell ref="D492:G492"/>
    <mergeCell ref="D493:G493"/>
    <mergeCell ref="D481:G481"/>
    <mergeCell ref="D482:G482"/>
    <mergeCell ref="D483:G483"/>
    <mergeCell ref="D484:G484"/>
    <mergeCell ref="D485:G485"/>
    <mergeCell ref="D486:G486"/>
    <mergeCell ref="D515:G515"/>
    <mergeCell ref="D516:G516"/>
    <mergeCell ref="D517:G517"/>
    <mergeCell ref="D518:G518"/>
    <mergeCell ref="D521:G521"/>
    <mergeCell ref="F527:G527"/>
    <mergeCell ref="F519:G519"/>
    <mergeCell ref="D508:G508"/>
    <mergeCell ref="D509:G509"/>
    <mergeCell ref="D510:G510"/>
    <mergeCell ref="D513:G513"/>
    <mergeCell ref="D514:G514"/>
    <mergeCell ref="D501:G501"/>
    <mergeCell ref="D502:G502"/>
    <mergeCell ref="D505:G505"/>
    <mergeCell ref="D506:G506"/>
    <mergeCell ref="D507:G507"/>
    <mergeCell ref="D537:G537"/>
    <mergeCell ref="D538:G538"/>
    <mergeCell ref="D539:G539"/>
    <mergeCell ref="D540:G540"/>
    <mergeCell ref="D541:G541"/>
    <mergeCell ref="F535:G535"/>
    <mergeCell ref="F543:G543"/>
    <mergeCell ref="F551:G551"/>
    <mergeCell ref="D529:G529"/>
    <mergeCell ref="D530:G530"/>
    <mergeCell ref="D531:G531"/>
    <mergeCell ref="D532:G532"/>
    <mergeCell ref="D533:G533"/>
    <mergeCell ref="D534:G534"/>
    <mergeCell ref="D522:G522"/>
    <mergeCell ref="D523:G523"/>
    <mergeCell ref="D524:G524"/>
    <mergeCell ref="D525:G525"/>
    <mergeCell ref="D526:G526"/>
    <mergeCell ref="D556:G556"/>
    <mergeCell ref="D557:G557"/>
    <mergeCell ref="D558:G558"/>
    <mergeCell ref="D561:G561"/>
    <mergeCell ref="D562:G562"/>
    <mergeCell ref="F559:G559"/>
    <mergeCell ref="F567:G567"/>
    <mergeCell ref="F575:G575"/>
    <mergeCell ref="D549:G549"/>
    <mergeCell ref="D550:G550"/>
    <mergeCell ref="D553:G553"/>
    <mergeCell ref="D554:G554"/>
    <mergeCell ref="D555:G555"/>
    <mergeCell ref="D542:G542"/>
    <mergeCell ref="D545:G545"/>
    <mergeCell ref="D546:G546"/>
    <mergeCell ref="D547:G547"/>
    <mergeCell ref="D548:G548"/>
    <mergeCell ref="D577:G577"/>
    <mergeCell ref="D578:G578"/>
    <mergeCell ref="D579:G579"/>
    <mergeCell ref="D580:G580"/>
    <mergeCell ref="D581:G581"/>
    <mergeCell ref="D582:G582"/>
    <mergeCell ref="F583:G583"/>
    <mergeCell ref="F591:G591"/>
    <mergeCell ref="D570:G570"/>
    <mergeCell ref="D571:G571"/>
    <mergeCell ref="D572:G572"/>
    <mergeCell ref="D573:G573"/>
    <mergeCell ref="D574:G574"/>
    <mergeCell ref="D563:G563"/>
    <mergeCell ref="D564:G564"/>
    <mergeCell ref="D565:G565"/>
    <mergeCell ref="D566:G566"/>
    <mergeCell ref="D569:G569"/>
    <mergeCell ref="D597:G597"/>
    <mergeCell ref="D598:G598"/>
    <mergeCell ref="D601:G601"/>
    <mergeCell ref="D602:G602"/>
    <mergeCell ref="D603:G603"/>
    <mergeCell ref="F599:G599"/>
    <mergeCell ref="F607:G607"/>
    <mergeCell ref="F615:G615"/>
    <mergeCell ref="D590:G590"/>
    <mergeCell ref="D593:G593"/>
    <mergeCell ref="D594:G594"/>
    <mergeCell ref="D595:G595"/>
    <mergeCell ref="D596:G596"/>
    <mergeCell ref="D585:G585"/>
    <mergeCell ref="D586:G586"/>
    <mergeCell ref="D587:G587"/>
    <mergeCell ref="D588:G588"/>
    <mergeCell ref="D589:G589"/>
    <mergeCell ref="D618:G618"/>
    <mergeCell ref="D619:G619"/>
    <mergeCell ref="D620:G620"/>
    <mergeCell ref="D621:G621"/>
    <mergeCell ref="D622:G622"/>
    <mergeCell ref="F623:G623"/>
    <mergeCell ref="F631:G631"/>
    <mergeCell ref="D611:G611"/>
    <mergeCell ref="D612:G612"/>
    <mergeCell ref="D613:G613"/>
    <mergeCell ref="D614:G614"/>
    <mergeCell ref="D617:G617"/>
    <mergeCell ref="D604:G604"/>
    <mergeCell ref="D605:G605"/>
    <mergeCell ref="D606:G606"/>
    <mergeCell ref="D609:G609"/>
    <mergeCell ref="D610:G610"/>
    <mergeCell ref="D638:G638"/>
    <mergeCell ref="D641:G641"/>
    <mergeCell ref="D642:G642"/>
    <mergeCell ref="D643:G643"/>
    <mergeCell ref="D644:G644"/>
    <mergeCell ref="F639:G639"/>
    <mergeCell ref="F647:G647"/>
    <mergeCell ref="F655:G655"/>
    <mergeCell ref="D633:G633"/>
    <mergeCell ref="D634:G634"/>
    <mergeCell ref="D635:G635"/>
    <mergeCell ref="D636:G636"/>
    <mergeCell ref="D637:G637"/>
    <mergeCell ref="D625:G625"/>
    <mergeCell ref="D626:G626"/>
    <mergeCell ref="D627:G627"/>
    <mergeCell ref="D628:G628"/>
    <mergeCell ref="D629:G629"/>
    <mergeCell ref="D630:G630"/>
    <mergeCell ref="D659:G659"/>
    <mergeCell ref="D660:G660"/>
    <mergeCell ref="D661:G661"/>
    <mergeCell ref="D662:G662"/>
    <mergeCell ref="D665:G665"/>
    <mergeCell ref="F663:G663"/>
    <mergeCell ref="F671:G671"/>
    <mergeCell ref="D652:G652"/>
    <mergeCell ref="D653:G653"/>
    <mergeCell ref="D654:G654"/>
    <mergeCell ref="D657:G657"/>
    <mergeCell ref="D658:G658"/>
    <mergeCell ref="D645:G645"/>
    <mergeCell ref="D646:G646"/>
    <mergeCell ref="D649:G649"/>
    <mergeCell ref="D650:G650"/>
    <mergeCell ref="D651:G651"/>
    <mergeCell ref="D681:G681"/>
    <mergeCell ref="D682:G682"/>
    <mergeCell ref="D683:G683"/>
    <mergeCell ref="D684:G684"/>
    <mergeCell ref="D685:G685"/>
    <mergeCell ref="F679:G679"/>
    <mergeCell ref="F687:G687"/>
    <mergeCell ref="F695:G695"/>
    <mergeCell ref="D673:G673"/>
    <mergeCell ref="D674:G674"/>
    <mergeCell ref="D675:G675"/>
    <mergeCell ref="D676:G676"/>
    <mergeCell ref="D677:G677"/>
    <mergeCell ref="D678:G678"/>
    <mergeCell ref="D666:G666"/>
    <mergeCell ref="D667:G667"/>
    <mergeCell ref="D668:G668"/>
    <mergeCell ref="D669:G669"/>
    <mergeCell ref="D670:G670"/>
    <mergeCell ref="D700:G700"/>
    <mergeCell ref="D701:G701"/>
    <mergeCell ref="D702:G702"/>
    <mergeCell ref="D705:G705"/>
    <mergeCell ref="D706:G706"/>
    <mergeCell ref="F703:G703"/>
    <mergeCell ref="F711:G711"/>
    <mergeCell ref="F719:G719"/>
    <mergeCell ref="D693:G693"/>
    <mergeCell ref="D694:G694"/>
    <mergeCell ref="D697:G697"/>
    <mergeCell ref="D698:G698"/>
    <mergeCell ref="D699:G699"/>
    <mergeCell ref="D686:G686"/>
    <mergeCell ref="D689:G689"/>
    <mergeCell ref="D690:G690"/>
    <mergeCell ref="D691:G691"/>
    <mergeCell ref="D692:G692"/>
    <mergeCell ref="D721:G721"/>
    <mergeCell ref="D722:G722"/>
    <mergeCell ref="D723:G723"/>
    <mergeCell ref="D724:G724"/>
    <mergeCell ref="D725:G725"/>
    <mergeCell ref="D726:G726"/>
    <mergeCell ref="F727:G727"/>
    <mergeCell ref="F735:G735"/>
    <mergeCell ref="D714:G714"/>
    <mergeCell ref="D715:G715"/>
    <mergeCell ref="D716:G716"/>
    <mergeCell ref="D717:G717"/>
    <mergeCell ref="D718:G718"/>
    <mergeCell ref="D707:G707"/>
    <mergeCell ref="D708:G708"/>
    <mergeCell ref="D709:G709"/>
    <mergeCell ref="D710:G710"/>
    <mergeCell ref="D713:G713"/>
    <mergeCell ref="D741:G741"/>
    <mergeCell ref="D742:G742"/>
    <mergeCell ref="D745:G745"/>
    <mergeCell ref="D746:G746"/>
    <mergeCell ref="D747:G747"/>
    <mergeCell ref="F743:G743"/>
    <mergeCell ref="F751:G751"/>
    <mergeCell ref="F759:G759"/>
    <mergeCell ref="D734:G734"/>
    <mergeCell ref="D737:G737"/>
    <mergeCell ref="D738:G738"/>
    <mergeCell ref="D739:G739"/>
    <mergeCell ref="D740:G740"/>
    <mergeCell ref="D729:G729"/>
    <mergeCell ref="D730:G730"/>
    <mergeCell ref="D731:G731"/>
    <mergeCell ref="D732:G732"/>
    <mergeCell ref="D733:G733"/>
    <mergeCell ref="D762:G762"/>
    <mergeCell ref="D763:G763"/>
    <mergeCell ref="D764:G764"/>
    <mergeCell ref="D765:G765"/>
    <mergeCell ref="D766:G766"/>
    <mergeCell ref="F767:G767"/>
    <mergeCell ref="F775:G775"/>
    <mergeCell ref="D755:G755"/>
    <mergeCell ref="D756:G756"/>
    <mergeCell ref="D757:G757"/>
    <mergeCell ref="D758:G758"/>
    <mergeCell ref="D761:G761"/>
    <mergeCell ref="D748:G748"/>
    <mergeCell ref="D749:G749"/>
    <mergeCell ref="D750:G750"/>
    <mergeCell ref="D753:G753"/>
    <mergeCell ref="D754:G754"/>
    <mergeCell ref="D782:G782"/>
    <mergeCell ref="D785:G785"/>
    <mergeCell ref="D786:G786"/>
    <mergeCell ref="D787:G787"/>
    <mergeCell ref="D788:G788"/>
    <mergeCell ref="F783:G783"/>
    <mergeCell ref="F791:G791"/>
    <mergeCell ref="F799:G799"/>
    <mergeCell ref="D777:G777"/>
    <mergeCell ref="D778:G778"/>
    <mergeCell ref="D779:G779"/>
    <mergeCell ref="D780:G780"/>
    <mergeCell ref="D781:G781"/>
    <mergeCell ref="D769:G769"/>
    <mergeCell ref="D770:G770"/>
    <mergeCell ref="D771:G771"/>
    <mergeCell ref="D772:G772"/>
    <mergeCell ref="D773:G773"/>
    <mergeCell ref="D774:G774"/>
    <mergeCell ref="D803:G803"/>
    <mergeCell ref="D804:G804"/>
    <mergeCell ref="D805:G805"/>
    <mergeCell ref="D806:G806"/>
    <mergeCell ref="D809:G809"/>
    <mergeCell ref="F807:G807"/>
    <mergeCell ref="F815:G815"/>
    <mergeCell ref="D796:G796"/>
    <mergeCell ref="D797:G797"/>
    <mergeCell ref="D798:G798"/>
    <mergeCell ref="D801:G801"/>
    <mergeCell ref="D802:G802"/>
    <mergeCell ref="D789:G789"/>
    <mergeCell ref="D790:G790"/>
    <mergeCell ref="D793:G793"/>
    <mergeCell ref="D794:G794"/>
    <mergeCell ref="D795:G795"/>
    <mergeCell ref="D825:G825"/>
    <mergeCell ref="D826:G826"/>
    <mergeCell ref="D827:G827"/>
    <mergeCell ref="D828:G828"/>
    <mergeCell ref="D829:G829"/>
    <mergeCell ref="F823:G823"/>
    <mergeCell ref="F831:G831"/>
    <mergeCell ref="F839:G839"/>
    <mergeCell ref="D817:G817"/>
    <mergeCell ref="D818:G818"/>
    <mergeCell ref="D819:G819"/>
    <mergeCell ref="D820:G820"/>
    <mergeCell ref="D821:G821"/>
    <mergeCell ref="D822:G822"/>
    <mergeCell ref="D810:G810"/>
    <mergeCell ref="D811:G811"/>
    <mergeCell ref="D812:G812"/>
    <mergeCell ref="D813:G813"/>
    <mergeCell ref="D814:G814"/>
    <mergeCell ref="D844:G844"/>
    <mergeCell ref="D845:G845"/>
    <mergeCell ref="D846:G846"/>
    <mergeCell ref="D849:G849"/>
    <mergeCell ref="D850:G850"/>
    <mergeCell ref="F847:G847"/>
    <mergeCell ref="F855:G855"/>
    <mergeCell ref="F863:G863"/>
    <mergeCell ref="D837:G837"/>
    <mergeCell ref="D838:G838"/>
    <mergeCell ref="D841:G841"/>
    <mergeCell ref="D842:G842"/>
    <mergeCell ref="D843:G843"/>
    <mergeCell ref="D830:G830"/>
    <mergeCell ref="D833:G833"/>
    <mergeCell ref="D834:G834"/>
    <mergeCell ref="D835:G835"/>
    <mergeCell ref="D836:G836"/>
    <mergeCell ref="D865:G865"/>
    <mergeCell ref="D866:G866"/>
    <mergeCell ref="D867:G867"/>
    <mergeCell ref="D868:G868"/>
    <mergeCell ref="D869:G869"/>
    <mergeCell ref="D870:G870"/>
    <mergeCell ref="F871:G871"/>
    <mergeCell ref="F879:G879"/>
    <mergeCell ref="D858:G858"/>
    <mergeCell ref="D859:G859"/>
    <mergeCell ref="D860:G860"/>
    <mergeCell ref="D861:G861"/>
    <mergeCell ref="D862:G862"/>
    <mergeCell ref="D851:G851"/>
    <mergeCell ref="D852:G852"/>
    <mergeCell ref="D853:G853"/>
    <mergeCell ref="D854:G854"/>
    <mergeCell ref="D857:G857"/>
    <mergeCell ref="D885:G885"/>
    <mergeCell ref="D886:G886"/>
    <mergeCell ref="D889:G889"/>
    <mergeCell ref="D890:G890"/>
    <mergeCell ref="D891:G891"/>
    <mergeCell ref="F887:G887"/>
    <mergeCell ref="F895:G895"/>
    <mergeCell ref="F903:G903"/>
    <mergeCell ref="D878:G878"/>
    <mergeCell ref="D881:G881"/>
    <mergeCell ref="D882:G882"/>
    <mergeCell ref="D883:G883"/>
    <mergeCell ref="D884:G884"/>
    <mergeCell ref="D873:G873"/>
    <mergeCell ref="D874:G874"/>
    <mergeCell ref="D875:G875"/>
    <mergeCell ref="D876:G876"/>
    <mergeCell ref="D877:G877"/>
    <mergeCell ref="D906:G906"/>
    <mergeCell ref="D907:G907"/>
    <mergeCell ref="D908:G908"/>
    <mergeCell ref="D909:G909"/>
    <mergeCell ref="D910:G910"/>
    <mergeCell ref="F911:G911"/>
    <mergeCell ref="F919:G919"/>
    <mergeCell ref="D899:G899"/>
    <mergeCell ref="D900:G900"/>
    <mergeCell ref="D901:G901"/>
    <mergeCell ref="D902:G902"/>
    <mergeCell ref="D905:G905"/>
    <mergeCell ref="D892:G892"/>
    <mergeCell ref="D893:G893"/>
    <mergeCell ref="D894:G894"/>
    <mergeCell ref="D897:G897"/>
    <mergeCell ref="D898:G898"/>
    <mergeCell ref="D929:G929"/>
    <mergeCell ref="D930:G930"/>
    <mergeCell ref="D931:G931"/>
    <mergeCell ref="D932:G932"/>
    <mergeCell ref="D933:G933"/>
    <mergeCell ref="D934:G934"/>
    <mergeCell ref="D937:G937"/>
    <mergeCell ref="D938:G938"/>
    <mergeCell ref="D939:G939"/>
    <mergeCell ref="D921:G921"/>
    <mergeCell ref="D922:G922"/>
    <mergeCell ref="D923:G923"/>
    <mergeCell ref="D924:G924"/>
    <mergeCell ref="D925:G925"/>
    <mergeCell ref="D913:G913"/>
    <mergeCell ref="D914:G914"/>
    <mergeCell ref="D915:G915"/>
    <mergeCell ref="D916:G916"/>
    <mergeCell ref="D917:G917"/>
    <mergeCell ref="D918:G918"/>
    <mergeCell ref="D926:G926"/>
    <mergeCell ref="D947:G947"/>
    <mergeCell ref="D948:G948"/>
    <mergeCell ref="D949:G949"/>
    <mergeCell ref="D950:G950"/>
    <mergeCell ref="D953:G953"/>
    <mergeCell ref="D940:G940"/>
    <mergeCell ref="D941:G941"/>
    <mergeCell ref="D942:G942"/>
    <mergeCell ref="D1004:G1004"/>
    <mergeCell ref="D1005:G1005"/>
    <mergeCell ref="D1006:G1006"/>
    <mergeCell ref="D1009:G1009"/>
    <mergeCell ref="D977:G977"/>
    <mergeCell ref="D978:G978"/>
    <mergeCell ref="D979:G979"/>
    <mergeCell ref="D980:G980"/>
    <mergeCell ref="D981:G981"/>
    <mergeCell ref="D982:G982"/>
    <mergeCell ref="D970:G970"/>
    <mergeCell ref="D971:G971"/>
    <mergeCell ref="D972:G972"/>
    <mergeCell ref="D973:G973"/>
    <mergeCell ref="D974:G974"/>
    <mergeCell ref="D963:G963"/>
    <mergeCell ref="D964:G964"/>
    <mergeCell ref="D965:G965"/>
    <mergeCell ref="D966:G966"/>
    <mergeCell ref="D969:G969"/>
    <mergeCell ref="D961:G961"/>
    <mergeCell ref="D962:G962"/>
    <mergeCell ref="D945:G945"/>
    <mergeCell ref="D946:G946"/>
    <mergeCell ref="D997:G997"/>
    <mergeCell ref="D998:G998"/>
    <mergeCell ref="D1001:G1001"/>
    <mergeCell ref="D1002:G1002"/>
    <mergeCell ref="D1003:G1003"/>
    <mergeCell ref="D990:G990"/>
    <mergeCell ref="D993:G993"/>
    <mergeCell ref="D994:G994"/>
    <mergeCell ref="D995:G995"/>
    <mergeCell ref="D996:G996"/>
    <mergeCell ref="D985:G985"/>
    <mergeCell ref="D986:G986"/>
    <mergeCell ref="D987:G987"/>
    <mergeCell ref="D988:G988"/>
    <mergeCell ref="D989:G989"/>
    <mergeCell ref="D1033:G1033"/>
    <mergeCell ref="D954:G954"/>
    <mergeCell ref="D955:G955"/>
    <mergeCell ref="D956:G956"/>
    <mergeCell ref="D957:G957"/>
    <mergeCell ref="D958:G958"/>
    <mergeCell ref="D1025:G1025"/>
    <mergeCell ref="D1026:G1026"/>
    <mergeCell ref="D1027:G1027"/>
    <mergeCell ref="D1028:G1028"/>
    <mergeCell ref="D1029:G1029"/>
    <mergeCell ref="D1030:G1030"/>
    <mergeCell ref="D1018:G1018"/>
    <mergeCell ref="D1019:G1019"/>
    <mergeCell ref="D1020:G1020"/>
    <mergeCell ref="D1021:G1021"/>
    <mergeCell ref="D1022:G1022"/>
    <mergeCell ref="D1011:G1011"/>
    <mergeCell ref="D1012:G1012"/>
    <mergeCell ref="D1013:G1013"/>
    <mergeCell ref="D1014:G1014"/>
    <mergeCell ref="D1017:G1017"/>
    <mergeCell ref="D1010:G1010"/>
    <mergeCell ref="D1052:G1052"/>
    <mergeCell ref="D1053:G1053"/>
    <mergeCell ref="D1054:G1054"/>
    <mergeCell ref="D1057:G1057"/>
    <mergeCell ref="D1058:G1058"/>
    <mergeCell ref="D1045:G1045"/>
    <mergeCell ref="D1046:G1046"/>
    <mergeCell ref="D1049:G1049"/>
    <mergeCell ref="D1050:G1050"/>
    <mergeCell ref="D1051:G1051"/>
    <mergeCell ref="F1063:G1063"/>
    <mergeCell ref="D1038:G1038"/>
    <mergeCell ref="D1041:G1041"/>
    <mergeCell ref="D1042:G1042"/>
    <mergeCell ref="D1043:G1043"/>
    <mergeCell ref="D1044:G1044"/>
    <mergeCell ref="D1034:G1034"/>
    <mergeCell ref="D1035:G1035"/>
    <mergeCell ref="D1036:G1036"/>
    <mergeCell ref="D1037:G1037"/>
    <mergeCell ref="D1073:G1073"/>
    <mergeCell ref="D1074:G1074"/>
    <mergeCell ref="D1075:G1075"/>
    <mergeCell ref="D1076:G1076"/>
    <mergeCell ref="D1077:G1077"/>
    <mergeCell ref="D1078:G1078"/>
    <mergeCell ref="D1066:G1066"/>
    <mergeCell ref="D1067:G1067"/>
    <mergeCell ref="D1068:G1068"/>
    <mergeCell ref="D1069:G1069"/>
    <mergeCell ref="D1070:G1070"/>
    <mergeCell ref="F1071:G1071"/>
    <mergeCell ref="F1079:G1079"/>
    <mergeCell ref="D1059:G1059"/>
    <mergeCell ref="D1060:G1060"/>
    <mergeCell ref="D1061:G1061"/>
    <mergeCell ref="D1062:G1062"/>
    <mergeCell ref="D1065:G1065"/>
    <mergeCell ref="D1093:G1093"/>
    <mergeCell ref="D1094:G1094"/>
    <mergeCell ref="D1097:G1097"/>
    <mergeCell ref="D1098:G1098"/>
    <mergeCell ref="D1099:G1099"/>
    <mergeCell ref="D1086:G1086"/>
    <mergeCell ref="D1089:G1089"/>
    <mergeCell ref="D1090:G1090"/>
    <mergeCell ref="D1091:G1091"/>
    <mergeCell ref="D1092:G1092"/>
    <mergeCell ref="F1087:G1087"/>
    <mergeCell ref="F1095:G1095"/>
    <mergeCell ref="F1103:G1103"/>
    <mergeCell ref="D1081:G1081"/>
    <mergeCell ref="D1082:G1082"/>
    <mergeCell ref="D1083:G1083"/>
    <mergeCell ref="D1084:G1084"/>
    <mergeCell ref="D1085:G1085"/>
    <mergeCell ref="D1114:G1114"/>
    <mergeCell ref="D1115:G1115"/>
    <mergeCell ref="D1116:G1116"/>
    <mergeCell ref="D1117:G1117"/>
    <mergeCell ref="D1118:G1118"/>
    <mergeCell ref="D1107:G1107"/>
    <mergeCell ref="D1108:G1108"/>
    <mergeCell ref="D1109:G1109"/>
    <mergeCell ref="D1110:G1110"/>
    <mergeCell ref="D1113:G1113"/>
    <mergeCell ref="F1111:G1111"/>
    <mergeCell ref="F1119:G1119"/>
    <mergeCell ref="D1100:G1100"/>
    <mergeCell ref="D1101:G1101"/>
    <mergeCell ref="D1102:G1102"/>
    <mergeCell ref="D1105:G1105"/>
    <mergeCell ref="D1106:G1106"/>
    <mergeCell ref="D1148:G1148"/>
    <mergeCell ref="D1149:G1149"/>
    <mergeCell ref="D1150:G1150"/>
    <mergeCell ref="D1121:G1121"/>
    <mergeCell ref="D1122:G1122"/>
    <mergeCell ref="D1123:G1123"/>
    <mergeCell ref="D1124:G1124"/>
    <mergeCell ref="D1125:G1125"/>
    <mergeCell ref="D1126:G1126"/>
    <mergeCell ref="D1141:G1141"/>
    <mergeCell ref="D1142:G1142"/>
    <mergeCell ref="D1145:G1145"/>
    <mergeCell ref="D1146:G1146"/>
    <mergeCell ref="D1147:G1147"/>
    <mergeCell ref="D1134:G1134"/>
    <mergeCell ref="D1137:G1137"/>
    <mergeCell ref="D1138:G1138"/>
    <mergeCell ref="D1139:G1139"/>
    <mergeCell ref="D1140:G1140"/>
    <mergeCell ref="D1129:G1129"/>
    <mergeCell ref="D1130:G1130"/>
    <mergeCell ref="D1131:G1131"/>
    <mergeCell ref="D1132:G1132"/>
    <mergeCell ref="D1133:G1133"/>
    <mergeCell ref="F1127:G1127"/>
    <mergeCell ref="F1135:G1135"/>
    <mergeCell ref="F1143:G1143"/>
    <mergeCell ref="F1151:G1151"/>
    <mergeCell ref="F1159:G1159"/>
    <mergeCell ref="D1182:G1182"/>
    <mergeCell ref="D1185:G1185"/>
    <mergeCell ref="D1186:G1186"/>
    <mergeCell ref="D1187:G1187"/>
    <mergeCell ref="D1188:G1188"/>
    <mergeCell ref="D1177:G1177"/>
    <mergeCell ref="D1178:G1178"/>
    <mergeCell ref="D1179:G1179"/>
    <mergeCell ref="D1180:G1180"/>
    <mergeCell ref="D1181:G1181"/>
    <mergeCell ref="D1169:G1169"/>
    <mergeCell ref="D1170:G1170"/>
    <mergeCell ref="D1171:G1171"/>
    <mergeCell ref="D1172:G1172"/>
    <mergeCell ref="D1173:G1173"/>
    <mergeCell ref="D1174:G1174"/>
    <mergeCell ref="F1175:G1175"/>
    <mergeCell ref="F1183:G1183"/>
    <mergeCell ref="F1167:G1167"/>
    <mergeCell ref="D1162:G1162"/>
    <mergeCell ref="D1155:G1155"/>
    <mergeCell ref="D1156:G1156"/>
    <mergeCell ref="D1157:G1157"/>
    <mergeCell ref="D1158:G1158"/>
    <mergeCell ref="D1161:G1161"/>
    <mergeCell ref="D1205:G1205"/>
    <mergeCell ref="D1206:G1206"/>
    <mergeCell ref="D1209:G1209"/>
    <mergeCell ref="D1196:G1196"/>
    <mergeCell ref="D1197:G1197"/>
    <mergeCell ref="D1198:G1198"/>
    <mergeCell ref="D1201:G1201"/>
    <mergeCell ref="D1202:G1202"/>
    <mergeCell ref="D1189:G1189"/>
    <mergeCell ref="D1190:G1190"/>
    <mergeCell ref="D1193:G1193"/>
    <mergeCell ref="D1194:G1194"/>
    <mergeCell ref="D1195:G1195"/>
    <mergeCell ref="F1191:G1191"/>
    <mergeCell ref="F1199:G1199"/>
    <mergeCell ref="F1207:G1207"/>
    <mergeCell ref="D1153:G1153"/>
    <mergeCell ref="D1154:G1154"/>
    <mergeCell ref="D1163:G1163"/>
    <mergeCell ref="D1164:G1164"/>
    <mergeCell ref="D1165:G1165"/>
    <mergeCell ref="D1166:G1166"/>
    <mergeCell ref="D1233:G1233"/>
    <mergeCell ref="D1234:G1234"/>
    <mergeCell ref="D1235:G1235"/>
    <mergeCell ref="D1236:G1236"/>
    <mergeCell ref="F1231:G1231"/>
    <mergeCell ref="F1239:G1239"/>
    <mergeCell ref="F1247:G1247"/>
    <mergeCell ref="D1225:G1225"/>
    <mergeCell ref="D1226:G1226"/>
    <mergeCell ref="D1227:G1227"/>
    <mergeCell ref="D1228:G1228"/>
    <mergeCell ref="D1229:G1229"/>
    <mergeCell ref="D1217:G1217"/>
    <mergeCell ref="D1218:G1218"/>
    <mergeCell ref="D1219:G1219"/>
    <mergeCell ref="D1220:G1220"/>
    <mergeCell ref="D1221:G1221"/>
    <mergeCell ref="D1222:G1222"/>
    <mergeCell ref="D1210:G1210"/>
    <mergeCell ref="D1211:G1211"/>
    <mergeCell ref="D1212:G1212"/>
    <mergeCell ref="D1213:G1213"/>
    <mergeCell ref="D1214:G1214"/>
    <mergeCell ref="F1215:G1215"/>
    <mergeCell ref="F1223:G1223"/>
    <mergeCell ref="D1203:G1203"/>
    <mergeCell ref="D1204:G1204"/>
    <mergeCell ref="D1251:G1251"/>
    <mergeCell ref="D1252:G1252"/>
    <mergeCell ref="D1253:G1253"/>
    <mergeCell ref="D1254:G1254"/>
    <mergeCell ref="D1257:G1257"/>
    <mergeCell ref="F1255:G1255"/>
    <mergeCell ref="F1263:G1263"/>
    <mergeCell ref="D1244:G1244"/>
    <mergeCell ref="D1245:G1245"/>
    <mergeCell ref="D1246:G1246"/>
    <mergeCell ref="D1249:G1249"/>
    <mergeCell ref="D1250:G1250"/>
    <mergeCell ref="D1237:G1237"/>
    <mergeCell ref="D1238:G1238"/>
    <mergeCell ref="D1241:G1241"/>
    <mergeCell ref="D1242:G1242"/>
    <mergeCell ref="D1243:G1243"/>
    <mergeCell ref="D1258:G1258"/>
    <mergeCell ref="D1259:G1259"/>
    <mergeCell ref="D1260:G1260"/>
    <mergeCell ref="D1261:G1261"/>
    <mergeCell ref="D1262:G1262"/>
    <mergeCell ref="D1230:G1230"/>
    <mergeCell ref="D1342:G1342"/>
    <mergeCell ref="D1345:G1345"/>
    <mergeCell ref="D1346:G1346"/>
    <mergeCell ref="D1333:G1333"/>
    <mergeCell ref="D1277:G1277"/>
    <mergeCell ref="F1271:G1271"/>
    <mergeCell ref="F1279:G1279"/>
    <mergeCell ref="F1287:G1287"/>
    <mergeCell ref="F1295:G1295"/>
    <mergeCell ref="F1303:G1303"/>
    <mergeCell ref="D1338:G1338"/>
    <mergeCell ref="D1339:G1339"/>
    <mergeCell ref="F1335:G1335"/>
    <mergeCell ref="F1343:G1343"/>
    <mergeCell ref="D1297:G1297"/>
    <mergeCell ref="D1298:G1298"/>
    <mergeCell ref="D1308:G1308"/>
    <mergeCell ref="D1309:G1309"/>
    <mergeCell ref="D1310:G1310"/>
    <mergeCell ref="D1299:G1299"/>
    <mergeCell ref="D1285:G1285"/>
    <mergeCell ref="D1286:G1286"/>
    <mergeCell ref="D1289:G1289"/>
    <mergeCell ref="D1290:G1290"/>
    <mergeCell ref="D1291:G1291"/>
    <mergeCell ref="D1278:G1278"/>
    <mergeCell ref="D1281:G1281"/>
    <mergeCell ref="D1282:G1282"/>
    <mergeCell ref="D1283:G1283"/>
    <mergeCell ref="D1284:G1284"/>
    <mergeCell ref="D1273:G1273"/>
    <mergeCell ref="D1274:G1274"/>
    <mergeCell ref="D1323:G1323"/>
    <mergeCell ref="D1324:G1324"/>
    <mergeCell ref="D1325:G1325"/>
    <mergeCell ref="D1313:G1313"/>
    <mergeCell ref="D1314:G1314"/>
    <mergeCell ref="D1315:G1315"/>
    <mergeCell ref="D1316:G1316"/>
    <mergeCell ref="D1317:G1317"/>
    <mergeCell ref="D1318:G1318"/>
    <mergeCell ref="F1319:G1319"/>
    <mergeCell ref="D1334:G1334"/>
    <mergeCell ref="D1337:G1337"/>
    <mergeCell ref="D1265:G1265"/>
    <mergeCell ref="D1266:G1266"/>
    <mergeCell ref="D1267:G1267"/>
    <mergeCell ref="D1268:G1268"/>
    <mergeCell ref="D1269:G1269"/>
    <mergeCell ref="D1270:G1270"/>
    <mergeCell ref="D1275:G1275"/>
    <mergeCell ref="D1276:G1276"/>
    <mergeCell ref="F1327:G1327"/>
    <mergeCell ref="F1311:G1311"/>
    <mergeCell ref="D1306:G1306"/>
    <mergeCell ref="D1307:G1307"/>
    <mergeCell ref="D1300:G1300"/>
    <mergeCell ref="D1301:G1301"/>
    <mergeCell ref="D1302:G1302"/>
    <mergeCell ref="D1305:G1305"/>
    <mergeCell ref="D1292:G1292"/>
    <mergeCell ref="D1293:G1293"/>
    <mergeCell ref="D1294:G1294"/>
    <mergeCell ref="F1599:G1599"/>
    <mergeCell ref="F927:G927"/>
    <mergeCell ref="F935:G935"/>
    <mergeCell ref="F943:G943"/>
    <mergeCell ref="F951:G951"/>
    <mergeCell ref="F959:G959"/>
    <mergeCell ref="F967:G967"/>
    <mergeCell ref="F975:G975"/>
    <mergeCell ref="F983:G983"/>
    <mergeCell ref="F991:G991"/>
    <mergeCell ref="F999:G999"/>
    <mergeCell ref="F1007:G1007"/>
    <mergeCell ref="F1015:G1015"/>
    <mergeCell ref="F1023:G1023"/>
    <mergeCell ref="F1031:G1031"/>
    <mergeCell ref="F1039:G1039"/>
    <mergeCell ref="F1047:G1047"/>
    <mergeCell ref="F1055:G1055"/>
    <mergeCell ref="D1347:G1347"/>
    <mergeCell ref="D1348:G1348"/>
    <mergeCell ref="D1349:G1349"/>
    <mergeCell ref="D1350:G1350"/>
    <mergeCell ref="D1340:G1340"/>
    <mergeCell ref="D1341:G1341"/>
    <mergeCell ref="F1351:G1351"/>
    <mergeCell ref="D1326:G1326"/>
    <mergeCell ref="D1329:G1329"/>
    <mergeCell ref="D1330:G1330"/>
    <mergeCell ref="D1331:G1331"/>
    <mergeCell ref="D1332:G1332"/>
    <mergeCell ref="D1321:G1321"/>
    <mergeCell ref="D1322:G1322"/>
  </mergeCells>
  <phoneticPr fontId="8" type="noConversion"/>
  <pageMargins left="0" right="0" top="0" bottom="0" header="0" footer="0"/>
  <pageSetup paperSize="256" orientation="landscape" horizontalDpi="203" verticalDpi="20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22826-71F8-4459-903C-C53AFE9B78C3}">
  <sheetPr codeName="Sayfa15">
    <tabColor rgb="FFFFFF00"/>
  </sheetPr>
  <dimension ref="B1:I1352"/>
  <sheetViews>
    <sheetView zoomScaleNormal="100" workbookViewId="0">
      <selection activeCell="H1" sqref="H1"/>
    </sheetView>
  </sheetViews>
  <sheetFormatPr defaultColWidth="9.125" defaultRowHeight="33.75"/>
  <cols>
    <col min="1" max="1" width="1.375" style="12" customWidth="1"/>
    <col min="2" max="2" width="19.625" style="261"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9" ht="69" customHeight="1" thickBot="1">
      <c r="B1" s="259" t="s">
        <v>869</v>
      </c>
      <c r="C1" s="248"/>
      <c r="D1" s="656"/>
      <c r="E1" s="656"/>
      <c r="F1" s="656"/>
      <c r="G1" s="656"/>
      <c r="H1" s="255" t="s">
        <v>880</v>
      </c>
    </row>
    <row r="2" spans="2:9" ht="31.5" customHeight="1" thickBot="1">
      <c r="B2" s="260" t="s">
        <v>872</v>
      </c>
      <c r="C2" s="248"/>
      <c r="D2" s="657" t="str">
        <f>'1PROJE'!$E$3</f>
        <v>GÜNEŞ PEN</v>
      </c>
      <c r="E2" s="658"/>
      <c r="F2" s="658"/>
      <c r="G2" s="659"/>
    </row>
    <row r="3" spans="2:9" ht="31.5" customHeight="1" thickBot="1">
      <c r="B3" s="260" t="s">
        <v>873</v>
      </c>
      <c r="C3" s="248"/>
      <c r="D3" s="644" t="str">
        <f>'1PROJE'!$F$3</f>
        <v>GÜRKAN BEY</v>
      </c>
      <c r="E3" s="645"/>
      <c r="F3" s="645"/>
      <c r="G3" s="646"/>
    </row>
    <row r="4" spans="2:9" ht="31.5" customHeight="1" thickBot="1">
      <c r="B4" s="260" t="s">
        <v>356</v>
      </c>
      <c r="C4" s="248"/>
      <c r="D4" s="647" t="str" cm="1">
        <f t="array" aca="1" ref="D4" ca="1">INDIRECT("xHesaplama!I"&amp;""&amp;ROW(D4)+70+7*0)</f>
        <v>Zipline® Neo 110 Wawe (Dikey)</v>
      </c>
      <c r="E4" s="648"/>
      <c r="F4" s="648"/>
      <c r="G4" s="649"/>
    </row>
    <row r="5" spans="2:9" ht="31.5" customHeight="1" thickBot="1">
      <c r="B5" s="260" t="s">
        <v>874</v>
      </c>
      <c r="C5" s="248"/>
      <c r="D5" s="650" t="str">
        <f>H1</f>
        <v>BOX</v>
      </c>
      <c r="E5" s="651"/>
      <c r="F5" s="651"/>
      <c r="G5" s="652"/>
    </row>
    <row r="6" spans="2:9" ht="31.5" customHeight="1" thickBot="1">
      <c r="B6" s="260" t="s">
        <v>875</v>
      </c>
      <c r="C6" s="248"/>
      <c r="D6" s="653" t="str">
        <f>'1PROJE'!$G$3</f>
        <v>Z 5001</v>
      </c>
      <c r="E6" s="654"/>
      <c r="F6" s="654"/>
      <c r="G6" s="655"/>
      <c r="I6" s="250"/>
    </row>
    <row r="7" spans="2:9" ht="31.5" customHeight="1" thickBot="1">
      <c r="B7" s="260" t="s">
        <v>876</v>
      </c>
      <c r="D7" s="653" t="str" cm="1">
        <f t="array" aca="1" ref="D7" ca="1">INDIRECT("xHesaplama!H"&amp;""&amp;ROW(D4)+70+7*0)</f>
        <v>POZ 1.</v>
      </c>
      <c r="E7" s="654"/>
      <c r="F7" s="654"/>
      <c r="G7" s="655"/>
    </row>
    <row r="8" spans="2:9" ht="31.5" customHeight="1" thickBot="1">
      <c r="B8" s="260" t="s">
        <v>877</v>
      </c>
      <c r="D8" s="252" t="s">
        <v>878</v>
      </c>
      <c r="E8" s="253" cm="1">
        <f t="array" aca="1" ref="E8" ca="1">INDIRECT("xHesaplama!J"&amp;""&amp;ROW(D4)+70+7*0)</f>
        <v>1200</v>
      </c>
      <c r="F8" s="254" t="s">
        <v>879</v>
      </c>
      <c r="G8" s="253" cm="1">
        <f t="array" aca="1" ref="G8" ca="1">INDIRECT("xHesaplama!K"&amp;""&amp;ROW(D4)+70+7*0)</f>
        <v>2315</v>
      </c>
    </row>
    <row r="9" spans="2:9" ht="69" customHeight="1" thickBot="1">
      <c r="B9" s="259" t="s">
        <v>869</v>
      </c>
      <c r="C9" s="248"/>
      <c r="D9" s="656"/>
      <c r="E9" s="656"/>
      <c r="F9" s="656"/>
      <c r="G9" s="656"/>
    </row>
    <row r="10" spans="2:9" ht="31.5" customHeight="1" thickBot="1">
      <c r="B10" s="260" t="s">
        <v>872</v>
      </c>
      <c r="C10" s="248"/>
      <c r="D10" s="657" t="str">
        <f>'1PROJE'!$E$3</f>
        <v>GÜNEŞ PEN</v>
      </c>
      <c r="E10" s="658"/>
      <c r="F10" s="658"/>
      <c r="G10" s="659"/>
    </row>
    <row r="11" spans="2:9" ht="31.5" customHeight="1" thickBot="1">
      <c r="B11" s="260" t="s">
        <v>873</v>
      </c>
      <c r="C11" s="248"/>
      <c r="D11" s="644" t="str">
        <f>'1PROJE'!$F$3</f>
        <v>GÜRKAN BEY</v>
      </c>
      <c r="E11" s="645"/>
      <c r="F11" s="645"/>
      <c r="G11" s="646"/>
    </row>
    <row r="12" spans="2:9" ht="31.5" customHeight="1" thickBot="1">
      <c r="B12" s="260" t="s">
        <v>356</v>
      </c>
      <c r="C12" s="248"/>
      <c r="D12" s="647" t="e" cm="1">
        <f t="array" aca="1" ref="D12" ca="1">INDIRECT("xHesaplama!I"&amp;""&amp;ROW(D12)+70-7*ROUNDDOWN(ROW(D12)/8,0))</f>
        <v>#N/A</v>
      </c>
      <c r="E12" s="648"/>
      <c r="F12" s="648"/>
      <c r="G12" s="649"/>
    </row>
    <row r="13" spans="2:9" ht="31.5" customHeight="1" thickBot="1">
      <c r="B13" s="260" t="s">
        <v>874</v>
      </c>
      <c r="C13" s="248"/>
      <c r="D13" s="650" t="str">
        <f>$H$1</f>
        <v>BOX</v>
      </c>
      <c r="E13" s="651"/>
      <c r="F13" s="651"/>
      <c r="G13" s="652"/>
    </row>
    <row r="14" spans="2:9" ht="31.5" customHeight="1" thickBot="1">
      <c r="B14" s="260" t="s">
        <v>875</v>
      </c>
      <c r="C14" s="248"/>
      <c r="D14" s="653" t="str">
        <f>'1PROJE'!$G$3</f>
        <v>Z 5001</v>
      </c>
      <c r="E14" s="654"/>
      <c r="F14" s="654"/>
      <c r="G14" s="655"/>
      <c r="I14" s="250"/>
    </row>
    <row r="15" spans="2:9" ht="31.5" customHeight="1" thickBot="1">
      <c r="B15" s="260" t="s">
        <v>876</v>
      </c>
      <c r="D15" s="653" cm="1">
        <f t="array" aca="1" ref="D15" ca="1">INDIRECT("xHesaplama!H"&amp;""&amp;ROW(D12)+70-7*ROUNDDOWN(ROW(D12)/8,0))</f>
        <v>0</v>
      </c>
      <c r="E15" s="654"/>
      <c r="F15" s="654"/>
      <c r="G15" s="655"/>
    </row>
    <row r="16" spans="2:9" ht="31.5" customHeight="1" thickBot="1">
      <c r="B16" s="260" t="s">
        <v>877</v>
      </c>
      <c r="D16" s="252" t="s">
        <v>878</v>
      </c>
      <c r="E16" s="253" t="e" cm="1">
        <f t="array" aca="1" ref="E16" ca="1">INDIRECT("xHesaplama!J"&amp;""&amp;ROW(D12)+70-7*ROUNDDOWN(ROW(D12)/8,0))</f>
        <v>#N/A</v>
      </c>
      <c r="F16" s="254" t="s">
        <v>879</v>
      </c>
      <c r="G16" s="253" t="e" cm="1">
        <f t="array" aca="1" ref="G16" ca="1">INDIRECT("xHesaplama!K"&amp;""&amp;ROW(D12)+70-7*ROUNDDOWN(ROW(D12)/8,0))</f>
        <v>#N/A</v>
      </c>
    </row>
    <row r="17" spans="2:9" ht="69" customHeight="1" thickBot="1">
      <c r="B17" s="259" t="s">
        <v>869</v>
      </c>
      <c r="C17" s="248"/>
      <c r="D17" s="656"/>
      <c r="E17" s="656"/>
      <c r="F17" s="656"/>
      <c r="G17" s="656"/>
    </row>
    <row r="18" spans="2:9" ht="31.5" customHeight="1" thickBot="1">
      <c r="B18" s="260" t="s">
        <v>872</v>
      </c>
      <c r="C18" s="248"/>
      <c r="D18" s="657" t="str">
        <f>'1PROJE'!$E$3</f>
        <v>GÜNEŞ PEN</v>
      </c>
      <c r="E18" s="658"/>
      <c r="F18" s="658"/>
      <c r="G18" s="659"/>
    </row>
    <row r="19" spans="2:9" ht="31.5" customHeight="1" thickBot="1">
      <c r="B19" s="260" t="s">
        <v>873</v>
      </c>
      <c r="C19" s="248"/>
      <c r="D19" s="644" t="str">
        <f>'1PROJE'!$F$3</f>
        <v>GÜRKAN BEY</v>
      </c>
      <c r="E19" s="645"/>
      <c r="F19" s="645"/>
      <c r="G19" s="646"/>
    </row>
    <row r="20" spans="2:9" ht="31.5" customHeight="1" thickBot="1">
      <c r="B20" s="260" t="s">
        <v>356</v>
      </c>
      <c r="C20" s="248"/>
      <c r="D20" s="647" t="e" cm="1">
        <f t="array" aca="1" ref="D20" ca="1">INDIRECT("xHesaplama!I"&amp;""&amp;ROW(D20)+70-7*ROUNDDOWN(ROW(D20)/8,0))</f>
        <v>#N/A</v>
      </c>
      <c r="E20" s="648"/>
      <c r="F20" s="648"/>
      <c r="G20" s="649"/>
    </row>
    <row r="21" spans="2:9" ht="31.5" customHeight="1" thickBot="1">
      <c r="B21" s="260" t="s">
        <v>874</v>
      </c>
      <c r="C21" s="248"/>
      <c r="D21" s="650" t="str">
        <f>$H$1</f>
        <v>BOX</v>
      </c>
      <c r="E21" s="651"/>
      <c r="F21" s="651"/>
      <c r="G21" s="652"/>
    </row>
    <row r="22" spans="2:9" ht="31.5" customHeight="1" thickBot="1">
      <c r="B22" s="260" t="s">
        <v>875</v>
      </c>
      <c r="C22" s="248"/>
      <c r="D22" s="653" t="str">
        <f>'1PROJE'!$G$3</f>
        <v>Z 5001</v>
      </c>
      <c r="E22" s="654"/>
      <c r="F22" s="654"/>
      <c r="G22" s="655"/>
      <c r="I22" s="250"/>
    </row>
    <row r="23" spans="2:9" ht="31.5" customHeight="1" thickBot="1">
      <c r="B23" s="260" t="s">
        <v>876</v>
      </c>
      <c r="D23" s="653" cm="1">
        <f t="array" aca="1" ref="D23" ca="1">INDIRECT("xHesaplama!H"&amp;""&amp;ROW(D20)+70-7*ROUNDDOWN(ROW(D20)/8,0))</f>
        <v>0</v>
      </c>
      <c r="E23" s="654"/>
      <c r="F23" s="654"/>
      <c r="G23" s="655"/>
    </row>
    <row r="24" spans="2:9" ht="31.5" customHeight="1" thickBot="1">
      <c r="B24" s="260" t="s">
        <v>877</v>
      </c>
      <c r="D24" s="252" t="s">
        <v>878</v>
      </c>
      <c r="E24" s="253" t="e" cm="1">
        <f t="array" aca="1" ref="E24" ca="1">INDIRECT("xHesaplama!J"&amp;""&amp;ROW(D20)+70-7*ROUNDDOWN(ROW(D20)/8,0))</f>
        <v>#N/A</v>
      </c>
      <c r="F24" s="254" t="s">
        <v>879</v>
      </c>
      <c r="G24" s="253" t="e" cm="1">
        <f t="array" aca="1" ref="G24" ca="1">INDIRECT("xHesaplama!K"&amp;""&amp;ROW(D20)+70-7*ROUNDDOWN(ROW(D20)/8,0))</f>
        <v>#N/A</v>
      </c>
    </row>
    <row r="25" spans="2:9" ht="69" customHeight="1" thickBot="1">
      <c r="B25" s="259" t="s">
        <v>869</v>
      </c>
      <c r="C25" s="248"/>
      <c r="D25" s="656"/>
      <c r="E25" s="656"/>
      <c r="F25" s="656"/>
      <c r="G25" s="656"/>
    </row>
    <row r="26" spans="2:9" ht="31.5" customHeight="1" thickBot="1">
      <c r="B26" s="260" t="s">
        <v>872</v>
      </c>
      <c r="C26" s="248"/>
      <c r="D26" s="657" t="str">
        <f>'1PROJE'!$E$3</f>
        <v>GÜNEŞ PEN</v>
      </c>
      <c r="E26" s="658"/>
      <c r="F26" s="658"/>
      <c r="G26" s="659"/>
    </row>
    <row r="27" spans="2:9" ht="31.5" customHeight="1" thickBot="1">
      <c r="B27" s="260" t="s">
        <v>873</v>
      </c>
      <c r="C27" s="248"/>
      <c r="D27" s="644" t="str">
        <f>'1PROJE'!$F$3</f>
        <v>GÜRKAN BEY</v>
      </c>
      <c r="E27" s="645"/>
      <c r="F27" s="645"/>
      <c r="G27" s="646"/>
    </row>
    <row r="28" spans="2:9" ht="31.5" customHeight="1" thickBot="1">
      <c r="B28" s="260" t="s">
        <v>356</v>
      </c>
      <c r="C28" s="248"/>
      <c r="D28" s="647" t="e" cm="1">
        <f t="array" aca="1" ref="D28" ca="1">INDIRECT("xHesaplama!I"&amp;""&amp;ROW(D28)+70-7*ROUNDDOWN(ROW(D28)/8,0))</f>
        <v>#N/A</v>
      </c>
      <c r="E28" s="648"/>
      <c r="F28" s="648"/>
      <c r="G28" s="649"/>
    </row>
    <row r="29" spans="2:9" ht="31.5" customHeight="1" thickBot="1">
      <c r="B29" s="260" t="s">
        <v>874</v>
      </c>
      <c r="C29" s="248"/>
      <c r="D29" s="650" t="str">
        <f>$H$1</f>
        <v>BOX</v>
      </c>
      <c r="E29" s="651"/>
      <c r="F29" s="651"/>
      <c r="G29" s="652"/>
    </row>
    <row r="30" spans="2:9" ht="31.5" customHeight="1" thickBot="1">
      <c r="B30" s="260" t="s">
        <v>875</v>
      </c>
      <c r="C30" s="248"/>
      <c r="D30" s="653" t="str">
        <f>'1PROJE'!$G$3</f>
        <v>Z 5001</v>
      </c>
      <c r="E30" s="654"/>
      <c r="F30" s="654"/>
      <c r="G30" s="655"/>
      <c r="I30" s="250"/>
    </row>
    <row r="31" spans="2:9" ht="31.5" customHeight="1" thickBot="1">
      <c r="B31" s="260" t="s">
        <v>876</v>
      </c>
      <c r="D31" s="653" cm="1">
        <f t="array" aca="1" ref="D31" ca="1">INDIRECT("xHesaplama!H"&amp;""&amp;ROW(D28)+70-7*ROUNDDOWN(ROW(D28)/8,0))</f>
        <v>0</v>
      </c>
      <c r="E31" s="654"/>
      <c r="F31" s="654"/>
      <c r="G31" s="655"/>
    </row>
    <row r="32" spans="2:9" ht="31.5" customHeight="1" thickBot="1">
      <c r="B32" s="260" t="s">
        <v>877</v>
      </c>
      <c r="D32" s="252" t="s">
        <v>878</v>
      </c>
      <c r="E32" s="253" t="e" cm="1">
        <f t="array" aca="1" ref="E32" ca="1">INDIRECT("xHesaplama!J"&amp;""&amp;ROW(D28)+70-7*ROUNDDOWN(ROW(D28)/8,0))</f>
        <v>#N/A</v>
      </c>
      <c r="F32" s="254" t="s">
        <v>879</v>
      </c>
      <c r="G32" s="253" t="e" cm="1">
        <f t="array" aca="1" ref="G32" ca="1">INDIRECT("xHesaplama!K"&amp;""&amp;ROW(D28)+70-7*ROUNDDOWN(ROW(D28)/8,0))</f>
        <v>#N/A</v>
      </c>
    </row>
    <row r="33" spans="2:9" ht="69" customHeight="1" thickBot="1">
      <c r="B33" s="259" t="s">
        <v>869</v>
      </c>
      <c r="C33" s="248"/>
      <c r="D33" s="656"/>
      <c r="E33" s="656"/>
      <c r="F33" s="656"/>
      <c r="G33" s="656"/>
    </row>
    <row r="34" spans="2:9" ht="31.5" customHeight="1" thickBot="1">
      <c r="B34" s="260" t="s">
        <v>872</v>
      </c>
      <c r="C34" s="248"/>
      <c r="D34" s="657" t="str">
        <f>'1PROJE'!$E$3</f>
        <v>GÜNEŞ PEN</v>
      </c>
      <c r="E34" s="658"/>
      <c r="F34" s="658"/>
      <c r="G34" s="659"/>
    </row>
    <row r="35" spans="2:9" ht="31.5" customHeight="1" thickBot="1">
      <c r="B35" s="260" t="s">
        <v>873</v>
      </c>
      <c r="C35" s="248"/>
      <c r="D35" s="644" t="str">
        <f>'1PROJE'!$F$3</f>
        <v>GÜRKAN BEY</v>
      </c>
      <c r="E35" s="645"/>
      <c r="F35" s="645"/>
      <c r="G35" s="646"/>
    </row>
    <row r="36" spans="2:9" ht="31.5" customHeight="1" thickBot="1">
      <c r="B36" s="260" t="s">
        <v>356</v>
      </c>
      <c r="C36" s="248"/>
      <c r="D36" s="647" t="e" cm="1">
        <f t="array" aca="1" ref="D36" ca="1">INDIRECT("xHesaplama!I"&amp;""&amp;ROW(D36)+70-7*ROUNDDOWN(ROW(D36)/8,0))</f>
        <v>#N/A</v>
      </c>
      <c r="E36" s="648"/>
      <c r="F36" s="648"/>
      <c r="G36" s="649"/>
    </row>
    <row r="37" spans="2:9" ht="31.5" customHeight="1" thickBot="1">
      <c r="B37" s="260" t="s">
        <v>874</v>
      </c>
      <c r="C37" s="248"/>
      <c r="D37" s="650" t="str">
        <f>$H$1</f>
        <v>BOX</v>
      </c>
      <c r="E37" s="651"/>
      <c r="F37" s="651"/>
      <c r="G37" s="652"/>
    </row>
    <row r="38" spans="2:9" ht="31.5" customHeight="1" thickBot="1">
      <c r="B38" s="260" t="s">
        <v>875</v>
      </c>
      <c r="C38" s="248"/>
      <c r="D38" s="653" t="str">
        <f>'1PROJE'!$G$3</f>
        <v>Z 5001</v>
      </c>
      <c r="E38" s="654"/>
      <c r="F38" s="654"/>
      <c r="G38" s="655"/>
      <c r="I38" s="250"/>
    </row>
    <row r="39" spans="2:9" ht="31.5" customHeight="1" thickBot="1">
      <c r="B39" s="260" t="s">
        <v>876</v>
      </c>
      <c r="D39" s="653" cm="1">
        <f t="array" aca="1" ref="D39" ca="1">INDIRECT("xHesaplama!H"&amp;""&amp;ROW(D36)+70-7*ROUNDDOWN(ROW(D36)/8,0))</f>
        <v>0</v>
      </c>
      <c r="E39" s="654"/>
      <c r="F39" s="654"/>
      <c r="G39" s="655"/>
    </row>
    <row r="40" spans="2:9" ht="31.5" customHeight="1" thickBot="1">
      <c r="B40" s="260" t="s">
        <v>877</v>
      </c>
      <c r="D40" s="252" t="s">
        <v>878</v>
      </c>
      <c r="E40" s="253" t="e" cm="1">
        <f t="array" aca="1" ref="E40" ca="1">INDIRECT("xHesaplama!J"&amp;""&amp;ROW(D36)+70-7*ROUNDDOWN(ROW(D36)/8,0))</f>
        <v>#N/A</v>
      </c>
      <c r="F40" s="254" t="s">
        <v>879</v>
      </c>
      <c r="G40" s="253" t="e" cm="1">
        <f t="array" aca="1" ref="G40" ca="1">INDIRECT("xHesaplama!K"&amp;""&amp;ROW(D36)+70-7*ROUNDDOWN(ROW(D36)/8,0))</f>
        <v>#N/A</v>
      </c>
    </row>
    <row r="41" spans="2:9" ht="69" customHeight="1" thickBot="1">
      <c r="B41" s="259" t="s">
        <v>869</v>
      </c>
      <c r="C41" s="248"/>
      <c r="D41" s="656"/>
      <c r="E41" s="656"/>
      <c r="F41" s="656"/>
      <c r="G41" s="656"/>
    </row>
    <row r="42" spans="2:9" ht="31.5" customHeight="1" thickBot="1">
      <c r="B42" s="260" t="s">
        <v>872</v>
      </c>
      <c r="C42" s="248"/>
      <c r="D42" s="657" t="str">
        <f>'1PROJE'!$E$3</f>
        <v>GÜNEŞ PEN</v>
      </c>
      <c r="E42" s="658"/>
      <c r="F42" s="658"/>
      <c r="G42" s="659"/>
    </row>
    <row r="43" spans="2:9" ht="31.5" customHeight="1" thickBot="1">
      <c r="B43" s="260" t="s">
        <v>873</v>
      </c>
      <c r="C43" s="248"/>
      <c r="D43" s="644" t="str">
        <f>'1PROJE'!$F$3</f>
        <v>GÜRKAN BEY</v>
      </c>
      <c r="E43" s="645"/>
      <c r="F43" s="645"/>
      <c r="G43" s="646"/>
    </row>
    <row r="44" spans="2:9" ht="31.5" customHeight="1" thickBot="1">
      <c r="B44" s="260" t="s">
        <v>356</v>
      </c>
      <c r="C44" s="248"/>
      <c r="D44" s="647" t="e" cm="1">
        <f t="array" aca="1" ref="D44" ca="1">INDIRECT("xHesaplama!I"&amp;""&amp;ROW(D44)+70-7*ROUNDDOWN(ROW(D44)/8,0))</f>
        <v>#N/A</v>
      </c>
      <c r="E44" s="648"/>
      <c r="F44" s="648"/>
      <c r="G44" s="649"/>
    </row>
    <row r="45" spans="2:9" ht="31.5" customHeight="1" thickBot="1">
      <c r="B45" s="260" t="s">
        <v>874</v>
      </c>
      <c r="C45" s="248"/>
      <c r="D45" s="650" t="str">
        <f>$H$1</f>
        <v>BOX</v>
      </c>
      <c r="E45" s="651"/>
      <c r="F45" s="651"/>
      <c r="G45" s="652"/>
    </row>
    <row r="46" spans="2:9" ht="31.5" customHeight="1" thickBot="1">
      <c r="B46" s="260" t="s">
        <v>875</v>
      </c>
      <c r="C46" s="248"/>
      <c r="D46" s="653" t="str">
        <f>'1PROJE'!$G$3</f>
        <v>Z 5001</v>
      </c>
      <c r="E46" s="654"/>
      <c r="F46" s="654"/>
      <c r="G46" s="655"/>
      <c r="I46" s="250"/>
    </row>
    <row r="47" spans="2:9" ht="31.5" customHeight="1" thickBot="1">
      <c r="B47" s="260" t="s">
        <v>876</v>
      </c>
      <c r="D47" s="653" cm="1">
        <f t="array" aca="1" ref="D47" ca="1">INDIRECT("xHesaplama!H"&amp;""&amp;ROW(D44)+70-7*ROUNDDOWN(ROW(D44)/8,0))</f>
        <v>0</v>
      </c>
      <c r="E47" s="654"/>
      <c r="F47" s="654"/>
      <c r="G47" s="655"/>
    </row>
    <row r="48" spans="2:9" ht="31.5" customHeight="1" thickBot="1">
      <c r="B48" s="260" t="s">
        <v>877</v>
      </c>
      <c r="D48" s="252" t="s">
        <v>878</v>
      </c>
      <c r="E48" s="253" t="e" cm="1">
        <f t="array" aca="1" ref="E48" ca="1">INDIRECT("xHesaplama!J"&amp;""&amp;ROW(D44)+70-7*ROUNDDOWN(ROW(D44)/8,0))</f>
        <v>#N/A</v>
      </c>
      <c r="F48" s="254" t="s">
        <v>879</v>
      </c>
      <c r="G48" s="253" t="e" cm="1">
        <f t="array" aca="1" ref="G48" ca="1">INDIRECT("xHesaplama!K"&amp;""&amp;ROW(D44)+70-7*ROUNDDOWN(ROW(D44)/8,0))</f>
        <v>#N/A</v>
      </c>
    </row>
    <row r="49" spans="2:9" ht="69" customHeight="1" thickBot="1">
      <c r="B49" s="259" t="s">
        <v>869</v>
      </c>
      <c r="C49" s="248"/>
      <c r="D49" s="656"/>
      <c r="E49" s="656"/>
      <c r="F49" s="656"/>
      <c r="G49" s="656"/>
    </row>
    <row r="50" spans="2:9" ht="31.5" customHeight="1" thickBot="1">
      <c r="B50" s="260" t="s">
        <v>872</v>
      </c>
      <c r="C50" s="248"/>
      <c r="D50" s="657" t="str">
        <f>'1PROJE'!$E$3</f>
        <v>GÜNEŞ PEN</v>
      </c>
      <c r="E50" s="658"/>
      <c r="F50" s="658"/>
      <c r="G50" s="659"/>
    </row>
    <row r="51" spans="2:9" ht="31.5" customHeight="1" thickBot="1">
      <c r="B51" s="260" t="s">
        <v>873</v>
      </c>
      <c r="C51" s="248"/>
      <c r="D51" s="644" t="str">
        <f>'1PROJE'!$F$3</f>
        <v>GÜRKAN BEY</v>
      </c>
      <c r="E51" s="645"/>
      <c r="F51" s="645"/>
      <c r="G51" s="646"/>
    </row>
    <row r="52" spans="2:9" ht="31.5" customHeight="1" thickBot="1">
      <c r="B52" s="260" t="s">
        <v>356</v>
      </c>
      <c r="C52" s="248"/>
      <c r="D52" s="647" t="e" cm="1">
        <f t="array" aca="1" ref="D52" ca="1">INDIRECT("xHesaplama!I"&amp;""&amp;ROW(D52)+70-7*ROUNDDOWN(ROW(D52)/8,0))</f>
        <v>#N/A</v>
      </c>
      <c r="E52" s="648"/>
      <c r="F52" s="648"/>
      <c r="G52" s="649"/>
    </row>
    <row r="53" spans="2:9" ht="31.5" customHeight="1" thickBot="1">
      <c r="B53" s="260" t="s">
        <v>874</v>
      </c>
      <c r="C53" s="248"/>
      <c r="D53" s="650" t="str">
        <f>$H$1</f>
        <v>BOX</v>
      </c>
      <c r="E53" s="651"/>
      <c r="F53" s="651"/>
      <c r="G53" s="652"/>
    </row>
    <row r="54" spans="2:9" ht="31.5" customHeight="1" thickBot="1">
      <c r="B54" s="260" t="s">
        <v>875</v>
      </c>
      <c r="C54" s="248"/>
      <c r="D54" s="653" t="str">
        <f>'1PROJE'!$G$3</f>
        <v>Z 5001</v>
      </c>
      <c r="E54" s="654"/>
      <c r="F54" s="654"/>
      <c r="G54" s="655"/>
      <c r="I54" s="250"/>
    </row>
    <row r="55" spans="2:9" ht="31.5" customHeight="1" thickBot="1">
      <c r="B55" s="260" t="s">
        <v>876</v>
      </c>
      <c r="D55" s="653" cm="1">
        <f t="array" aca="1" ref="D55" ca="1">INDIRECT("xHesaplama!H"&amp;""&amp;ROW(D52)+70-7*ROUNDDOWN(ROW(D52)/8,0))</f>
        <v>0</v>
      </c>
      <c r="E55" s="654"/>
      <c r="F55" s="654"/>
      <c r="G55" s="655"/>
    </row>
    <row r="56" spans="2:9" ht="31.5" customHeight="1" thickBot="1">
      <c r="B56" s="260" t="s">
        <v>877</v>
      </c>
      <c r="D56" s="252" t="s">
        <v>878</v>
      </c>
      <c r="E56" s="253" t="e" cm="1">
        <f t="array" aca="1" ref="E56" ca="1">INDIRECT("xHesaplama!J"&amp;""&amp;ROW(D52)+70-7*ROUNDDOWN(ROW(D52)/8,0))</f>
        <v>#N/A</v>
      </c>
      <c r="F56" s="254" t="s">
        <v>879</v>
      </c>
      <c r="G56" s="253" t="e" cm="1">
        <f t="array" aca="1" ref="G56" ca="1">INDIRECT("xHesaplama!K"&amp;""&amp;ROW(D52)+70-7*ROUNDDOWN(ROW(D52)/8,0))</f>
        <v>#N/A</v>
      </c>
    </row>
    <row r="57" spans="2:9" ht="69" customHeight="1" thickBot="1">
      <c r="B57" s="259" t="s">
        <v>869</v>
      </c>
      <c r="C57" s="248"/>
      <c r="D57" s="656"/>
      <c r="E57" s="656"/>
      <c r="F57" s="656"/>
      <c r="G57" s="656"/>
    </row>
    <row r="58" spans="2:9" ht="31.5" customHeight="1" thickBot="1">
      <c r="B58" s="260" t="s">
        <v>872</v>
      </c>
      <c r="C58" s="248"/>
      <c r="D58" s="657" t="str">
        <f>'1PROJE'!$E$3</f>
        <v>GÜNEŞ PEN</v>
      </c>
      <c r="E58" s="658"/>
      <c r="F58" s="658"/>
      <c r="G58" s="659"/>
    </row>
    <row r="59" spans="2:9" ht="31.5" customHeight="1" thickBot="1">
      <c r="B59" s="260" t="s">
        <v>873</v>
      </c>
      <c r="C59" s="248"/>
      <c r="D59" s="644" t="str">
        <f>'1PROJE'!$F$3</f>
        <v>GÜRKAN BEY</v>
      </c>
      <c r="E59" s="645"/>
      <c r="F59" s="645"/>
      <c r="G59" s="646"/>
    </row>
    <row r="60" spans="2:9" ht="31.5" customHeight="1" thickBot="1">
      <c r="B60" s="260" t="s">
        <v>356</v>
      </c>
      <c r="C60" s="248"/>
      <c r="D60" s="647" t="e" cm="1">
        <f t="array" aca="1" ref="D60" ca="1">INDIRECT("xHesaplama!I"&amp;""&amp;ROW(D60)+70-7*ROUNDDOWN(ROW(D60)/8,0))</f>
        <v>#N/A</v>
      </c>
      <c r="E60" s="648"/>
      <c r="F60" s="648"/>
      <c r="G60" s="649"/>
    </row>
    <row r="61" spans="2:9" ht="31.5" customHeight="1" thickBot="1">
      <c r="B61" s="260" t="s">
        <v>874</v>
      </c>
      <c r="C61" s="248"/>
      <c r="D61" s="650" t="str">
        <f>$H$1</f>
        <v>BOX</v>
      </c>
      <c r="E61" s="651"/>
      <c r="F61" s="651"/>
      <c r="G61" s="652"/>
    </row>
    <row r="62" spans="2:9" ht="31.5" customHeight="1" thickBot="1">
      <c r="B62" s="260" t="s">
        <v>875</v>
      </c>
      <c r="C62" s="248"/>
      <c r="D62" s="653" t="str">
        <f>'1PROJE'!$G$3</f>
        <v>Z 5001</v>
      </c>
      <c r="E62" s="654"/>
      <c r="F62" s="654"/>
      <c r="G62" s="655"/>
      <c r="I62" s="250"/>
    </row>
    <row r="63" spans="2:9" ht="31.5" customHeight="1" thickBot="1">
      <c r="B63" s="260" t="s">
        <v>876</v>
      </c>
      <c r="D63" s="653" cm="1">
        <f t="array" aca="1" ref="D63" ca="1">INDIRECT("xHesaplama!H"&amp;""&amp;ROW(D60)+70-7*ROUNDDOWN(ROW(D60)/8,0))</f>
        <v>0</v>
      </c>
      <c r="E63" s="654"/>
      <c r="F63" s="654"/>
      <c r="G63" s="655"/>
    </row>
    <row r="64" spans="2:9" ht="31.5" customHeight="1" thickBot="1">
      <c r="B64" s="260" t="s">
        <v>877</v>
      </c>
      <c r="D64" s="252" t="s">
        <v>878</v>
      </c>
      <c r="E64" s="253" t="e" cm="1">
        <f t="array" aca="1" ref="E64" ca="1">INDIRECT("xHesaplama!J"&amp;""&amp;ROW(D60)+70-7*ROUNDDOWN(ROW(D60)/8,0))</f>
        <v>#N/A</v>
      </c>
      <c r="F64" s="254" t="s">
        <v>879</v>
      </c>
      <c r="G64" s="253" t="e" cm="1">
        <f t="array" aca="1" ref="G64" ca="1">INDIRECT("xHesaplama!K"&amp;""&amp;ROW(D60)+70-7*ROUNDDOWN(ROW(D60)/8,0))</f>
        <v>#N/A</v>
      </c>
    </row>
    <row r="65" spans="2:9" ht="69" customHeight="1" thickBot="1">
      <c r="B65" s="259" t="s">
        <v>869</v>
      </c>
      <c r="C65" s="248"/>
      <c r="D65" s="656"/>
      <c r="E65" s="656"/>
      <c r="F65" s="656"/>
      <c r="G65" s="656"/>
    </row>
    <row r="66" spans="2:9" ht="31.5" customHeight="1" thickBot="1">
      <c r="B66" s="260" t="s">
        <v>872</v>
      </c>
      <c r="C66" s="248"/>
      <c r="D66" s="657" t="str">
        <f>'1PROJE'!$E$3</f>
        <v>GÜNEŞ PEN</v>
      </c>
      <c r="E66" s="658"/>
      <c r="F66" s="658"/>
      <c r="G66" s="659"/>
    </row>
    <row r="67" spans="2:9" ht="31.5" customHeight="1" thickBot="1">
      <c r="B67" s="260" t="s">
        <v>873</v>
      </c>
      <c r="C67" s="248"/>
      <c r="D67" s="644" t="str">
        <f>'1PROJE'!$F$3</f>
        <v>GÜRKAN BEY</v>
      </c>
      <c r="E67" s="645"/>
      <c r="F67" s="645"/>
      <c r="G67" s="646"/>
    </row>
    <row r="68" spans="2:9" ht="31.5" customHeight="1" thickBot="1">
      <c r="B68" s="260" t="s">
        <v>356</v>
      </c>
      <c r="C68" s="248"/>
      <c r="D68" s="647" t="e" cm="1">
        <f t="array" aca="1" ref="D68" ca="1">INDIRECT("xHesaplama!I"&amp;""&amp;ROW(D68)+70-7*ROUNDDOWN(ROW(D68)/8,0))</f>
        <v>#N/A</v>
      </c>
      <c r="E68" s="648"/>
      <c r="F68" s="648"/>
      <c r="G68" s="649"/>
    </row>
    <row r="69" spans="2:9" ht="31.5" customHeight="1" thickBot="1">
      <c r="B69" s="260" t="s">
        <v>874</v>
      </c>
      <c r="C69" s="248"/>
      <c r="D69" s="650" t="str">
        <f>$H$1</f>
        <v>BOX</v>
      </c>
      <c r="E69" s="651"/>
      <c r="F69" s="651"/>
      <c r="G69" s="652"/>
    </row>
    <row r="70" spans="2:9" ht="31.5" customHeight="1" thickBot="1">
      <c r="B70" s="260" t="s">
        <v>875</v>
      </c>
      <c r="C70" s="248"/>
      <c r="D70" s="653" t="str">
        <f>'1PROJE'!$G$3</f>
        <v>Z 5001</v>
      </c>
      <c r="E70" s="654"/>
      <c r="F70" s="654"/>
      <c r="G70" s="655"/>
      <c r="I70" s="250"/>
    </row>
    <row r="71" spans="2:9" ht="31.5" customHeight="1" thickBot="1">
      <c r="B71" s="260" t="s">
        <v>876</v>
      </c>
      <c r="D71" s="653" cm="1">
        <f t="array" aca="1" ref="D71" ca="1">INDIRECT("xHesaplama!H"&amp;""&amp;ROW(D68)+70-7*ROUNDDOWN(ROW(D68)/8,0))</f>
        <v>0</v>
      </c>
      <c r="E71" s="654"/>
      <c r="F71" s="654"/>
      <c r="G71" s="655"/>
    </row>
    <row r="72" spans="2:9" ht="31.5" customHeight="1" thickBot="1">
      <c r="B72" s="260" t="s">
        <v>877</v>
      </c>
      <c r="D72" s="252" t="s">
        <v>878</v>
      </c>
      <c r="E72" s="253" t="e" cm="1">
        <f t="array" aca="1" ref="E72" ca="1">INDIRECT("xHesaplama!J"&amp;""&amp;ROW(D68)+70-7*ROUNDDOWN(ROW(D68)/8,0))</f>
        <v>#N/A</v>
      </c>
      <c r="F72" s="254" t="s">
        <v>879</v>
      </c>
      <c r="G72" s="253" t="e" cm="1">
        <f t="array" aca="1" ref="G72" ca="1">INDIRECT("xHesaplama!K"&amp;""&amp;ROW(D68)+70-7*ROUNDDOWN(ROW(D68)/8,0))</f>
        <v>#N/A</v>
      </c>
    </row>
    <row r="73" spans="2:9" ht="69" customHeight="1" thickBot="1">
      <c r="B73" s="259" t="s">
        <v>869</v>
      </c>
      <c r="C73" s="248"/>
      <c r="D73" s="656"/>
      <c r="E73" s="656"/>
      <c r="F73" s="656"/>
      <c r="G73" s="656"/>
    </row>
    <row r="74" spans="2:9" ht="31.5" customHeight="1" thickBot="1">
      <c r="B74" s="260" t="s">
        <v>872</v>
      </c>
      <c r="C74" s="248"/>
      <c r="D74" s="657" t="str">
        <f>'1PROJE'!$E$3</f>
        <v>GÜNEŞ PEN</v>
      </c>
      <c r="E74" s="658"/>
      <c r="F74" s="658"/>
      <c r="G74" s="659"/>
    </row>
    <row r="75" spans="2:9" ht="31.5" customHeight="1" thickBot="1">
      <c r="B75" s="260" t="s">
        <v>873</v>
      </c>
      <c r="C75" s="248"/>
      <c r="D75" s="644" t="str">
        <f>'1PROJE'!$F$3</f>
        <v>GÜRKAN BEY</v>
      </c>
      <c r="E75" s="645"/>
      <c r="F75" s="645"/>
      <c r="G75" s="646"/>
    </row>
    <row r="76" spans="2:9" ht="31.5" customHeight="1" thickBot="1">
      <c r="B76" s="260" t="s">
        <v>356</v>
      </c>
      <c r="C76" s="248"/>
      <c r="D76" s="647" t="e" cm="1">
        <f t="array" aca="1" ref="D76" ca="1">INDIRECT("xHesaplama!I"&amp;""&amp;ROW(D76)+70-7*ROUNDDOWN(ROW(D76)/8,0))</f>
        <v>#N/A</v>
      </c>
      <c r="E76" s="648"/>
      <c r="F76" s="648"/>
      <c r="G76" s="649"/>
    </row>
    <row r="77" spans="2:9" ht="31.5" customHeight="1" thickBot="1">
      <c r="B77" s="260" t="s">
        <v>874</v>
      </c>
      <c r="C77" s="248"/>
      <c r="D77" s="650" t="str">
        <f>$H$1</f>
        <v>BOX</v>
      </c>
      <c r="E77" s="651"/>
      <c r="F77" s="651"/>
      <c r="G77" s="652"/>
    </row>
    <row r="78" spans="2:9" ht="31.5" customHeight="1" thickBot="1">
      <c r="B78" s="260" t="s">
        <v>875</v>
      </c>
      <c r="C78" s="248"/>
      <c r="D78" s="653" t="str">
        <f>'1PROJE'!$G$3</f>
        <v>Z 5001</v>
      </c>
      <c r="E78" s="654"/>
      <c r="F78" s="654"/>
      <c r="G78" s="655"/>
      <c r="I78" s="250"/>
    </row>
    <row r="79" spans="2:9" ht="31.5" customHeight="1" thickBot="1">
      <c r="B79" s="260" t="s">
        <v>876</v>
      </c>
      <c r="D79" s="653" cm="1">
        <f t="array" aca="1" ref="D79" ca="1">INDIRECT("xHesaplama!H"&amp;""&amp;ROW(D76)+70-7*ROUNDDOWN(ROW(D76)/8,0))</f>
        <v>0</v>
      </c>
      <c r="E79" s="654"/>
      <c r="F79" s="654"/>
      <c r="G79" s="655"/>
    </row>
    <row r="80" spans="2:9" ht="31.5" customHeight="1" thickBot="1">
      <c r="B80" s="260" t="s">
        <v>877</v>
      </c>
      <c r="D80" s="252" t="s">
        <v>878</v>
      </c>
      <c r="E80" s="253" t="e" cm="1">
        <f t="array" aca="1" ref="E80" ca="1">INDIRECT("xHesaplama!J"&amp;""&amp;ROW(D76)+70-7*ROUNDDOWN(ROW(D76)/8,0))</f>
        <v>#N/A</v>
      </c>
      <c r="F80" s="254" t="s">
        <v>879</v>
      </c>
      <c r="G80" s="253" t="e" cm="1">
        <f t="array" aca="1" ref="G80" ca="1">INDIRECT("xHesaplama!K"&amp;""&amp;ROW(D76)+70-7*ROUNDDOWN(ROW(D76)/8,0))</f>
        <v>#N/A</v>
      </c>
    </row>
    <row r="81" spans="2:9" ht="69" customHeight="1" thickBot="1">
      <c r="B81" s="259" t="s">
        <v>869</v>
      </c>
      <c r="C81" s="248"/>
      <c r="D81" s="656"/>
      <c r="E81" s="656"/>
      <c r="F81" s="656"/>
      <c r="G81" s="656"/>
    </row>
    <row r="82" spans="2:9" ht="31.5" customHeight="1" thickBot="1">
      <c r="B82" s="260" t="s">
        <v>872</v>
      </c>
      <c r="C82" s="248"/>
      <c r="D82" s="657" t="str">
        <f>'1PROJE'!$E$3</f>
        <v>GÜNEŞ PEN</v>
      </c>
      <c r="E82" s="658"/>
      <c r="F82" s="658"/>
      <c r="G82" s="659"/>
    </row>
    <row r="83" spans="2:9" ht="31.5" customHeight="1" thickBot="1">
      <c r="B83" s="260" t="s">
        <v>873</v>
      </c>
      <c r="C83" s="248"/>
      <c r="D83" s="644" t="str">
        <f>'1PROJE'!$F$3</f>
        <v>GÜRKAN BEY</v>
      </c>
      <c r="E83" s="645"/>
      <c r="F83" s="645"/>
      <c r="G83" s="646"/>
    </row>
    <row r="84" spans="2:9" ht="31.5" customHeight="1" thickBot="1">
      <c r="B84" s="260" t="s">
        <v>356</v>
      </c>
      <c r="C84" s="248"/>
      <c r="D84" s="647" t="e" cm="1">
        <f t="array" aca="1" ref="D84" ca="1">INDIRECT("xHesaplama!I"&amp;""&amp;ROW(D84)+70-7*ROUNDDOWN(ROW(D84)/8,0))</f>
        <v>#N/A</v>
      </c>
      <c r="E84" s="648"/>
      <c r="F84" s="648"/>
      <c r="G84" s="649"/>
    </row>
    <row r="85" spans="2:9" ht="31.5" customHeight="1" thickBot="1">
      <c r="B85" s="260" t="s">
        <v>874</v>
      </c>
      <c r="C85" s="248"/>
      <c r="D85" s="650" t="str">
        <f>$H$1</f>
        <v>BOX</v>
      </c>
      <c r="E85" s="651"/>
      <c r="F85" s="651"/>
      <c r="G85" s="652"/>
    </row>
    <row r="86" spans="2:9" ht="31.5" customHeight="1" thickBot="1">
      <c r="B86" s="260" t="s">
        <v>875</v>
      </c>
      <c r="C86" s="248"/>
      <c r="D86" s="653" t="str">
        <f>'1PROJE'!$G$3</f>
        <v>Z 5001</v>
      </c>
      <c r="E86" s="654"/>
      <c r="F86" s="654"/>
      <c r="G86" s="655"/>
      <c r="I86" s="250"/>
    </row>
    <row r="87" spans="2:9" ht="31.5" customHeight="1" thickBot="1">
      <c r="B87" s="260" t="s">
        <v>876</v>
      </c>
      <c r="D87" s="653" cm="1">
        <f t="array" aca="1" ref="D87" ca="1">INDIRECT("xHesaplama!H"&amp;""&amp;ROW(D84)+70-7*ROUNDDOWN(ROW(D84)/8,0))</f>
        <v>0</v>
      </c>
      <c r="E87" s="654"/>
      <c r="F87" s="654"/>
      <c r="G87" s="655"/>
    </row>
    <row r="88" spans="2:9" ht="31.5" customHeight="1" thickBot="1">
      <c r="B88" s="260" t="s">
        <v>877</v>
      </c>
      <c r="D88" s="252" t="s">
        <v>878</v>
      </c>
      <c r="E88" s="253" t="e" cm="1">
        <f t="array" aca="1" ref="E88" ca="1">INDIRECT("xHesaplama!J"&amp;""&amp;ROW(D84)+70-7*ROUNDDOWN(ROW(D84)/8,0))</f>
        <v>#N/A</v>
      </c>
      <c r="F88" s="254" t="s">
        <v>879</v>
      </c>
      <c r="G88" s="253" t="e" cm="1">
        <f t="array" aca="1" ref="G88" ca="1">INDIRECT("xHesaplama!K"&amp;""&amp;ROW(D84)+70-7*ROUNDDOWN(ROW(D84)/8,0))</f>
        <v>#N/A</v>
      </c>
    </row>
    <row r="89" spans="2:9" ht="69" customHeight="1" thickBot="1">
      <c r="B89" s="259" t="s">
        <v>869</v>
      </c>
      <c r="C89" s="248"/>
      <c r="D89" s="656"/>
      <c r="E89" s="656"/>
      <c r="F89" s="656"/>
      <c r="G89" s="656"/>
    </row>
    <row r="90" spans="2:9" ht="31.5" customHeight="1" thickBot="1">
      <c r="B90" s="260" t="s">
        <v>872</v>
      </c>
      <c r="C90" s="248"/>
      <c r="D90" s="657" t="str">
        <f>'1PROJE'!$E$3</f>
        <v>GÜNEŞ PEN</v>
      </c>
      <c r="E90" s="658"/>
      <c r="F90" s="658"/>
      <c r="G90" s="659"/>
    </row>
    <row r="91" spans="2:9" ht="31.5" customHeight="1" thickBot="1">
      <c r="B91" s="260" t="s">
        <v>873</v>
      </c>
      <c r="C91" s="248"/>
      <c r="D91" s="644" t="str">
        <f>'1PROJE'!$F$3</f>
        <v>GÜRKAN BEY</v>
      </c>
      <c r="E91" s="645"/>
      <c r="F91" s="645"/>
      <c r="G91" s="646"/>
    </row>
    <row r="92" spans="2:9" ht="31.5" customHeight="1" thickBot="1">
      <c r="B92" s="260" t="s">
        <v>356</v>
      </c>
      <c r="C92" s="248"/>
      <c r="D92" s="647" t="e" cm="1">
        <f t="array" aca="1" ref="D92" ca="1">INDIRECT("xHesaplama!I"&amp;""&amp;ROW(D92)+70-7*ROUNDDOWN(ROW(D92)/8,0))</f>
        <v>#N/A</v>
      </c>
      <c r="E92" s="648"/>
      <c r="F92" s="648"/>
      <c r="G92" s="649"/>
    </row>
    <row r="93" spans="2:9" ht="31.5" customHeight="1" thickBot="1">
      <c r="B93" s="260" t="s">
        <v>874</v>
      </c>
      <c r="C93" s="248"/>
      <c r="D93" s="650" t="str">
        <f>$H$1</f>
        <v>BOX</v>
      </c>
      <c r="E93" s="651"/>
      <c r="F93" s="651"/>
      <c r="G93" s="652"/>
    </row>
    <row r="94" spans="2:9" ht="31.5" customHeight="1" thickBot="1">
      <c r="B94" s="260" t="s">
        <v>875</v>
      </c>
      <c r="C94" s="248"/>
      <c r="D94" s="653" t="str">
        <f>'1PROJE'!$G$3</f>
        <v>Z 5001</v>
      </c>
      <c r="E94" s="654"/>
      <c r="F94" s="654"/>
      <c r="G94" s="655"/>
      <c r="I94" s="250"/>
    </row>
    <row r="95" spans="2:9" ht="31.5" customHeight="1" thickBot="1">
      <c r="B95" s="260" t="s">
        <v>876</v>
      </c>
      <c r="D95" s="653" cm="1">
        <f t="array" aca="1" ref="D95" ca="1">INDIRECT("xHesaplama!H"&amp;""&amp;ROW(D92)+70-7*ROUNDDOWN(ROW(D92)/8,0))</f>
        <v>0</v>
      </c>
      <c r="E95" s="654"/>
      <c r="F95" s="654"/>
      <c r="G95" s="655"/>
    </row>
    <row r="96" spans="2:9" ht="31.5" customHeight="1" thickBot="1">
      <c r="B96" s="260" t="s">
        <v>877</v>
      </c>
      <c r="D96" s="252" t="s">
        <v>878</v>
      </c>
      <c r="E96" s="253" t="e" cm="1">
        <f t="array" aca="1" ref="E96" ca="1">INDIRECT("xHesaplama!J"&amp;""&amp;ROW(D92)+70-7*ROUNDDOWN(ROW(D92)/8,0))</f>
        <v>#N/A</v>
      </c>
      <c r="F96" s="254" t="s">
        <v>879</v>
      </c>
      <c r="G96" s="253" t="e" cm="1">
        <f t="array" aca="1" ref="G96" ca="1">INDIRECT("xHesaplama!K"&amp;""&amp;ROW(D92)+70-7*ROUNDDOWN(ROW(D92)/8,0))</f>
        <v>#N/A</v>
      </c>
    </row>
    <row r="97" spans="2:9" ht="69" customHeight="1" thickBot="1">
      <c r="B97" s="259" t="s">
        <v>869</v>
      </c>
      <c r="C97" s="248"/>
      <c r="D97" s="656"/>
      <c r="E97" s="656"/>
      <c r="F97" s="656"/>
      <c r="G97" s="656"/>
    </row>
    <row r="98" spans="2:9" ht="31.5" customHeight="1" thickBot="1">
      <c r="B98" s="260" t="s">
        <v>872</v>
      </c>
      <c r="C98" s="248"/>
      <c r="D98" s="657" t="str">
        <f>'1PROJE'!$E$3</f>
        <v>GÜNEŞ PEN</v>
      </c>
      <c r="E98" s="658"/>
      <c r="F98" s="658"/>
      <c r="G98" s="659"/>
    </row>
    <row r="99" spans="2:9" ht="31.5" customHeight="1" thickBot="1">
      <c r="B99" s="260" t="s">
        <v>873</v>
      </c>
      <c r="C99" s="248"/>
      <c r="D99" s="644" t="str">
        <f>'1PROJE'!$F$3</f>
        <v>GÜRKAN BEY</v>
      </c>
      <c r="E99" s="645"/>
      <c r="F99" s="645"/>
      <c r="G99" s="646"/>
    </row>
    <row r="100" spans="2:9" ht="31.5" customHeight="1" thickBot="1">
      <c r="B100" s="260" t="s">
        <v>356</v>
      </c>
      <c r="C100" s="248"/>
      <c r="D100" s="647" t="e" cm="1">
        <f t="array" aca="1" ref="D100" ca="1">INDIRECT("xHesaplama!I"&amp;""&amp;ROW(D100)+70-7*ROUNDDOWN(ROW(D100)/8,0))</f>
        <v>#N/A</v>
      </c>
      <c r="E100" s="648"/>
      <c r="F100" s="648"/>
      <c r="G100" s="649"/>
    </row>
    <row r="101" spans="2:9" ht="31.5" customHeight="1" thickBot="1">
      <c r="B101" s="260" t="s">
        <v>874</v>
      </c>
      <c r="C101" s="248"/>
      <c r="D101" s="650" t="str">
        <f>$H$1</f>
        <v>BOX</v>
      </c>
      <c r="E101" s="651"/>
      <c r="F101" s="651"/>
      <c r="G101" s="652"/>
    </row>
    <row r="102" spans="2:9" ht="31.5" customHeight="1" thickBot="1">
      <c r="B102" s="260" t="s">
        <v>875</v>
      </c>
      <c r="C102" s="248"/>
      <c r="D102" s="653" t="str">
        <f>'1PROJE'!$G$3</f>
        <v>Z 5001</v>
      </c>
      <c r="E102" s="654"/>
      <c r="F102" s="654"/>
      <c r="G102" s="655"/>
      <c r="I102" s="250"/>
    </row>
    <row r="103" spans="2:9" ht="31.5" customHeight="1" thickBot="1">
      <c r="B103" s="260" t="s">
        <v>876</v>
      </c>
      <c r="D103" s="653" cm="1">
        <f t="array" aca="1" ref="D103" ca="1">INDIRECT("xHesaplama!H"&amp;""&amp;ROW(D100)+70-7*ROUNDDOWN(ROW(D100)/8,0))</f>
        <v>0</v>
      </c>
      <c r="E103" s="654"/>
      <c r="F103" s="654"/>
      <c r="G103" s="655"/>
    </row>
    <row r="104" spans="2:9" ht="31.5" customHeight="1" thickBot="1">
      <c r="B104" s="260" t="s">
        <v>877</v>
      </c>
      <c r="D104" s="252" t="s">
        <v>878</v>
      </c>
      <c r="E104" s="253" t="e" cm="1">
        <f t="array" aca="1" ref="E104" ca="1">INDIRECT("xHesaplama!J"&amp;""&amp;ROW(D100)+70-7*ROUNDDOWN(ROW(D100)/8,0))</f>
        <v>#N/A</v>
      </c>
      <c r="F104" s="254" t="s">
        <v>879</v>
      </c>
      <c r="G104" s="253" t="e" cm="1">
        <f t="array" aca="1" ref="G104" ca="1">INDIRECT("xHesaplama!K"&amp;""&amp;ROW(D100)+70-7*ROUNDDOWN(ROW(D100)/8,0))</f>
        <v>#N/A</v>
      </c>
    </row>
    <row r="105" spans="2:9" ht="69" customHeight="1" thickBot="1">
      <c r="B105" s="259" t="s">
        <v>869</v>
      </c>
      <c r="C105" s="248"/>
      <c r="D105" s="656"/>
      <c r="E105" s="656"/>
      <c r="F105" s="656"/>
      <c r="G105" s="656"/>
    </row>
    <row r="106" spans="2:9" ht="31.5" customHeight="1" thickBot="1">
      <c r="B106" s="260" t="s">
        <v>872</v>
      </c>
      <c r="C106" s="248"/>
      <c r="D106" s="657" t="str">
        <f>'1PROJE'!$E$3</f>
        <v>GÜNEŞ PEN</v>
      </c>
      <c r="E106" s="658"/>
      <c r="F106" s="658"/>
      <c r="G106" s="659"/>
    </row>
    <row r="107" spans="2:9" ht="31.5" customHeight="1" thickBot="1">
      <c r="B107" s="260" t="s">
        <v>873</v>
      </c>
      <c r="C107" s="248"/>
      <c r="D107" s="644" t="str">
        <f>'1PROJE'!$F$3</f>
        <v>GÜRKAN BEY</v>
      </c>
      <c r="E107" s="645"/>
      <c r="F107" s="645"/>
      <c r="G107" s="646"/>
    </row>
    <row r="108" spans="2:9" ht="31.5" customHeight="1" thickBot="1">
      <c r="B108" s="260" t="s">
        <v>356</v>
      </c>
      <c r="C108" s="248"/>
      <c r="D108" s="647" t="e" cm="1">
        <f t="array" aca="1" ref="D108" ca="1">INDIRECT("xHesaplama!I"&amp;""&amp;ROW(D108)+70-7*ROUNDDOWN(ROW(D108)/8,0))</f>
        <v>#N/A</v>
      </c>
      <c r="E108" s="648"/>
      <c r="F108" s="648"/>
      <c r="G108" s="649"/>
    </row>
    <row r="109" spans="2:9" ht="31.5" customHeight="1" thickBot="1">
      <c r="B109" s="260" t="s">
        <v>874</v>
      </c>
      <c r="C109" s="248"/>
      <c r="D109" s="650" t="str">
        <f>$H$1</f>
        <v>BOX</v>
      </c>
      <c r="E109" s="651"/>
      <c r="F109" s="651"/>
      <c r="G109" s="652"/>
    </row>
    <row r="110" spans="2:9" ht="31.5" customHeight="1" thickBot="1">
      <c r="B110" s="260" t="s">
        <v>875</v>
      </c>
      <c r="C110" s="248"/>
      <c r="D110" s="653" t="str">
        <f>'1PROJE'!$G$3</f>
        <v>Z 5001</v>
      </c>
      <c r="E110" s="654"/>
      <c r="F110" s="654"/>
      <c r="G110" s="655"/>
      <c r="I110" s="250"/>
    </row>
    <row r="111" spans="2:9" ht="31.5" customHeight="1" thickBot="1">
      <c r="B111" s="260" t="s">
        <v>876</v>
      </c>
      <c r="D111" s="653" cm="1">
        <f t="array" aca="1" ref="D111" ca="1">INDIRECT("xHesaplama!H"&amp;""&amp;ROW(D108)+70-7*ROUNDDOWN(ROW(D108)/8,0))</f>
        <v>0</v>
      </c>
      <c r="E111" s="654"/>
      <c r="F111" s="654"/>
      <c r="G111" s="655"/>
    </row>
    <row r="112" spans="2:9" ht="31.5" customHeight="1" thickBot="1">
      <c r="B112" s="260" t="s">
        <v>877</v>
      </c>
      <c r="D112" s="252" t="s">
        <v>878</v>
      </c>
      <c r="E112" s="253" t="e" cm="1">
        <f t="array" aca="1" ref="E112" ca="1">INDIRECT("xHesaplama!J"&amp;""&amp;ROW(D108)+70-7*ROUNDDOWN(ROW(D108)/8,0))</f>
        <v>#N/A</v>
      </c>
      <c r="F112" s="254" t="s">
        <v>879</v>
      </c>
      <c r="G112" s="253" t="e" cm="1">
        <f t="array" aca="1" ref="G112" ca="1">INDIRECT("xHesaplama!K"&amp;""&amp;ROW(D108)+70-7*ROUNDDOWN(ROW(D108)/8,0))</f>
        <v>#N/A</v>
      </c>
    </row>
    <row r="113" spans="2:9" ht="69" customHeight="1" thickBot="1">
      <c r="B113" s="259" t="s">
        <v>869</v>
      </c>
      <c r="C113" s="248"/>
      <c r="D113" s="656"/>
      <c r="E113" s="656"/>
      <c r="F113" s="656"/>
      <c r="G113" s="656"/>
    </row>
    <row r="114" spans="2:9" ht="31.5" customHeight="1" thickBot="1">
      <c r="B114" s="260" t="s">
        <v>872</v>
      </c>
      <c r="C114" s="248"/>
      <c r="D114" s="657" t="str">
        <f>'1PROJE'!$E$3</f>
        <v>GÜNEŞ PEN</v>
      </c>
      <c r="E114" s="658"/>
      <c r="F114" s="658"/>
      <c r="G114" s="659"/>
    </row>
    <row r="115" spans="2:9" ht="31.5" customHeight="1" thickBot="1">
      <c r="B115" s="260" t="s">
        <v>873</v>
      </c>
      <c r="C115" s="248"/>
      <c r="D115" s="644" t="str">
        <f>'1PROJE'!$F$3</f>
        <v>GÜRKAN BEY</v>
      </c>
      <c r="E115" s="645"/>
      <c r="F115" s="645"/>
      <c r="G115" s="646"/>
    </row>
    <row r="116" spans="2:9" ht="31.5" customHeight="1" thickBot="1">
      <c r="B116" s="260" t="s">
        <v>356</v>
      </c>
      <c r="C116" s="248"/>
      <c r="D116" s="647" t="e" cm="1">
        <f t="array" aca="1" ref="D116" ca="1">INDIRECT("xHesaplama!I"&amp;""&amp;ROW(D116)+70-7*ROUNDDOWN(ROW(D116)/8,0))</f>
        <v>#N/A</v>
      </c>
      <c r="E116" s="648"/>
      <c r="F116" s="648"/>
      <c r="G116" s="649"/>
    </row>
    <row r="117" spans="2:9" ht="31.5" customHeight="1" thickBot="1">
      <c r="B117" s="260" t="s">
        <v>874</v>
      </c>
      <c r="C117" s="248"/>
      <c r="D117" s="650" t="str">
        <f>$H$1</f>
        <v>BOX</v>
      </c>
      <c r="E117" s="651"/>
      <c r="F117" s="651"/>
      <c r="G117" s="652"/>
    </row>
    <row r="118" spans="2:9" ht="31.5" customHeight="1" thickBot="1">
      <c r="B118" s="260" t="s">
        <v>875</v>
      </c>
      <c r="C118" s="248"/>
      <c r="D118" s="653" t="str">
        <f>'1PROJE'!$G$3</f>
        <v>Z 5001</v>
      </c>
      <c r="E118" s="654"/>
      <c r="F118" s="654"/>
      <c r="G118" s="655"/>
      <c r="I118" s="250"/>
    </row>
    <row r="119" spans="2:9" ht="31.5" customHeight="1" thickBot="1">
      <c r="B119" s="260" t="s">
        <v>876</v>
      </c>
      <c r="D119" s="653" cm="1">
        <f t="array" aca="1" ref="D119" ca="1">INDIRECT("xHesaplama!H"&amp;""&amp;ROW(D116)+70-7*ROUNDDOWN(ROW(D116)/8,0))</f>
        <v>0</v>
      </c>
      <c r="E119" s="654"/>
      <c r="F119" s="654"/>
      <c r="G119" s="655"/>
    </row>
    <row r="120" spans="2:9" ht="31.5" customHeight="1" thickBot="1">
      <c r="B120" s="260" t="s">
        <v>877</v>
      </c>
      <c r="D120" s="252" t="s">
        <v>878</v>
      </c>
      <c r="E120" s="253" t="e" cm="1">
        <f t="array" aca="1" ref="E120" ca="1">INDIRECT("xHesaplama!J"&amp;""&amp;ROW(D116)+70-7*ROUNDDOWN(ROW(D116)/8,0))</f>
        <v>#N/A</v>
      </c>
      <c r="F120" s="254" t="s">
        <v>879</v>
      </c>
      <c r="G120" s="253" t="e" cm="1">
        <f t="array" aca="1" ref="G120" ca="1">INDIRECT("xHesaplama!K"&amp;""&amp;ROW(D116)+70-7*ROUNDDOWN(ROW(D116)/8,0))</f>
        <v>#N/A</v>
      </c>
    </row>
    <row r="121" spans="2:9" ht="69" customHeight="1" thickBot="1">
      <c r="B121" s="259" t="s">
        <v>869</v>
      </c>
      <c r="C121" s="248"/>
      <c r="D121" s="656"/>
      <c r="E121" s="656"/>
      <c r="F121" s="656"/>
      <c r="G121" s="656"/>
    </row>
    <row r="122" spans="2:9" ht="31.5" customHeight="1" thickBot="1">
      <c r="B122" s="260" t="s">
        <v>872</v>
      </c>
      <c r="C122" s="248"/>
      <c r="D122" s="657" t="str">
        <f>'1PROJE'!$E$3</f>
        <v>GÜNEŞ PEN</v>
      </c>
      <c r="E122" s="658"/>
      <c r="F122" s="658"/>
      <c r="G122" s="659"/>
    </row>
    <row r="123" spans="2:9" ht="31.5" customHeight="1" thickBot="1">
      <c r="B123" s="260" t="s">
        <v>873</v>
      </c>
      <c r="C123" s="248"/>
      <c r="D123" s="644" t="str">
        <f>'1PROJE'!$F$3</f>
        <v>GÜRKAN BEY</v>
      </c>
      <c r="E123" s="645"/>
      <c r="F123" s="645"/>
      <c r="G123" s="646"/>
    </row>
    <row r="124" spans="2:9" ht="31.5" customHeight="1" thickBot="1">
      <c r="B124" s="260" t="s">
        <v>356</v>
      </c>
      <c r="C124" s="248"/>
      <c r="D124" s="647" t="e" cm="1">
        <f t="array" aca="1" ref="D124" ca="1">INDIRECT("xHesaplama!I"&amp;""&amp;ROW(D124)+70-7*ROUNDDOWN(ROW(D124)/8,0))</f>
        <v>#N/A</v>
      </c>
      <c r="E124" s="648"/>
      <c r="F124" s="648"/>
      <c r="G124" s="649"/>
    </row>
    <row r="125" spans="2:9" ht="31.5" customHeight="1" thickBot="1">
      <c r="B125" s="260" t="s">
        <v>874</v>
      </c>
      <c r="C125" s="248"/>
      <c r="D125" s="650" t="str">
        <f>$H$1</f>
        <v>BOX</v>
      </c>
      <c r="E125" s="651"/>
      <c r="F125" s="651"/>
      <c r="G125" s="652"/>
    </row>
    <row r="126" spans="2:9" ht="31.5" customHeight="1" thickBot="1">
      <c r="B126" s="260" t="s">
        <v>875</v>
      </c>
      <c r="C126" s="248"/>
      <c r="D126" s="653" t="str">
        <f>'1PROJE'!$G$3</f>
        <v>Z 5001</v>
      </c>
      <c r="E126" s="654"/>
      <c r="F126" s="654"/>
      <c r="G126" s="655"/>
      <c r="I126" s="250"/>
    </row>
    <row r="127" spans="2:9" ht="31.5" customHeight="1" thickBot="1">
      <c r="B127" s="260" t="s">
        <v>876</v>
      </c>
      <c r="D127" s="653" cm="1">
        <f t="array" aca="1" ref="D127" ca="1">INDIRECT("xHesaplama!H"&amp;""&amp;ROW(D124)+70-7*ROUNDDOWN(ROW(D124)/8,0))</f>
        <v>0</v>
      </c>
      <c r="E127" s="654"/>
      <c r="F127" s="654"/>
      <c r="G127" s="655"/>
    </row>
    <row r="128" spans="2:9" ht="31.5" customHeight="1" thickBot="1">
      <c r="B128" s="260" t="s">
        <v>877</v>
      </c>
      <c r="D128" s="252" t="s">
        <v>878</v>
      </c>
      <c r="E128" s="253" t="e" cm="1">
        <f t="array" aca="1" ref="E128" ca="1">INDIRECT("xHesaplama!J"&amp;""&amp;ROW(D124)+70-7*ROUNDDOWN(ROW(D124)/8,0))</f>
        <v>#N/A</v>
      </c>
      <c r="F128" s="254" t="s">
        <v>879</v>
      </c>
      <c r="G128" s="253" t="e" cm="1">
        <f t="array" aca="1" ref="G128" ca="1">INDIRECT("xHesaplama!K"&amp;""&amp;ROW(D124)+70-7*ROUNDDOWN(ROW(D124)/8,0))</f>
        <v>#N/A</v>
      </c>
    </row>
    <row r="129" spans="2:9" ht="69" customHeight="1" thickBot="1">
      <c r="B129" s="259" t="s">
        <v>869</v>
      </c>
      <c r="C129" s="248"/>
      <c r="D129" s="656"/>
      <c r="E129" s="656"/>
      <c r="F129" s="656"/>
      <c r="G129" s="656"/>
    </row>
    <row r="130" spans="2:9" ht="31.5" customHeight="1" thickBot="1">
      <c r="B130" s="260" t="s">
        <v>872</v>
      </c>
      <c r="C130" s="248"/>
      <c r="D130" s="657" t="str">
        <f>'1PROJE'!$E$3</f>
        <v>GÜNEŞ PEN</v>
      </c>
      <c r="E130" s="658"/>
      <c r="F130" s="658"/>
      <c r="G130" s="659"/>
    </row>
    <row r="131" spans="2:9" ht="31.5" customHeight="1" thickBot="1">
      <c r="B131" s="260" t="s">
        <v>873</v>
      </c>
      <c r="C131" s="248"/>
      <c r="D131" s="644" t="str">
        <f>'1PROJE'!$F$3</f>
        <v>GÜRKAN BEY</v>
      </c>
      <c r="E131" s="645"/>
      <c r="F131" s="645"/>
      <c r="G131" s="646"/>
    </row>
    <row r="132" spans="2:9" ht="31.5" customHeight="1" thickBot="1">
      <c r="B132" s="260" t="s">
        <v>356</v>
      </c>
      <c r="C132" s="248"/>
      <c r="D132" s="647" t="e" cm="1">
        <f t="array" aca="1" ref="D132" ca="1">INDIRECT("xHesaplama!I"&amp;""&amp;ROW(D132)+70-7*ROUNDDOWN(ROW(D132)/8,0))</f>
        <v>#N/A</v>
      </c>
      <c r="E132" s="648"/>
      <c r="F132" s="648"/>
      <c r="G132" s="649"/>
    </row>
    <row r="133" spans="2:9" ht="31.5" customHeight="1" thickBot="1">
      <c r="B133" s="260" t="s">
        <v>874</v>
      </c>
      <c r="C133" s="248"/>
      <c r="D133" s="650" t="str">
        <f>$H$1</f>
        <v>BOX</v>
      </c>
      <c r="E133" s="651"/>
      <c r="F133" s="651"/>
      <c r="G133" s="652"/>
    </row>
    <row r="134" spans="2:9" ht="31.5" customHeight="1" thickBot="1">
      <c r="B134" s="260" t="s">
        <v>875</v>
      </c>
      <c r="C134" s="248"/>
      <c r="D134" s="653" t="str">
        <f>'1PROJE'!$G$3</f>
        <v>Z 5001</v>
      </c>
      <c r="E134" s="654"/>
      <c r="F134" s="654"/>
      <c r="G134" s="655"/>
      <c r="I134" s="250"/>
    </row>
    <row r="135" spans="2:9" ht="31.5" customHeight="1" thickBot="1">
      <c r="B135" s="260" t="s">
        <v>876</v>
      </c>
      <c r="D135" s="653" cm="1">
        <f t="array" aca="1" ref="D135" ca="1">INDIRECT("xHesaplama!H"&amp;""&amp;ROW(D132)+70-7*ROUNDDOWN(ROW(D132)/8,0))</f>
        <v>0</v>
      </c>
      <c r="E135" s="654"/>
      <c r="F135" s="654"/>
      <c r="G135" s="655"/>
    </row>
    <row r="136" spans="2:9" ht="31.5" customHeight="1" thickBot="1">
      <c r="B136" s="260" t="s">
        <v>877</v>
      </c>
      <c r="D136" s="252" t="s">
        <v>878</v>
      </c>
      <c r="E136" s="253" t="e" cm="1">
        <f t="array" aca="1" ref="E136" ca="1">INDIRECT("xHesaplama!J"&amp;""&amp;ROW(D132)+70-7*ROUNDDOWN(ROW(D132)/8,0))</f>
        <v>#N/A</v>
      </c>
      <c r="F136" s="254" t="s">
        <v>879</v>
      </c>
      <c r="G136" s="253" t="e" cm="1">
        <f t="array" aca="1" ref="G136" ca="1">INDIRECT("xHesaplama!K"&amp;""&amp;ROW(D132)+70-7*ROUNDDOWN(ROW(D132)/8,0))</f>
        <v>#N/A</v>
      </c>
    </row>
    <row r="137" spans="2:9" ht="69" customHeight="1" thickBot="1">
      <c r="B137" s="259" t="s">
        <v>869</v>
      </c>
      <c r="C137" s="248"/>
      <c r="D137" s="656"/>
      <c r="E137" s="656"/>
      <c r="F137" s="656"/>
      <c r="G137" s="656"/>
    </row>
    <row r="138" spans="2:9" ht="31.5" customHeight="1" thickBot="1">
      <c r="B138" s="260" t="s">
        <v>872</v>
      </c>
      <c r="C138" s="248"/>
      <c r="D138" s="657" t="str">
        <f>'1PROJE'!$E$3</f>
        <v>GÜNEŞ PEN</v>
      </c>
      <c r="E138" s="658"/>
      <c r="F138" s="658"/>
      <c r="G138" s="659"/>
    </row>
    <row r="139" spans="2:9" ht="31.5" customHeight="1" thickBot="1">
      <c r="B139" s="260" t="s">
        <v>873</v>
      </c>
      <c r="C139" s="248"/>
      <c r="D139" s="644" t="str">
        <f>'1PROJE'!$F$3</f>
        <v>GÜRKAN BEY</v>
      </c>
      <c r="E139" s="645"/>
      <c r="F139" s="645"/>
      <c r="G139" s="646"/>
    </row>
    <row r="140" spans="2:9" ht="31.5" customHeight="1" thickBot="1">
      <c r="B140" s="260" t="s">
        <v>356</v>
      </c>
      <c r="C140" s="248"/>
      <c r="D140" s="647" t="e" cm="1">
        <f t="array" aca="1" ref="D140" ca="1">INDIRECT("xHesaplama!I"&amp;""&amp;ROW(D140)+70-7*ROUNDDOWN(ROW(D140)/8,0))</f>
        <v>#N/A</v>
      </c>
      <c r="E140" s="648"/>
      <c r="F140" s="648"/>
      <c r="G140" s="649"/>
    </row>
    <row r="141" spans="2:9" ht="31.5" customHeight="1" thickBot="1">
      <c r="B141" s="260" t="s">
        <v>874</v>
      </c>
      <c r="C141" s="248"/>
      <c r="D141" s="650" t="str">
        <f>$H$1</f>
        <v>BOX</v>
      </c>
      <c r="E141" s="651"/>
      <c r="F141" s="651"/>
      <c r="G141" s="652"/>
    </row>
    <row r="142" spans="2:9" ht="31.5" customHeight="1" thickBot="1">
      <c r="B142" s="260" t="s">
        <v>875</v>
      </c>
      <c r="C142" s="248"/>
      <c r="D142" s="653" t="str">
        <f>'1PROJE'!$G$3</f>
        <v>Z 5001</v>
      </c>
      <c r="E142" s="654"/>
      <c r="F142" s="654"/>
      <c r="G142" s="655"/>
      <c r="I142" s="250"/>
    </row>
    <row r="143" spans="2:9" ht="31.5" customHeight="1" thickBot="1">
      <c r="B143" s="260" t="s">
        <v>876</v>
      </c>
      <c r="D143" s="653" cm="1">
        <f t="array" aca="1" ref="D143" ca="1">INDIRECT("xHesaplama!H"&amp;""&amp;ROW(D140)+70-7*ROUNDDOWN(ROW(D140)/8,0))</f>
        <v>0</v>
      </c>
      <c r="E143" s="654"/>
      <c r="F143" s="654"/>
      <c r="G143" s="655"/>
    </row>
    <row r="144" spans="2:9" ht="31.5" customHeight="1" thickBot="1">
      <c r="B144" s="260" t="s">
        <v>877</v>
      </c>
      <c r="D144" s="252" t="s">
        <v>878</v>
      </c>
      <c r="E144" s="253" t="e" cm="1">
        <f t="array" aca="1" ref="E144" ca="1">INDIRECT("xHesaplama!J"&amp;""&amp;ROW(D140)+70-7*ROUNDDOWN(ROW(D140)/8,0))</f>
        <v>#N/A</v>
      </c>
      <c r="F144" s="254" t="s">
        <v>879</v>
      </c>
      <c r="G144" s="253" t="e" cm="1">
        <f t="array" aca="1" ref="G144" ca="1">INDIRECT("xHesaplama!K"&amp;""&amp;ROW(D140)+70-7*ROUNDDOWN(ROW(D140)/8,0))</f>
        <v>#N/A</v>
      </c>
    </row>
    <row r="145" spans="2:9" ht="69" customHeight="1" thickBot="1">
      <c r="B145" s="259" t="s">
        <v>869</v>
      </c>
      <c r="C145" s="248"/>
      <c r="D145" s="656"/>
      <c r="E145" s="656"/>
      <c r="F145" s="656"/>
      <c r="G145" s="656"/>
    </row>
    <row r="146" spans="2:9" ht="31.5" customHeight="1" thickBot="1">
      <c r="B146" s="260" t="s">
        <v>872</v>
      </c>
      <c r="C146" s="248"/>
      <c r="D146" s="657" t="str">
        <f>'1PROJE'!$E$3</f>
        <v>GÜNEŞ PEN</v>
      </c>
      <c r="E146" s="658"/>
      <c r="F146" s="658"/>
      <c r="G146" s="659"/>
    </row>
    <row r="147" spans="2:9" ht="31.5" customHeight="1" thickBot="1">
      <c r="B147" s="260" t="s">
        <v>873</v>
      </c>
      <c r="C147" s="248"/>
      <c r="D147" s="644" t="str">
        <f>'1PROJE'!$F$3</f>
        <v>GÜRKAN BEY</v>
      </c>
      <c r="E147" s="645"/>
      <c r="F147" s="645"/>
      <c r="G147" s="646"/>
    </row>
    <row r="148" spans="2:9" ht="31.5" customHeight="1" thickBot="1">
      <c r="B148" s="260" t="s">
        <v>356</v>
      </c>
      <c r="C148" s="248"/>
      <c r="D148" s="647" t="e" cm="1">
        <f t="array" aca="1" ref="D148" ca="1">INDIRECT("xHesaplama!I"&amp;""&amp;ROW(D148)+70-7*ROUNDDOWN(ROW(D148)/8,0))</f>
        <v>#N/A</v>
      </c>
      <c r="E148" s="648"/>
      <c r="F148" s="648"/>
      <c r="G148" s="649"/>
    </row>
    <row r="149" spans="2:9" ht="31.5" customHeight="1" thickBot="1">
      <c r="B149" s="260" t="s">
        <v>874</v>
      </c>
      <c r="C149" s="248"/>
      <c r="D149" s="650" t="str">
        <f>$H$1</f>
        <v>BOX</v>
      </c>
      <c r="E149" s="651"/>
      <c r="F149" s="651"/>
      <c r="G149" s="652"/>
    </row>
    <row r="150" spans="2:9" ht="31.5" customHeight="1" thickBot="1">
      <c r="B150" s="260" t="s">
        <v>875</v>
      </c>
      <c r="C150" s="248"/>
      <c r="D150" s="653" t="str">
        <f>'1PROJE'!$G$3</f>
        <v>Z 5001</v>
      </c>
      <c r="E150" s="654"/>
      <c r="F150" s="654"/>
      <c r="G150" s="655"/>
      <c r="I150" s="250"/>
    </row>
    <row r="151" spans="2:9" ht="31.5" customHeight="1" thickBot="1">
      <c r="B151" s="260" t="s">
        <v>876</v>
      </c>
      <c r="D151" s="653" cm="1">
        <f t="array" aca="1" ref="D151" ca="1">INDIRECT("xHesaplama!H"&amp;""&amp;ROW(D148)+70-7*ROUNDDOWN(ROW(D148)/8,0))</f>
        <v>0</v>
      </c>
      <c r="E151" s="654"/>
      <c r="F151" s="654"/>
      <c r="G151" s="655"/>
    </row>
    <row r="152" spans="2:9" ht="31.5" customHeight="1" thickBot="1">
      <c r="B152" s="260" t="s">
        <v>877</v>
      </c>
      <c r="D152" s="252" t="s">
        <v>878</v>
      </c>
      <c r="E152" s="253" t="e" cm="1">
        <f t="array" aca="1" ref="E152" ca="1">INDIRECT("xHesaplama!J"&amp;""&amp;ROW(D148)+70-7*ROUNDDOWN(ROW(D148)/8,0))</f>
        <v>#N/A</v>
      </c>
      <c r="F152" s="254" t="s">
        <v>879</v>
      </c>
      <c r="G152" s="253" t="e" cm="1">
        <f t="array" aca="1" ref="G152" ca="1">INDIRECT("xHesaplama!K"&amp;""&amp;ROW(D148)+70-7*ROUNDDOWN(ROW(D148)/8,0))</f>
        <v>#N/A</v>
      </c>
    </row>
    <row r="153" spans="2:9" ht="69" customHeight="1" thickBot="1">
      <c r="B153" s="259" t="s">
        <v>869</v>
      </c>
      <c r="C153" s="248"/>
      <c r="D153" s="656"/>
      <c r="E153" s="656"/>
      <c r="F153" s="656"/>
      <c r="G153" s="656"/>
    </row>
    <row r="154" spans="2:9" ht="31.5" customHeight="1" thickBot="1">
      <c r="B154" s="260" t="s">
        <v>872</v>
      </c>
      <c r="C154" s="248"/>
      <c r="D154" s="657" t="str">
        <f>'1PROJE'!$E$3</f>
        <v>GÜNEŞ PEN</v>
      </c>
      <c r="E154" s="658"/>
      <c r="F154" s="658"/>
      <c r="G154" s="659"/>
    </row>
    <row r="155" spans="2:9" ht="31.5" customHeight="1" thickBot="1">
      <c r="B155" s="260" t="s">
        <v>873</v>
      </c>
      <c r="C155" s="248"/>
      <c r="D155" s="644" t="str">
        <f>'1PROJE'!$F$3</f>
        <v>GÜRKAN BEY</v>
      </c>
      <c r="E155" s="645"/>
      <c r="F155" s="645"/>
      <c r="G155" s="646"/>
    </row>
    <row r="156" spans="2:9" ht="31.5" customHeight="1" thickBot="1">
      <c r="B156" s="260" t="s">
        <v>356</v>
      </c>
      <c r="C156" s="248"/>
      <c r="D156" s="647" t="e" cm="1">
        <f t="array" aca="1" ref="D156" ca="1">INDIRECT("xHesaplama!I"&amp;""&amp;ROW(D156)+70-7*ROUNDDOWN(ROW(D156)/8,0))</f>
        <v>#N/A</v>
      </c>
      <c r="E156" s="648"/>
      <c r="F156" s="648"/>
      <c r="G156" s="649"/>
    </row>
    <row r="157" spans="2:9" ht="31.5" customHeight="1" thickBot="1">
      <c r="B157" s="260" t="s">
        <v>874</v>
      </c>
      <c r="C157" s="248"/>
      <c r="D157" s="650" t="str">
        <f>$H$1</f>
        <v>BOX</v>
      </c>
      <c r="E157" s="651"/>
      <c r="F157" s="651"/>
      <c r="G157" s="652"/>
    </row>
    <row r="158" spans="2:9" ht="31.5" customHeight="1" thickBot="1">
      <c r="B158" s="260" t="s">
        <v>875</v>
      </c>
      <c r="C158" s="248"/>
      <c r="D158" s="653" t="str">
        <f>'1PROJE'!$G$3</f>
        <v>Z 5001</v>
      </c>
      <c r="E158" s="654"/>
      <c r="F158" s="654"/>
      <c r="G158" s="655"/>
      <c r="I158" s="250"/>
    </row>
    <row r="159" spans="2:9" ht="31.5" customHeight="1" thickBot="1">
      <c r="B159" s="260" t="s">
        <v>876</v>
      </c>
      <c r="D159" s="653" cm="1">
        <f t="array" aca="1" ref="D159" ca="1">INDIRECT("xHesaplama!H"&amp;""&amp;ROW(D156)+70-7*ROUNDDOWN(ROW(D156)/8,0))</f>
        <v>0</v>
      </c>
      <c r="E159" s="654"/>
      <c r="F159" s="654"/>
      <c r="G159" s="655"/>
    </row>
    <row r="160" spans="2:9" ht="31.5" customHeight="1" thickBot="1">
      <c r="B160" s="260" t="s">
        <v>877</v>
      </c>
      <c r="D160" s="252" t="s">
        <v>878</v>
      </c>
      <c r="E160" s="253" t="e" cm="1">
        <f t="array" aca="1" ref="E160" ca="1">INDIRECT("xHesaplama!J"&amp;""&amp;ROW(D156)+70-7*ROUNDDOWN(ROW(D156)/8,0))</f>
        <v>#N/A</v>
      </c>
      <c r="F160" s="254" t="s">
        <v>879</v>
      </c>
      <c r="G160" s="253" t="e" cm="1">
        <f t="array" aca="1" ref="G160" ca="1">INDIRECT("xHesaplama!K"&amp;""&amp;ROW(D156)+70-7*ROUNDDOWN(ROW(D156)/8,0))</f>
        <v>#N/A</v>
      </c>
    </row>
    <row r="161" spans="2:9" ht="69" customHeight="1" thickBot="1">
      <c r="B161" s="259" t="s">
        <v>869</v>
      </c>
      <c r="C161" s="248"/>
      <c r="D161" s="656"/>
      <c r="E161" s="656"/>
      <c r="F161" s="656"/>
      <c r="G161" s="656"/>
    </row>
    <row r="162" spans="2:9" ht="31.5" customHeight="1" thickBot="1">
      <c r="B162" s="260" t="s">
        <v>872</v>
      </c>
      <c r="C162" s="248"/>
      <c r="D162" s="657" t="str">
        <f>'1PROJE'!$E$3</f>
        <v>GÜNEŞ PEN</v>
      </c>
      <c r="E162" s="658"/>
      <c r="F162" s="658"/>
      <c r="G162" s="659"/>
    </row>
    <row r="163" spans="2:9" ht="31.5" customHeight="1" thickBot="1">
      <c r="B163" s="260" t="s">
        <v>873</v>
      </c>
      <c r="C163" s="248"/>
      <c r="D163" s="644" t="str">
        <f>'1PROJE'!$F$3</f>
        <v>GÜRKAN BEY</v>
      </c>
      <c r="E163" s="645"/>
      <c r="F163" s="645"/>
      <c r="G163" s="646"/>
    </row>
    <row r="164" spans="2:9" ht="31.5" customHeight="1" thickBot="1">
      <c r="B164" s="260" t="s">
        <v>356</v>
      </c>
      <c r="C164" s="248"/>
      <c r="D164" s="647" t="e" cm="1">
        <f t="array" aca="1" ref="D164" ca="1">INDIRECT("xHesaplama!I"&amp;""&amp;ROW(D164)+70-7*ROUNDDOWN(ROW(D164)/8,0))</f>
        <v>#N/A</v>
      </c>
      <c r="E164" s="648"/>
      <c r="F164" s="648"/>
      <c r="G164" s="649"/>
    </row>
    <row r="165" spans="2:9" ht="31.5" customHeight="1" thickBot="1">
      <c r="B165" s="260" t="s">
        <v>874</v>
      </c>
      <c r="C165" s="248"/>
      <c r="D165" s="650" t="str">
        <f>$H$1</f>
        <v>BOX</v>
      </c>
      <c r="E165" s="651"/>
      <c r="F165" s="651"/>
      <c r="G165" s="652"/>
    </row>
    <row r="166" spans="2:9" ht="31.5" customHeight="1" thickBot="1">
      <c r="B166" s="260" t="s">
        <v>875</v>
      </c>
      <c r="C166" s="248"/>
      <c r="D166" s="653" t="str">
        <f>'1PROJE'!$G$3</f>
        <v>Z 5001</v>
      </c>
      <c r="E166" s="654"/>
      <c r="F166" s="654"/>
      <c r="G166" s="655"/>
      <c r="I166" s="250"/>
    </row>
    <row r="167" spans="2:9" ht="31.5" customHeight="1" thickBot="1">
      <c r="B167" s="260" t="s">
        <v>876</v>
      </c>
      <c r="D167" s="653" cm="1">
        <f t="array" aca="1" ref="D167" ca="1">INDIRECT("xHesaplama!H"&amp;""&amp;ROW(D164)+70-7*ROUNDDOWN(ROW(D164)/8,0))</f>
        <v>0</v>
      </c>
      <c r="E167" s="654"/>
      <c r="F167" s="654"/>
      <c r="G167" s="655"/>
    </row>
    <row r="168" spans="2:9" ht="31.5" customHeight="1" thickBot="1">
      <c r="B168" s="260" t="s">
        <v>877</v>
      </c>
      <c r="D168" s="252" t="s">
        <v>878</v>
      </c>
      <c r="E168" s="253" t="e" cm="1">
        <f t="array" aca="1" ref="E168" ca="1">INDIRECT("xHesaplama!J"&amp;""&amp;ROW(D164)+70-7*ROUNDDOWN(ROW(D164)/8,0))</f>
        <v>#N/A</v>
      </c>
      <c r="F168" s="254" t="s">
        <v>879</v>
      </c>
      <c r="G168" s="253" t="e" cm="1">
        <f t="array" aca="1" ref="G168" ca="1">INDIRECT("xHesaplama!K"&amp;""&amp;ROW(D164)+70-7*ROUNDDOWN(ROW(D164)/8,0))</f>
        <v>#N/A</v>
      </c>
    </row>
    <row r="169" spans="2:9" ht="69" customHeight="1" thickBot="1">
      <c r="B169" s="259" t="s">
        <v>869</v>
      </c>
      <c r="C169" s="248"/>
      <c r="D169" s="656"/>
      <c r="E169" s="656"/>
      <c r="F169" s="656"/>
      <c r="G169" s="656"/>
    </row>
    <row r="170" spans="2:9" ht="31.5" customHeight="1" thickBot="1">
      <c r="B170" s="260" t="s">
        <v>872</v>
      </c>
      <c r="C170" s="248"/>
      <c r="D170" s="657" t="str">
        <f>'1PROJE'!$E$3</f>
        <v>GÜNEŞ PEN</v>
      </c>
      <c r="E170" s="658"/>
      <c r="F170" s="658"/>
      <c r="G170" s="659"/>
    </row>
    <row r="171" spans="2:9" ht="31.5" customHeight="1" thickBot="1">
      <c r="B171" s="260" t="s">
        <v>873</v>
      </c>
      <c r="C171" s="248"/>
      <c r="D171" s="644" t="str">
        <f>'1PROJE'!$F$3</f>
        <v>GÜRKAN BEY</v>
      </c>
      <c r="E171" s="645"/>
      <c r="F171" s="645"/>
      <c r="G171" s="646"/>
    </row>
    <row r="172" spans="2:9" ht="31.5" customHeight="1" thickBot="1">
      <c r="B172" s="260" t="s">
        <v>356</v>
      </c>
      <c r="C172" s="248"/>
      <c r="D172" s="647" t="e" cm="1">
        <f t="array" aca="1" ref="D172" ca="1">INDIRECT("xHesaplama!I"&amp;""&amp;ROW(D172)+70-7*ROUNDDOWN(ROW(D172)/8,0))</f>
        <v>#N/A</v>
      </c>
      <c r="E172" s="648"/>
      <c r="F172" s="648"/>
      <c r="G172" s="649"/>
    </row>
    <row r="173" spans="2:9" ht="31.5" customHeight="1" thickBot="1">
      <c r="B173" s="260" t="s">
        <v>874</v>
      </c>
      <c r="C173" s="248"/>
      <c r="D173" s="650" t="str">
        <f>$H$1</f>
        <v>BOX</v>
      </c>
      <c r="E173" s="651"/>
      <c r="F173" s="651"/>
      <c r="G173" s="652"/>
    </row>
    <row r="174" spans="2:9" ht="31.5" customHeight="1" thickBot="1">
      <c r="B174" s="260" t="s">
        <v>875</v>
      </c>
      <c r="C174" s="248"/>
      <c r="D174" s="653" t="str">
        <f>'1PROJE'!$G$3</f>
        <v>Z 5001</v>
      </c>
      <c r="E174" s="654"/>
      <c r="F174" s="654"/>
      <c r="G174" s="655"/>
      <c r="I174" s="250"/>
    </row>
    <row r="175" spans="2:9" ht="31.5" customHeight="1" thickBot="1">
      <c r="B175" s="260" t="s">
        <v>876</v>
      </c>
      <c r="D175" s="653" cm="1">
        <f t="array" aca="1" ref="D175" ca="1">INDIRECT("xHesaplama!H"&amp;""&amp;ROW(D172)+70-7*ROUNDDOWN(ROW(D172)/8,0))</f>
        <v>0</v>
      </c>
      <c r="E175" s="654"/>
      <c r="F175" s="654"/>
      <c r="G175" s="655"/>
    </row>
    <row r="176" spans="2:9" ht="31.5" customHeight="1" thickBot="1">
      <c r="B176" s="260" t="s">
        <v>877</v>
      </c>
      <c r="D176" s="252" t="s">
        <v>878</v>
      </c>
      <c r="E176" s="253" t="e" cm="1">
        <f t="array" aca="1" ref="E176" ca="1">INDIRECT("xHesaplama!J"&amp;""&amp;ROW(D172)+70-7*ROUNDDOWN(ROW(D172)/8,0))</f>
        <v>#N/A</v>
      </c>
      <c r="F176" s="254" t="s">
        <v>879</v>
      </c>
      <c r="G176" s="253" t="e" cm="1">
        <f t="array" aca="1" ref="G176" ca="1">INDIRECT("xHesaplama!K"&amp;""&amp;ROW(D172)+70-7*ROUNDDOWN(ROW(D172)/8,0))</f>
        <v>#N/A</v>
      </c>
    </row>
    <row r="177" spans="2:9" ht="69" customHeight="1" thickBot="1">
      <c r="B177" s="259" t="s">
        <v>869</v>
      </c>
      <c r="C177" s="248"/>
      <c r="D177" s="656"/>
      <c r="E177" s="656"/>
      <c r="F177" s="656"/>
      <c r="G177" s="656"/>
    </row>
    <row r="178" spans="2:9" ht="31.5" customHeight="1" thickBot="1">
      <c r="B178" s="260" t="s">
        <v>872</v>
      </c>
      <c r="C178" s="248"/>
      <c r="D178" s="657" t="str">
        <f>'1PROJE'!$E$3</f>
        <v>GÜNEŞ PEN</v>
      </c>
      <c r="E178" s="658"/>
      <c r="F178" s="658"/>
      <c r="G178" s="659"/>
    </row>
    <row r="179" spans="2:9" ht="31.5" customHeight="1" thickBot="1">
      <c r="B179" s="260" t="s">
        <v>873</v>
      </c>
      <c r="C179" s="248"/>
      <c r="D179" s="644" t="str">
        <f>'1PROJE'!$F$3</f>
        <v>GÜRKAN BEY</v>
      </c>
      <c r="E179" s="645"/>
      <c r="F179" s="645"/>
      <c r="G179" s="646"/>
    </row>
    <row r="180" spans="2:9" ht="31.5" customHeight="1" thickBot="1">
      <c r="B180" s="260" t="s">
        <v>356</v>
      </c>
      <c r="C180" s="248"/>
      <c r="D180" s="647" t="e" cm="1">
        <f t="array" aca="1" ref="D180" ca="1">INDIRECT("xHesaplama!I"&amp;""&amp;ROW(D180)+70-7*ROUNDDOWN(ROW(D180)/8,0))</f>
        <v>#N/A</v>
      </c>
      <c r="E180" s="648"/>
      <c r="F180" s="648"/>
      <c r="G180" s="649"/>
    </row>
    <row r="181" spans="2:9" ht="31.5" customHeight="1" thickBot="1">
      <c r="B181" s="260" t="s">
        <v>874</v>
      </c>
      <c r="C181" s="248"/>
      <c r="D181" s="650" t="str">
        <f>$H$1</f>
        <v>BOX</v>
      </c>
      <c r="E181" s="651"/>
      <c r="F181" s="651"/>
      <c r="G181" s="652"/>
    </row>
    <row r="182" spans="2:9" ht="31.5" customHeight="1" thickBot="1">
      <c r="B182" s="260" t="s">
        <v>875</v>
      </c>
      <c r="C182" s="248"/>
      <c r="D182" s="653" t="str">
        <f>'1PROJE'!$G$3</f>
        <v>Z 5001</v>
      </c>
      <c r="E182" s="654"/>
      <c r="F182" s="654"/>
      <c r="G182" s="655"/>
      <c r="I182" s="250"/>
    </row>
    <row r="183" spans="2:9" ht="31.5" customHeight="1" thickBot="1">
      <c r="B183" s="260" t="s">
        <v>876</v>
      </c>
      <c r="D183" s="653" cm="1">
        <f t="array" aca="1" ref="D183" ca="1">INDIRECT("xHesaplama!H"&amp;""&amp;ROW(D180)+70-7*ROUNDDOWN(ROW(D180)/8,0))</f>
        <v>0</v>
      </c>
      <c r="E183" s="654"/>
      <c r="F183" s="654"/>
      <c r="G183" s="655"/>
    </row>
    <row r="184" spans="2:9" ht="31.5" customHeight="1" thickBot="1">
      <c r="B184" s="260" t="s">
        <v>877</v>
      </c>
      <c r="D184" s="252" t="s">
        <v>878</v>
      </c>
      <c r="E184" s="253" t="e" cm="1">
        <f t="array" aca="1" ref="E184" ca="1">INDIRECT("xHesaplama!J"&amp;""&amp;ROW(D180)+70-7*ROUNDDOWN(ROW(D180)/8,0))</f>
        <v>#N/A</v>
      </c>
      <c r="F184" s="254" t="s">
        <v>879</v>
      </c>
      <c r="G184" s="253" t="e" cm="1">
        <f t="array" aca="1" ref="G184" ca="1">INDIRECT("xHesaplama!K"&amp;""&amp;ROW(D180)+70-7*ROUNDDOWN(ROW(D180)/8,0))</f>
        <v>#N/A</v>
      </c>
    </row>
    <row r="185" spans="2:9" ht="69" customHeight="1" thickBot="1">
      <c r="B185" s="259" t="s">
        <v>869</v>
      </c>
      <c r="C185" s="248"/>
      <c r="D185" s="656"/>
      <c r="E185" s="656"/>
      <c r="F185" s="656"/>
      <c r="G185" s="656"/>
    </row>
    <row r="186" spans="2:9" ht="31.5" customHeight="1" thickBot="1">
      <c r="B186" s="260" t="s">
        <v>872</v>
      </c>
      <c r="C186" s="248"/>
      <c r="D186" s="657" t="str">
        <f>'1PROJE'!$E$3</f>
        <v>GÜNEŞ PEN</v>
      </c>
      <c r="E186" s="658"/>
      <c r="F186" s="658"/>
      <c r="G186" s="659"/>
    </row>
    <row r="187" spans="2:9" ht="31.5" customHeight="1" thickBot="1">
      <c r="B187" s="260" t="s">
        <v>873</v>
      </c>
      <c r="C187" s="248"/>
      <c r="D187" s="644" t="str">
        <f>'1PROJE'!$F$3</f>
        <v>GÜRKAN BEY</v>
      </c>
      <c r="E187" s="645"/>
      <c r="F187" s="645"/>
      <c r="G187" s="646"/>
    </row>
    <row r="188" spans="2:9" ht="31.5" customHeight="1" thickBot="1">
      <c r="B188" s="260" t="s">
        <v>356</v>
      </c>
      <c r="C188" s="248"/>
      <c r="D188" s="647" t="e" cm="1">
        <f t="array" aca="1" ref="D188" ca="1">INDIRECT("xHesaplama!I"&amp;""&amp;ROW(D188)+70-7*ROUNDDOWN(ROW(D188)/8,0))</f>
        <v>#N/A</v>
      </c>
      <c r="E188" s="648"/>
      <c r="F188" s="648"/>
      <c r="G188" s="649"/>
    </row>
    <row r="189" spans="2:9" ht="31.5" customHeight="1" thickBot="1">
      <c r="B189" s="260" t="s">
        <v>874</v>
      </c>
      <c r="C189" s="248"/>
      <c r="D189" s="650" t="str">
        <f>$H$1</f>
        <v>BOX</v>
      </c>
      <c r="E189" s="651"/>
      <c r="F189" s="651"/>
      <c r="G189" s="652"/>
    </row>
    <row r="190" spans="2:9" ht="31.5" customHeight="1" thickBot="1">
      <c r="B190" s="260" t="s">
        <v>875</v>
      </c>
      <c r="C190" s="248"/>
      <c r="D190" s="653" t="str">
        <f>'1PROJE'!$G$3</f>
        <v>Z 5001</v>
      </c>
      <c r="E190" s="654"/>
      <c r="F190" s="654"/>
      <c r="G190" s="655"/>
      <c r="I190" s="250"/>
    </row>
    <row r="191" spans="2:9" ht="31.5" customHeight="1" thickBot="1">
      <c r="B191" s="260" t="s">
        <v>876</v>
      </c>
      <c r="D191" s="653" cm="1">
        <f t="array" aca="1" ref="D191" ca="1">INDIRECT("xHesaplama!H"&amp;""&amp;ROW(D188)+70-7*ROUNDDOWN(ROW(D188)/8,0))</f>
        <v>0</v>
      </c>
      <c r="E191" s="654"/>
      <c r="F191" s="654"/>
      <c r="G191" s="655"/>
    </row>
    <row r="192" spans="2:9" ht="31.5" customHeight="1" thickBot="1">
      <c r="B192" s="260" t="s">
        <v>877</v>
      </c>
      <c r="D192" s="252" t="s">
        <v>878</v>
      </c>
      <c r="E192" s="253" t="e" cm="1">
        <f t="array" aca="1" ref="E192" ca="1">INDIRECT("xHesaplama!J"&amp;""&amp;ROW(D188)+70-7*ROUNDDOWN(ROW(D188)/8,0))</f>
        <v>#N/A</v>
      </c>
      <c r="F192" s="254" t="s">
        <v>879</v>
      </c>
      <c r="G192" s="253" t="e" cm="1">
        <f t="array" aca="1" ref="G192" ca="1">INDIRECT("xHesaplama!K"&amp;""&amp;ROW(D188)+70-7*ROUNDDOWN(ROW(D188)/8,0))</f>
        <v>#N/A</v>
      </c>
    </row>
    <row r="193" spans="2:9" ht="69" customHeight="1" thickBot="1">
      <c r="B193" s="259" t="s">
        <v>869</v>
      </c>
      <c r="C193" s="248"/>
      <c r="D193" s="656"/>
      <c r="E193" s="656"/>
      <c r="F193" s="656"/>
      <c r="G193" s="656"/>
    </row>
    <row r="194" spans="2:9" ht="31.5" customHeight="1" thickBot="1">
      <c r="B194" s="260" t="s">
        <v>872</v>
      </c>
      <c r="C194" s="248"/>
      <c r="D194" s="657" t="str">
        <f>'1PROJE'!$E$3</f>
        <v>GÜNEŞ PEN</v>
      </c>
      <c r="E194" s="658"/>
      <c r="F194" s="658"/>
      <c r="G194" s="659"/>
    </row>
    <row r="195" spans="2:9" ht="31.5" customHeight="1" thickBot="1">
      <c r="B195" s="260" t="s">
        <v>873</v>
      </c>
      <c r="C195" s="248"/>
      <c r="D195" s="644" t="str">
        <f>'1PROJE'!$F$3</f>
        <v>GÜRKAN BEY</v>
      </c>
      <c r="E195" s="645"/>
      <c r="F195" s="645"/>
      <c r="G195" s="646"/>
    </row>
    <row r="196" spans="2:9" ht="31.5" customHeight="1" thickBot="1">
      <c r="B196" s="260" t="s">
        <v>356</v>
      </c>
      <c r="C196" s="248"/>
      <c r="D196" s="647" t="e" cm="1">
        <f t="array" aca="1" ref="D196" ca="1">INDIRECT("xHesaplama!I"&amp;""&amp;ROW(D196)+70-7*ROUNDDOWN(ROW(D196)/8,0))</f>
        <v>#N/A</v>
      </c>
      <c r="E196" s="648"/>
      <c r="F196" s="648"/>
      <c r="G196" s="649"/>
    </row>
    <row r="197" spans="2:9" ht="31.5" customHeight="1" thickBot="1">
      <c r="B197" s="260" t="s">
        <v>874</v>
      </c>
      <c r="C197" s="248"/>
      <c r="D197" s="650" t="str">
        <f>$H$1</f>
        <v>BOX</v>
      </c>
      <c r="E197" s="651"/>
      <c r="F197" s="651"/>
      <c r="G197" s="652"/>
    </row>
    <row r="198" spans="2:9" ht="31.5" customHeight="1" thickBot="1">
      <c r="B198" s="260" t="s">
        <v>875</v>
      </c>
      <c r="C198" s="248"/>
      <c r="D198" s="653" t="str">
        <f>'1PROJE'!$G$3</f>
        <v>Z 5001</v>
      </c>
      <c r="E198" s="654"/>
      <c r="F198" s="654"/>
      <c r="G198" s="655"/>
      <c r="I198" s="250"/>
    </row>
    <row r="199" spans="2:9" ht="31.5" customHeight="1" thickBot="1">
      <c r="B199" s="260" t="s">
        <v>876</v>
      </c>
      <c r="D199" s="653" cm="1">
        <f t="array" aca="1" ref="D199" ca="1">INDIRECT("xHesaplama!H"&amp;""&amp;ROW(D196)+70-7*ROUNDDOWN(ROW(D196)/8,0))</f>
        <v>0</v>
      </c>
      <c r="E199" s="654"/>
      <c r="F199" s="654"/>
      <c r="G199" s="655"/>
    </row>
    <row r="200" spans="2:9" ht="31.5" customHeight="1" thickBot="1">
      <c r="B200" s="260" t="s">
        <v>877</v>
      </c>
      <c r="D200" s="252" t="s">
        <v>878</v>
      </c>
      <c r="E200" s="253" t="e" cm="1">
        <f t="array" aca="1" ref="E200" ca="1">INDIRECT("xHesaplama!J"&amp;""&amp;ROW(D196)+70-7*ROUNDDOWN(ROW(D196)/8,0))</f>
        <v>#N/A</v>
      </c>
      <c r="F200" s="254" t="s">
        <v>879</v>
      </c>
      <c r="G200" s="253" t="e" cm="1">
        <f t="array" aca="1" ref="G200" ca="1">INDIRECT("xHesaplama!K"&amp;""&amp;ROW(D196)+70-7*ROUNDDOWN(ROW(D196)/8,0))</f>
        <v>#N/A</v>
      </c>
    </row>
    <row r="201" spans="2:9" ht="69" customHeight="1" thickBot="1">
      <c r="B201" s="259" t="s">
        <v>869</v>
      </c>
      <c r="C201" s="248"/>
      <c r="D201" s="656"/>
      <c r="E201" s="656"/>
      <c r="F201" s="656"/>
      <c r="G201" s="656"/>
    </row>
    <row r="202" spans="2:9" ht="31.5" customHeight="1" thickBot="1">
      <c r="B202" s="260" t="s">
        <v>872</v>
      </c>
      <c r="C202" s="248"/>
      <c r="D202" s="657" t="str">
        <f>'1PROJE'!$E$3</f>
        <v>GÜNEŞ PEN</v>
      </c>
      <c r="E202" s="658"/>
      <c r="F202" s="658"/>
      <c r="G202" s="659"/>
    </row>
    <row r="203" spans="2:9" ht="31.5" customHeight="1" thickBot="1">
      <c r="B203" s="260" t="s">
        <v>873</v>
      </c>
      <c r="C203" s="248"/>
      <c r="D203" s="644" t="str">
        <f>'1PROJE'!$F$3</f>
        <v>GÜRKAN BEY</v>
      </c>
      <c r="E203" s="645"/>
      <c r="F203" s="645"/>
      <c r="G203" s="646"/>
    </row>
    <row r="204" spans="2:9" ht="31.5" customHeight="1" thickBot="1">
      <c r="B204" s="260" t="s">
        <v>356</v>
      </c>
      <c r="C204" s="248"/>
      <c r="D204" s="647" t="e" cm="1">
        <f t="array" aca="1" ref="D204" ca="1">INDIRECT("xHesaplama!I"&amp;""&amp;ROW(D204)+70-7*ROUNDDOWN(ROW(D204)/8,0))</f>
        <v>#N/A</v>
      </c>
      <c r="E204" s="648"/>
      <c r="F204" s="648"/>
      <c r="G204" s="649"/>
    </row>
    <row r="205" spans="2:9" ht="31.5" customHeight="1" thickBot="1">
      <c r="B205" s="260" t="s">
        <v>874</v>
      </c>
      <c r="C205" s="248"/>
      <c r="D205" s="650" t="str">
        <f>$H$1</f>
        <v>BOX</v>
      </c>
      <c r="E205" s="651"/>
      <c r="F205" s="651"/>
      <c r="G205" s="652"/>
    </row>
    <row r="206" spans="2:9" ht="31.5" customHeight="1" thickBot="1">
      <c r="B206" s="260" t="s">
        <v>875</v>
      </c>
      <c r="C206" s="248"/>
      <c r="D206" s="653" t="str">
        <f>'1PROJE'!$G$3</f>
        <v>Z 5001</v>
      </c>
      <c r="E206" s="654"/>
      <c r="F206" s="654"/>
      <c r="G206" s="655"/>
      <c r="I206" s="250"/>
    </row>
    <row r="207" spans="2:9" ht="31.5" customHeight="1" thickBot="1">
      <c r="B207" s="260" t="s">
        <v>876</v>
      </c>
      <c r="D207" s="653" cm="1">
        <f t="array" aca="1" ref="D207" ca="1">INDIRECT("xHesaplama!H"&amp;""&amp;ROW(D204)+70-7*ROUNDDOWN(ROW(D204)/8,0))</f>
        <v>0</v>
      </c>
      <c r="E207" s="654"/>
      <c r="F207" s="654"/>
      <c r="G207" s="655"/>
    </row>
    <row r="208" spans="2:9" ht="31.5" customHeight="1" thickBot="1">
      <c r="B208" s="260" t="s">
        <v>877</v>
      </c>
      <c r="D208" s="252" t="s">
        <v>878</v>
      </c>
      <c r="E208" s="253" t="e" cm="1">
        <f t="array" aca="1" ref="E208" ca="1">INDIRECT("xHesaplama!J"&amp;""&amp;ROW(D204)+70-7*ROUNDDOWN(ROW(D204)/8,0))</f>
        <v>#N/A</v>
      </c>
      <c r="F208" s="254" t="s">
        <v>879</v>
      </c>
      <c r="G208" s="253" t="e" cm="1">
        <f t="array" aca="1" ref="G208" ca="1">INDIRECT("xHesaplama!K"&amp;""&amp;ROW(D204)+70-7*ROUNDDOWN(ROW(D204)/8,0))</f>
        <v>#N/A</v>
      </c>
    </row>
    <row r="209" spans="2:9" ht="69" customHeight="1" thickBot="1">
      <c r="B209" s="259" t="s">
        <v>869</v>
      </c>
      <c r="C209" s="248"/>
      <c r="D209" s="656"/>
      <c r="E209" s="656"/>
      <c r="F209" s="656"/>
      <c r="G209" s="656"/>
    </row>
    <row r="210" spans="2:9" ht="31.5" customHeight="1" thickBot="1">
      <c r="B210" s="260" t="s">
        <v>872</v>
      </c>
      <c r="C210" s="248"/>
      <c r="D210" s="657" t="str">
        <f>'1PROJE'!$E$3</f>
        <v>GÜNEŞ PEN</v>
      </c>
      <c r="E210" s="658"/>
      <c r="F210" s="658"/>
      <c r="G210" s="659"/>
    </row>
    <row r="211" spans="2:9" ht="31.5" customHeight="1" thickBot="1">
      <c r="B211" s="260" t="s">
        <v>873</v>
      </c>
      <c r="C211" s="248"/>
      <c r="D211" s="644" t="str">
        <f>'1PROJE'!$F$3</f>
        <v>GÜRKAN BEY</v>
      </c>
      <c r="E211" s="645"/>
      <c r="F211" s="645"/>
      <c r="G211" s="646"/>
    </row>
    <row r="212" spans="2:9" ht="31.5" customHeight="1" thickBot="1">
      <c r="B212" s="260" t="s">
        <v>356</v>
      </c>
      <c r="C212" s="248"/>
      <c r="D212" s="647" t="e" cm="1">
        <f t="array" aca="1" ref="D212" ca="1">INDIRECT("xHesaplama!I"&amp;""&amp;ROW(D212)+70-7*ROUNDDOWN(ROW(D212)/8,0))</f>
        <v>#N/A</v>
      </c>
      <c r="E212" s="648"/>
      <c r="F212" s="648"/>
      <c r="G212" s="649"/>
    </row>
    <row r="213" spans="2:9" ht="31.5" customHeight="1" thickBot="1">
      <c r="B213" s="260" t="s">
        <v>874</v>
      </c>
      <c r="C213" s="248"/>
      <c r="D213" s="650" t="str">
        <f>$H$1</f>
        <v>BOX</v>
      </c>
      <c r="E213" s="651"/>
      <c r="F213" s="651"/>
      <c r="G213" s="652"/>
    </row>
    <row r="214" spans="2:9" ht="31.5" customHeight="1" thickBot="1">
      <c r="B214" s="260" t="s">
        <v>875</v>
      </c>
      <c r="C214" s="248"/>
      <c r="D214" s="653" t="str">
        <f>'1PROJE'!$G$3</f>
        <v>Z 5001</v>
      </c>
      <c r="E214" s="654"/>
      <c r="F214" s="654"/>
      <c r="G214" s="655"/>
      <c r="I214" s="250"/>
    </row>
    <row r="215" spans="2:9" ht="31.5" customHeight="1" thickBot="1">
      <c r="B215" s="260" t="s">
        <v>876</v>
      </c>
      <c r="D215" s="653" cm="1">
        <f t="array" aca="1" ref="D215" ca="1">INDIRECT("xHesaplama!H"&amp;""&amp;ROW(D212)+70-7*ROUNDDOWN(ROW(D212)/8,0))</f>
        <v>0</v>
      </c>
      <c r="E215" s="654"/>
      <c r="F215" s="654"/>
      <c r="G215" s="655"/>
    </row>
    <row r="216" spans="2:9" ht="31.5" customHeight="1" thickBot="1">
      <c r="B216" s="260" t="s">
        <v>877</v>
      </c>
      <c r="D216" s="252" t="s">
        <v>878</v>
      </c>
      <c r="E216" s="253" t="e" cm="1">
        <f t="array" aca="1" ref="E216" ca="1">INDIRECT("xHesaplama!J"&amp;""&amp;ROW(D212)+70-7*ROUNDDOWN(ROW(D212)/8,0))</f>
        <v>#N/A</v>
      </c>
      <c r="F216" s="254" t="s">
        <v>879</v>
      </c>
      <c r="G216" s="253" t="e" cm="1">
        <f t="array" aca="1" ref="G216" ca="1">INDIRECT("xHesaplama!K"&amp;""&amp;ROW(D212)+70-7*ROUNDDOWN(ROW(D212)/8,0))</f>
        <v>#N/A</v>
      </c>
    </row>
    <row r="217" spans="2:9" ht="69" customHeight="1" thickBot="1">
      <c r="B217" s="259" t="s">
        <v>869</v>
      </c>
      <c r="C217" s="248"/>
      <c r="D217" s="656"/>
      <c r="E217" s="656"/>
      <c r="F217" s="656"/>
      <c r="G217" s="656"/>
    </row>
    <row r="218" spans="2:9" ht="31.5" customHeight="1" thickBot="1">
      <c r="B218" s="260" t="s">
        <v>872</v>
      </c>
      <c r="C218" s="248"/>
      <c r="D218" s="657" t="str">
        <f>'1PROJE'!$E$3</f>
        <v>GÜNEŞ PEN</v>
      </c>
      <c r="E218" s="658"/>
      <c r="F218" s="658"/>
      <c r="G218" s="659"/>
    </row>
    <row r="219" spans="2:9" ht="31.5" customHeight="1" thickBot="1">
      <c r="B219" s="260" t="s">
        <v>873</v>
      </c>
      <c r="C219" s="248"/>
      <c r="D219" s="644" t="str">
        <f>'1PROJE'!$F$3</f>
        <v>GÜRKAN BEY</v>
      </c>
      <c r="E219" s="645"/>
      <c r="F219" s="645"/>
      <c r="G219" s="646"/>
    </row>
    <row r="220" spans="2:9" ht="31.5" customHeight="1" thickBot="1">
      <c r="B220" s="260" t="s">
        <v>356</v>
      </c>
      <c r="C220" s="248"/>
      <c r="D220" s="647" t="e" cm="1">
        <f t="array" aca="1" ref="D220" ca="1">INDIRECT("xHesaplama!I"&amp;""&amp;ROW(D220)+70-7*ROUNDDOWN(ROW(D220)/8,0))</f>
        <v>#N/A</v>
      </c>
      <c r="E220" s="648"/>
      <c r="F220" s="648"/>
      <c r="G220" s="649"/>
    </row>
    <row r="221" spans="2:9" ht="31.5" customHeight="1" thickBot="1">
      <c r="B221" s="260" t="s">
        <v>874</v>
      </c>
      <c r="C221" s="248"/>
      <c r="D221" s="650" t="str">
        <f>$H$1</f>
        <v>BOX</v>
      </c>
      <c r="E221" s="651"/>
      <c r="F221" s="651"/>
      <c r="G221" s="652"/>
    </row>
    <row r="222" spans="2:9" ht="31.5" customHeight="1" thickBot="1">
      <c r="B222" s="260" t="s">
        <v>875</v>
      </c>
      <c r="C222" s="248"/>
      <c r="D222" s="653" t="str">
        <f>'1PROJE'!$G$3</f>
        <v>Z 5001</v>
      </c>
      <c r="E222" s="654"/>
      <c r="F222" s="654"/>
      <c r="G222" s="655"/>
      <c r="I222" s="250"/>
    </row>
    <row r="223" spans="2:9" ht="31.5" customHeight="1" thickBot="1">
      <c r="B223" s="260" t="s">
        <v>876</v>
      </c>
      <c r="D223" s="653" cm="1">
        <f t="array" aca="1" ref="D223" ca="1">INDIRECT("xHesaplama!H"&amp;""&amp;ROW(D220)+70-7*ROUNDDOWN(ROW(D220)/8,0))</f>
        <v>0</v>
      </c>
      <c r="E223" s="654"/>
      <c r="F223" s="654"/>
      <c r="G223" s="655"/>
    </row>
    <row r="224" spans="2:9" ht="31.5" customHeight="1" thickBot="1">
      <c r="B224" s="260" t="s">
        <v>877</v>
      </c>
      <c r="D224" s="252" t="s">
        <v>878</v>
      </c>
      <c r="E224" s="253" t="e" cm="1">
        <f t="array" aca="1" ref="E224" ca="1">INDIRECT("xHesaplama!J"&amp;""&amp;ROW(D220)+70-7*ROUNDDOWN(ROW(D220)/8,0))</f>
        <v>#N/A</v>
      </c>
      <c r="F224" s="254" t="s">
        <v>879</v>
      </c>
      <c r="G224" s="253" t="e" cm="1">
        <f t="array" aca="1" ref="G224" ca="1">INDIRECT("xHesaplama!K"&amp;""&amp;ROW(D220)+70-7*ROUNDDOWN(ROW(D220)/8,0))</f>
        <v>#N/A</v>
      </c>
    </row>
    <row r="225" spans="2:9" ht="69" customHeight="1" thickBot="1">
      <c r="B225" s="259" t="s">
        <v>869</v>
      </c>
      <c r="C225" s="248"/>
      <c r="D225" s="656"/>
      <c r="E225" s="656"/>
      <c r="F225" s="656"/>
      <c r="G225" s="656"/>
    </row>
    <row r="226" spans="2:9" ht="31.5" customHeight="1" thickBot="1">
      <c r="B226" s="260" t="s">
        <v>872</v>
      </c>
      <c r="C226" s="248"/>
      <c r="D226" s="657" t="str">
        <f>'1PROJE'!$E$3</f>
        <v>GÜNEŞ PEN</v>
      </c>
      <c r="E226" s="658"/>
      <c r="F226" s="658"/>
      <c r="G226" s="659"/>
    </row>
    <row r="227" spans="2:9" ht="31.5" customHeight="1" thickBot="1">
      <c r="B227" s="260" t="s">
        <v>873</v>
      </c>
      <c r="C227" s="248"/>
      <c r="D227" s="644" t="str">
        <f>'1PROJE'!$F$3</f>
        <v>GÜRKAN BEY</v>
      </c>
      <c r="E227" s="645"/>
      <c r="F227" s="645"/>
      <c r="G227" s="646"/>
    </row>
    <row r="228" spans="2:9" ht="31.5" customHeight="1" thickBot="1">
      <c r="B228" s="260" t="s">
        <v>356</v>
      </c>
      <c r="C228" s="248"/>
      <c r="D228" s="647" t="e" cm="1">
        <f t="array" aca="1" ref="D228" ca="1">INDIRECT("xHesaplama!I"&amp;""&amp;ROW(D228)+70-7*ROUNDDOWN(ROW(D228)/8,0))</f>
        <v>#N/A</v>
      </c>
      <c r="E228" s="648"/>
      <c r="F228" s="648"/>
      <c r="G228" s="649"/>
    </row>
    <row r="229" spans="2:9" ht="31.5" customHeight="1" thickBot="1">
      <c r="B229" s="260" t="s">
        <v>874</v>
      </c>
      <c r="C229" s="248"/>
      <c r="D229" s="650" t="str">
        <f>$H$1</f>
        <v>BOX</v>
      </c>
      <c r="E229" s="651"/>
      <c r="F229" s="651"/>
      <c r="G229" s="652"/>
    </row>
    <row r="230" spans="2:9" ht="31.5" customHeight="1" thickBot="1">
      <c r="B230" s="260" t="s">
        <v>875</v>
      </c>
      <c r="C230" s="248"/>
      <c r="D230" s="653" t="str">
        <f>'1PROJE'!$G$3</f>
        <v>Z 5001</v>
      </c>
      <c r="E230" s="654"/>
      <c r="F230" s="654"/>
      <c r="G230" s="655"/>
      <c r="I230" s="250"/>
    </row>
    <row r="231" spans="2:9" ht="31.5" customHeight="1" thickBot="1">
      <c r="B231" s="260" t="s">
        <v>876</v>
      </c>
      <c r="D231" s="653" cm="1">
        <f t="array" aca="1" ref="D231" ca="1">INDIRECT("xHesaplama!H"&amp;""&amp;ROW(D228)+70-7*ROUNDDOWN(ROW(D228)/8,0))</f>
        <v>0</v>
      </c>
      <c r="E231" s="654"/>
      <c r="F231" s="654"/>
      <c r="G231" s="655"/>
    </row>
    <row r="232" spans="2:9" ht="31.5" customHeight="1" thickBot="1">
      <c r="B232" s="260" t="s">
        <v>877</v>
      </c>
      <c r="D232" s="252" t="s">
        <v>878</v>
      </c>
      <c r="E232" s="253" t="e" cm="1">
        <f t="array" aca="1" ref="E232" ca="1">INDIRECT("xHesaplama!J"&amp;""&amp;ROW(D228)+70-7*ROUNDDOWN(ROW(D228)/8,0))</f>
        <v>#N/A</v>
      </c>
      <c r="F232" s="254" t="s">
        <v>879</v>
      </c>
      <c r="G232" s="253" t="e" cm="1">
        <f t="array" aca="1" ref="G232" ca="1">INDIRECT("xHesaplama!K"&amp;""&amp;ROW(D228)+70-7*ROUNDDOWN(ROW(D228)/8,0))</f>
        <v>#N/A</v>
      </c>
    </row>
    <row r="233" spans="2:9" ht="69" customHeight="1" thickBot="1">
      <c r="B233" s="259" t="s">
        <v>869</v>
      </c>
      <c r="C233" s="248"/>
      <c r="D233" s="656"/>
      <c r="E233" s="656"/>
      <c r="F233" s="656"/>
      <c r="G233" s="656"/>
    </row>
    <row r="234" spans="2:9" ht="31.5" customHeight="1" thickBot="1">
      <c r="B234" s="260" t="s">
        <v>872</v>
      </c>
      <c r="C234" s="248"/>
      <c r="D234" s="657" t="str">
        <f>'1PROJE'!$E$3</f>
        <v>GÜNEŞ PEN</v>
      </c>
      <c r="E234" s="658"/>
      <c r="F234" s="658"/>
      <c r="G234" s="659"/>
    </row>
    <row r="235" spans="2:9" ht="31.5" customHeight="1" thickBot="1">
      <c r="B235" s="260" t="s">
        <v>873</v>
      </c>
      <c r="C235" s="248"/>
      <c r="D235" s="644" t="str">
        <f>'1PROJE'!$F$3</f>
        <v>GÜRKAN BEY</v>
      </c>
      <c r="E235" s="645"/>
      <c r="F235" s="645"/>
      <c r="G235" s="646"/>
    </row>
    <row r="236" spans="2:9" ht="31.5" customHeight="1" thickBot="1">
      <c r="B236" s="260" t="s">
        <v>356</v>
      </c>
      <c r="C236" s="248"/>
      <c r="D236" s="647" t="e" cm="1">
        <f t="array" aca="1" ref="D236" ca="1">INDIRECT("xHesaplama!I"&amp;""&amp;ROW(D236)+70-7*ROUNDDOWN(ROW(D236)/8,0))</f>
        <v>#N/A</v>
      </c>
      <c r="E236" s="648"/>
      <c r="F236" s="648"/>
      <c r="G236" s="649"/>
    </row>
    <row r="237" spans="2:9" ht="31.5" customHeight="1" thickBot="1">
      <c r="B237" s="260" t="s">
        <v>874</v>
      </c>
      <c r="C237" s="248"/>
      <c r="D237" s="650" t="str">
        <f>$H$1</f>
        <v>BOX</v>
      </c>
      <c r="E237" s="651"/>
      <c r="F237" s="651"/>
      <c r="G237" s="652"/>
    </row>
    <row r="238" spans="2:9" ht="31.5" customHeight="1" thickBot="1">
      <c r="B238" s="260" t="s">
        <v>875</v>
      </c>
      <c r="C238" s="248"/>
      <c r="D238" s="653" t="str">
        <f>'1PROJE'!$G$3</f>
        <v>Z 5001</v>
      </c>
      <c r="E238" s="654"/>
      <c r="F238" s="654"/>
      <c r="G238" s="655"/>
      <c r="I238" s="250"/>
    </row>
    <row r="239" spans="2:9" ht="31.5" customHeight="1" thickBot="1">
      <c r="B239" s="260" t="s">
        <v>876</v>
      </c>
      <c r="D239" s="653" cm="1">
        <f t="array" aca="1" ref="D239" ca="1">INDIRECT("xHesaplama!H"&amp;""&amp;ROW(D236)+70-7*ROUNDDOWN(ROW(D236)/8,0))</f>
        <v>0</v>
      </c>
      <c r="E239" s="654"/>
      <c r="F239" s="654"/>
      <c r="G239" s="655"/>
    </row>
    <row r="240" spans="2:9" ht="31.5" customHeight="1" thickBot="1">
      <c r="B240" s="260" t="s">
        <v>877</v>
      </c>
      <c r="D240" s="252" t="s">
        <v>878</v>
      </c>
      <c r="E240" s="253" t="e" cm="1">
        <f t="array" aca="1" ref="E240" ca="1">INDIRECT("xHesaplama!J"&amp;""&amp;ROW(D236)+70-7*ROUNDDOWN(ROW(D236)/8,0))</f>
        <v>#N/A</v>
      </c>
      <c r="F240" s="254" t="s">
        <v>879</v>
      </c>
      <c r="G240" s="253" t="e" cm="1">
        <f t="array" aca="1" ref="G240" ca="1">INDIRECT("xHesaplama!K"&amp;""&amp;ROW(D236)+70-7*ROUNDDOWN(ROW(D236)/8,0))</f>
        <v>#N/A</v>
      </c>
    </row>
    <row r="241" spans="2:9" ht="69" customHeight="1" thickBot="1">
      <c r="B241" s="259" t="s">
        <v>869</v>
      </c>
      <c r="C241" s="248"/>
      <c r="D241" s="656"/>
      <c r="E241" s="656"/>
      <c r="F241" s="656"/>
      <c r="G241" s="656"/>
    </row>
    <row r="242" spans="2:9" ht="31.5" customHeight="1" thickBot="1">
      <c r="B242" s="260" t="s">
        <v>872</v>
      </c>
      <c r="C242" s="248"/>
      <c r="D242" s="657" t="str">
        <f>'1PROJE'!$E$3</f>
        <v>GÜNEŞ PEN</v>
      </c>
      <c r="E242" s="658"/>
      <c r="F242" s="658"/>
      <c r="G242" s="659"/>
    </row>
    <row r="243" spans="2:9" ht="31.5" customHeight="1" thickBot="1">
      <c r="B243" s="260" t="s">
        <v>873</v>
      </c>
      <c r="C243" s="248"/>
      <c r="D243" s="644" t="str">
        <f>'1PROJE'!$F$3</f>
        <v>GÜRKAN BEY</v>
      </c>
      <c r="E243" s="645"/>
      <c r="F243" s="645"/>
      <c r="G243" s="646"/>
    </row>
    <row r="244" spans="2:9" ht="31.5" customHeight="1" thickBot="1">
      <c r="B244" s="260" t="s">
        <v>356</v>
      </c>
      <c r="C244" s="248"/>
      <c r="D244" s="647" t="e" cm="1">
        <f t="array" aca="1" ref="D244" ca="1">INDIRECT("xHesaplama!I"&amp;""&amp;ROW(D244)+70-7*ROUNDDOWN(ROW(D244)/8,0))</f>
        <v>#N/A</v>
      </c>
      <c r="E244" s="648"/>
      <c r="F244" s="648"/>
      <c r="G244" s="649"/>
    </row>
    <row r="245" spans="2:9" ht="31.5" customHeight="1" thickBot="1">
      <c r="B245" s="260" t="s">
        <v>874</v>
      </c>
      <c r="C245" s="248"/>
      <c r="D245" s="650" t="str">
        <f>$H$1</f>
        <v>BOX</v>
      </c>
      <c r="E245" s="651"/>
      <c r="F245" s="651"/>
      <c r="G245" s="652"/>
    </row>
    <row r="246" spans="2:9" ht="31.5" customHeight="1" thickBot="1">
      <c r="B246" s="260" t="s">
        <v>875</v>
      </c>
      <c r="C246" s="248"/>
      <c r="D246" s="653" t="str">
        <f>'1PROJE'!$G$3</f>
        <v>Z 5001</v>
      </c>
      <c r="E246" s="654"/>
      <c r="F246" s="654"/>
      <c r="G246" s="655"/>
      <c r="I246" s="250"/>
    </row>
    <row r="247" spans="2:9" ht="31.5" customHeight="1" thickBot="1">
      <c r="B247" s="260" t="s">
        <v>876</v>
      </c>
      <c r="D247" s="653" cm="1">
        <f t="array" aca="1" ref="D247" ca="1">INDIRECT("xHesaplama!H"&amp;""&amp;ROW(D244)+70-7*ROUNDDOWN(ROW(D244)/8,0))</f>
        <v>0</v>
      </c>
      <c r="E247" s="654"/>
      <c r="F247" s="654"/>
      <c r="G247" s="655"/>
    </row>
    <row r="248" spans="2:9" ht="31.5" customHeight="1" thickBot="1">
      <c r="B248" s="260" t="s">
        <v>877</v>
      </c>
      <c r="D248" s="252" t="s">
        <v>878</v>
      </c>
      <c r="E248" s="253" t="e" cm="1">
        <f t="array" aca="1" ref="E248" ca="1">INDIRECT("xHesaplama!J"&amp;""&amp;ROW(D244)+70-7*ROUNDDOWN(ROW(D244)/8,0))</f>
        <v>#N/A</v>
      </c>
      <c r="F248" s="254" t="s">
        <v>879</v>
      </c>
      <c r="G248" s="253" t="e" cm="1">
        <f t="array" aca="1" ref="G248" ca="1">INDIRECT("xHesaplama!K"&amp;""&amp;ROW(D244)+70-7*ROUNDDOWN(ROW(D244)/8,0))</f>
        <v>#N/A</v>
      </c>
    </row>
    <row r="249" spans="2:9" ht="69" customHeight="1" thickBot="1">
      <c r="B249" s="259" t="s">
        <v>869</v>
      </c>
      <c r="C249" s="248"/>
      <c r="D249" s="656"/>
      <c r="E249" s="656"/>
      <c r="F249" s="656"/>
      <c r="G249" s="656"/>
    </row>
    <row r="250" spans="2:9" ht="31.5" customHeight="1" thickBot="1">
      <c r="B250" s="260" t="s">
        <v>872</v>
      </c>
      <c r="C250" s="248"/>
      <c r="D250" s="657" t="str">
        <f>'1PROJE'!$E$3</f>
        <v>GÜNEŞ PEN</v>
      </c>
      <c r="E250" s="658"/>
      <c r="F250" s="658"/>
      <c r="G250" s="659"/>
    </row>
    <row r="251" spans="2:9" ht="31.5" customHeight="1" thickBot="1">
      <c r="B251" s="260" t="s">
        <v>873</v>
      </c>
      <c r="C251" s="248"/>
      <c r="D251" s="644" t="str">
        <f>'1PROJE'!$F$3</f>
        <v>GÜRKAN BEY</v>
      </c>
      <c r="E251" s="645"/>
      <c r="F251" s="645"/>
      <c r="G251" s="646"/>
    </row>
    <row r="252" spans="2:9" ht="31.5" customHeight="1" thickBot="1">
      <c r="B252" s="260" t="s">
        <v>356</v>
      </c>
      <c r="C252" s="248"/>
      <c r="D252" s="647" t="e" cm="1">
        <f t="array" aca="1" ref="D252" ca="1">INDIRECT("xHesaplama!I"&amp;""&amp;ROW(D252)+70-7*ROUNDDOWN(ROW(D252)/8,0))</f>
        <v>#N/A</v>
      </c>
      <c r="E252" s="648"/>
      <c r="F252" s="648"/>
      <c r="G252" s="649"/>
    </row>
    <row r="253" spans="2:9" ht="31.5" customHeight="1" thickBot="1">
      <c r="B253" s="260" t="s">
        <v>874</v>
      </c>
      <c r="C253" s="248"/>
      <c r="D253" s="650" t="str">
        <f>$H$1</f>
        <v>BOX</v>
      </c>
      <c r="E253" s="651"/>
      <c r="F253" s="651"/>
      <c r="G253" s="652"/>
    </row>
    <row r="254" spans="2:9" ht="31.5" customHeight="1" thickBot="1">
      <c r="B254" s="260" t="s">
        <v>875</v>
      </c>
      <c r="C254" s="248"/>
      <c r="D254" s="653" t="str">
        <f>'1PROJE'!$G$3</f>
        <v>Z 5001</v>
      </c>
      <c r="E254" s="654"/>
      <c r="F254" s="654"/>
      <c r="G254" s="655"/>
      <c r="I254" s="250"/>
    </row>
    <row r="255" spans="2:9" ht="31.5" customHeight="1" thickBot="1">
      <c r="B255" s="260" t="s">
        <v>876</v>
      </c>
      <c r="D255" s="653" cm="1">
        <f t="array" aca="1" ref="D255" ca="1">INDIRECT("xHesaplama!H"&amp;""&amp;ROW(D252)+70-7*ROUNDDOWN(ROW(D252)/8,0))</f>
        <v>0</v>
      </c>
      <c r="E255" s="654"/>
      <c r="F255" s="654"/>
      <c r="G255" s="655"/>
    </row>
    <row r="256" spans="2:9" ht="31.5" customHeight="1" thickBot="1">
      <c r="B256" s="260" t="s">
        <v>877</v>
      </c>
      <c r="D256" s="252" t="s">
        <v>878</v>
      </c>
      <c r="E256" s="253" t="e" cm="1">
        <f t="array" aca="1" ref="E256" ca="1">INDIRECT("xHesaplama!J"&amp;""&amp;ROW(D252)+70-7*ROUNDDOWN(ROW(D252)/8,0))</f>
        <v>#N/A</v>
      </c>
      <c r="F256" s="254" t="s">
        <v>879</v>
      </c>
      <c r="G256" s="253" t="e" cm="1">
        <f t="array" aca="1" ref="G256" ca="1">INDIRECT("xHesaplama!K"&amp;""&amp;ROW(D252)+70-7*ROUNDDOWN(ROW(D252)/8,0))</f>
        <v>#N/A</v>
      </c>
    </row>
    <row r="257" spans="2:9" ht="69" customHeight="1" thickBot="1">
      <c r="B257" s="259" t="s">
        <v>869</v>
      </c>
      <c r="C257" s="248"/>
      <c r="D257" s="656"/>
      <c r="E257" s="656"/>
      <c r="F257" s="656"/>
      <c r="G257" s="656"/>
    </row>
    <row r="258" spans="2:9" ht="31.5" customHeight="1" thickBot="1">
      <c r="B258" s="260" t="s">
        <v>872</v>
      </c>
      <c r="C258" s="248"/>
      <c r="D258" s="657" t="str">
        <f>'1PROJE'!$E$3</f>
        <v>GÜNEŞ PEN</v>
      </c>
      <c r="E258" s="658"/>
      <c r="F258" s="658"/>
      <c r="G258" s="659"/>
    </row>
    <row r="259" spans="2:9" ht="31.5" customHeight="1" thickBot="1">
      <c r="B259" s="260" t="s">
        <v>873</v>
      </c>
      <c r="C259" s="248"/>
      <c r="D259" s="644" t="str">
        <f>'1PROJE'!$F$3</f>
        <v>GÜRKAN BEY</v>
      </c>
      <c r="E259" s="645"/>
      <c r="F259" s="645"/>
      <c r="G259" s="646"/>
    </row>
    <row r="260" spans="2:9" ht="31.5" customHeight="1" thickBot="1">
      <c r="B260" s="260" t="s">
        <v>356</v>
      </c>
      <c r="C260" s="248"/>
      <c r="D260" s="647" t="e" cm="1">
        <f t="array" aca="1" ref="D260" ca="1">INDIRECT("xHesaplama!I"&amp;""&amp;ROW(D260)+70-7*ROUNDDOWN(ROW(D260)/8,0))</f>
        <v>#N/A</v>
      </c>
      <c r="E260" s="648"/>
      <c r="F260" s="648"/>
      <c r="G260" s="649"/>
    </row>
    <row r="261" spans="2:9" ht="31.5" customHeight="1" thickBot="1">
      <c r="B261" s="260" t="s">
        <v>874</v>
      </c>
      <c r="C261" s="248"/>
      <c r="D261" s="650" t="str">
        <f>$H$1</f>
        <v>BOX</v>
      </c>
      <c r="E261" s="651"/>
      <c r="F261" s="651"/>
      <c r="G261" s="652"/>
    </row>
    <row r="262" spans="2:9" ht="31.5" customHeight="1" thickBot="1">
      <c r="B262" s="260" t="s">
        <v>875</v>
      </c>
      <c r="C262" s="248"/>
      <c r="D262" s="653" t="str">
        <f>'1PROJE'!$G$3</f>
        <v>Z 5001</v>
      </c>
      <c r="E262" s="654"/>
      <c r="F262" s="654"/>
      <c r="G262" s="655"/>
      <c r="I262" s="250"/>
    </row>
    <row r="263" spans="2:9" ht="31.5" customHeight="1" thickBot="1">
      <c r="B263" s="260" t="s">
        <v>876</v>
      </c>
      <c r="D263" s="653" cm="1">
        <f t="array" aca="1" ref="D263" ca="1">INDIRECT("xHesaplama!H"&amp;""&amp;ROW(D260)+70-7*ROUNDDOWN(ROW(D260)/8,0))</f>
        <v>0</v>
      </c>
      <c r="E263" s="654"/>
      <c r="F263" s="654"/>
      <c r="G263" s="655"/>
    </row>
    <row r="264" spans="2:9" ht="31.5" customHeight="1" thickBot="1">
      <c r="B264" s="260" t="s">
        <v>877</v>
      </c>
      <c r="D264" s="252" t="s">
        <v>878</v>
      </c>
      <c r="E264" s="253" t="e" cm="1">
        <f t="array" aca="1" ref="E264" ca="1">INDIRECT("xHesaplama!J"&amp;""&amp;ROW(D260)+70-7*ROUNDDOWN(ROW(D260)/8,0))</f>
        <v>#N/A</v>
      </c>
      <c r="F264" s="254" t="s">
        <v>879</v>
      </c>
      <c r="G264" s="253" t="e" cm="1">
        <f t="array" aca="1" ref="G264" ca="1">INDIRECT("xHesaplama!K"&amp;""&amp;ROW(D260)+70-7*ROUNDDOWN(ROW(D260)/8,0))</f>
        <v>#N/A</v>
      </c>
    </row>
    <row r="265" spans="2:9" ht="69" customHeight="1" thickBot="1">
      <c r="B265" s="259" t="s">
        <v>869</v>
      </c>
      <c r="C265" s="248"/>
      <c r="D265" s="656"/>
      <c r="E265" s="656"/>
      <c r="F265" s="656"/>
      <c r="G265" s="656"/>
    </row>
    <row r="266" spans="2:9" ht="31.5" customHeight="1" thickBot="1">
      <c r="B266" s="260" t="s">
        <v>872</v>
      </c>
      <c r="C266" s="248"/>
      <c r="D266" s="657" t="str">
        <f>'1PROJE'!$E$3</f>
        <v>GÜNEŞ PEN</v>
      </c>
      <c r="E266" s="658"/>
      <c r="F266" s="658"/>
      <c r="G266" s="659"/>
    </row>
    <row r="267" spans="2:9" ht="31.5" customHeight="1" thickBot="1">
      <c r="B267" s="260" t="s">
        <v>873</v>
      </c>
      <c r="C267" s="248"/>
      <c r="D267" s="644" t="str">
        <f>'1PROJE'!$F$3</f>
        <v>GÜRKAN BEY</v>
      </c>
      <c r="E267" s="645"/>
      <c r="F267" s="645"/>
      <c r="G267" s="646"/>
    </row>
    <row r="268" spans="2:9" ht="31.5" customHeight="1" thickBot="1">
      <c r="B268" s="260" t="s">
        <v>356</v>
      </c>
      <c r="C268" s="248"/>
      <c r="D268" s="647" t="e" cm="1">
        <f t="array" aca="1" ref="D268" ca="1">INDIRECT("xHesaplama!I"&amp;""&amp;ROW(D268)+70-7*ROUNDDOWN(ROW(D268)/8,0))</f>
        <v>#N/A</v>
      </c>
      <c r="E268" s="648"/>
      <c r="F268" s="648"/>
      <c r="G268" s="649"/>
    </row>
    <row r="269" spans="2:9" ht="31.5" customHeight="1" thickBot="1">
      <c r="B269" s="260" t="s">
        <v>874</v>
      </c>
      <c r="C269" s="248"/>
      <c r="D269" s="650" t="str">
        <f>$H$1</f>
        <v>BOX</v>
      </c>
      <c r="E269" s="651"/>
      <c r="F269" s="651"/>
      <c r="G269" s="652"/>
    </row>
    <row r="270" spans="2:9" ht="31.5" customHeight="1" thickBot="1">
      <c r="B270" s="260" t="s">
        <v>875</v>
      </c>
      <c r="C270" s="248"/>
      <c r="D270" s="653" t="str">
        <f>'1PROJE'!$G$3</f>
        <v>Z 5001</v>
      </c>
      <c r="E270" s="654"/>
      <c r="F270" s="654"/>
      <c r="G270" s="655"/>
      <c r="I270" s="250"/>
    </row>
    <row r="271" spans="2:9" ht="31.5" customHeight="1" thickBot="1">
      <c r="B271" s="260" t="s">
        <v>876</v>
      </c>
      <c r="D271" s="653" cm="1">
        <f t="array" aca="1" ref="D271" ca="1">INDIRECT("xHesaplama!H"&amp;""&amp;ROW(D268)+70-7*ROUNDDOWN(ROW(D268)/8,0))</f>
        <v>0</v>
      </c>
      <c r="E271" s="654"/>
      <c r="F271" s="654"/>
      <c r="G271" s="655"/>
    </row>
    <row r="272" spans="2:9" ht="31.5" customHeight="1" thickBot="1">
      <c r="B272" s="260" t="s">
        <v>877</v>
      </c>
      <c r="D272" s="252" t="s">
        <v>878</v>
      </c>
      <c r="E272" s="253" t="e" cm="1">
        <f t="array" aca="1" ref="E272" ca="1">INDIRECT("xHesaplama!J"&amp;""&amp;ROW(D268)+70-7*ROUNDDOWN(ROW(D268)/8,0))</f>
        <v>#N/A</v>
      </c>
      <c r="F272" s="254" t="s">
        <v>879</v>
      </c>
      <c r="G272" s="253" t="e" cm="1">
        <f t="array" aca="1" ref="G272" ca="1">INDIRECT("xHesaplama!K"&amp;""&amp;ROW(D268)+70-7*ROUNDDOWN(ROW(D268)/8,0))</f>
        <v>#N/A</v>
      </c>
    </row>
    <row r="273" spans="2:9" ht="69" customHeight="1" thickBot="1">
      <c r="B273" s="259" t="s">
        <v>869</v>
      </c>
      <c r="C273" s="248"/>
      <c r="D273" s="656"/>
      <c r="E273" s="656"/>
      <c r="F273" s="656"/>
      <c r="G273" s="656"/>
    </row>
    <row r="274" spans="2:9" ht="31.5" customHeight="1" thickBot="1">
      <c r="B274" s="260" t="s">
        <v>872</v>
      </c>
      <c r="C274" s="248"/>
      <c r="D274" s="657" t="str">
        <f>'1PROJE'!$E$3</f>
        <v>GÜNEŞ PEN</v>
      </c>
      <c r="E274" s="658"/>
      <c r="F274" s="658"/>
      <c r="G274" s="659"/>
    </row>
    <row r="275" spans="2:9" ht="31.5" customHeight="1" thickBot="1">
      <c r="B275" s="260" t="s">
        <v>873</v>
      </c>
      <c r="C275" s="248"/>
      <c r="D275" s="644" t="str">
        <f>'1PROJE'!$F$3</f>
        <v>GÜRKAN BEY</v>
      </c>
      <c r="E275" s="645"/>
      <c r="F275" s="645"/>
      <c r="G275" s="646"/>
    </row>
    <row r="276" spans="2:9" ht="31.5" customHeight="1" thickBot="1">
      <c r="B276" s="260" t="s">
        <v>356</v>
      </c>
      <c r="C276" s="248"/>
      <c r="D276" s="647" t="e" cm="1">
        <f t="array" aca="1" ref="D276" ca="1">INDIRECT("xHesaplama!I"&amp;""&amp;ROW(D276)+70-7*ROUNDDOWN(ROW(D276)/8,0))</f>
        <v>#N/A</v>
      </c>
      <c r="E276" s="648"/>
      <c r="F276" s="648"/>
      <c r="G276" s="649"/>
    </row>
    <row r="277" spans="2:9" ht="31.5" customHeight="1" thickBot="1">
      <c r="B277" s="260" t="s">
        <v>874</v>
      </c>
      <c r="C277" s="248"/>
      <c r="D277" s="650" t="str">
        <f>$H$1</f>
        <v>BOX</v>
      </c>
      <c r="E277" s="651"/>
      <c r="F277" s="651"/>
      <c r="G277" s="652"/>
    </row>
    <row r="278" spans="2:9" ht="31.5" customHeight="1" thickBot="1">
      <c r="B278" s="260" t="s">
        <v>875</v>
      </c>
      <c r="C278" s="248"/>
      <c r="D278" s="653" t="str">
        <f>'1PROJE'!$G$3</f>
        <v>Z 5001</v>
      </c>
      <c r="E278" s="654"/>
      <c r="F278" s="654"/>
      <c r="G278" s="655"/>
      <c r="I278" s="250"/>
    </row>
    <row r="279" spans="2:9" ht="31.5" customHeight="1" thickBot="1">
      <c r="B279" s="260" t="s">
        <v>876</v>
      </c>
      <c r="D279" s="653" cm="1">
        <f t="array" aca="1" ref="D279" ca="1">INDIRECT("xHesaplama!H"&amp;""&amp;ROW(D276)+70-7*ROUNDDOWN(ROW(D276)/8,0))</f>
        <v>0</v>
      </c>
      <c r="E279" s="654"/>
      <c r="F279" s="654"/>
      <c r="G279" s="655"/>
    </row>
    <row r="280" spans="2:9" ht="31.5" customHeight="1" thickBot="1">
      <c r="B280" s="260" t="s">
        <v>877</v>
      </c>
      <c r="D280" s="252" t="s">
        <v>878</v>
      </c>
      <c r="E280" s="253" t="e" cm="1">
        <f t="array" aca="1" ref="E280" ca="1">INDIRECT("xHesaplama!J"&amp;""&amp;ROW(D276)+70-7*ROUNDDOWN(ROW(D276)/8,0))</f>
        <v>#N/A</v>
      </c>
      <c r="F280" s="254" t="s">
        <v>879</v>
      </c>
      <c r="G280" s="253" t="e" cm="1">
        <f t="array" aca="1" ref="G280" ca="1">INDIRECT("xHesaplama!K"&amp;""&amp;ROW(D276)+70-7*ROUNDDOWN(ROW(D276)/8,0))</f>
        <v>#N/A</v>
      </c>
    </row>
    <row r="281" spans="2:9" ht="69" customHeight="1" thickBot="1">
      <c r="B281" s="259" t="s">
        <v>869</v>
      </c>
      <c r="C281" s="248"/>
      <c r="D281" s="656"/>
      <c r="E281" s="656"/>
      <c r="F281" s="656"/>
      <c r="G281" s="656"/>
    </row>
    <row r="282" spans="2:9" ht="31.5" customHeight="1" thickBot="1">
      <c r="B282" s="260" t="s">
        <v>872</v>
      </c>
      <c r="C282" s="248"/>
      <c r="D282" s="657" t="str">
        <f>'1PROJE'!$E$3</f>
        <v>GÜNEŞ PEN</v>
      </c>
      <c r="E282" s="658"/>
      <c r="F282" s="658"/>
      <c r="G282" s="659"/>
    </row>
    <row r="283" spans="2:9" ht="31.5" customHeight="1" thickBot="1">
      <c r="B283" s="260" t="s">
        <v>873</v>
      </c>
      <c r="C283" s="248"/>
      <c r="D283" s="644" t="str">
        <f>'1PROJE'!$F$3</f>
        <v>GÜRKAN BEY</v>
      </c>
      <c r="E283" s="645"/>
      <c r="F283" s="645"/>
      <c r="G283" s="646"/>
    </row>
    <row r="284" spans="2:9" ht="31.5" customHeight="1" thickBot="1">
      <c r="B284" s="260" t="s">
        <v>356</v>
      </c>
      <c r="C284" s="248"/>
      <c r="D284" s="647" t="e" cm="1">
        <f t="array" aca="1" ref="D284" ca="1">INDIRECT("xHesaplama!I"&amp;""&amp;ROW(D284)+70-7*ROUNDDOWN(ROW(D284)/8,0))</f>
        <v>#N/A</v>
      </c>
      <c r="E284" s="648"/>
      <c r="F284" s="648"/>
      <c r="G284" s="649"/>
    </row>
    <row r="285" spans="2:9" ht="31.5" customHeight="1" thickBot="1">
      <c r="B285" s="260" t="s">
        <v>874</v>
      </c>
      <c r="C285" s="248"/>
      <c r="D285" s="650" t="str">
        <f>$H$1</f>
        <v>BOX</v>
      </c>
      <c r="E285" s="651"/>
      <c r="F285" s="651"/>
      <c r="G285" s="652"/>
    </row>
    <row r="286" spans="2:9" ht="31.5" customHeight="1" thickBot="1">
      <c r="B286" s="260" t="s">
        <v>875</v>
      </c>
      <c r="C286" s="248"/>
      <c r="D286" s="653" t="str">
        <f>'1PROJE'!$G$3</f>
        <v>Z 5001</v>
      </c>
      <c r="E286" s="654"/>
      <c r="F286" s="654"/>
      <c r="G286" s="655"/>
      <c r="I286" s="250"/>
    </row>
    <row r="287" spans="2:9" ht="31.5" customHeight="1" thickBot="1">
      <c r="B287" s="260" t="s">
        <v>876</v>
      </c>
      <c r="D287" s="653" cm="1">
        <f t="array" aca="1" ref="D287" ca="1">INDIRECT("xHesaplama!H"&amp;""&amp;ROW(D284)+70-7*ROUNDDOWN(ROW(D284)/8,0))</f>
        <v>0</v>
      </c>
      <c r="E287" s="654"/>
      <c r="F287" s="654"/>
      <c r="G287" s="655"/>
    </row>
    <row r="288" spans="2:9" ht="31.5" customHeight="1" thickBot="1">
      <c r="B288" s="260" t="s">
        <v>877</v>
      </c>
      <c r="D288" s="252" t="s">
        <v>878</v>
      </c>
      <c r="E288" s="253" t="e" cm="1">
        <f t="array" aca="1" ref="E288" ca="1">INDIRECT("xHesaplama!J"&amp;""&amp;ROW(D284)+70-7*ROUNDDOWN(ROW(D284)/8,0))</f>
        <v>#N/A</v>
      </c>
      <c r="F288" s="254" t="s">
        <v>879</v>
      </c>
      <c r="G288" s="253" t="e" cm="1">
        <f t="array" aca="1" ref="G288" ca="1">INDIRECT("xHesaplama!K"&amp;""&amp;ROW(D284)+70-7*ROUNDDOWN(ROW(D284)/8,0))</f>
        <v>#N/A</v>
      </c>
    </row>
    <row r="289" spans="2:9" ht="69" customHeight="1" thickBot="1">
      <c r="B289" s="259" t="s">
        <v>869</v>
      </c>
      <c r="C289" s="248"/>
      <c r="D289" s="656"/>
      <c r="E289" s="656"/>
      <c r="F289" s="656"/>
      <c r="G289" s="656"/>
    </row>
    <row r="290" spans="2:9" ht="31.5" customHeight="1" thickBot="1">
      <c r="B290" s="260" t="s">
        <v>872</v>
      </c>
      <c r="C290" s="248"/>
      <c r="D290" s="657" t="str">
        <f>'1PROJE'!$E$3</f>
        <v>GÜNEŞ PEN</v>
      </c>
      <c r="E290" s="658"/>
      <c r="F290" s="658"/>
      <c r="G290" s="659"/>
    </row>
    <row r="291" spans="2:9" ht="31.5" customHeight="1" thickBot="1">
      <c r="B291" s="260" t="s">
        <v>873</v>
      </c>
      <c r="C291" s="248"/>
      <c r="D291" s="644" t="str">
        <f>'1PROJE'!$F$3</f>
        <v>GÜRKAN BEY</v>
      </c>
      <c r="E291" s="645"/>
      <c r="F291" s="645"/>
      <c r="G291" s="646"/>
    </row>
    <row r="292" spans="2:9" ht="31.5" customHeight="1" thickBot="1">
      <c r="B292" s="260" t="s">
        <v>356</v>
      </c>
      <c r="C292" s="248"/>
      <c r="D292" s="647" t="e" cm="1">
        <f t="array" aca="1" ref="D292" ca="1">INDIRECT("xHesaplama!I"&amp;""&amp;ROW(D292)+70-7*ROUNDDOWN(ROW(D292)/8,0))</f>
        <v>#N/A</v>
      </c>
      <c r="E292" s="648"/>
      <c r="F292" s="648"/>
      <c r="G292" s="649"/>
    </row>
    <row r="293" spans="2:9" ht="31.5" customHeight="1" thickBot="1">
      <c r="B293" s="260" t="s">
        <v>874</v>
      </c>
      <c r="C293" s="248"/>
      <c r="D293" s="650" t="str">
        <f>$H$1</f>
        <v>BOX</v>
      </c>
      <c r="E293" s="651"/>
      <c r="F293" s="651"/>
      <c r="G293" s="652"/>
    </row>
    <row r="294" spans="2:9" ht="31.5" customHeight="1" thickBot="1">
      <c r="B294" s="260" t="s">
        <v>875</v>
      </c>
      <c r="C294" s="248"/>
      <c r="D294" s="653" t="str">
        <f>'1PROJE'!$G$3</f>
        <v>Z 5001</v>
      </c>
      <c r="E294" s="654"/>
      <c r="F294" s="654"/>
      <c r="G294" s="655"/>
      <c r="I294" s="250"/>
    </row>
    <row r="295" spans="2:9" ht="31.5" customHeight="1" thickBot="1">
      <c r="B295" s="260" t="s">
        <v>876</v>
      </c>
      <c r="D295" s="653" cm="1">
        <f t="array" aca="1" ref="D295" ca="1">INDIRECT("xHesaplama!H"&amp;""&amp;ROW(D292)+70-7*ROUNDDOWN(ROW(D292)/8,0))</f>
        <v>0</v>
      </c>
      <c r="E295" s="654"/>
      <c r="F295" s="654"/>
      <c r="G295" s="655"/>
    </row>
    <row r="296" spans="2:9" ht="31.5" customHeight="1" thickBot="1">
      <c r="B296" s="260" t="s">
        <v>877</v>
      </c>
      <c r="D296" s="252" t="s">
        <v>878</v>
      </c>
      <c r="E296" s="253" t="e" cm="1">
        <f t="array" aca="1" ref="E296" ca="1">INDIRECT("xHesaplama!J"&amp;""&amp;ROW(D292)+70-7*ROUNDDOWN(ROW(D292)/8,0))</f>
        <v>#N/A</v>
      </c>
      <c r="F296" s="254" t="s">
        <v>879</v>
      </c>
      <c r="G296" s="253" t="e" cm="1">
        <f t="array" aca="1" ref="G296" ca="1">INDIRECT("xHesaplama!K"&amp;""&amp;ROW(D292)+70-7*ROUNDDOWN(ROW(D292)/8,0))</f>
        <v>#N/A</v>
      </c>
    </row>
    <row r="297" spans="2:9" ht="69" customHeight="1" thickBot="1">
      <c r="B297" s="259" t="s">
        <v>869</v>
      </c>
      <c r="C297" s="248"/>
      <c r="D297" s="656"/>
      <c r="E297" s="656"/>
      <c r="F297" s="656"/>
      <c r="G297" s="656"/>
    </row>
    <row r="298" spans="2:9" ht="31.5" customHeight="1" thickBot="1">
      <c r="B298" s="260" t="s">
        <v>872</v>
      </c>
      <c r="C298" s="248"/>
      <c r="D298" s="657" t="str">
        <f>'1PROJE'!$E$3</f>
        <v>GÜNEŞ PEN</v>
      </c>
      <c r="E298" s="658"/>
      <c r="F298" s="658"/>
      <c r="G298" s="659"/>
    </row>
    <row r="299" spans="2:9" ht="31.5" customHeight="1" thickBot="1">
      <c r="B299" s="260" t="s">
        <v>873</v>
      </c>
      <c r="C299" s="248"/>
      <c r="D299" s="644" t="str">
        <f>'1PROJE'!$F$3</f>
        <v>GÜRKAN BEY</v>
      </c>
      <c r="E299" s="645"/>
      <c r="F299" s="645"/>
      <c r="G299" s="646"/>
    </row>
    <row r="300" spans="2:9" ht="31.5" customHeight="1" thickBot="1">
      <c r="B300" s="260" t="s">
        <v>356</v>
      </c>
      <c r="C300" s="248"/>
      <c r="D300" s="647" t="e" cm="1">
        <f t="array" aca="1" ref="D300" ca="1">INDIRECT("xHesaplama!I"&amp;""&amp;ROW(D300)+70-7*ROUNDDOWN(ROW(D300)/8,0))</f>
        <v>#N/A</v>
      </c>
      <c r="E300" s="648"/>
      <c r="F300" s="648"/>
      <c r="G300" s="649"/>
    </row>
    <row r="301" spans="2:9" ht="31.5" customHeight="1" thickBot="1">
      <c r="B301" s="260" t="s">
        <v>874</v>
      </c>
      <c r="C301" s="248"/>
      <c r="D301" s="650" t="str">
        <f>$H$1</f>
        <v>BOX</v>
      </c>
      <c r="E301" s="651"/>
      <c r="F301" s="651"/>
      <c r="G301" s="652"/>
    </row>
    <row r="302" spans="2:9" ht="31.5" customHeight="1" thickBot="1">
      <c r="B302" s="260" t="s">
        <v>875</v>
      </c>
      <c r="C302" s="248"/>
      <c r="D302" s="653" t="str">
        <f>'1PROJE'!$G$3</f>
        <v>Z 5001</v>
      </c>
      <c r="E302" s="654"/>
      <c r="F302" s="654"/>
      <c r="G302" s="655"/>
      <c r="I302" s="250"/>
    </row>
    <row r="303" spans="2:9" ht="31.5" customHeight="1" thickBot="1">
      <c r="B303" s="260" t="s">
        <v>876</v>
      </c>
      <c r="D303" s="653" cm="1">
        <f t="array" aca="1" ref="D303" ca="1">INDIRECT("xHesaplama!H"&amp;""&amp;ROW(D300)+70-7*ROUNDDOWN(ROW(D300)/8,0))</f>
        <v>0</v>
      </c>
      <c r="E303" s="654"/>
      <c r="F303" s="654"/>
      <c r="G303" s="655"/>
    </row>
    <row r="304" spans="2:9" ht="31.5" customHeight="1" thickBot="1">
      <c r="B304" s="260" t="s">
        <v>877</v>
      </c>
      <c r="D304" s="252" t="s">
        <v>878</v>
      </c>
      <c r="E304" s="253" t="e" cm="1">
        <f t="array" aca="1" ref="E304" ca="1">INDIRECT("xHesaplama!J"&amp;""&amp;ROW(D300)+70-7*ROUNDDOWN(ROW(D300)/8,0))</f>
        <v>#N/A</v>
      </c>
      <c r="F304" s="254" t="s">
        <v>879</v>
      </c>
      <c r="G304" s="253" t="e" cm="1">
        <f t="array" aca="1" ref="G304" ca="1">INDIRECT("xHesaplama!K"&amp;""&amp;ROW(D300)+70-7*ROUNDDOWN(ROW(D300)/8,0))</f>
        <v>#N/A</v>
      </c>
    </row>
    <row r="305" spans="2:9" ht="69" customHeight="1" thickBot="1">
      <c r="B305" s="259" t="s">
        <v>869</v>
      </c>
      <c r="C305" s="248"/>
      <c r="D305" s="656"/>
      <c r="E305" s="656"/>
      <c r="F305" s="656"/>
      <c r="G305" s="656"/>
    </row>
    <row r="306" spans="2:9" ht="31.5" customHeight="1" thickBot="1">
      <c r="B306" s="260" t="s">
        <v>872</v>
      </c>
      <c r="C306" s="248"/>
      <c r="D306" s="657" t="str">
        <f>'1PROJE'!$E$3</f>
        <v>GÜNEŞ PEN</v>
      </c>
      <c r="E306" s="658"/>
      <c r="F306" s="658"/>
      <c r="G306" s="659"/>
    </row>
    <row r="307" spans="2:9" ht="31.5" customHeight="1" thickBot="1">
      <c r="B307" s="260" t="s">
        <v>873</v>
      </c>
      <c r="C307" s="248"/>
      <c r="D307" s="644" t="str">
        <f>'1PROJE'!$F$3</f>
        <v>GÜRKAN BEY</v>
      </c>
      <c r="E307" s="645"/>
      <c r="F307" s="645"/>
      <c r="G307" s="646"/>
    </row>
    <row r="308" spans="2:9" ht="31.5" customHeight="1" thickBot="1">
      <c r="B308" s="260" t="s">
        <v>356</v>
      </c>
      <c r="C308" s="248"/>
      <c r="D308" s="647" t="e" cm="1">
        <f t="array" aca="1" ref="D308" ca="1">INDIRECT("xHesaplama!I"&amp;""&amp;ROW(D308)+70-7*ROUNDDOWN(ROW(D308)/8,0))</f>
        <v>#N/A</v>
      </c>
      <c r="E308" s="648"/>
      <c r="F308" s="648"/>
      <c r="G308" s="649"/>
    </row>
    <row r="309" spans="2:9" ht="31.5" customHeight="1" thickBot="1">
      <c r="B309" s="260" t="s">
        <v>874</v>
      </c>
      <c r="C309" s="248"/>
      <c r="D309" s="650" t="str">
        <f>$H$1</f>
        <v>BOX</v>
      </c>
      <c r="E309" s="651"/>
      <c r="F309" s="651"/>
      <c r="G309" s="652"/>
    </row>
    <row r="310" spans="2:9" ht="31.5" customHeight="1" thickBot="1">
      <c r="B310" s="260" t="s">
        <v>875</v>
      </c>
      <c r="C310" s="248"/>
      <c r="D310" s="653" t="str">
        <f>'1PROJE'!$G$3</f>
        <v>Z 5001</v>
      </c>
      <c r="E310" s="654"/>
      <c r="F310" s="654"/>
      <c r="G310" s="655"/>
      <c r="I310" s="250"/>
    </row>
    <row r="311" spans="2:9" ht="31.5" customHeight="1" thickBot="1">
      <c r="B311" s="260" t="s">
        <v>876</v>
      </c>
      <c r="D311" s="653" cm="1">
        <f t="array" aca="1" ref="D311" ca="1">INDIRECT("xHesaplama!H"&amp;""&amp;ROW(D308)+70-7*ROUNDDOWN(ROW(D308)/8,0))</f>
        <v>0</v>
      </c>
      <c r="E311" s="654"/>
      <c r="F311" s="654"/>
      <c r="G311" s="655"/>
    </row>
    <row r="312" spans="2:9" ht="31.5" customHeight="1" thickBot="1">
      <c r="B312" s="260" t="s">
        <v>877</v>
      </c>
      <c r="D312" s="252" t="s">
        <v>878</v>
      </c>
      <c r="E312" s="253" t="e" cm="1">
        <f t="array" aca="1" ref="E312" ca="1">INDIRECT("xHesaplama!J"&amp;""&amp;ROW(D308)+70-7*ROUNDDOWN(ROW(D308)/8,0))</f>
        <v>#N/A</v>
      </c>
      <c r="F312" s="254" t="s">
        <v>879</v>
      </c>
      <c r="G312" s="253" t="e" cm="1">
        <f t="array" aca="1" ref="G312" ca="1">INDIRECT("xHesaplama!K"&amp;""&amp;ROW(D308)+70-7*ROUNDDOWN(ROW(D308)/8,0))</f>
        <v>#N/A</v>
      </c>
    </row>
    <row r="313" spans="2:9" ht="69" customHeight="1" thickBot="1">
      <c r="B313" s="259" t="s">
        <v>869</v>
      </c>
      <c r="C313" s="248"/>
      <c r="D313" s="656"/>
      <c r="E313" s="656"/>
      <c r="F313" s="656"/>
      <c r="G313" s="656"/>
    </row>
    <row r="314" spans="2:9" ht="31.5" customHeight="1" thickBot="1">
      <c r="B314" s="260" t="s">
        <v>872</v>
      </c>
      <c r="C314" s="248"/>
      <c r="D314" s="657" t="str">
        <f>'1PROJE'!$E$3</f>
        <v>GÜNEŞ PEN</v>
      </c>
      <c r="E314" s="658"/>
      <c r="F314" s="658"/>
      <c r="G314" s="659"/>
    </row>
    <row r="315" spans="2:9" ht="31.5" customHeight="1" thickBot="1">
      <c r="B315" s="260" t="s">
        <v>873</v>
      </c>
      <c r="C315" s="248"/>
      <c r="D315" s="644" t="str">
        <f>'1PROJE'!$F$3</f>
        <v>GÜRKAN BEY</v>
      </c>
      <c r="E315" s="645"/>
      <c r="F315" s="645"/>
      <c r="G315" s="646"/>
    </row>
    <row r="316" spans="2:9" ht="31.5" customHeight="1" thickBot="1">
      <c r="B316" s="260" t="s">
        <v>356</v>
      </c>
      <c r="C316" s="248"/>
      <c r="D316" s="647" t="e" cm="1">
        <f t="array" aca="1" ref="D316" ca="1">INDIRECT("xHesaplama!I"&amp;""&amp;ROW(D316)+70-7*ROUNDDOWN(ROW(D316)/8,0))</f>
        <v>#N/A</v>
      </c>
      <c r="E316" s="648"/>
      <c r="F316" s="648"/>
      <c r="G316" s="649"/>
    </row>
    <row r="317" spans="2:9" ht="31.5" customHeight="1" thickBot="1">
      <c r="B317" s="260" t="s">
        <v>874</v>
      </c>
      <c r="C317" s="248"/>
      <c r="D317" s="650" t="str">
        <f>$H$1</f>
        <v>BOX</v>
      </c>
      <c r="E317" s="651"/>
      <c r="F317" s="651"/>
      <c r="G317" s="652"/>
    </row>
    <row r="318" spans="2:9" ht="31.5" customHeight="1" thickBot="1">
      <c r="B318" s="260" t="s">
        <v>875</v>
      </c>
      <c r="C318" s="248"/>
      <c r="D318" s="653" t="str">
        <f>'1PROJE'!$G$3</f>
        <v>Z 5001</v>
      </c>
      <c r="E318" s="654"/>
      <c r="F318" s="654"/>
      <c r="G318" s="655"/>
      <c r="I318" s="250"/>
    </row>
    <row r="319" spans="2:9" ht="31.5" customHeight="1" thickBot="1">
      <c r="B319" s="260" t="s">
        <v>876</v>
      </c>
      <c r="D319" s="653" cm="1">
        <f t="array" aca="1" ref="D319" ca="1">INDIRECT("xHesaplama!H"&amp;""&amp;ROW(D316)+70-7*ROUNDDOWN(ROW(D316)/8,0))</f>
        <v>0</v>
      </c>
      <c r="E319" s="654"/>
      <c r="F319" s="654"/>
      <c r="G319" s="655"/>
    </row>
    <row r="320" spans="2:9" ht="31.5" customHeight="1" thickBot="1">
      <c r="B320" s="260" t="s">
        <v>877</v>
      </c>
      <c r="D320" s="252" t="s">
        <v>878</v>
      </c>
      <c r="E320" s="253" t="e" cm="1">
        <f t="array" aca="1" ref="E320" ca="1">INDIRECT("xHesaplama!J"&amp;""&amp;ROW(D316)+70-7*ROUNDDOWN(ROW(D316)/8,0))</f>
        <v>#N/A</v>
      </c>
      <c r="F320" s="254" t="s">
        <v>879</v>
      </c>
      <c r="G320" s="253" t="e" cm="1">
        <f t="array" aca="1" ref="G320" ca="1">INDIRECT("xHesaplama!K"&amp;""&amp;ROW(D316)+70-7*ROUNDDOWN(ROW(D316)/8,0))</f>
        <v>#N/A</v>
      </c>
    </row>
    <row r="321" spans="2:9" ht="69" customHeight="1" thickBot="1">
      <c r="B321" s="259" t="s">
        <v>869</v>
      </c>
      <c r="C321" s="248"/>
      <c r="D321" s="656"/>
      <c r="E321" s="656"/>
      <c r="F321" s="656"/>
      <c r="G321" s="656"/>
    </row>
    <row r="322" spans="2:9" ht="31.5" customHeight="1" thickBot="1">
      <c r="B322" s="260" t="s">
        <v>872</v>
      </c>
      <c r="C322" s="248"/>
      <c r="D322" s="657" t="str">
        <f>'1PROJE'!$E$3</f>
        <v>GÜNEŞ PEN</v>
      </c>
      <c r="E322" s="658"/>
      <c r="F322" s="658"/>
      <c r="G322" s="659"/>
    </row>
    <row r="323" spans="2:9" ht="31.5" customHeight="1" thickBot="1">
      <c r="B323" s="260" t="s">
        <v>873</v>
      </c>
      <c r="C323" s="248"/>
      <c r="D323" s="644" t="str">
        <f>'1PROJE'!$F$3</f>
        <v>GÜRKAN BEY</v>
      </c>
      <c r="E323" s="645"/>
      <c r="F323" s="645"/>
      <c r="G323" s="646"/>
    </row>
    <row r="324" spans="2:9" ht="31.5" customHeight="1" thickBot="1">
      <c r="B324" s="260" t="s">
        <v>356</v>
      </c>
      <c r="C324" s="248"/>
      <c r="D324" s="647" t="e" cm="1">
        <f t="array" aca="1" ref="D324" ca="1">INDIRECT("xHesaplama!I"&amp;""&amp;ROW(D324)+70-7*ROUNDDOWN(ROW(D324)/8,0))</f>
        <v>#N/A</v>
      </c>
      <c r="E324" s="648"/>
      <c r="F324" s="648"/>
      <c r="G324" s="649"/>
    </row>
    <row r="325" spans="2:9" ht="31.5" customHeight="1" thickBot="1">
      <c r="B325" s="260" t="s">
        <v>874</v>
      </c>
      <c r="C325" s="248"/>
      <c r="D325" s="650" t="str">
        <f>$H$1</f>
        <v>BOX</v>
      </c>
      <c r="E325" s="651"/>
      <c r="F325" s="651"/>
      <c r="G325" s="652"/>
    </row>
    <row r="326" spans="2:9" ht="31.5" customHeight="1" thickBot="1">
      <c r="B326" s="260" t="s">
        <v>875</v>
      </c>
      <c r="C326" s="248"/>
      <c r="D326" s="653" t="str">
        <f>'1PROJE'!$G$3</f>
        <v>Z 5001</v>
      </c>
      <c r="E326" s="654"/>
      <c r="F326" s="654"/>
      <c r="G326" s="655"/>
      <c r="I326" s="250"/>
    </row>
    <row r="327" spans="2:9" ht="31.5" customHeight="1" thickBot="1">
      <c r="B327" s="260" t="s">
        <v>876</v>
      </c>
      <c r="D327" s="653" cm="1">
        <f t="array" aca="1" ref="D327" ca="1">INDIRECT("xHesaplama!H"&amp;""&amp;ROW(D324)+70-7*ROUNDDOWN(ROW(D324)/8,0))</f>
        <v>0</v>
      </c>
      <c r="E327" s="654"/>
      <c r="F327" s="654"/>
      <c r="G327" s="655"/>
    </row>
    <row r="328" spans="2:9" ht="31.5" customHeight="1" thickBot="1">
      <c r="B328" s="260" t="s">
        <v>877</v>
      </c>
      <c r="D328" s="252" t="s">
        <v>878</v>
      </c>
      <c r="E328" s="253" t="e" cm="1">
        <f t="array" aca="1" ref="E328" ca="1">INDIRECT("xHesaplama!J"&amp;""&amp;ROW(D324)+70-7*ROUNDDOWN(ROW(D324)/8,0))</f>
        <v>#N/A</v>
      </c>
      <c r="F328" s="254" t="s">
        <v>879</v>
      </c>
      <c r="G328" s="253" t="e" cm="1">
        <f t="array" aca="1" ref="G328" ca="1">INDIRECT("xHesaplama!K"&amp;""&amp;ROW(D324)+70-7*ROUNDDOWN(ROW(D324)/8,0))</f>
        <v>#N/A</v>
      </c>
    </row>
    <row r="329" spans="2:9" ht="69" customHeight="1" thickBot="1">
      <c r="B329" s="259" t="s">
        <v>869</v>
      </c>
      <c r="C329" s="248"/>
      <c r="D329" s="656"/>
      <c r="E329" s="656"/>
      <c r="F329" s="656"/>
      <c r="G329" s="656"/>
    </row>
    <row r="330" spans="2:9" ht="31.5" customHeight="1" thickBot="1">
      <c r="B330" s="260" t="s">
        <v>872</v>
      </c>
      <c r="C330" s="248"/>
      <c r="D330" s="657" t="str">
        <f>'1PROJE'!$E$3</f>
        <v>GÜNEŞ PEN</v>
      </c>
      <c r="E330" s="658"/>
      <c r="F330" s="658"/>
      <c r="G330" s="659"/>
    </row>
    <row r="331" spans="2:9" ht="31.5" customHeight="1" thickBot="1">
      <c r="B331" s="260" t="s">
        <v>873</v>
      </c>
      <c r="C331" s="248"/>
      <c r="D331" s="644" t="str">
        <f>'1PROJE'!$F$3</f>
        <v>GÜRKAN BEY</v>
      </c>
      <c r="E331" s="645"/>
      <c r="F331" s="645"/>
      <c r="G331" s="646"/>
    </row>
    <row r="332" spans="2:9" ht="31.5" customHeight="1" thickBot="1">
      <c r="B332" s="260" t="s">
        <v>356</v>
      </c>
      <c r="C332" s="248"/>
      <c r="D332" s="647" t="e" cm="1">
        <f t="array" aca="1" ref="D332" ca="1">INDIRECT("xHesaplama!I"&amp;""&amp;ROW(D332)+70-7*ROUNDDOWN(ROW(D332)/8,0))</f>
        <v>#N/A</v>
      </c>
      <c r="E332" s="648"/>
      <c r="F332" s="648"/>
      <c r="G332" s="649"/>
    </row>
    <row r="333" spans="2:9" ht="31.5" customHeight="1" thickBot="1">
      <c r="B333" s="260" t="s">
        <v>874</v>
      </c>
      <c r="C333" s="248"/>
      <c r="D333" s="650" t="str">
        <f>$H$1</f>
        <v>BOX</v>
      </c>
      <c r="E333" s="651"/>
      <c r="F333" s="651"/>
      <c r="G333" s="652"/>
    </row>
    <row r="334" spans="2:9" ht="31.5" customHeight="1" thickBot="1">
      <c r="B334" s="260" t="s">
        <v>875</v>
      </c>
      <c r="C334" s="248"/>
      <c r="D334" s="653" t="str">
        <f>'1PROJE'!$G$3</f>
        <v>Z 5001</v>
      </c>
      <c r="E334" s="654"/>
      <c r="F334" s="654"/>
      <c r="G334" s="655"/>
      <c r="I334" s="250"/>
    </row>
    <row r="335" spans="2:9" ht="31.5" customHeight="1" thickBot="1">
      <c r="B335" s="260" t="s">
        <v>876</v>
      </c>
      <c r="D335" s="653" cm="1">
        <f t="array" aca="1" ref="D335" ca="1">INDIRECT("xHesaplama!H"&amp;""&amp;ROW(D332)+70-7*ROUNDDOWN(ROW(D332)/8,0))</f>
        <v>0</v>
      </c>
      <c r="E335" s="654"/>
      <c r="F335" s="654"/>
      <c r="G335" s="655"/>
    </row>
    <row r="336" spans="2:9" ht="31.5" customHeight="1" thickBot="1">
      <c r="B336" s="260" t="s">
        <v>877</v>
      </c>
      <c r="D336" s="252" t="s">
        <v>878</v>
      </c>
      <c r="E336" s="253" t="e" cm="1">
        <f t="array" aca="1" ref="E336" ca="1">INDIRECT("xHesaplama!J"&amp;""&amp;ROW(D332)+70-7*ROUNDDOWN(ROW(D332)/8,0))</f>
        <v>#N/A</v>
      </c>
      <c r="F336" s="254" t="s">
        <v>879</v>
      </c>
      <c r="G336" s="253" t="e" cm="1">
        <f t="array" aca="1" ref="G336" ca="1">INDIRECT("xHesaplama!K"&amp;""&amp;ROW(D332)+70-7*ROUNDDOWN(ROW(D332)/8,0))</f>
        <v>#N/A</v>
      </c>
    </row>
    <row r="337" spans="2:9" ht="69" customHeight="1" thickBot="1">
      <c r="B337" s="259" t="s">
        <v>869</v>
      </c>
      <c r="C337" s="248"/>
      <c r="D337" s="656"/>
      <c r="E337" s="656"/>
      <c r="F337" s="656"/>
      <c r="G337" s="656"/>
    </row>
    <row r="338" spans="2:9" ht="31.5" customHeight="1" thickBot="1">
      <c r="B338" s="260" t="s">
        <v>872</v>
      </c>
      <c r="C338" s="248"/>
      <c r="D338" s="657" t="str">
        <f>'1PROJE'!$E$3</f>
        <v>GÜNEŞ PEN</v>
      </c>
      <c r="E338" s="658"/>
      <c r="F338" s="658"/>
      <c r="G338" s="659"/>
    </row>
    <row r="339" spans="2:9" ht="31.5" customHeight="1" thickBot="1">
      <c r="B339" s="260" t="s">
        <v>873</v>
      </c>
      <c r="C339" s="248"/>
      <c r="D339" s="644" t="str">
        <f>'1PROJE'!$F$3</f>
        <v>GÜRKAN BEY</v>
      </c>
      <c r="E339" s="645"/>
      <c r="F339" s="645"/>
      <c r="G339" s="646"/>
    </row>
    <row r="340" spans="2:9" ht="31.5" customHeight="1" thickBot="1">
      <c r="B340" s="260" t="s">
        <v>356</v>
      </c>
      <c r="C340" s="248"/>
      <c r="D340" s="647" t="e" cm="1">
        <f t="array" aca="1" ref="D340" ca="1">INDIRECT("xHesaplama!I"&amp;""&amp;ROW(D340)+70-7*ROUNDDOWN(ROW(D340)/8,0))</f>
        <v>#N/A</v>
      </c>
      <c r="E340" s="648"/>
      <c r="F340" s="648"/>
      <c r="G340" s="649"/>
    </row>
    <row r="341" spans="2:9" ht="31.5" customHeight="1" thickBot="1">
      <c r="B341" s="260" t="s">
        <v>874</v>
      </c>
      <c r="C341" s="248"/>
      <c r="D341" s="650" t="str">
        <f>$H$1</f>
        <v>BOX</v>
      </c>
      <c r="E341" s="651"/>
      <c r="F341" s="651"/>
      <c r="G341" s="652"/>
    </row>
    <row r="342" spans="2:9" ht="31.5" customHeight="1" thickBot="1">
      <c r="B342" s="260" t="s">
        <v>875</v>
      </c>
      <c r="C342" s="248"/>
      <c r="D342" s="653" t="str">
        <f>'1PROJE'!$G$3</f>
        <v>Z 5001</v>
      </c>
      <c r="E342" s="654"/>
      <c r="F342" s="654"/>
      <c r="G342" s="655"/>
      <c r="I342" s="250"/>
    </row>
    <row r="343" spans="2:9" ht="31.5" customHeight="1" thickBot="1">
      <c r="B343" s="260" t="s">
        <v>876</v>
      </c>
      <c r="D343" s="653" cm="1">
        <f t="array" aca="1" ref="D343" ca="1">INDIRECT("xHesaplama!H"&amp;""&amp;ROW(D340)+70-7*ROUNDDOWN(ROW(D340)/8,0))</f>
        <v>0</v>
      </c>
      <c r="E343" s="654"/>
      <c r="F343" s="654"/>
      <c r="G343" s="655"/>
    </row>
    <row r="344" spans="2:9" ht="31.5" customHeight="1" thickBot="1">
      <c r="B344" s="260" t="s">
        <v>877</v>
      </c>
      <c r="D344" s="252" t="s">
        <v>878</v>
      </c>
      <c r="E344" s="253" t="e" cm="1">
        <f t="array" aca="1" ref="E344" ca="1">INDIRECT("xHesaplama!J"&amp;""&amp;ROW(D340)+70-7*ROUNDDOWN(ROW(D340)/8,0))</f>
        <v>#N/A</v>
      </c>
      <c r="F344" s="254" t="s">
        <v>879</v>
      </c>
      <c r="G344" s="253" t="e" cm="1">
        <f t="array" aca="1" ref="G344" ca="1">INDIRECT("xHesaplama!K"&amp;""&amp;ROW(D340)+70-7*ROUNDDOWN(ROW(D340)/8,0))</f>
        <v>#N/A</v>
      </c>
    </row>
    <row r="345" spans="2:9" ht="69" customHeight="1" thickBot="1">
      <c r="B345" s="259" t="s">
        <v>869</v>
      </c>
      <c r="C345" s="248"/>
      <c r="D345" s="656"/>
      <c r="E345" s="656"/>
      <c r="F345" s="656"/>
      <c r="G345" s="656"/>
    </row>
    <row r="346" spans="2:9" ht="31.5" customHeight="1" thickBot="1">
      <c r="B346" s="260" t="s">
        <v>872</v>
      </c>
      <c r="C346" s="248"/>
      <c r="D346" s="657" t="str">
        <f>'1PROJE'!$E$3</f>
        <v>GÜNEŞ PEN</v>
      </c>
      <c r="E346" s="658"/>
      <c r="F346" s="658"/>
      <c r="G346" s="659"/>
    </row>
    <row r="347" spans="2:9" ht="31.5" customHeight="1" thickBot="1">
      <c r="B347" s="260" t="s">
        <v>873</v>
      </c>
      <c r="C347" s="248"/>
      <c r="D347" s="644" t="str">
        <f>'1PROJE'!$F$3</f>
        <v>GÜRKAN BEY</v>
      </c>
      <c r="E347" s="645"/>
      <c r="F347" s="645"/>
      <c r="G347" s="646"/>
    </row>
    <row r="348" spans="2:9" ht="31.5" customHeight="1" thickBot="1">
      <c r="B348" s="260" t="s">
        <v>356</v>
      </c>
      <c r="C348" s="248"/>
      <c r="D348" s="647" t="e" cm="1">
        <f t="array" aca="1" ref="D348" ca="1">INDIRECT("xHesaplama!I"&amp;""&amp;ROW(D348)+70-7*ROUNDDOWN(ROW(D348)/8,0))</f>
        <v>#N/A</v>
      </c>
      <c r="E348" s="648"/>
      <c r="F348" s="648"/>
      <c r="G348" s="649"/>
    </row>
    <row r="349" spans="2:9" ht="31.5" customHeight="1" thickBot="1">
      <c r="B349" s="260" t="s">
        <v>874</v>
      </c>
      <c r="C349" s="248"/>
      <c r="D349" s="650" t="str">
        <f>$H$1</f>
        <v>BOX</v>
      </c>
      <c r="E349" s="651"/>
      <c r="F349" s="651"/>
      <c r="G349" s="652"/>
    </row>
    <row r="350" spans="2:9" ht="31.5" customHeight="1" thickBot="1">
      <c r="B350" s="260" t="s">
        <v>875</v>
      </c>
      <c r="C350" s="248"/>
      <c r="D350" s="653" t="str">
        <f>'1PROJE'!$G$3</f>
        <v>Z 5001</v>
      </c>
      <c r="E350" s="654"/>
      <c r="F350" s="654"/>
      <c r="G350" s="655"/>
      <c r="I350" s="250"/>
    </row>
    <row r="351" spans="2:9" ht="31.5" customHeight="1" thickBot="1">
      <c r="B351" s="260" t="s">
        <v>876</v>
      </c>
      <c r="D351" s="653" cm="1">
        <f t="array" aca="1" ref="D351" ca="1">INDIRECT("xHesaplama!H"&amp;""&amp;ROW(D348)+70-7*ROUNDDOWN(ROW(D348)/8,0))</f>
        <v>0</v>
      </c>
      <c r="E351" s="654"/>
      <c r="F351" s="654"/>
      <c r="G351" s="655"/>
    </row>
    <row r="352" spans="2:9" ht="31.5" customHeight="1" thickBot="1">
      <c r="B352" s="260" t="s">
        <v>877</v>
      </c>
      <c r="D352" s="252" t="s">
        <v>878</v>
      </c>
      <c r="E352" s="253" t="e" cm="1">
        <f t="array" aca="1" ref="E352" ca="1">INDIRECT("xHesaplama!J"&amp;""&amp;ROW(D348)+70-7*ROUNDDOWN(ROW(D348)/8,0))</f>
        <v>#N/A</v>
      </c>
      <c r="F352" s="254" t="s">
        <v>879</v>
      </c>
      <c r="G352" s="253" t="e" cm="1">
        <f t="array" aca="1" ref="G352" ca="1">INDIRECT("xHesaplama!K"&amp;""&amp;ROW(D348)+70-7*ROUNDDOWN(ROW(D348)/8,0))</f>
        <v>#N/A</v>
      </c>
    </row>
    <row r="353" spans="2:9" ht="69" customHeight="1" thickBot="1">
      <c r="B353" s="259" t="s">
        <v>869</v>
      </c>
      <c r="C353" s="248"/>
      <c r="D353" s="656"/>
      <c r="E353" s="656"/>
      <c r="F353" s="656"/>
      <c r="G353" s="656"/>
    </row>
    <row r="354" spans="2:9" ht="31.5" customHeight="1" thickBot="1">
      <c r="B354" s="260" t="s">
        <v>872</v>
      </c>
      <c r="C354" s="248"/>
      <c r="D354" s="657" t="str">
        <f>'1PROJE'!$E$3</f>
        <v>GÜNEŞ PEN</v>
      </c>
      <c r="E354" s="658"/>
      <c r="F354" s="658"/>
      <c r="G354" s="659"/>
    </row>
    <row r="355" spans="2:9" ht="31.5" customHeight="1" thickBot="1">
      <c r="B355" s="260" t="s">
        <v>873</v>
      </c>
      <c r="C355" s="248"/>
      <c r="D355" s="644" t="str">
        <f>'1PROJE'!$F$3</f>
        <v>GÜRKAN BEY</v>
      </c>
      <c r="E355" s="645"/>
      <c r="F355" s="645"/>
      <c r="G355" s="646"/>
    </row>
    <row r="356" spans="2:9" ht="31.5" customHeight="1" thickBot="1">
      <c r="B356" s="260" t="s">
        <v>356</v>
      </c>
      <c r="C356" s="248"/>
      <c r="D356" s="647" t="e" cm="1">
        <f t="array" aca="1" ref="D356" ca="1">INDIRECT("xHesaplama!I"&amp;""&amp;ROW(D356)+70-7*ROUNDDOWN(ROW(D356)/8,0))</f>
        <v>#N/A</v>
      </c>
      <c r="E356" s="648"/>
      <c r="F356" s="648"/>
      <c r="G356" s="649"/>
    </row>
    <row r="357" spans="2:9" ht="31.5" customHeight="1" thickBot="1">
      <c r="B357" s="260" t="s">
        <v>874</v>
      </c>
      <c r="C357" s="248"/>
      <c r="D357" s="650" t="str">
        <f>$H$1</f>
        <v>BOX</v>
      </c>
      <c r="E357" s="651"/>
      <c r="F357" s="651"/>
      <c r="G357" s="652"/>
    </row>
    <row r="358" spans="2:9" ht="31.5" customHeight="1" thickBot="1">
      <c r="B358" s="260" t="s">
        <v>875</v>
      </c>
      <c r="C358" s="248"/>
      <c r="D358" s="653" t="str">
        <f>'1PROJE'!$G$3</f>
        <v>Z 5001</v>
      </c>
      <c r="E358" s="654"/>
      <c r="F358" s="654"/>
      <c r="G358" s="655"/>
      <c r="I358" s="250"/>
    </row>
    <row r="359" spans="2:9" ht="31.5" customHeight="1" thickBot="1">
      <c r="B359" s="260" t="s">
        <v>876</v>
      </c>
      <c r="D359" s="653" cm="1">
        <f t="array" aca="1" ref="D359" ca="1">INDIRECT("xHesaplama!H"&amp;""&amp;ROW(D356)+70-7*ROUNDDOWN(ROW(D356)/8,0))</f>
        <v>0</v>
      </c>
      <c r="E359" s="654"/>
      <c r="F359" s="654"/>
      <c r="G359" s="655"/>
    </row>
    <row r="360" spans="2:9" ht="31.5" customHeight="1" thickBot="1">
      <c r="B360" s="260" t="s">
        <v>877</v>
      </c>
      <c r="D360" s="252" t="s">
        <v>878</v>
      </c>
      <c r="E360" s="253" t="e" cm="1">
        <f t="array" aca="1" ref="E360" ca="1">INDIRECT("xHesaplama!J"&amp;""&amp;ROW(D356)+70-7*ROUNDDOWN(ROW(D356)/8,0))</f>
        <v>#N/A</v>
      </c>
      <c r="F360" s="254" t="s">
        <v>879</v>
      </c>
      <c r="G360" s="253" t="e" cm="1">
        <f t="array" aca="1" ref="G360" ca="1">INDIRECT("xHesaplama!K"&amp;""&amp;ROW(D356)+70-7*ROUNDDOWN(ROW(D356)/8,0))</f>
        <v>#N/A</v>
      </c>
    </row>
    <row r="361" spans="2:9" ht="69" customHeight="1" thickBot="1">
      <c r="B361" s="259" t="s">
        <v>869</v>
      </c>
      <c r="C361" s="248"/>
      <c r="D361" s="656"/>
      <c r="E361" s="656"/>
      <c r="F361" s="656"/>
      <c r="G361" s="656"/>
    </row>
    <row r="362" spans="2:9" ht="31.5" customHeight="1" thickBot="1">
      <c r="B362" s="260" t="s">
        <v>872</v>
      </c>
      <c r="C362" s="248"/>
      <c r="D362" s="657" t="str">
        <f>'1PROJE'!$E$3</f>
        <v>GÜNEŞ PEN</v>
      </c>
      <c r="E362" s="658"/>
      <c r="F362" s="658"/>
      <c r="G362" s="659"/>
    </row>
    <row r="363" spans="2:9" ht="31.5" customHeight="1" thickBot="1">
      <c r="B363" s="260" t="s">
        <v>873</v>
      </c>
      <c r="C363" s="248"/>
      <c r="D363" s="644" t="str">
        <f>'1PROJE'!$F$3</f>
        <v>GÜRKAN BEY</v>
      </c>
      <c r="E363" s="645"/>
      <c r="F363" s="645"/>
      <c r="G363" s="646"/>
    </row>
    <row r="364" spans="2:9" ht="31.5" customHeight="1" thickBot="1">
      <c r="B364" s="260" t="s">
        <v>356</v>
      </c>
      <c r="C364" s="248"/>
      <c r="D364" s="647" t="e" cm="1">
        <f t="array" aca="1" ref="D364" ca="1">INDIRECT("xHesaplama!I"&amp;""&amp;ROW(D364)+70-7*ROUNDDOWN(ROW(D364)/8,0))</f>
        <v>#N/A</v>
      </c>
      <c r="E364" s="648"/>
      <c r="F364" s="648"/>
      <c r="G364" s="649"/>
    </row>
    <row r="365" spans="2:9" ht="31.5" customHeight="1" thickBot="1">
      <c r="B365" s="260" t="s">
        <v>874</v>
      </c>
      <c r="C365" s="248"/>
      <c r="D365" s="650" t="str">
        <f>$H$1</f>
        <v>BOX</v>
      </c>
      <c r="E365" s="651"/>
      <c r="F365" s="651"/>
      <c r="G365" s="652"/>
    </row>
    <row r="366" spans="2:9" ht="31.5" customHeight="1" thickBot="1">
      <c r="B366" s="260" t="s">
        <v>875</v>
      </c>
      <c r="C366" s="248"/>
      <c r="D366" s="653" t="str">
        <f>'1PROJE'!$G$3</f>
        <v>Z 5001</v>
      </c>
      <c r="E366" s="654"/>
      <c r="F366" s="654"/>
      <c r="G366" s="655"/>
      <c r="I366" s="250"/>
    </row>
    <row r="367" spans="2:9" ht="31.5" customHeight="1" thickBot="1">
      <c r="B367" s="260" t="s">
        <v>876</v>
      </c>
      <c r="D367" s="653" cm="1">
        <f t="array" aca="1" ref="D367" ca="1">INDIRECT("xHesaplama!H"&amp;""&amp;ROW(D364)+70-7*ROUNDDOWN(ROW(D364)/8,0))</f>
        <v>0</v>
      </c>
      <c r="E367" s="654"/>
      <c r="F367" s="654"/>
      <c r="G367" s="655"/>
    </row>
    <row r="368" spans="2:9" ht="31.5" customHeight="1" thickBot="1">
      <c r="B368" s="260" t="s">
        <v>877</v>
      </c>
      <c r="D368" s="252" t="s">
        <v>878</v>
      </c>
      <c r="E368" s="253" t="e" cm="1">
        <f t="array" aca="1" ref="E368" ca="1">INDIRECT("xHesaplama!J"&amp;""&amp;ROW(D364)+70-7*ROUNDDOWN(ROW(D364)/8,0))</f>
        <v>#N/A</v>
      </c>
      <c r="F368" s="254" t="s">
        <v>879</v>
      </c>
      <c r="G368" s="253" t="e" cm="1">
        <f t="array" aca="1" ref="G368" ca="1">INDIRECT("xHesaplama!K"&amp;""&amp;ROW(D364)+70-7*ROUNDDOWN(ROW(D364)/8,0))</f>
        <v>#N/A</v>
      </c>
    </row>
    <row r="369" spans="2:9" ht="69" customHeight="1" thickBot="1">
      <c r="B369" s="259" t="s">
        <v>869</v>
      </c>
      <c r="C369" s="248"/>
      <c r="D369" s="656"/>
      <c r="E369" s="656"/>
      <c r="F369" s="656"/>
      <c r="G369" s="656"/>
    </row>
    <row r="370" spans="2:9" ht="31.5" customHeight="1" thickBot="1">
      <c r="B370" s="260" t="s">
        <v>872</v>
      </c>
      <c r="C370" s="248"/>
      <c r="D370" s="657" t="str">
        <f>'1PROJE'!$E$3</f>
        <v>GÜNEŞ PEN</v>
      </c>
      <c r="E370" s="658"/>
      <c r="F370" s="658"/>
      <c r="G370" s="659"/>
    </row>
    <row r="371" spans="2:9" ht="31.5" customHeight="1" thickBot="1">
      <c r="B371" s="260" t="s">
        <v>873</v>
      </c>
      <c r="C371" s="248"/>
      <c r="D371" s="644" t="str">
        <f>'1PROJE'!$F$3</f>
        <v>GÜRKAN BEY</v>
      </c>
      <c r="E371" s="645"/>
      <c r="F371" s="645"/>
      <c r="G371" s="646"/>
    </row>
    <row r="372" spans="2:9" ht="31.5" customHeight="1" thickBot="1">
      <c r="B372" s="260" t="s">
        <v>356</v>
      </c>
      <c r="C372" s="248"/>
      <c r="D372" s="647" t="e" cm="1">
        <f t="array" aca="1" ref="D372" ca="1">INDIRECT("xHesaplama!I"&amp;""&amp;ROW(D372)+70-7*ROUNDDOWN(ROW(D372)/8,0))</f>
        <v>#N/A</v>
      </c>
      <c r="E372" s="648"/>
      <c r="F372" s="648"/>
      <c r="G372" s="649"/>
    </row>
    <row r="373" spans="2:9" ht="31.5" customHeight="1" thickBot="1">
      <c r="B373" s="260" t="s">
        <v>874</v>
      </c>
      <c r="C373" s="248"/>
      <c r="D373" s="650" t="str">
        <f>$H$1</f>
        <v>BOX</v>
      </c>
      <c r="E373" s="651"/>
      <c r="F373" s="651"/>
      <c r="G373" s="652"/>
    </row>
    <row r="374" spans="2:9" ht="31.5" customHeight="1" thickBot="1">
      <c r="B374" s="260" t="s">
        <v>875</v>
      </c>
      <c r="C374" s="248"/>
      <c r="D374" s="653" t="str">
        <f>'1PROJE'!$G$3</f>
        <v>Z 5001</v>
      </c>
      <c r="E374" s="654"/>
      <c r="F374" s="654"/>
      <c r="G374" s="655"/>
      <c r="I374" s="250"/>
    </row>
    <row r="375" spans="2:9" ht="31.5" customHeight="1" thickBot="1">
      <c r="B375" s="260" t="s">
        <v>876</v>
      </c>
      <c r="D375" s="653" cm="1">
        <f t="array" aca="1" ref="D375" ca="1">INDIRECT("xHesaplama!H"&amp;""&amp;ROW(D372)+70-7*ROUNDDOWN(ROW(D372)/8,0))</f>
        <v>0</v>
      </c>
      <c r="E375" s="654"/>
      <c r="F375" s="654"/>
      <c r="G375" s="655"/>
    </row>
    <row r="376" spans="2:9" ht="31.5" customHeight="1" thickBot="1">
      <c r="B376" s="260" t="s">
        <v>877</v>
      </c>
      <c r="D376" s="252" t="s">
        <v>878</v>
      </c>
      <c r="E376" s="253" t="e" cm="1">
        <f t="array" aca="1" ref="E376" ca="1">INDIRECT("xHesaplama!J"&amp;""&amp;ROW(D372)+70-7*ROUNDDOWN(ROW(D372)/8,0))</f>
        <v>#N/A</v>
      </c>
      <c r="F376" s="254" t="s">
        <v>879</v>
      </c>
      <c r="G376" s="253" t="e" cm="1">
        <f t="array" aca="1" ref="G376" ca="1">INDIRECT("xHesaplama!K"&amp;""&amp;ROW(D372)+70-7*ROUNDDOWN(ROW(D372)/8,0))</f>
        <v>#N/A</v>
      </c>
    </row>
    <row r="377" spans="2:9" ht="69" customHeight="1" thickBot="1">
      <c r="B377" s="259" t="s">
        <v>869</v>
      </c>
      <c r="C377" s="248"/>
      <c r="D377" s="656"/>
      <c r="E377" s="656"/>
      <c r="F377" s="656"/>
      <c r="G377" s="656"/>
    </row>
    <row r="378" spans="2:9" ht="31.5" customHeight="1" thickBot="1">
      <c r="B378" s="260" t="s">
        <v>872</v>
      </c>
      <c r="C378" s="248"/>
      <c r="D378" s="657" t="str">
        <f>'1PROJE'!$E$3</f>
        <v>GÜNEŞ PEN</v>
      </c>
      <c r="E378" s="658"/>
      <c r="F378" s="658"/>
      <c r="G378" s="659"/>
    </row>
    <row r="379" spans="2:9" ht="31.5" customHeight="1" thickBot="1">
      <c r="B379" s="260" t="s">
        <v>873</v>
      </c>
      <c r="C379" s="248"/>
      <c r="D379" s="644" t="str">
        <f>'1PROJE'!$F$3</f>
        <v>GÜRKAN BEY</v>
      </c>
      <c r="E379" s="645"/>
      <c r="F379" s="645"/>
      <c r="G379" s="646"/>
    </row>
    <row r="380" spans="2:9" ht="31.5" customHeight="1" thickBot="1">
      <c r="B380" s="260" t="s">
        <v>356</v>
      </c>
      <c r="C380" s="248"/>
      <c r="D380" s="647" t="e" cm="1">
        <f t="array" aca="1" ref="D380" ca="1">INDIRECT("xHesaplama!I"&amp;""&amp;ROW(D380)+70-7*ROUNDDOWN(ROW(D380)/8,0))</f>
        <v>#N/A</v>
      </c>
      <c r="E380" s="648"/>
      <c r="F380" s="648"/>
      <c r="G380" s="649"/>
    </row>
    <row r="381" spans="2:9" ht="31.5" customHeight="1" thickBot="1">
      <c r="B381" s="260" t="s">
        <v>874</v>
      </c>
      <c r="C381" s="248"/>
      <c r="D381" s="650" t="str">
        <f>$H$1</f>
        <v>BOX</v>
      </c>
      <c r="E381" s="651"/>
      <c r="F381" s="651"/>
      <c r="G381" s="652"/>
    </row>
    <row r="382" spans="2:9" ht="31.5" customHeight="1" thickBot="1">
      <c r="B382" s="260" t="s">
        <v>875</v>
      </c>
      <c r="C382" s="248"/>
      <c r="D382" s="653" t="str">
        <f>'1PROJE'!$G$3</f>
        <v>Z 5001</v>
      </c>
      <c r="E382" s="654"/>
      <c r="F382" s="654"/>
      <c r="G382" s="655"/>
      <c r="I382" s="250"/>
    </row>
    <row r="383" spans="2:9" ht="31.5" customHeight="1" thickBot="1">
      <c r="B383" s="260" t="s">
        <v>876</v>
      </c>
      <c r="D383" s="653" cm="1">
        <f t="array" aca="1" ref="D383" ca="1">INDIRECT("xHesaplama!H"&amp;""&amp;ROW(D380)+70-7*ROUNDDOWN(ROW(D380)/8,0))</f>
        <v>0</v>
      </c>
      <c r="E383" s="654"/>
      <c r="F383" s="654"/>
      <c r="G383" s="655"/>
    </row>
    <row r="384" spans="2:9" ht="31.5" customHeight="1" thickBot="1">
      <c r="B384" s="260" t="s">
        <v>877</v>
      </c>
      <c r="D384" s="252" t="s">
        <v>878</v>
      </c>
      <c r="E384" s="253" t="e" cm="1">
        <f t="array" aca="1" ref="E384" ca="1">INDIRECT("xHesaplama!J"&amp;""&amp;ROW(D380)+70-7*ROUNDDOWN(ROW(D380)/8,0))</f>
        <v>#N/A</v>
      </c>
      <c r="F384" s="254" t="s">
        <v>879</v>
      </c>
      <c r="G384" s="253" t="e" cm="1">
        <f t="array" aca="1" ref="G384" ca="1">INDIRECT("xHesaplama!K"&amp;""&amp;ROW(D380)+70-7*ROUNDDOWN(ROW(D380)/8,0))</f>
        <v>#N/A</v>
      </c>
    </row>
    <row r="385" spans="2:9" ht="69" customHeight="1" thickBot="1">
      <c r="B385" s="259" t="s">
        <v>869</v>
      </c>
      <c r="C385" s="248"/>
      <c r="D385" s="656"/>
      <c r="E385" s="656"/>
      <c r="F385" s="656"/>
      <c r="G385" s="656"/>
    </row>
    <row r="386" spans="2:9" ht="31.5" customHeight="1" thickBot="1">
      <c r="B386" s="260" t="s">
        <v>872</v>
      </c>
      <c r="C386" s="248"/>
      <c r="D386" s="657" t="str">
        <f>'1PROJE'!$E$3</f>
        <v>GÜNEŞ PEN</v>
      </c>
      <c r="E386" s="658"/>
      <c r="F386" s="658"/>
      <c r="G386" s="659"/>
    </row>
    <row r="387" spans="2:9" ht="31.5" customHeight="1" thickBot="1">
      <c r="B387" s="260" t="s">
        <v>873</v>
      </c>
      <c r="C387" s="248"/>
      <c r="D387" s="644" t="str">
        <f>'1PROJE'!$F$3</f>
        <v>GÜRKAN BEY</v>
      </c>
      <c r="E387" s="645"/>
      <c r="F387" s="645"/>
      <c r="G387" s="646"/>
    </row>
    <row r="388" spans="2:9" ht="31.5" customHeight="1" thickBot="1">
      <c r="B388" s="260" t="s">
        <v>356</v>
      </c>
      <c r="C388" s="248"/>
      <c r="D388" s="647" t="e" cm="1">
        <f t="array" aca="1" ref="D388" ca="1">INDIRECT("xHesaplama!I"&amp;""&amp;ROW(D388)+70-7*ROUNDDOWN(ROW(D388)/8,0))</f>
        <v>#N/A</v>
      </c>
      <c r="E388" s="648"/>
      <c r="F388" s="648"/>
      <c r="G388" s="649"/>
    </row>
    <row r="389" spans="2:9" ht="31.5" customHeight="1" thickBot="1">
      <c r="B389" s="260" t="s">
        <v>874</v>
      </c>
      <c r="C389" s="248"/>
      <c r="D389" s="650" t="str">
        <f>$H$1</f>
        <v>BOX</v>
      </c>
      <c r="E389" s="651"/>
      <c r="F389" s="651"/>
      <c r="G389" s="652"/>
    </row>
    <row r="390" spans="2:9" ht="31.5" customHeight="1" thickBot="1">
      <c r="B390" s="260" t="s">
        <v>875</v>
      </c>
      <c r="C390" s="248"/>
      <c r="D390" s="653" t="str">
        <f>'1PROJE'!$G$3</f>
        <v>Z 5001</v>
      </c>
      <c r="E390" s="654"/>
      <c r="F390" s="654"/>
      <c r="G390" s="655"/>
      <c r="I390" s="250"/>
    </row>
    <row r="391" spans="2:9" ht="31.5" customHeight="1" thickBot="1">
      <c r="B391" s="260" t="s">
        <v>876</v>
      </c>
      <c r="D391" s="653" cm="1">
        <f t="array" aca="1" ref="D391" ca="1">INDIRECT("xHesaplama!H"&amp;""&amp;ROW(D388)+70-7*ROUNDDOWN(ROW(D388)/8,0))</f>
        <v>0</v>
      </c>
      <c r="E391" s="654"/>
      <c r="F391" s="654"/>
      <c r="G391" s="655"/>
    </row>
    <row r="392" spans="2:9" ht="31.5" customHeight="1" thickBot="1">
      <c r="B392" s="260" t="s">
        <v>877</v>
      </c>
      <c r="D392" s="252" t="s">
        <v>878</v>
      </c>
      <c r="E392" s="253" t="e" cm="1">
        <f t="array" aca="1" ref="E392" ca="1">INDIRECT("xHesaplama!J"&amp;""&amp;ROW(D388)+70-7*ROUNDDOWN(ROW(D388)/8,0))</f>
        <v>#N/A</v>
      </c>
      <c r="F392" s="254" t="s">
        <v>879</v>
      </c>
      <c r="G392" s="253" t="e" cm="1">
        <f t="array" aca="1" ref="G392" ca="1">INDIRECT("xHesaplama!K"&amp;""&amp;ROW(D388)+70-7*ROUNDDOWN(ROW(D388)/8,0))</f>
        <v>#N/A</v>
      </c>
    </row>
    <row r="393" spans="2:9" ht="69" customHeight="1" thickBot="1">
      <c r="B393" s="259" t="s">
        <v>869</v>
      </c>
      <c r="C393" s="248"/>
      <c r="D393" s="656"/>
      <c r="E393" s="656"/>
      <c r="F393" s="656"/>
      <c r="G393" s="656"/>
    </row>
    <row r="394" spans="2:9" ht="31.5" customHeight="1" thickBot="1">
      <c r="B394" s="260" t="s">
        <v>872</v>
      </c>
      <c r="C394" s="248"/>
      <c r="D394" s="657" t="str">
        <f>'1PROJE'!$E$3</f>
        <v>GÜNEŞ PEN</v>
      </c>
      <c r="E394" s="658"/>
      <c r="F394" s="658"/>
      <c r="G394" s="659"/>
    </row>
    <row r="395" spans="2:9" ht="31.5" customHeight="1" thickBot="1">
      <c r="B395" s="260" t="s">
        <v>873</v>
      </c>
      <c r="C395" s="248"/>
      <c r="D395" s="644" t="str">
        <f>'1PROJE'!$F$3</f>
        <v>GÜRKAN BEY</v>
      </c>
      <c r="E395" s="645"/>
      <c r="F395" s="645"/>
      <c r="G395" s="646"/>
    </row>
    <row r="396" spans="2:9" ht="31.5" customHeight="1" thickBot="1">
      <c r="B396" s="260" t="s">
        <v>356</v>
      </c>
      <c r="C396" s="248"/>
      <c r="D396" s="647" t="e" cm="1">
        <f t="array" aca="1" ref="D396" ca="1">INDIRECT("xHesaplama!I"&amp;""&amp;ROW(D396)+70-7*ROUNDDOWN(ROW(D396)/8,0))</f>
        <v>#N/A</v>
      </c>
      <c r="E396" s="648"/>
      <c r="F396" s="648"/>
      <c r="G396" s="649"/>
    </row>
    <row r="397" spans="2:9" ht="31.5" customHeight="1" thickBot="1">
      <c r="B397" s="260" t="s">
        <v>874</v>
      </c>
      <c r="C397" s="248"/>
      <c r="D397" s="650" t="str">
        <f>$H$1</f>
        <v>BOX</v>
      </c>
      <c r="E397" s="651"/>
      <c r="F397" s="651"/>
      <c r="G397" s="652"/>
    </row>
    <row r="398" spans="2:9" ht="31.5" customHeight="1" thickBot="1">
      <c r="B398" s="260" t="s">
        <v>875</v>
      </c>
      <c r="C398" s="248"/>
      <c r="D398" s="653" t="str">
        <f>'1PROJE'!$G$3</f>
        <v>Z 5001</v>
      </c>
      <c r="E398" s="654"/>
      <c r="F398" s="654"/>
      <c r="G398" s="655"/>
      <c r="I398" s="250"/>
    </row>
    <row r="399" spans="2:9" ht="31.5" customHeight="1" thickBot="1">
      <c r="B399" s="260" t="s">
        <v>876</v>
      </c>
      <c r="D399" s="653" cm="1">
        <f t="array" aca="1" ref="D399" ca="1">INDIRECT("xHesaplama!H"&amp;""&amp;ROW(D396)+70-7*ROUNDDOWN(ROW(D396)/8,0))</f>
        <v>0</v>
      </c>
      <c r="E399" s="654"/>
      <c r="F399" s="654"/>
      <c r="G399" s="655"/>
    </row>
    <row r="400" spans="2:9" ht="31.5" customHeight="1" thickBot="1">
      <c r="B400" s="260" t="s">
        <v>877</v>
      </c>
      <c r="D400" s="252" t="s">
        <v>878</v>
      </c>
      <c r="E400" s="253" t="e" cm="1">
        <f t="array" aca="1" ref="E400" ca="1">INDIRECT("xHesaplama!J"&amp;""&amp;ROW(D396)+70-7*ROUNDDOWN(ROW(D396)/8,0))</f>
        <v>#N/A</v>
      </c>
      <c r="F400" s="254" t="s">
        <v>879</v>
      </c>
      <c r="G400" s="253" t="e" cm="1">
        <f t="array" aca="1" ref="G400" ca="1">INDIRECT("xHesaplama!K"&amp;""&amp;ROW(D396)+70-7*ROUNDDOWN(ROW(D396)/8,0))</f>
        <v>#N/A</v>
      </c>
    </row>
    <row r="401" spans="2:9" ht="69" customHeight="1" thickBot="1">
      <c r="B401" s="259" t="s">
        <v>869</v>
      </c>
      <c r="C401" s="248"/>
      <c r="D401" s="656"/>
      <c r="E401" s="656"/>
      <c r="F401" s="656"/>
      <c r="G401" s="656"/>
    </row>
    <row r="402" spans="2:9" ht="31.5" customHeight="1" thickBot="1">
      <c r="B402" s="260" t="s">
        <v>872</v>
      </c>
      <c r="C402" s="248"/>
      <c r="D402" s="657" t="str">
        <f>'1PROJE'!$E$3</f>
        <v>GÜNEŞ PEN</v>
      </c>
      <c r="E402" s="658"/>
      <c r="F402" s="658"/>
      <c r="G402" s="659"/>
    </row>
    <row r="403" spans="2:9" ht="31.5" customHeight="1" thickBot="1">
      <c r="B403" s="260" t="s">
        <v>873</v>
      </c>
      <c r="C403" s="248"/>
      <c r="D403" s="644" t="str">
        <f>'1PROJE'!$F$3</f>
        <v>GÜRKAN BEY</v>
      </c>
      <c r="E403" s="645"/>
      <c r="F403" s="645"/>
      <c r="G403" s="646"/>
    </row>
    <row r="404" spans="2:9" ht="31.5" customHeight="1" thickBot="1">
      <c r="B404" s="260" t="s">
        <v>356</v>
      </c>
      <c r="C404" s="248"/>
      <c r="D404" s="647" t="e" cm="1">
        <f t="array" aca="1" ref="D404" ca="1">INDIRECT("xHesaplama!I"&amp;""&amp;ROW(D404)+70-7*ROUNDDOWN(ROW(D404)/8,0))</f>
        <v>#N/A</v>
      </c>
      <c r="E404" s="648"/>
      <c r="F404" s="648"/>
      <c r="G404" s="649"/>
    </row>
    <row r="405" spans="2:9" ht="31.5" customHeight="1" thickBot="1">
      <c r="B405" s="260" t="s">
        <v>874</v>
      </c>
      <c r="C405" s="248"/>
      <c r="D405" s="650" t="str">
        <f>$H$1</f>
        <v>BOX</v>
      </c>
      <c r="E405" s="651"/>
      <c r="F405" s="651"/>
      <c r="G405" s="652"/>
    </row>
    <row r="406" spans="2:9" ht="31.5" customHeight="1" thickBot="1">
      <c r="B406" s="260" t="s">
        <v>875</v>
      </c>
      <c r="C406" s="248"/>
      <c r="D406" s="653" t="str">
        <f>'1PROJE'!$G$3</f>
        <v>Z 5001</v>
      </c>
      <c r="E406" s="654"/>
      <c r="F406" s="654"/>
      <c r="G406" s="655"/>
      <c r="I406" s="250"/>
    </row>
    <row r="407" spans="2:9" ht="31.5" customHeight="1" thickBot="1">
      <c r="B407" s="260" t="s">
        <v>876</v>
      </c>
      <c r="D407" s="653" cm="1">
        <f t="array" aca="1" ref="D407" ca="1">INDIRECT("xHesaplama!H"&amp;""&amp;ROW(D404)+70-7*ROUNDDOWN(ROW(D404)/8,0))</f>
        <v>0</v>
      </c>
      <c r="E407" s="654"/>
      <c r="F407" s="654"/>
      <c r="G407" s="655"/>
    </row>
    <row r="408" spans="2:9" ht="31.5" customHeight="1" thickBot="1">
      <c r="B408" s="260" t="s">
        <v>877</v>
      </c>
      <c r="D408" s="252" t="s">
        <v>878</v>
      </c>
      <c r="E408" s="253" t="e" cm="1">
        <f t="array" aca="1" ref="E408" ca="1">INDIRECT("xHesaplama!J"&amp;""&amp;ROW(D404)+70-7*ROUNDDOWN(ROW(D404)/8,0))</f>
        <v>#N/A</v>
      </c>
      <c r="F408" s="254" t="s">
        <v>879</v>
      </c>
      <c r="G408" s="253" t="e" cm="1">
        <f t="array" aca="1" ref="G408" ca="1">INDIRECT("xHesaplama!K"&amp;""&amp;ROW(D404)+70-7*ROUNDDOWN(ROW(D404)/8,0))</f>
        <v>#N/A</v>
      </c>
    </row>
    <row r="409" spans="2:9" ht="69" customHeight="1" thickBot="1">
      <c r="B409" s="259" t="s">
        <v>869</v>
      </c>
      <c r="C409" s="248"/>
      <c r="D409" s="656"/>
      <c r="E409" s="656"/>
      <c r="F409" s="656"/>
      <c r="G409" s="656"/>
    </row>
    <row r="410" spans="2:9" ht="31.5" customHeight="1" thickBot="1">
      <c r="B410" s="260" t="s">
        <v>872</v>
      </c>
      <c r="C410" s="248"/>
      <c r="D410" s="657" t="str">
        <f>'1PROJE'!$E$3</f>
        <v>GÜNEŞ PEN</v>
      </c>
      <c r="E410" s="658"/>
      <c r="F410" s="658"/>
      <c r="G410" s="659"/>
    </row>
    <row r="411" spans="2:9" ht="31.5" customHeight="1" thickBot="1">
      <c r="B411" s="260" t="s">
        <v>873</v>
      </c>
      <c r="C411" s="248"/>
      <c r="D411" s="644" t="str">
        <f>'1PROJE'!$F$3</f>
        <v>GÜRKAN BEY</v>
      </c>
      <c r="E411" s="645"/>
      <c r="F411" s="645"/>
      <c r="G411" s="646"/>
    </row>
    <row r="412" spans="2:9" ht="31.5" customHeight="1" thickBot="1">
      <c r="B412" s="260" t="s">
        <v>356</v>
      </c>
      <c r="C412" s="248"/>
      <c r="D412" s="647" t="e" cm="1">
        <f t="array" aca="1" ref="D412" ca="1">INDIRECT("xHesaplama!I"&amp;""&amp;ROW(D412)+70-7*ROUNDDOWN(ROW(D412)/8,0))</f>
        <v>#N/A</v>
      </c>
      <c r="E412" s="648"/>
      <c r="F412" s="648"/>
      <c r="G412" s="649"/>
    </row>
    <row r="413" spans="2:9" ht="31.5" customHeight="1" thickBot="1">
      <c r="B413" s="260" t="s">
        <v>874</v>
      </c>
      <c r="C413" s="248"/>
      <c r="D413" s="650" t="str">
        <f>$H$1</f>
        <v>BOX</v>
      </c>
      <c r="E413" s="651"/>
      <c r="F413" s="651"/>
      <c r="G413" s="652"/>
    </row>
    <row r="414" spans="2:9" ht="31.5" customHeight="1" thickBot="1">
      <c r="B414" s="260" t="s">
        <v>875</v>
      </c>
      <c r="C414" s="248"/>
      <c r="D414" s="653" t="str">
        <f>'1PROJE'!$G$3</f>
        <v>Z 5001</v>
      </c>
      <c r="E414" s="654"/>
      <c r="F414" s="654"/>
      <c r="G414" s="655"/>
      <c r="I414" s="250"/>
    </row>
    <row r="415" spans="2:9" ht="31.5" customHeight="1" thickBot="1">
      <c r="B415" s="260" t="s">
        <v>876</v>
      </c>
      <c r="D415" s="653" cm="1">
        <f t="array" aca="1" ref="D415" ca="1">INDIRECT("xHesaplama!H"&amp;""&amp;ROW(D412)+70-7*ROUNDDOWN(ROW(D412)/8,0))</f>
        <v>0</v>
      </c>
      <c r="E415" s="654"/>
      <c r="F415" s="654"/>
      <c r="G415" s="655"/>
    </row>
    <row r="416" spans="2:9" ht="31.5" customHeight="1" thickBot="1">
      <c r="B416" s="260" t="s">
        <v>877</v>
      </c>
      <c r="D416" s="252" t="s">
        <v>878</v>
      </c>
      <c r="E416" s="253" t="e" cm="1">
        <f t="array" aca="1" ref="E416" ca="1">INDIRECT("xHesaplama!J"&amp;""&amp;ROW(D412)+70-7*ROUNDDOWN(ROW(D412)/8,0))</f>
        <v>#N/A</v>
      </c>
      <c r="F416" s="254" t="s">
        <v>879</v>
      </c>
      <c r="G416" s="253" t="e" cm="1">
        <f t="array" aca="1" ref="G416" ca="1">INDIRECT("xHesaplama!K"&amp;""&amp;ROW(D412)+70-7*ROUNDDOWN(ROW(D412)/8,0))</f>
        <v>#N/A</v>
      </c>
    </row>
    <row r="417" spans="2:9" ht="69" customHeight="1" thickBot="1">
      <c r="B417" s="259" t="s">
        <v>869</v>
      </c>
      <c r="C417" s="248"/>
      <c r="D417" s="656"/>
      <c r="E417" s="656"/>
      <c r="F417" s="656"/>
      <c r="G417" s="656"/>
    </row>
    <row r="418" spans="2:9" ht="31.5" customHeight="1" thickBot="1">
      <c r="B418" s="260" t="s">
        <v>872</v>
      </c>
      <c r="C418" s="248"/>
      <c r="D418" s="657" t="str">
        <f>'1PROJE'!$E$3</f>
        <v>GÜNEŞ PEN</v>
      </c>
      <c r="E418" s="658"/>
      <c r="F418" s="658"/>
      <c r="G418" s="659"/>
    </row>
    <row r="419" spans="2:9" ht="31.5" customHeight="1" thickBot="1">
      <c r="B419" s="260" t="s">
        <v>873</v>
      </c>
      <c r="C419" s="248"/>
      <c r="D419" s="644" t="str">
        <f>'1PROJE'!$F$3</f>
        <v>GÜRKAN BEY</v>
      </c>
      <c r="E419" s="645"/>
      <c r="F419" s="645"/>
      <c r="G419" s="646"/>
    </row>
    <row r="420" spans="2:9" ht="31.5" customHeight="1" thickBot="1">
      <c r="B420" s="260" t="s">
        <v>356</v>
      </c>
      <c r="C420" s="248"/>
      <c r="D420" s="647" t="e" cm="1">
        <f t="array" aca="1" ref="D420" ca="1">INDIRECT("xHesaplama!I"&amp;""&amp;ROW(D420)+70-7*ROUNDDOWN(ROW(D420)/8,0))</f>
        <v>#N/A</v>
      </c>
      <c r="E420" s="648"/>
      <c r="F420" s="648"/>
      <c r="G420" s="649"/>
    </row>
    <row r="421" spans="2:9" ht="31.5" customHeight="1" thickBot="1">
      <c r="B421" s="260" t="s">
        <v>874</v>
      </c>
      <c r="C421" s="248"/>
      <c r="D421" s="650" t="str">
        <f>$H$1</f>
        <v>BOX</v>
      </c>
      <c r="E421" s="651"/>
      <c r="F421" s="651"/>
      <c r="G421" s="652"/>
    </row>
    <row r="422" spans="2:9" ht="31.5" customHeight="1" thickBot="1">
      <c r="B422" s="260" t="s">
        <v>875</v>
      </c>
      <c r="C422" s="248"/>
      <c r="D422" s="653" t="str">
        <f>'1PROJE'!$G$3</f>
        <v>Z 5001</v>
      </c>
      <c r="E422" s="654"/>
      <c r="F422" s="654"/>
      <c r="G422" s="655"/>
      <c r="I422" s="250"/>
    </row>
    <row r="423" spans="2:9" ht="31.5" customHeight="1" thickBot="1">
      <c r="B423" s="260" t="s">
        <v>876</v>
      </c>
      <c r="D423" s="653" cm="1">
        <f t="array" aca="1" ref="D423" ca="1">INDIRECT("xHesaplama!H"&amp;""&amp;ROW(D420)+70-7*ROUNDDOWN(ROW(D420)/8,0))</f>
        <v>0</v>
      </c>
      <c r="E423" s="654"/>
      <c r="F423" s="654"/>
      <c r="G423" s="655"/>
    </row>
    <row r="424" spans="2:9" ht="31.5" customHeight="1" thickBot="1">
      <c r="B424" s="260" t="s">
        <v>877</v>
      </c>
      <c r="D424" s="252" t="s">
        <v>878</v>
      </c>
      <c r="E424" s="253" t="e" cm="1">
        <f t="array" aca="1" ref="E424" ca="1">INDIRECT("xHesaplama!J"&amp;""&amp;ROW(D420)+70-7*ROUNDDOWN(ROW(D420)/8,0))</f>
        <v>#N/A</v>
      </c>
      <c r="F424" s="254" t="s">
        <v>879</v>
      </c>
      <c r="G424" s="253" t="e" cm="1">
        <f t="array" aca="1" ref="G424" ca="1">INDIRECT("xHesaplama!K"&amp;""&amp;ROW(D420)+70-7*ROUNDDOWN(ROW(D420)/8,0))</f>
        <v>#N/A</v>
      </c>
    </row>
    <row r="425" spans="2:9" ht="69" customHeight="1" thickBot="1">
      <c r="B425" s="259" t="s">
        <v>869</v>
      </c>
      <c r="C425" s="248"/>
      <c r="D425" s="656"/>
      <c r="E425" s="656"/>
      <c r="F425" s="656"/>
      <c r="G425" s="656"/>
    </row>
    <row r="426" spans="2:9" ht="31.5" customHeight="1" thickBot="1">
      <c r="B426" s="260" t="s">
        <v>872</v>
      </c>
      <c r="C426" s="248"/>
      <c r="D426" s="657" t="str">
        <f>'1PROJE'!$E$3</f>
        <v>GÜNEŞ PEN</v>
      </c>
      <c r="E426" s="658"/>
      <c r="F426" s="658"/>
      <c r="G426" s="659"/>
    </row>
    <row r="427" spans="2:9" ht="31.5" customHeight="1" thickBot="1">
      <c r="B427" s="260" t="s">
        <v>873</v>
      </c>
      <c r="C427" s="248"/>
      <c r="D427" s="644" t="str">
        <f>'1PROJE'!$F$3</f>
        <v>GÜRKAN BEY</v>
      </c>
      <c r="E427" s="645"/>
      <c r="F427" s="645"/>
      <c r="G427" s="646"/>
    </row>
    <row r="428" spans="2:9" ht="31.5" customHeight="1" thickBot="1">
      <c r="B428" s="260" t="s">
        <v>356</v>
      </c>
      <c r="C428" s="248"/>
      <c r="D428" s="647" t="e" cm="1">
        <f t="array" aca="1" ref="D428" ca="1">INDIRECT("xHesaplama!I"&amp;""&amp;ROW(D428)+70-7*ROUNDDOWN(ROW(D428)/8,0))</f>
        <v>#N/A</v>
      </c>
      <c r="E428" s="648"/>
      <c r="F428" s="648"/>
      <c r="G428" s="649"/>
    </row>
    <row r="429" spans="2:9" ht="31.5" customHeight="1" thickBot="1">
      <c r="B429" s="260" t="s">
        <v>874</v>
      </c>
      <c r="C429" s="248"/>
      <c r="D429" s="650" t="str">
        <f>$H$1</f>
        <v>BOX</v>
      </c>
      <c r="E429" s="651"/>
      <c r="F429" s="651"/>
      <c r="G429" s="652"/>
    </row>
    <row r="430" spans="2:9" ht="31.5" customHeight="1" thickBot="1">
      <c r="B430" s="260" t="s">
        <v>875</v>
      </c>
      <c r="C430" s="248"/>
      <c r="D430" s="653" t="str">
        <f>'1PROJE'!$G$3</f>
        <v>Z 5001</v>
      </c>
      <c r="E430" s="654"/>
      <c r="F430" s="654"/>
      <c r="G430" s="655"/>
      <c r="I430" s="250"/>
    </row>
    <row r="431" spans="2:9" ht="31.5" customHeight="1" thickBot="1">
      <c r="B431" s="260" t="s">
        <v>876</v>
      </c>
      <c r="D431" s="653" cm="1">
        <f t="array" aca="1" ref="D431" ca="1">INDIRECT("xHesaplama!H"&amp;""&amp;ROW(D428)+70-7*ROUNDDOWN(ROW(D428)/8,0))</f>
        <v>0</v>
      </c>
      <c r="E431" s="654"/>
      <c r="F431" s="654"/>
      <c r="G431" s="655"/>
    </row>
    <row r="432" spans="2:9" ht="31.5" customHeight="1" thickBot="1">
      <c r="B432" s="260" t="s">
        <v>877</v>
      </c>
      <c r="D432" s="252" t="s">
        <v>878</v>
      </c>
      <c r="E432" s="253" t="e" cm="1">
        <f t="array" aca="1" ref="E432" ca="1">INDIRECT("xHesaplama!J"&amp;""&amp;ROW(D428)+70-7*ROUNDDOWN(ROW(D428)/8,0))</f>
        <v>#N/A</v>
      </c>
      <c r="F432" s="254" t="s">
        <v>879</v>
      </c>
      <c r="G432" s="253" t="e" cm="1">
        <f t="array" aca="1" ref="G432" ca="1">INDIRECT("xHesaplama!K"&amp;""&amp;ROW(D428)+70-7*ROUNDDOWN(ROW(D428)/8,0))</f>
        <v>#N/A</v>
      </c>
    </row>
    <row r="433" spans="2:9" ht="69" customHeight="1" thickBot="1">
      <c r="B433" s="259" t="s">
        <v>869</v>
      </c>
      <c r="C433" s="248"/>
      <c r="D433" s="656"/>
      <c r="E433" s="656"/>
      <c r="F433" s="656"/>
      <c r="G433" s="656"/>
    </row>
    <row r="434" spans="2:9" ht="31.5" customHeight="1" thickBot="1">
      <c r="B434" s="260" t="s">
        <v>872</v>
      </c>
      <c r="C434" s="248"/>
      <c r="D434" s="657" t="str">
        <f>'1PROJE'!$E$3</f>
        <v>GÜNEŞ PEN</v>
      </c>
      <c r="E434" s="658"/>
      <c r="F434" s="658"/>
      <c r="G434" s="659"/>
    </row>
    <row r="435" spans="2:9" ht="31.5" customHeight="1" thickBot="1">
      <c r="B435" s="260" t="s">
        <v>873</v>
      </c>
      <c r="C435" s="248"/>
      <c r="D435" s="644" t="str">
        <f>'1PROJE'!$F$3</f>
        <v>GÜRKAN BEY</v>
      </c>
      <c r="E435" s="645"/>
      <c r="F435" s="645"/>
      <c r="G435" s="646"/>
    </row>
    <row r="436" spans="2:9" ht="31.5" customHeight="1" thickBot="1">
      <c r="B436" s="260" t="s">
        <v>356</v>
      </c>
      <c r="C436" s="248"/>
      <c r="D436" s="647" t="e" cm="1">
        <f t="array" aca="1" ref="D436" ca="1">INDIRECT("xHesaplama!I"&amp;""&amp;ROW(D436)+70-7*ROUNDDOWN(ROW(D436)/8,0))</f>
        <v>#N/A</v>
      </c>
      <c r="E436" s="648"/>
      <c r="F436" s="648"/>
      <c r="G436" s="649"/>
    </row>
    <row r="437" spans="2:9" ht="31.5" customHeight="1" thickBot="1">
      <c r="B437" s="260" t="s">
        <v>874</v>
      </c>
      <c r="C437" s="248"/>
      <c r="D437" s="650" t="str">
        <f>$H$1</f>
        <v>BOX</v>
      </c>
      <c r="E437" s="651"/>
      <c r="F437" s="651"/>
      <c r="G437" s="652"/>
    </row>
    <row r="438" spans="2:9" ht="31.5" customHeight="1" thickBot="1">
      <c r="B438" s="260" t="s">
        <v>875</v>
      </c>
      <c r="C438" s="248"/>
      <c r="D438" s="653" t="str">
        <f>'1PROJE'!$G$3</f>
        <v>Z 5001</v>
      </c>
      <c r="E438" s="654"/>
      <c r="F438" s="654"/>
      <c r="G438" s="655"/>
      <c r="I438" s="250"/>
    </row>
    <row r="439" spans="2:9" ht="31.5" customHeight="1" thickBot="1">
      <c r="B439" s="260" t="s">
        <v>876</v>
      </c>
      <c r="D439" s="653" cm="1">
        <f t="array" aca="1" ref="D439" ca="1">INDIRECT("xHesaplama!H"&amp;""&amp;ROW(D436)+70-7*ROUNDDOWN(ROW(D436)/8,0))</f>
        <v>0</v>
      </c>
      <c r="E439" s="654"/>
      <c r="F439" s="654"/>
      <c r="G439" s="655"/>
    </row>
    <row r="440" spans="2:9" ht="31.5" customHeight="1" thickBot="1">
      <c r="B440" s="260" t="s">
        <v>877</v>
      </c>
      <c r="D440" s="252" t="s">
        <v>878</v>
      </c>
      <c r="E440" s="253" t="e" cm="1">
        <f t="array" aca="1" ref="E440" ca="1">INDIRECT("xHesaplama!J"&amp;""&amp;ROW(D436)+70-7*ROUNDDOWN(ROW(D436)/8,0))</f>
        <v>#N/A</v>
      </c>
      <c r="F440" s="254" t="s">
        <v>879</v>
      </c>
      <c r="G440" s="253" t="e" cm="1">
        <f t="array" aca="1" ref="G440" ca="1">INDIRECT("xHesaplama!K"&amp;""&amp;ROW(D436)+70-7*ROUNDDOWN(ROW(D436)/8,0))</f>
        <v>#N/A</v>
      </c>
    </row>
    <row r="441" spans="2:9" ht="69" customHeight="1" thickBot="1">
      <c r="B441" s="259" t="s">
        <v>869</v>
      </c>
      <c r="C441" s="248"/>
      <c r="D441" s="656"/>
      <c r="E441" s="656"/>
      <c r="F441" s="656"/>
      <c r="G441" s="656"/>
    </row>
    <row r="442" spans="2:9" ht="31.5" customHeight="1" thickBot="1">
      <c r="B442" s="260" t="s">
        <v>872</v>
      </c>
      <c r="C442" s="248"/>
      <c r="D442" s="657" t="str">
        <f>'1PROJE'!$E$3</f>
        <v>GÜNEŞ PEN</v>
      </c>
      <c r="E442" s="658"/>
      <c r="F442" s="658"/>
      <c r="G442" s="659"/>
    </row>
    <row r="443" spans="2:9" ht="31.5" customHeight="1" thickBot="1">
      <c r="B443" s="260" t="s">
        <v>873</v>
      </c>
      <c r="C443" s="248"/>
      <c r="D443" s="644" t="str">
        <f>'1PROJE'!$F$3</f>
        <v>GÜRKAN BEY</v>
      </c>
      <c r="E443" s="645"/>
      <c r="F443" s="645"/>
      <c r="G443" s="646"/>
    </row>
    <row r="444" spans="2:9" ht="31.5" customHeight="1" thickBot="1">
      <c r="B444" s="260" t="s">
        <v>356</v>
      </c>
      <c r="C444" s="248"/>
      <c r="D444" s="647" t="e" cm="1">
        <f t="array" aca="1" ref="D444" ca="1">INDIRECT("xHesaplama!I"&amp;""&amp;ROW(D444)+70-7*ROUNDDOWN(ROW(D444)/8,0))</f>
        <v>#N/A</v>
      </c>
      <c r="E444" s="648"/>
      <c r="F444" s="648"/>
      <c r="G444" s="649"/>
    </row>
    <row r="445" spans="2:9" ht="31.5" customHeight="1" thickBot="1">
      <c r="B445" s="260" t="s">
        <v>874</v>
      </c>
      <c r="C445" s="248"/>
      <c r="D445" s="650" t="str">
        <f>$H$1</f>
        <v>BOX</v>
      </c>
      <c r="E445" s="651"/>
      <c r="F445" s="651"/>
      <c r="G445" s="652"/>
    </row>
    <row r="446" spans="2:9" ht="31.5" customHeight="1" thickBot="1">
      <c r="B446" s="260" t="s">
        <v>875</v>
      </c>
      <c r="C446" s="248"/>
      <c r="D446" s="653" t="str">
        <f>'1PROJE'!$G$3</f>
        <v>Z 5001</v>
      </c>
      <c r="E446" s="654"/>
      <c r="F446" s="654"/>
      <c r="G446" s="655"/>
      <c r="I446" s="250"/>
    </row>
    <row r="447" spans="2:9" ht="31.5" customHeight="1" thickBot="1">
      <c r="B447" s="260" t="s">
        <v>876</v>
      </c>
      <c r="D447" s="653" cm="1">
        <f t="array" aca="1" ref="D447" ca="1">INDIRECT("xHesaplama!H"&amp;""&amp;ROW(D444)+70-7*ROUNDDOWN(ROW(D444)/8,0))</f>
        <v>0</v>
      </c>
      <c r="E447" s="654"/>
      <c r="F447" s="654"/>
      <c r="G447" s="655"/>
    </row>
    <row r="448" spans="2:9" ht="31.5" customHeight="1" thickBot="1">
      <c r="B448" s="260" t="s">
        <v>877</v>
      </c>
      <c r="D448" s="252" t="s">
        <v>878</v>
      </c>
      <c r="E448" s="253" t="e" cm="1">
        <f t="array" aca="1" ref="E448" ca="1">INDIRECT("xHesaplama!J"&amp;""&amp;ROW(D444)+70-7*ROUNDDOWN(ROW(D444)/8,0))</f>
        <v>#N/A</v>
      </c>
      <c r="F448" s="254" t="s">
        <v>879</v>
      </c>
      <c r="G448" s="253" t="e" cm="1">
        <f t="array" aca="1" ref="G448" ca="1">INDIRECT("xHesaplama!K"&amp;""&amp;ROW(D444)+70-7*ROUNDDOWN(ROW(D444)/8,0))</f>
        <v>#N/A</v>
      </c>
    </row>
    <row r="449" spans="2:9" ht="69" customHeight="1" thickBot="1">
      <c r="B449" s="259" t="s">
        <v>869</v>
      </c>
      <c r="C449" s="248"/>
      <c r="D449" s="656"/>
      <c r="E449" s="656"/>
      <c r="F449" s="656"/>
      <c r="G449" s="656"/>
    </row>
    <row r="450" spans="2:9" ht="31.5" customHeight="1" thickBot="1">
      <c r="B450" s="260" t="s">
        <v>872</v>
      </c>
      <c r="C450" s="248"/>
      <c r="D450" s="657" t="str">
        <f>'1PROJE'!$E$3</f>
        <v>GÜNEŞ PEN</v>
      </c>
      <c r="E450" s="658"/>
      <c r="F450" s="658"/>
      <c r="G450" s="659"/>
    </row>
    <row r="451" spans="2:9" ht="31.5" customHeight="1" thickBot="1">
      <c r="B451" s="260" t="s">
        <v>873</v>
      </c>
      <c r="C451" s="248"/>
      <c r="D451" s="644" t="str">
        <f>'1PROJE'!$F$3</f>
        <v>GÜRKAN BEY</v>
      </c>
      <c r="E451" s="645"/>
      <c r="F451" s="645"/>
      <c r="G451" s="646"/>
    </row>
    <row r="452" spans="2:9" ht="31.5" customHeight="1" thickBot="1">
      <c r="B452" s="260" t="s">
        <v>356</v>
      </c>
      <c r="C452" s="248"/>
      <c r="D452" s="647" t="e" cm="1">
        <f t="array" aca="1" ref="D452" ca="1">INDIRECT("xHesaplama!I"&amp;""&amp;ROW(D452)+70-7*ROUNDDOWN(ROW(D452)/8,0))</f>
        <v>#N/A</v>
      </c>
      <c r="E452" s="648"/>
      <c r="F452" s="648"/>
      <c r="G452" s="649"/>
    </row>
    <row r="453" spans="2:9" ht="31.5" customHeight="1" thickBot="1">
      <c r="B453" s="260" t="s">
        <v>874</v>
      </c>
      <c r="C453" s="248"/>
      <c r="D453" s="650" t="str">
        <f>$H$1</f>
        <v>BOX</v>
      </c>
      <c r="E453" s="651"/>
      <c r="F453" s="651"/>
      <c r="G453" s="652"/>
    </row>
    <row r="454" spans="2:9" ht="31.5" customHeight="1" thickBot="1">
      <c r="B454" s="260" t="s">
        <v>875</v>
      </c>
      <c r="C454" s="248"/>
      <c r="D454" s="653" t="str">
        <f>'1PROJE'!$G$3</f>
        <v>Z 5001</v>
      </c>
      <c r="E454" s="654"/>
      <c r="F454" s="654"/>
      <c r="G454" s="655"/>
      <c r="I454" s="250"/>
    </row>
    <row r="455" spans="2:9" ht="31.5" customHeight="1" thickBot="1">
      <c r="B455" s="260" t="s">
        <v>876</v>
      </c>
      <c r="D455" s="653" cm="1">
        <f t="array" aca="1" ref="D455" ca="1">INDIRECT("xHesaplama!H"&amp;""&amp;ROW(D452)+70-7*ROUNDDOWN(ROW(D452)/8,0))</f>
        <v>0</v>
      </c>
      <c r="E455" s="654"/>
      <c r="F455" s="654"/>
      <c r="G455" s="655"/>
    </row>
    <row r="456" spans="2:9" ht="31.5" customHeight="1" thickBot="1">
      <c r="B456" s="260" t="s">
        <v>877</v>
      </c>
      <c r="D456" s="252" t="s">
        <v>878</v>
      </c>
      <c r="E456" s="253" t="e" cm="1">
        <f t="array" aca="1" ref="E456" ca="1">INDIRECT("xHesaplama!J"&amp;""&amp;ROW(D452)+70-7*ROUNDDOWN(ROW(D452)/8,0))</f>
        <v>#N/A</v>
      </c>
      <c r="F456" s="254" t="s">
        <v>879</v>
      </c>
      <c r="G456" s="253" t="e" cm="1">
        <f t="array" aca="1" ref="G456" ca="1">INDIRECT("xHesaplama!K"&amp;""&amp;ROW(D452)+70-7*ROUNDDOWN(ROW(D452)/8,0))</f>
        <v>#N/A</v>
      </c>
    </row>
    <row r="457" spans="2:9" ht="69" customHeight="1" thickBot="1">
      <c r="B457" s="259" t="s">
        <v>869</v>
      </c>
      <c r="C457" s="248"/>
      <c r="D457" s="656"/>
      <c r="E457" s="656"/>
      <c r="F457" s="656"/>
      <c r="G457" s="656"/>
    </row>
    <row r="458" spans="2:9" ht="31.5" customHeight="1" thickBot="1">
      <c r="B458" s="260" t="s">
        <v>872</v>
      </c>
      <c r="C458" s="248"/>
      <c r="D458" s="657" t="str">
        <f>'1PROJE'!$E$3</f>
        <v>GÜNEŞ PEN</v>
      </c>
      <c r="E458" s="658"/>
      <c r="F458" s="658"/>
      <c r="G458" s="659"/>
    </row>
    <row r="459" spans="2:9" ht="31.5" customHeight="1" thickBot="1">
      <c r="B459" s="260" t="s">
        <v>873</v>
      </c>
      <c r="C459" s="248"/>
      <c r="D459" s="644" t="str">
        <f>'1PROJE'!$F$3</f>
        <v>GÜRKAN BEY</v>
      </c>
      <c r="E459" s="645"/>
      <c r="F459" s="645"/>
      <c r="G459" s="646"/>
    </row>
    <row r="460" spans="2:9" ht="31.5" customHeight="1" thickBot="1">
      <c r="B460" s="260" t="s">
        <v>356</v>
      </c>
      <c r="C460" s="248"/>
      <c r="D460" s="647" t="e" cm="1">
        <f t="array" aca="1" ref="D460" ca="1">INDIRECT("xHesaplama!I"&amp;""&amp;ROW(D460)+70-7*ROUNDDOWN(ROW(D460)/8,0))</f>
        <v>#N/A</v>
      </c>
      <c r="E460" s="648"/>
      <c r="F460" s="648"/>
      <c r="G460" s="649"/>
    </row>
    <row r="461" spans="2:9" ht="31.5" customHeight="1" thickBot="1">
      <c r="B461" s="260" t="s">
        <v>874</v>
      </c>
      <c r="C461" s="248"/>
      <c r="D461" s="650" t="str">
        <f>$H$1</f>
        <v>BOX</v>
      </c>
      <c r="E461" s="651"/>
      <c r="F461" s="651"/>
      <c r="G461" s="652"/>
    </row>
    <row r="462" spans="2:9" ht="31.5" customHeight="1" thickBot="1">
      <c r="B462" s="260" t="s">
        <v>875</v>
      </c>
      <c r="C462" s="248"/>
      <c r="D462" s="653" t="str">
        <f>'1PROJE'!$G$3</f>
        <v>Z 5001</v>
      </c>
      <c r="E462" s="654"/>
      <c r="F462" s="654"/>
      <c r="G462" s="655"/>
      <c r="I462" s="250"/>
    </row>
    <row r="463" spans="2:9" ht="31.5" customHeight="1" thickBot="1">
      <c r="B463" s="260" t="s">
        <v>876</v>
      </c>
      <c r="D463" s="653" cm="1">
        <f t="array" aca="1" ref="D463" ca="1">INDIRECT("xHesaplama!H"&amp;""&amp;ROW(D460)+70-7*ROUNDDOWN(ROW(D460)/8,0))</f>
        <v>0</v>
      </c>
      <c r="E463" s="654"/>
      <c r="F463" s="654"/>
      <c r="G463" s="655"/>
    </row>
    <row r="464" spans="2:9" ht="31.5" customHeight="1" thickBot="1">
      <c r="B464" s="260" t="s">
        <v>877</v>
      </c>
      <c r="D464" s="252" t="s">
        <v>878</v>
      </c>
      <c r="E464" s="253" t="e" cm="1">
        <f t="array" aca="1" ref="E464" ca="1">INDIRECT("xHesaplama!J"&amp;""&amp;ROW(D460)+70-7*ROUNDDOWN(ROW(D460)/8,0))</f>
        <v>#N/A</v>
      </c>
      <c r="F464" s="254" t="s">
        <v>879</v>
      </c>
      <c r="G464" s="253" t="e" cm="1">
        <f t="array" aca="1" ref="G464" ca="1">INDIRECT("xHesaplama!K"&amp;""&amp;ROW(D460)+70-7*ROUNDDOWN(ROW(D460)/8,0))</f>
        <v>#N/A</v>
      </c>
    </row>
    <row r="465" spans="2:9" ht="69" customHeight="1" thickBot="1">
      <c r="B465" s="259" t="s">
        <v>869</v>
      </c>
      <c r="C465" s="248"/>
      <c r="D465" s="656"/>
      <c r="E465" s="656"/>
      <c r="F465" s="656"/>
      <c r="G465" s="656"/>
    </row>
    <row r="466" spans="2:9" ht="31.5" customHeight="1" thickBot="1">
      <c r="B466" s="260" t="s">
        <v>872</v>
      </c>
      <c r="C466" s="248"/>
      <c r="D466" s="657" t="str">
        <f>'1PROJE'!$E$3</f>
        <v>GÜNEŞ PEN</v>
      </c>
      <c r="E466" s="658"/>
      <c r="F466" s="658"/>
      <c r="G466" s="659"/>
    </row>
    <row r="467" spans="2:9" ht="31.5" customHeight="1" thickBot="1">
      <c r="B467" s="260" t="s">
        <v>873</v>
      </c>
      <c r="C467" s="248"/>
      <c r="D467" s="644" t="str">
        <f>'1PROJE'!$F$3</f>
        <v>GÜRKAN BEY</v>
      </c>
      <c r="E467" s="645"/>
      <c r="F467" s="645"/>
      <c r="G467" s="646"/>
    </row>
    <row r="468" spans="2:9" ht="31.5" customHeight="1" thickBot="1">
      <c r="B468" s="260" t="s">
        <v>356</v>
      </c>
      <c r="C468" s="248"/>
      <c r="D468" s="647" t="e" cm="1">
        <f t="array" aca="1" ref="D468" ca="1">INDIRECT("xHesaplama!I"&amp;""&amp;ROW(D468)+70-7*ROUNDDOWN(ROW(D468)/8,0))</f>
        <v>#N/A</v>
      </c>
      <c r="E468" s="648"/>
      <c r="F468" s="648"/>
      <c r="G468" s="649"/>
    </row>
    <row r="469" spans="2:9" ht="31.5" customHeight="1" thickBot="1">
      <c r="B469" s="260" t="s">
        <v>874</v>
      </c>
      <c r="C469" s="248"/>
      <c r="D469" s="650" t="str">
        <f>$H$1</f>
        <v>BOX</v>
      </c>
      <c r="E469" s="651"/>
      <c r="F469" s="651"/>
      <c r="G469" s="652"/>
    </row>
    <row r="470" spans="2:9" ht="31.5" customHeight="1" thickBot="1">
      <c r="B470" s="260" t="s">
        <v>875</v>
      </c>
      <c r="C470" s="248"/>
      <c r="D470" s="653" t="str">
        <f>'1PROJE'!$G$3</f>
        <v>Z 5001</v>
      </c>
      <c r="E470" s="654"/>
      <c r="F470" s="654"/>
      <c r="G470" s="655"/>
      <c r="I470" s="250"/>
    </row>
    <row r="471" spans="2:9" ht="31.5" customHeight="1" thickBot="1">
      <c r="B471" s="260" t="s">
        <v>876</v>
      </c>
      <c r="D471" s="653" cm="1">
        <f t="array" aca="1" ref="D471" ca="1">INDIRECT("xHesaplama!H"&amp;""&amp;ROW(D468)+70-7*ROUNDDOWN(ROW(D468)/8,0))</f>
        <v>0</v>
      </c>
      <c r="E471" s="654"/>
      <c r="F471" s="654"/>
      <c r="G471" s="655"/>
    </row>
    <row r="472" spans="2:9" ht="31.5" customHeight="1" thickBot="1">
      <c r="B472" s="260" t="s">
        <v>877</v>
      </c>
      <c r="D472" s="252" t="s">
        <v>878</v>
      </c>
      <c r="E472" s="253" t="e" cm="1">
        <f t="array" aca="1" ref="E472" ca="1">INDIRECT("xHesaplama!J"&amp;""&amp;ROW(D468)+70-7*ROUNDDOWN(ROW(D468)/8,0))</f>
        <v>#N/A</v>
      </c>
      <c r="F472" s="254" t="s">
        <v>879</v>
      </c>
      <c r="G472" s="253" t="e" cm="1">
        <f t="array" aca="1" ref="G472" ca="1">INDIRECT("xHesaplama!K"&amp;""&amp;ROW(D468)+70-7*ROUNDDOWN(ROW(D468)/8,0))</f>
        <v>#N/A</v>
      </c>
    </row>
    <row r="473" spans="2:9" ht="69" customHeight="1" thickBot="1">
      <c r="B473" s="259" t="s">
        <v>869</v>
      </c>
      <c r="C473" s="248"/>
      <c r="D473" s="656"/>
      <c r="E473" s="656"/>
      <c r="F473" s="656"/>
      <c r="G473" s="656"/>
    </row>
    <row r="474" spans="2:9" ht="31.5" customHeight="1" thickBot="1">
      <c r="B474" s="260" t="s">
        <v>872</v>
      </c>
      <c r="C474" s="248"/>
      <c r="D474" s="657" t="str">
        <f>'1PROJE'!$E$3</f>
        <v>GÜNEŞ PEN</v>
      </c>
      <c r="E474" s="658"/>
      <c r="F474" s="658"/>
      <c r="G474" s="659"/>
    </row>
    <row r="475" spans="2:9" ht="31.5" customHeight="1" thickBot="1">
      <c r="B475" s="260" t="s">
        <v>873</v>
      </c>
      <c r="C475" s="248"/>
      <c r="D475" s="644" t="str">
        <f>'1PROJE'!$F$3</f>
        <v>GÜRKAN BEY</v>
      </c>
      <c r="E475" s="645"/>
      <c r="F475" s="645"/>
      <c r="G475" s="646"/>
    </row>
    <row r="476" spans="2:9" ht="31.5" customHeight="1" thickBot="1">
      <c r="B476" s="260" t="s">
        <v>356</v>
      </c>
      <c r="C476" s="248"/>
      <c r="D476" s="647" t="e" cm="1">
        <f t="array" aca="1" ref="D476" ca="1">INDIRECT("xHesaplama!I"&amp;""&amp;ROW(D476)+70-7*ROUNDDOWN(ROW(D476)/8,0))</f>
        <v>#N/A</v>
      </c>
      <c r="E476" s="648"/>
      <c r="F476" s="648"/>
      <c r="G476" s="649"/>
    </row>
    <row r="477" spans="2:9" ht="31.5" customHeight="1" thickBot="1">
      <c r="B477" s="260" t="s">
        <v>874</v>
      </c>
      <c r="C477" s="248"/>
      <c r="D477" s="650" t="str">
        <f>$H$1</f>
        <v>BOX</v>
      </c>
      <c r="E477" s="651"/>
      <c r="F477" s="651"/>
      <c r="G477" s="652"/>
    </row>
    <row r="478" spans="2:9" ht="31.5" customHeight="1" thickBot="1">
      <c r="B478" s="260" t="s">
        <v>875</v>
      </c>
      <c r="C478" s="248"/>
      <c r="D478" s="653" t="str">
        <f>'1PROJE'!$G$3</f>
        <v>Z 5001</v>
      </c>
      <c r="E478" s="654"/>
      <c r="F478" s="654"/>
      <c r="G478" s="655"/>
      <c r="I478" s="250"/>
    </row>
    <row r="479" spans="2:9" ht="31.5" customHeight="1" thickBot="1">
      <c r="B479" s="260" t="s">
        <v>876</v>
      </c>
      <c r="D479" s="653" cm="1">
        <f t="array" aca="1" ref="D479" ca="1">INDIRECT("xHesaplama!H"&amp;""&amp;ROW(D476)+70-7*ROUNDDOWN(ROW(D476)/8,0))</f>
        <v>0</v>
      </c>
      <c r="E479" s="654"/>
      <c r="F479" s="654"/>
      <c r="G479" s="655"/>
    </row>
    <row r="480" spans="2:9" ht="31.5" customHeight="1" thickBot="1">
      <c r="B480" s="260" t="s">
        <v>877</v>
      </c>
      <c r="D480" s="252" t="s">
        <v>878</v>
      </c>
      <c r="E480" s="253" t="e" cm="1">
        <f t="array" aca="1" ref="E480" ca="1">INDIRECT("xHesaplama!J"&amp;""&amp;ROW(D476)+70-7*ROUNDDOWN(ROW(D476)/8,0))</f>
        <v>#N/A</v>
      </c>
      <c r="F480" s="254" t="s">
        <v>879</v>
      </c>
      <c r="G480" s="253" t="e" cm="1">
        <f t="array" aca="1" ref="G480" ca="1">INDIRECT("xHesaplama!K"&amp;""&amp;ROW(D476)+70-7*ROUNDDOWN(ROW(D476)/8,0))</f>
        <v>#N/A</v>
      </c>
    </row>
    <row r="481" spans="2:9" ht="69" customHeight="1" thickBot="1">
      <c r="B481" s="259" t="s">
        <v>869</v>
      </c>
      <c r="C481" s="248"/>
      <c r="D481" s="656"/>
      <c r="E481" s="656"/>
      <c r="F481" s="656"/>
      <c r="G481" s="656"/>
    </row>
    <row r="482" spans="2:9" ht="31.5" customHeight="1" thickBot="1">
      <c r="B482" s="260" t="s">
        <v>872</v>
      </c>
      <c r="C482" s="248"/>
      <c r="D482" s="657" t="str">
        <f>'1PROJE'!$E$3</f>
        <v>GÜNEŞ PEN</v>
      </c>
      <c r="E482" s="658"/>
      <c r="F482" s="658"/>
      <c r="G482" s="659"/>
    </row>
    <row r="483" spans="2:9" ht="31.5" customHeight="1" thickBot="1">
      <c r="B483" s="260" t="s">
        <v>873</v>
      </c>
      <c r="C483" s="248"/>
      <c r="D483" s="644" t="str">
        <f>'1PROJE'!$F$3</f>
        <v>GÜRKAN BEY</v>
      </c>
      <c r="E483" s="645"/>
      <c r="F483" s="645"/>
      <c r="G483" s="646"/>
    </row>
    <row r="484" spans="2:9" ht="31.5" customHeight="1" thickBot="1">
      <c r="B484" s="260" t="s">
        <v>356</v>
      </c>
      <c r="C484" s="248"/>
      <c r="D484" s="647" t="e" cm="1">
        <f t="array" aca="1" ref="D484" ca="1">INDIRECT("xHesaplama!I"&amp;""&amp;ROW(D484)+70-7*ROUNDDOWN(ROW(D484)/8,0))</f>
        <v>#N/A</v>
      </c>
      <c r="E484" s="648"/>
      <c r="F484" s="648"/>
      <c r="G484" s="649"/>
    </row>
    <row r="485" spans="2:9" ht="31.5" customHeight="1" thickBot="1">
      <c r="B485" s="260" t="s">
        <v>874</v>
      </c>
      <c r="C485" s="248"/>
      <c r="D485" s="650" t="str">
        <f>$H$1</f>
        <v>BOX</v>
      </c>
      <c r="E485" s="651"/>
      <c r="F485" s="651"/>
      <c r="G485" s="652"/>
    </row>
    <row r="486" spans="2:9" ht="31.5" customHeight="1" thickBot="1">
      <c r="B486" s="260" t="s">
        <v>875</v>
      </c>
      <c r="C486" s="248"/>
      <c r="D486" s="653" t="str">
        <f>'1PROJE'!$G$3</f>
        <v>Z 5001</v>
      </c>
      <c r="E486" s="654"/>
      <c r="F486" s="654"/>
      <c r="G486" s="655"/>
      <c r="I486" s="250"/>
    </row>
    <row r="487" spans="2:9" ht="31.5" customHeight="1" thickBot="1">
      <c r="B487" s="260" t="s">
        <v>876</v>
      </c>
      <c r="D487" s="653" cm="1">
        <f t="array" aca="1" ref="D487" ca="1">INDIRECT("xHesaplama!H"&amp;""&amp;ROW(D484)+70-7*ROUNDDOWN(ROW(D484)/8,0))</f>
        <v>0</v>
      </c>
      <c r="E487" s="654"/>
      <c r="F487" s="654"/>
      <c r="G487" s="655"/>
    </row>
    <row r="488" spans="2:9" ht="31.5" customHeight="1" thickBot="1">
      <c r="B488" s="260" t="s">
        <v>877</v>
      </c>
      <c r="D488" s="252" t="s">
        <v>878</v>
      </c>
      <c r="E488" s="253" t="e" cm="1">
        <f t="array" aca="1" ref="E488" ca="1">INDIRECT("xHesaplama!J"&amp;""&amp;ROW(D484)+70-7*ROUNDDOWN(ROW(D484)/8,0))</f>
        <v>#N/A</v>
      </c>
      <c r="F488" s="254" t="s">
        <v>879</v>
      </c>
      <c r="G488" s="253" t="e" cm="1">
        <f t="array" aca="1" ref="G488" ca="1">INDIRECT("xHesaplama!K"&amp;""&amp;ROW(D484)+70-7*ROUNDDOWN(ROW(D484)/8,0))</f>
        <v>#N/A</v>
      </c>
    </row>
    <row r="489" spans="2:9" ht="69" customHeight="1" thickBot="1">
      <c r="B489" s="259" t="s">
        <v>869</v>
      </c>
      <c r="C489" s="248"/>
      <c r="D489" s="656"/>
      <c r="E489" s="656"/>
      <c r="F489" s="656"/>
      <c r="G489" s="656"/>
    </row>
    <row r="490" spans="2:9" ht="31.5" customHeight="1" thickBot="1">
      <c r="B490" s="260" t="s">
        <v>872</v>
      </c>
      <c r="C490" s="248"/>
      <c r="D490" s="657" t="str">
        <f>'1PROJE'!$E$3</f>
        <v>GÜNEŞ PEN</v>
      </c>
      <c r="E490" s="658"/>
      <c r="F490" s="658"/>
      <c r="G490" s="659"/>
    </row>
    <row r="491" spans="2:9" ht="31.5" customHeight="1" thickBot="1">
      <c r="B491" s="260" t="s">
        <v>873</v>
      </c>
      <c r="C491" s="248"/>
      <c r="D491" s="644" t="str">
        <f>'1PROJE'!$F$3</f>
        <v>GÜRKAN BEY</v>
      </c>
      <c r="E491" s="645"/>
      <c r="F491" s="645"/>
      <c r="G491" s="646"/>
    </row>
    <row r="492" spans="2:9" ht="31.5" customHeight="1" thickBot="1">
      <c r="B492" s="260" t="s">
        <v>356</v>
      </c>
      <c r="C492" s="248"/>
      <c r="D492" s="647" t="e" cm="1">
        <f t="array" aca="1" ref="D492" ca="1">INDIRECT("xHesaplama!I"&amp;""&amp;ROW(D492)+70-7*ROUNDDOWN(ROW(D492)/8,0))</f>
        <v>#N/A</v>
      </c>
      <c r="E492" s="648"/>
      <c r="F492" s="648"/>
      <c r="G492" s="649"/>
    </row>
    <row r="493" spans="2:9" ht="31.5" customHeight="1" thickBot="1">
      <c r="B493" s="260" t="s">
        <v>874</v>
      </c>
      <c r="C493" s="248"/>
      <c r="D493" s="650" t="str">
        <f>$H$1</f>
        <v>BOX</v>
      </c>
      <c r="E493" s="651"/>
      <c r="F493" s="651"/>
      <c r="G493" s="652"/>
    </row>
    <row r="494" spans="2:9" ht="31.5" customHeight="1" thickBot="1">
      <c r="B494" s="260" t="s">
        <v>875</v>
      </c>
      <c r="C494" s="248"/>
      <c r="D494" s="653" t="str">
        <f>'1PROJE'!$G$3</f>
        <v>Z 5001</v>
      </c>
      <c r="E494" s="654"/>
      <c r="F494" s="654"/>
      <c r="G494" s="655"/>
      <c r="I494" s="250"/>
    </row>
    <row r="495" spans="2:9" ht="31.5" customHeight="1" thickBot="1">
      <c r="B495" s="260" t="s">
        <v>876</v>
      </c>
      <c r="D495" s="653" cm="1">
        <f t="array" aca="1" ref="D495" ca="1">INDIRECT("xHesaplama!H"&amp;""&amp;ROW(D492)+70-7*ROUNDDOWN(ROW(D492)/8,0))</f>
        <v>0</v>
      </c>
      <c r="E495" s="654"/>
      <c r="F495" s="654"/>
      <c r="G495" s="655"/>
    </row>
    <row r="496" spans="2:9" ht="31.5" customHeight="1" thickBot="1">
      <c r="B496" s="260" t="s">
        <v>877</v>
      </c>
      <c r="D496" s="252" t="s">
        <v>878</v>
      </c>
      <c r="E496" s="253" t="e" cm="1">
        <f t="array" aca="1" ref="E496" ca="1">INDIRECT("xHesaplama!J"&amp;""&amp;ROW(D492)+70-7*ROUNDDOWN(ROW(D492)/8,0))</f>
        <v>#N/A</v>
      </c>
      <c r="F496" s="254" t="s">
        <v>879</v>
      </c>
      <c r="G496" s="253" t="e" cm="1">
        <f t="array" aca="1" ref="G496" ca="1">INDIRECT("xHesaplama!K"&amp;""&amp;ROW(D492)+70-7*ROUNDDOWN(ROW(D492)/8,0))</f>
        <v>#N/A</v>
      </c>
    </row>
    <row r="497" spans="2:9" ht="69" customHeight="1" thickBot="1">
      <c r="B497" s="259" t="s">
        <v>869</v>
      </c>
      <c r="C497" s="248"/>
      <c r="D497" s="656"/>
      <c r="E497" s="656"/>
      <c r="F497" s="656"/>
      <c r="G497" s="656"/>
    </row>
    <row r="498" spans="2:9" ht="31.5" customHeight="1" thickBot="1">
      <c r="B498" s="260" t="s">
        <v>872</v>
      </c>
      <c r="C498" s="248"/>
      <c r="D498" s="657" t="str">
        <f>'1PROJE'!$E$3</f>
        <v>GÜNEŞ PEN</v>
      </c>
      <c r="E498" s="658"/>
      <c r="F498" s="658"/>
      <c r="G498" s="659"/>
    </row>
    <row r="499" spans="2:9" ht="31.5" customHeight="1" thickBot="1">
      <c r="B499" s="260" t="s">
        <v>873</v>
      </c>
      <c r="C499" s="248"/>
      <c r="D499" s="644" t="str">
        <f>'1PROJE'!$F$3</f>
        <v>GÜRKAN BEY</v>
      </c>
      <c r="E499" s="645"/>
      <c r="F499" s="645"/>
      <c r="G499" s="646"/>
    </row>
    <row r="500" spans="2:9" ht="31.5" customHeight="1" thickBot="1">
      <c r="B500" s="260" t="s">
        <v>356</v>
      </c>
      <c r="C500" s="248"/>
      <c r="D500" s="647" t="e" cm="1">
        <f t="array" aca="1" ref="D500" ca="1">INDIRECT("xHesaplama!I"&amp;""&amp;ROW(D500)+70-7*ROUNDDOWN(ROW(D500)/8,0))</f>
        <v>#N/A</v>
      </c>
      <c r="E500" s="648"/>
      <c r="F500" s="648"/>
      <c r="G500" s="649"/>
    </row>
    <row r="501" spans="2:9" ht="31.5" customHeight="1" thickBot="1">
      <c r="B501" s="260" t="s">
        <v>874</v>
      </c>
      <c r="C501" s="248"/>
      <c r="D501" s="650" t="str">
        <f>$H$1</f>
        <v>BOX</v>
      </c>
      <c r="E501" s="651"/>
      <c r="F501" s="651"/>
      <c r="G501" s="652"/>
    </row>
    <row r="502" spans="2:9" ht="31.5" customHeight="1" thickBot="1">
      <c r="B502" s="260" t="s">
        <v>875</v>
      </c>
      <c r="C502" s="248"/>
      <c r="D502" s="653" t="str">
        <f>'1PROJE'!$G$3</f>
        <v>Z 5001</v>
      </c>
      <c r="E502" s="654"/>
      <c r="F502" s="654"/>
      <c r="G502" s="655"/>
      <c r="I502" s="250"/>
    </row>
    <row r="503" spans="2:9" ht="31.5" customHeight="1" thickBot="1">
      <c r="B503" s="260" t="s">
        <v>876</v>
      </c>
      <c r="D503" s="653" cm="1">
        <f t="array" aca="1" ref="D503" ca="1">INDIRECT("xHesaplama!H"&amp;""&amp;ROW(D500)+70-7*ROUNDDOWN(ROW(D500)/8,0))</f>
        <v>0</v>
      </c>
      <c r="E503" s="654"/>
      <c r="F503" s="654"/>
      <c r="G503" s="655"/>
    </row>
    <row r="504" spans="2:9" ht="31.5" customHeight="1" thickBot="1">
      <c r="B504" s="260" t="s">
        <v>877</v>
      </c>
      <c r="D504" s="252" t="s">
        <v>878</v>
      </c>
      <c r="E504" s="253" t="e" cm="1">
        <f t="array" aca="1" ref="E504" ca="1">INDIRECT("xHesaplama!J"&amp;""&amp;ROW(D500)+70-7*ROUNDDOWN(ROW(D500)/8,0))</f>
        <v>#N/A</v>
      </c>
      <c r="F504" s="254" t="s">
        <v>879</v>
      </c>
      <c r="G504" s="253" t="e" cm="1">
        <f t="array" aca="1" ref="G504" ca="1">INDIRECT("xHesaplama!K"&amp;""&amp;ROW(D500)+70-7*ROUNDDOWN(ROW(D500)/8,0))</f>
        <v>#N/A</v>
      </c>
    </row>
    <row r="505" spans="2:9" ht="69" customHeight="1" thickBot="1">
      <c r="B505" s="259" t="s">
        <v>869</v>
      </c>
      <c r="C505" s="248"/>
      <c r="D505" s="656"/>
      <c r="E505" s="656"/>
      <c r="F505" s="656"/>
      <c r="G505" s="656"/>
    </row>
    <row r="506" spans="2:9" ht="31.5" customHeight="1" thickBot="1">
      <c r="B506" s="260" t="s">
        <v>872</v>
      </c>
      <c r="C506" s="248"/>
      <c r="D506" s="657" t="str">
        <f>'1PROJE'!$E$3</f>
        <v>GÜNEŞ PEN</v>
      </c>
      <c r="E506" s="658"/>
      <c r="F506" s="658"/>
      <c r="G506" s="659"/>
    </row>
    <row r="507" spans="2:9" ht="31.5" customHeight="1" thickBot="1">
      <c r="B507" s="260" t="s">
        <v>873</v>
      </c>
      <c r="C507" s="248"/>
      <c r="D507" s="644" t="str">
        <f>'1PROJE'!$F$3</f>
        <v>GÜRKAN BEY</v>
      </c>
      <c r="E507" s="645"/>
      <c r="F507" s="645"/>
      <c r="G507" s="646"/>
    </row>
    <row r="508" spans="2:9" ht="31.5" customHeight="1" thickBot="1">
      <c r="B508" s="260" t="s">
        <v>356</v>
      </c>
      <c r="C508" s="248"/>
      <c r="D508" s="647" t="e" cm="1">
        <f t="array" aca="1" ref="D508" ca="1">INDIRECT("xHesaplama!I"&amp;""&amp;ROW(D508)+70-7*ROUNDDOWN(ROW(D508)/8,0))</f>
        <v>#N/A</v>
      </c>
      <c r="E508" s="648"/>
      <c r="F508" s="648"/>
      <c r="G508" s="649"/>
    </row>
    <row r="509" spans="2:9" ht="31.5" customHeight="1" thickBot="1">
      <c r="B509" s="260" t="s">
        <v>874</v>
      </c>
      <c r="C509" s="248"/>
      <c r="D509" s="650" t="str">
        <f>$H$1</f>
        <v>BOX</v>
      </c>
      <c r="E509" s="651"/>
      <c r="F509" s="651"/>
      <c r="G509" s="652"/>
    </row>
    <row r="510" spans="2:9" ht="31.5" customHeight="1" thickBot="1">
      <c r="B510" s="260" t="s">
        <v>875</v>
      </c>
      <c r="C510" s="248"/>
      <c r="D510" s="653" t="str">
        <f>'1PROJE'!$G$3</f>
        <v>Z 5001</v>
      </c>
      <c r="E510" s="654"/>
      <c r="F510" s="654"/>
      <c r="G510" s="655"/>
      <c r="I510" s="250"/>
    </row>
    <row r="511" spans="2:9" ht="31.5" customHeight="1" thickBot="1">
      <c r="B511" s="260" t="s">
        <v>876</v>
      </c>
      <c r="D511" s="653" cm="1">
        <f t="array" aca="1" ref="D511" ca="1">INDIRECT("xHesaplama!H"&amp;""&amp;ROW(D508)+70-7*ROUNDDOWN(ROW(D508)/8,0))</f>
        <v>0</v>
      </c>
      <c r="E511" s="654"/>
      <c r="F511" s="654"/>
      <c r="G511" s="655"/>
    </row>
    <row r="512" spans="2:9" ht="31.5" customHeight="1" thickBot="1">
      <c r="B512" s="260" t="s">
        <v>877</v>
      </c>
      <c r="D512" s="252" t="s">
        <v>878</v>
      </c>
      <c r="E512" s="253" t="e" cm="1">
        <f t="array" aca="1" ref="E512" ca="1">INDIRECT("xHesaplama!J"&amp;""&amp;ROW(D508)+70-7*ROUNDDOWN(ROW(D508)/8,0))</f>
        <v>#N/A</v>
      </c>
      <c r="F512" s="254" t="s">
        <v>879</v>
      </c>
      <c r="G512" s="253" t="e" cm="1">
        <f t="array" aca="1" ref="G512" ca="1">INDIRECT("xHesaplama!K"&amp;""&amp;ROW(D508)+70-7*ROUNDDOWN(ROW(D508)/8,0))</f>
        <v>#N/A</v>
      </c>
    </row>
    <row r="513" spans="2:9" ht="69" customHeight="1" thickBot="1">
      <c r="B513" s="259" t="s">
        <v>869</v>
      </c>
      <c r="C513" s="248"/>
      <c r="D513" s="656"/>
      <c r="E513" s="656"/>
      <c r="F513" s="656"/>
      <c r="G513" s="656"/>
    </row>
    <row r="514" spans="2:9" ht="31.5" customHeight="1" thickBot="1">
      <c r="B514" s="260" t="s">
        <v>872</v>
      </c>
      <c r="C514" s="248"/>
      <c r="D514" s="657" t="str">
        <f>'1PROJE'!$E$3</f>
        <v>GÜNEŞ PEN</v>
      </c>
      <c r="E514" s="658"/>
      <c r="F514" s="658"/>
      <c r="G514" s="659"/>
    </row>
    <row r="515" spans="2:9" ht="31.5" customHeight="1" thickBot="1">
      <c r="B515" s="260" t="s">
        <v>873</v>
      </c>
      <c r="C515" s="248"/>
      <c r="D515" s="644" t="str">
        <f>'1PROJE'!$F$3</f>
        <v>GÜRKAN BEY</v>
      </c>
      <c r="E515" s="645"/>
      <c r="F515" s="645"/>
      <c r="G515" s="646"/>
    </row>
    <row r="516" spans="2:9" ht="31.5" customHeight="1" thickBot="1">
      <c r="B516" s="260" t="s">
        <v>356</v>
      </c>
      <c r="C516" s="248"/>
      <c r="D516" s="647" t="e" cm="1">
        <f t="array" aca="1" ref="D516" ca="1">INDIRECT("xHesaplama!I"&amp;""&amp;ROW(D516)+70-7*ROUNDDOWN(ROW(D516)/8,0))</f>
        <v>#N/A</v>
      </c>
      <c r="E516" s="648"/>
      <c r="F516" s="648"/>
      <c r="G516" s="649"/>
    </row>
    <row r="517" spans="2:9" ht="31.5" customHeight="1" thickBot="1">
      <c r="B517" s="260" t="s">
        <v>874</v>
      </c>
      <c r="C517" s="248"/>
      <c r="D517" s="650" t="str">
        <f>$H$1</f>
        <v>BOX</v>
      </c>
      <c r="E517" s="651"/>
      <c r="F517" s="651"/>
      <c r="G517" s="652"/>
    </row>
    <row r="518" spans="2:9" ht="31.5" customHeight="1" thickBot="1">
      <c r="B518" s="260" t="s">
        <v>875</v>
      </c>
      <c r="C518" s="248"/>
      <c r="D518" s="653" t="str">
        <f>'1PROJE'!$G$3</f>
        <v>Z 5001</v>
      </c>
      <c r="E518" s="654"/>
      <c r="F518" s="654"/>
      <c r="G518" s="655"/>
      <c r="I518" s="250"/>
    </row>
    <row r="519" spans="2:9" ht="31.5" customHeight="1" thickBot="1">
      <c r="B519" s="260" t="s">
        <v>876</v>
      </c>
      <c r="D519" s="653" cm="1">
        <f t="array" aca="1" ref="D519" ca="1">INDIRECT("xHesaplama!H"&amp;""&amp;ROW(D516)+70-7*ROUNDDOWN(ROW(D516)/8,0))</f>
        <v>0</v>
      </c>
      <c r="E519" s="654"/>
      <c r="F519" s="654"/>
      <c r="G519" s="655"/>
    </row>
    <row r="520" spans="2:9" ht="31.5" customHeight="1" thickBot="1">
      <c r="B520" s="260" t="s">
        <v>877</v>
      </c>
      <c r="D520" s="252" t="s">
        <v>878</v>
      </c>
      <c r="E520" s="253" t="e" cm="1">
        <f t="array" aca="1" ref="E520" ca="1">INDIRECT("xHesaplama!J"&amp;""&amp;ROW(D516)+70-7*ROUNDDOWN(ROW(D516)/8,0))</f>
        <v>#N/A</v>
      </c>
      <c r="F520" s="254" t="s">
        <v>879</v>
      </c>
      <c r="G520" s="253" t="e" cm="1">
        <f t="array" aca="1" ref="G520" ca="1">INDIRECT("xHesaplama!K"&amp;""&amp;ROW(D516)+70-7*ROUNDDOWN(ROW(D516)/8,0))</f>
        <v>#N/A</v>
      </c>
    </row>
    <row r="521" spans="2:9" ht="69" customHeight="1" thickBot="1">
      <c r="B521" s="259" t="s">
        <v>869</v>
      </c>
      <c r="C521" s="248"/>
      <c r="D521" s="656"/>
      <c r="E521" s="656"/>
      <c r="F521" s="656"/>
      <c r="G521" s="656"/>
    </row>
    <row r="522" spans="2:9" ht="31.5" customHeight="1" thickBot="1">
      <c r="B522" s="260" t="s">
        <v>872</v>
      </c>
      <c r="C522" s="248"/>
      <c r="D522" s="657" t="str">
        <f>'1PROJE'!$E$3</f>
        <v>GÜNEŞ PEN</v>
      </c>
      <c r="E522" s="658"/>
      <c r="F522" s="658"/>
      <c r="G522" s="659"/>
    </row>
    <row r="523" spans="2:9" ht="31.5" customHeight="1" thickBot="1">
      <c r="B523" s="260" t="s">
        <v>873</v>
      </c>
      <c r="C523" s="248"/>
      <c r="D523" s="644" t="str">
        <f>'1PROJE'!$F$3</f>
        <v>GÜRKAN BEY</v>
      </c>
      <c r="E523" s="645"/>
      <c r="F523" s="645"/>
      <c r="G523" s="646"/>
    </row>
    <row r="524" spans="2:9" ht="31.5" customHeight="1" thickBot="1">
      <c r="B524" s="260" t="s">
        <v>356</v>
      </c>
      <c r="C524" s="248"/>
      <c r="D524" s="647" t="e" cm="1">
        <f t="array" aca="1" ref="D524" ca="1">INDIRECT("xHesaplama!I"&amp;""&amp;ROW(D524)+70-7*ROUNDDOWN(ROW(D524)/8,0))</f>
        <v>#N/A</v>
      </c>
      <c r="E524" s="648"/>
      <c r="F524" s="648"/>
      <c r="G524" s="649"/>
    </row>
    <row r="525" spans="2:9" ht="31.5" customHeight="1" thickBot="1">
      <c r="B525" s="260" t="s">
        <v>874</v>
      </c>
      <c r="C525" s="248"/>
      <c r="D525" s="650" t="str">
        <f>$H$1</f>
        <v>BOX</v>
      </c>
      <c r="E525" s="651"/>
      <c r="F525" s="651"/>
      <c r="G525" s="652"/>
    </row>
    <row r="526" spans="2:9" ht="31.5" customHeight="1" thickBot="1">
      <c r="B526" s="260" t="s">
        <v>875</v>
      </c>
      <c r="C526" s="248"/>
      <c r="D526" s="653" t="str">
        <f>'1PROJE'!$G$3</f>
        <v>Z 5001</v>
      </c>
      <c r="E526" s="654"/>
      <c r="F526" s="654"/>
      <c r="G526" s="655"/>
      <c r="I526" s="250"/>
    </row>
    <row r="527" spans="2:9" ht="31.5" customHeight="1" thickBot="1">
      <c r="B527" s="260" t="s">
        <v>876</v>
      </c>
      <c r="D527" s="653" cm="1">
        <f t="array" aca="1" ref="D527" ca="1">INDIRECT("xHesaplama!H"&amp;""&amp;ROW(D524)+70-7*ROUNDDOWN(ROW(D524)/8,0))</f>
        <v>0</v>
      </c>
      <c r="E527" s="654"/>
      <c r="F527" s="654"/>
      <c r="G527" s="655"/>
    </row>
    <row r="528" spans="2:9" ht="31.5" customHeight="1" thickBot="1">
      <c r="B528" s="260" t="s">
        <v>877</v>
      </c>
      <c r="D528" s="252" t="s">
        <v>878</v>
      </c>
      <c r="E528" s="253" t="e" cm="1">
        <f t="array" aca="1" ref="E528" ca="1">INDIRECT("xHesaplama!J"&amp;""&amp;ROW(D524)+70-7*ROUNDDOWN(ROW(D524)/8,0))</f>
        <v>#N/A</v>
      </c>
      <c r="F528" s="254" t="s">
        <v>879</v>
      </c>
      <c r="G528" s="253" t="e" cm="1">
        <f t="array" aca="1" ref="G528" ca="1">INDIRECT("xHesaplama!K"&amp;""&amp;ROW(D524)+70-7*ROUNDDOWN(ROW(D524)/8,0))</f>
        <v>#N/A</v>
      </c>
    </row>
    <row r="529" spans="2:9" ht="69" customHeight="1" thickBot="1">
      <c r="B529" s="259" t="s">
        <v>869</v>
      </c>
      <c r="C529" s="248"/>
      <c r="D529" s="656"/>
      <c r="E529" s="656"/>
      <c r="F529" s="656"/>
      <c r="G529" s="656"/>
    </row>
    <row r="530" spans="2:9" ht="31.5" customHeight="1" thickBot="1">
      <c r="B530" s="260" t="s">
        <v>872</v>
      </c>
      <c r="C530" s="248"/>
      <c r="D530" s="657" t="str">
        <f>'1PROJE'!$E$3</f>
        <v>GÜNEŞ PEN</v>
      </c>
      <c r="E530" s="658"/>
      <c r="F530" s="658"/>
      <c r="G530" s="659"/>
    </row>
    <row r="531" spans="2:9" ht="31.5" customHeight="1" thickBot="1">
      <c r="B531" s="260" t="s">
        <v>873</v>
      </c>
      <c r="C531" s="248"/>
      <c r="D531" s="644" t="str">
        <f>'1PROJE'!$F$3</f>
        <v>GÜRKAN BEY</v>
      </c>
      <c r="E531" s="645"/>
      <c r="F531" s="645"/>
      <c r="G531" s="646"/>
    </row>
    <row r="532" spans="2:9" ht="31.5" customHeight="1" thickBot="1">
      <c r="B532" s="260" t="s">
        <v>356</v>
      </c>
      <c r="C532" s="248"/>
      <c r="D532" s="647" t="e" cm="1">
        <f t="array" aca="1" ref="D532" ca="1">INDIRECT("xHesaplama!I"&amp;""&amp;ROW(D532)+70-7*ROUNDDOWN(ROW(D532)/8,0))</f>
        <v>#N/A</v>
      </c>
      <c r="E532" s="648"/>
      <c r="F532" s="648"/>
      <c r="G532" s="649"/>
    </row>
    <row r="533" spans="2:9" ht="31.5" customHeight="1" thickBot="1">
      <c r="B533" s="260" t="s">
        <v>874</v>
      </c>
      <c r="C533" s="248"/>
      <c r="D533" s="650" t="str">
        <f>$H$1</f>
        <v>BOX</v>
      </c>
      <c r="E533" s="651"/>
      <c r="F533" s="651"/>
      <c r="G533" s="652"/>
    </row>
    <row r="534" spans="2:9" ht="31.5" customHeight="1" thickBot="1">
      <c r="B534" s="260" t="s">
        <v>875</v>
      </c>
      <c r="C534" s="248"/>
      <c r="D534" s="653" t="str">
        <f>'1PROJE'!$G$3</f>
        <v>Z 5001</v>
      </c>
      <c r="E534" s="654"/>
      <c r="F534" s="654"/>
      <c r="G534" s="655"/>
      <c r="I534" s="250"/>
    </row>
    <row r="535" spans="2:9" ht="31.5" customHeight="1" thickBot="1">
      <c r="B535" s="260" t="s">
        <v>876</v>
      </c>
      <c r="D535" s="653" cm="1">
        <f t="array" aca="1" ref="D535" ca="1">INDIRECT("xHesaplama!H"&amp;""&amp;ROW(D532)+70-7*ROUNDDOWN(ROW(D532)/8,0))</f>
        <v>0</v>
      </c>
      <c r="E535" s="654"/>
      <c r="F535" s="654"/>
      <c r="G535" s="655"/>
    </row>
    <row r="536" spans="2:9" ht="31.5" customHeight="1" thickBot="1">
      <c r="B536" s="260" t="s">
        <v>877</v>
      </c>
      <c r="D536" s="252" t="s">
        <v>878</v>
      </c>
      <c r="E536" s="253" t="e" cm="1">
        <f t="array" aca="1" ref="E536" ca="1">INDIRECT("xHesaplama!J"&amp;""&amp;ROW(D532)+70-7*ROUNDDOWN(ROW(D532)/8,0))</f>
        <v>#N/A</v>
      </c>
      <c r="F536" s="254" t="s">
        <v>879</v>
      </c>
      <c r="G536" s="253" t="e" cm="1">
        <f t="array" aca="1" ref="G536" ca="1">INDIRECT("xHesaplama!K"&amp;""&amp;ROW(D532)+70-7*ROUNDDOWN(ROW(D532)/8,0))</f>
        <v>#N/A</v>
      </c>
    </row>
    <row r="537" spans="2:9" ht="69" customHeight="1" thickBot="1">
      <c r="B537" s="259" t="s">
        <v>869</v>
      </c>
      <c r="C537" s="248"/>
      <c r="D537" s="656"/>
      <c r="E537" s="656"/>
      <c r="F537" s="656"/>
      <c r="G537" s="656"/>
    </row>
    <row r="538" spans="2:9" ht="31.5" customHeight="1" thickBot="1">
      <c r="B538" s="260" t="s">
        <v>872</v>
      </c>
      <c r="C538" s="248"/>
      <c r="D538" s="657" t="str">
        <f>'1PROJE'!$E$3</f>
        <v>GÜNEŞ PEN</v>
      </c>
      <c r="E538" s="658"/>
      <c r="F538" s="658"/>
      <c r="G538" s="659"/>
    </row>
    <row r="539" spans="2:9" ht="31.5" customHeight="1" thickBot="1">
      <c r="B539" s="260" t="s">
        <v>873</v>
      </c>
      <c r="C539" s="248"/>
      <c r="D539" s="644" t="str">
        <f>'1PROJE'!$F$3</f>
        <v>GÜRKAN BEY</v>
      </c>
      <c r="E539" s="645"/>
      <c r="F539" s="645"/>
      <c r="G539" s="646"/>
    </row>
    <row r="540" spans="2:9" ht="31.5" customHeight="1" thickBot="1">
      <c r="B540" s="260" t="s">
        <v>356</v>
      </c>
      <c r="C540" s="248"/>
      <c r="D540" s="647" t="e" cm="1">
        <f t="array" aca="1" ref="D540" ca="1">INDIRECT("xHesaplama!I"&amp;""&amp;ROW(D540)+70-7*ROUNDDOWN(ROW(D540)/8,0))</f>
        <v>#N/A</v>
      </c>
      <c r="E540" s="648"/>
      <c r="F540" s="648"/>
      <c r="G540" s="649"/>
    </row>
    <row r="541" spans="2:9" ht="31.5" customHeight="1" thickBot="1">
      <c r="B541" s="260" t="s">
        <v>874</v>
      </c>
      <c r="C541" s="248"/>
      <c r="D541" s="650" t="str">
        <f>$H$1</f>
        <v>BOX</v>
      </c>
      <c r="E541" s="651"/>
      <c r="F541" s="651"/>
      <c r="G541" s="652"/>
    </row>
    <row r="542" spans="2:9" ht="31.5" customHeight="1" thickBot="1">
      <c r="B542" s="260" t="s">
        <v>875</v>
      </c>
      <c r="C542" s="248"/>
      <c r="D542" s="653" t="str">
        <f>'1PROJE'!$G$3</f>
        <v>Z 5001</v>
      </c>
      <c r="E542" s="654"/>
      <c r="F542" s="654"/>
      <c r="G542" s="655"/>
      <c r="I542" s="250"/>
    </row>
    <row r="543" spans="2:9" ht="31.5" customHeight="1" thickBot="1">
      <c r="B543" s="260" t="s">
        <v>876</v>
      </c>
      <c r="D543" s="653" cm="1">
        <f t="array" aca="1" ref="D543" ca="1">INDIRECT("xHesaplama!H"&amp;""&amp;ROW(D540)+70-7*ROUNDDOWN(ROW(D540)/8,0))</f>
        <v>0</v>
      </c>
      <c r="E543" s="654"/>
      <c r="F543" s="654"/>
      <c r="G543" s="655"/>
    </row>
    <row r="544" spans="2:9" ht="31.5" customHeight="1" thickBot="1">
      <c r="B544" s="260" t="s">
        <v>877</v>
      </c>
      <c r="D544" s="252" t="s">
        <v>878</v>
      </c>
      <c r="E544" s="253" t="e" cm="1">
        <f t="array" aca="1" ref="E544" ca="1">INDIRECT("xHesaplama!J"&amp;""&amp;ROW(D540)+70-7*ROUNDDOWN(ROW(D540)/8,0))</f>
        <v>#N/A</v>
      </c>
      <c r="F544" s="254" t="s">
        <v>879</v>
      </c>
      <c r="G544" s="253" t="e" cm="1">
        <f t="array" aca="1" ref="G544" ca="1">INDIRECT("xHesaplama!K"&amp;""&amp;ROW(D540)+70-7*ROUNDDOWN(ROW(D540)/8,0))</f>
        <v>#N/A</v>
      </c>
    </row>
    <row r="545" spans="2:9" ht="69" customHeight="1" thickBot="1">
      <c r="B545" s="259" t="s">
        <v>869</v>
      </c>
      <c r="C545" s="248"/>
      <c r="D545" s="656"/>
      <c r="E545" s="656"/>
      <c r="F545" s="656"/>
      <c r="G545" s="656"/>
    </row>
    <row r="546" spans="2:9" ht="31.5" customHeight="1" thickBot="1">
      <c r="B546" s="260" t="s">
        <v>872</v>
      </c>
      <c r="C546" s="248"/>
      <c r="D546" s="657" t="str">
        <f>'1PROJE'!$E$3</f>
        <v>GÜNEŞ PEN</v>
      </c>
      <c r="E546" s="658"/>
      <c r="F546" s="658"/>
      <c r="G546" s="659"/>
    </row>
    <row r="547" spans="2:9" ht="31.5" customHeight="1" thickBot="1">
      <c r="B547" s="260" t="s">
        <v>873</v>
      </c>
      <c r="C547" s="248"/>
      <c r="D547" s="644" t="str">
        <f>'1PROJE'!$F$3</f>
        <v>GÜRKAN BEY</v>
      </c>
      <c r="E547" s="645"/>
      <c r="F547" s="645"/>
      <c r="G547" s="646"/>
    </row>
    <row r="548" spans="2:9" ht="31.5" customHeight="1" thickBot="1">
      <c r="B548" s="260" t="s">
        <v>356</v>
      </c>
      <c r="C548" s="248"/>
      <c r="D548" s="647" t="e" cm="1">
        <f t="array" aca="1" ref="D548" ca="1">INDIRECT("xHesaplama!I"&amp;""&amp;ROW(D548)+70-7*ROUNDDOWN(ROW(D548)/8,0))</f>
        <v>#N/A</v>
      </c>
      <c r="E548" s="648"/>
      <c r="F548" s="648"/>
      <c r="G548" s="649"/>
    </row>
    <row r="549" spans="2:9" ht="31.5" customHeight="1" thickBot="1">
      <c r="B549" s="260" t="s">
        <v>874</v>
      </c>
      <c r="C549" s="248"/>
      <c r="D549" s="650" t="str">
        <f>$H$1</f>
        <v>BOX</v>
      </c>
      <c r="E549" s="651"/>
      <c r="F549" s="651"/>
      <c r="G549" s="652"/>
    </row>
    <row r="550" spans="2:9" ht="31.5" customHeight="1" thickBot="1">
      <c r="B550" s="260" t="s">
        <v>875</v>
      </c>
      <c r="C550" s="248"/>
      <c r="D550" s="653" t="str">
        <f>'1PROJE'!$G$3</f>
        <v>Z 5001</v>
      </c>
      <c r="E550" s="654"/>
      <c r="F550" s="654"/>
      <c r="G550" s="655"/>
      <c r="I550" s="250"/>
    </row>
    <row r="551" spans="2:9" ht="31.5" customHeight="1" thickBot="1">
      <c r="B551" s="260" t="s">
        <v>876</v>
      </c>
      <c r="D551" s="653" cm="1">
        <f t="array" aca="1" ref="D551" ca="1">INDIRECT("xHesaplama!H"&amp;""&amp;ROW(D548)+70-7*ROUNDDOWN(ROW(D548)/8,0))</f>
        <v>0</v>
      </c>
      <c r="E551" s="654"/>
      <c r="F551" s="654"/>
      <c r="G551" s="655"/>
    </row>
    <row r="552" spans="2:9" ht="31.5" customHeight="1" thickBot="1">
      <c r="B552" s="260" t="s">
        <v>877</v>
      </c>
      <c r="D552" s="252" t="s">
        <v>878</v>
      </c>
      <c r="E552" s="253" t="e" cm="1">
        <f t="array" aca="1" ref="E552" ca="1">INDIRECT("xHesaplama!J"&amp;""&amp;ROW(D548)+70-7*ROUNDDOWN(ROW(D548)/8,0))</f>
        <v>#N/A</v>
      </c>
      <c r="F552" s="254" t="s">
        <v>879</v>
      </c>
      <c r="G552" s="253" t="e" cm="1">
        <f t="array" aca="1" ref="G552" ca="1">INDIRECT("xHesaplama!K"&amp;""&amp;ROW(D548)+70-7*ROUNDDOWN(ROW(D548)/8,0))</f>
        <v>#N/A</v>
      </c>
    </row>
    <row r="553" spans="2:9" ht="69" customHeight="1" thickBot="1">
      <c r="B553" s="259" t="s">
        <v>869</v>
      </c>
      <c r="C553" s="248"/>
      <c r="D553" s="656"/>
      <c r="E553" s="656"/>
      <c r="F553" s="656"/>
      <c r="G553" s="656"/>
    </row>
    <row r="554" spans="2:9" ht="31.5" customHeight="1" thickBot="1">
      <c r="B554" s="260" t="s">
        <v>872</v>
      </c>
      <c r="C554" s="248"/>
      <c r="D554" s="657" t="str">
        <f>'1PROJE'!$E$3</f>
        <v>GÜNEŞ PEN</v>
      </c>
      <c r="E554" s="658"/>
      <c r="F554" s="658"/>
      <c r="G554" s="659"/>
    </row>
    <row r="555" spans="2:9" ht="31.5" customHeight="1" thickBot="1">
      <c r="B555" s="260" t="s">
        <v>873</v>
      </c>
      <c r="C555" s="248"/>
      <c r="D555" s="644" t="str">
        <f>'1PROJE'!$F$3</f>
        <v>GÜRKAN BEY</v>
      </c>
      <c r="E555" s="645"/>
      <c r="F555" s="645"/>
      <c r="G555" s="646"/>
    </row>
    <row r="556" spans="2:9" ht="31.5" customHeight="1" thickBot="1">
      <c r="B556" s="260" t="s">
        <v>356</v>
      </c>
      <c r="C556" s="248"/>
      <c r="D556" s="647" t="e" cm="1">
        <f t="array" aca="1" ref="D556" ca="1">INDIRECT("xHesaplama!I"&amp;""&amp;ROW(D556)+70-7*ROUNDDOWN(ROW(D556)/8,0))</f>
        <v>#N/A</v>
      </c>
      <c r="E556" s="648"/>
      <c r="F556" s="648"/>
      <c r="G556" s="649"/>
    </row>
    <row r="557" spans="2:9" ht="31.5" customHeight="1" thickBot="1">
      <c r="B557" s="260" t="s">
        <v>874</v>
      </c>
      <c r="C557" s="248"/>
      <c r="D557" s="650" t="str">
        <f>$H$1</f>
        <v>BOX</v>
      </c>
      <c r="E557" s="651"/>
      <c r="F557" s="651"/>
      <c r="G557" s="652"/>
    </row>
    <row r="558" spans="2:9" ht="31.5" customHeight="1" thickBot="1">
      <c r="B558" s="260" t="s">
        <v>875</v>
      </c>
      <c r="C558" s="248"/>
      <c r="D558" s="653" t="str">
        <f>'1PROJE'!$G$3</f>
        <v>Z 5001</v>
      </c>
      <c r="E558" s="654"/>
      <c r="F558" s="654"/>
      <c r="G558" s="655"/>
      <c r="I558" s="250"/>
    </row>
    <row r="559" spans="2:9" ht="31.5" customHeight="1" thickBot="1">
      <c r="B559" s="260" t="s">
        <v>876</v>
      </c>
      <c r="D559" s="653" cm="1">
        <f t="array" aca="1" ref="D559" ca="1">INDIRECT("xHesaplama!H"&amp;""&amp;ROW(D556)+70-7*ROUNDDOWN(ROW(D556)/8,0))</f>
        <v>0</v>
      </c>
      <c r="E559" s="654"/>
      <c r="F559" s="654"/>
      <c r="G559" s="655"/>
    </row>
    <row r="560" spans="2:9" ht="31.5" customHeight="1" thickBot="1">
      <c r="B560" s="260" t="s">
        <v>877</v>
      </c>
      <c r="D560" s="252" t="s">
        <v>878</v>
      </c>
      <c r="E560" s="253" t="e" cm="1">
        <f t="array" aca="1" ref="E560" ca="1">INDIRECT("xHesaplama!J"&amp;""&amp;ROW(D556)+70-7*ROUNDDOWN(ROW(D556)/8,0))</f>
        <v>#N/A</v>
      </c>
      <c r="F560" s="254" t="s">
        <v>879</v>
      </c>
      <c r="G560" s="253" t="e" cm="1">
        <f t="array" aca="1" ref="G560" ca="1">INDIRECT("xHesaplama!K"&amp;""&amp;ROW(D556)+70-7*ROUNDDOWN(ROW(D556)/8,0))</f>
        <v>#N/A</v>
      </c>
    </row>
    <row r="561" spans="2:9" ht="69" customHeight="1" thickBot="1">
      <c r="B561" s="259" t="s">
        <v>869</v>
      </c>
      <c r="C561" s="248"/>
      <c r="D561" s="656"/>
      <c r="E561" s="656"/>
      <c r="F561" s="656"/>
      <c r="G561" s="656"/>
    </row>
    <row r="562" spans="2:9" ht="31.5" customHeight="1" thickBot="1">
      <c r="B562" s="260" t="s">
        <v>872</v>
      </c>
      <c r="C562" s="248"/>
      <c r="D562" s="657" t="str">
        <f>'1PROJE'!$E$3</f>
        <v>GÜNEŞ PEN</v>
      </c>
      <c r="E562" s="658"/>
      <c r="F562" s="658"/>
      <c r="G562" s="659"/>
    </row>
    <row r="563" spans="2:9" ht="31.5" customHeight="1" thickBot="1">
      <c r="B563" s="260" t="s">
        <v>873</v>
      </c>
      <c r="C563" s="248"/>
      <c r="D563" s="644" t="str">
        <f>'1PROJE'!$F$3</f>
        <v>GÜRKAN BEY</v>
      </c>
      <c r="E563" s="645"/>
      <c r="F563" s="645"/>
      <c r="G563" s="646"/>
    </row>
    <row r="564" spans="2:9" ht="31.5" customHeight="1" thickBot="1">
      <c r="B564" s="260" t="s">
        <v>356</v>
      </c>
      <c r="C564" s="248"/>
      <c r="D564" s="647" t="e" cm="1">
        <f t="array" aca="1" ref="D564" ca="1">INDIRECT("xHesaplama!I"&amp;""&amp;ROW(D564)+70-7*ROUNDDOWN(ROW(D564)/8,0))</f>
        <v>#N/A</v>
      </c>
      <c r="E564" s="648"/>
      <c r="F564" s="648"/>
      <c r="G564" s="649"/>
    </row>
    <row r="565" spans="2:9" ht="31.5" customHeight="1" thickBot="1">
      <c r="B565" s="260" t="s">
        <v>874</v>
      </c>
      <c r="C565" s="248"/>
      <c r="D565" s="650" t="str">
        <f>$H$1</f>
        <v>BOX</v>
      </c>
      <c r="E565" s="651"/>
      <c r="F565" s="651"/>
      <c r="G565" s="652"/>
    </row>
    <row r="566" spans="2:9" ht="31.5" customHeight="1" thickBot="1">
      <c r="B566" s="260" t="s">
        <v>875</v>
      </c>
      <c r="C566" s="248"/>
      <c r="D566" s="653" t="str">
        <f>'1PROJE'!$G$3</f>
        <v>Z 5001</v>
      </c>
      <c r="E566" s="654"/>
      <c r="F566" s="654"/>
      <c r="G566" s="655"/>
      <c r="I566" s="250"/>
    </row>
    <row r="567" spans="2:9" ht="31.5" customHeight="1" thickBot="1">
      <c r="B567" s="260" t="s">
        <v>876</v>
      </c>
      <c r="D567" s="653" cm="1">
        <f t="array" aca="1" ref="D567" ca="1">INDIRECT("xHesaplama!H"&amp;""&amp;ROW(D564)+70-7*ROUNDDOWN(ROW(D564)/8,0))</f>
        <v>0</v>
      </c>
      <c r="E567" s="654"/>
      <c r="F567" s="654"/>
      <c r="G567" s="655"/>
    </row>
    <row r="568" spans="2:9" ht="31.5" customHeight="1" thickBot="1">
      <c r="B568" s="260" t="s">
        <v>877</v>
      </c>
      <c r="D568" s="252" t="s">
        <v>878</v>
      </c>
      <c r="E568" s="253" t="e" cm="1">
        <f t="array" aca="1" ref="E568" ca="1">INDIRECT("xHesaplama!J"&amp;""&amp;ROW(D564)+70-7*ROUNDDOWN(ROW(D564)/8,0))</f>
        <v>#N/A</v>
      </c>
      <c r="F568" s="254" t="s">
        <v>879</v>
      </c>
      <c r="G568" s="253" t="e" cm="1">
        <f t="array" aca="1" ref="G568" ca="1">INDIRECT("xHesaplama!K"&amp;""&amp;ROW(D564)+70-7*ROUNDDOWN(ROW(D564)/8,0))</f>
        <v>#N/A</v>
      </c>
    </row>
    <row r="569" spans="2:9" ht="69" customHeight="1" thickBot="1">
      <c r="B569" s="259" t="s">
        <v>869</v>
      </c>
      <c r="C569" s="248"/>
      <c r="D569" s="656"/>
      <c r="E569" s="656"/>
      <c r="F569" s="656"/>
      <c r="G569" s="656"/>
    </row>
    <row r="570" spans="2:9" ht="31.5" customHeight="1" thickBot="1">
      <c r="B570" s="260" t="s">
        <v>872</v>
      </c>
      <c r="C570" s="248"/>
      <c r="D570" s="657" t="str">
        <f>'1PROJE'!$E$3</f>
        <v>GÜNEŞ PEN</v>
      </c>
      <c r="E570" s="658"/>
      <c r="F570" s="658"/>
      <c r="G570" s="659"/>
    </row>
    <row r="571" spans="2:9" ht="31.5" customHeight="1" thickBot="1">
      <c r="B571" s="260" t="s">
        <v>873</v>
      </c>
      <c r="C571" s="248"/>
      <c r="D571" s="644" t="str">
        <f>'1PROJE'!$F$3</f>
        <v>GÜRKAN BEY</v>
      </c>
      <c r="E571" s="645"/>
      <c r="F571" s="645"/>
      <c r="G571" s="646"/>
    </row>
    <row r="572" spans="2:9" ht="31.5" customHeight="1" thickBot="1">
      <c r="B572" s="260" t="s">
        <v>356</v>
      </c>
      <c r="C572" s="248"/>
      <c r="D572" s="647" t="e" cm="1">
        <f t="array" aca="1" ref="D572" ca="1">INDIRECT("xHesaplama!I"&amp;""&amp;ROW(D572)+70-7*ROUNDDOWN(ROW(D572)/8,0))</f>
        <v>#N/A</v>
      </c>
      <c r="E572" s="648"/>
      <c r="F572" s="648"/>
      <c r="G572" s="649"/>
    </row>
    <row r="573" spans="2:9" ht="31.5" customHeight="1" thickBot="1">
      <c r="B573" s="260" t="s">
        <v>874</v>
      </c>
      <c r="C573" s="248"/>
      <c r="D573" s="650" t="str">
        <f>$H$1</f>
        <v>BOX</v>
      </c>
      <c r="E573" s="651"/>
      <c r="F573" s="651"/>
      <c r="G573" s="652"/>
    </row>
    <row r="574" spans="2:9" ht="31.5" customHeight="1" thickBot="1">
      <c r="B574" s="260" t="s">
        <v>875</v>
      </c>
      <c r="C574" s="248"/>
      <c r="D574" s="653" t="str">
        <f>'1PROJE'!$G$3</f>
        <v>Z 5001</v>
      </c>
      <c r="E574" s="654"/>
      <c r="F574" s="654"/>
      <c r="G574" s="655"/>
      <c r="I574" s="250"/>
    </row>
    <row r="575" spans="2:9" ht="31.5" customHeight="1" thickBot="1">
      <c r="B575" s="260" t="s">
        <v>876</v>
      </c>
      <c r="D575" s="653" cm="1">
        <f t="array" aca="1" ref="D575" ca="1">INDIRECT("xHesaplama!H"&amp;""&amp;ROW(D572)+70-7*ROUNDDOWN(ROW(D572)/8,0))</f>
        <v>0</v>
      </c>
      <c r="E575" s="654"/>
      <c r="F575" s="654"/>
      <c r="G575" s="655"/>
    </row>
    <row r="576" spans="2:9" ht="31.5" customHeight="1" thickBot="1">
      <c r="B576" s="260" t="s">
        <v>877</v>
      </c>
      <c r="D576" s="252" t="s">
        <v>878</v>
      </c>
      <c r="E576" s="253" t="e" cm="1">
        <f t="array" aca="1" ref="E576" ca="1">INDIRECT("xHesaplama!J"&amp;""&amp;ROW(D572)+70-7*ROUNDDOWN(ROW(D572)/8,0))</f>
        <v>#N/A</v>
      </c>
      <c r="F576" s="254" t="s">
        <v>879</v>
      </c>
      <c r="G576" s="253" t="e" cm="1">
        <f t="array" aca="1" ref="G576" ca="1">INDIRECT("xHesaplama!K"&amp;""&amp;ROW(D572)+70-7*ROUNDDOWN(ROW(D572)/8,0))</f>
        <v>#N/A</v>
      </c>
    </row>
    <row r="577" spans="2:9" ht="69" customHeight="1" thickBot="1">
      <c r="B577" s="259" t="s">
        <v>869</v>
      </c>
      <c r="C577" s="248"/>
      <c r="D577" s="656"/>
      <c r="E577" s="656"/>
      <c r="F577" s="656"/>
      <c r="G577" s="656"/>
    </row>
    <row r="578" spans="2:9" ht="31.5" customHeight="1" thickBot="1">
      <c r="B578" s="260" t="s">
        <v>872</v>
      </c>
      <c r="C578" s="248"/>
      <c r="D578" s="657" t="str">
        <f>'1PROJE'!$E$3</f>
        <v>GÜNEŞ PEN</v>
      </c>
      <c r="E578" s="658"/>
      <c r="F578" s="658"/>
      <c r="G578" s="659"/>
    </row>
    <row r="579" spans="2:9" ht="31.5" customHeight="1" thickBot="1">
      <c r="B579" s="260" t="s">
        <v>873</v>
      </c>
      <c r="C579" s="248"/>
      <c r="D579" s="644" t="str">
        <f>'1PROJE'!$F$3</f>
        <v>GÜRKAN BEY</v>
      </c>
      <c r="E579" s="645"/>
      <c r="F579" s="645"/>
      <c r="G579" s="646"/>
    </row>
    <row r="580" spans="2:9" ht="31.5" customHeight="1" thickBot="1">
      <c r="B580" s="260" t="s">
        <v>356</v>
      </c>
      <c r="C580" s="248"/>
      <c r="D580" s="647" t="e" cm="1">
        <f t="array" aca="1" ref="D580" ca="1">INDIRECT("xHesaplama!I"&amp;""&amp;ROW(D580)+70-7*ROUNDDOWN(ROW(D580)/8,0))</f>
        <v>#N/A</v>
      </c>
      <c r="E580" s="648"/>
      <c r="F580" s="648"/>
      <c r="G580" s="649"/>
    </row>
    <row r="581" spans="2:9" ht="31.5" customHeight="1" thickBot="1">
      <c r="B581" s="260" t="s">
        <v>874</v>
      </c>
      <c r="C581" s="248"/>
      <c r="D581" s="650" t="str">
        <f>$H$1</f>
        <v>BOX</v>
      </c>
      <c r="E581" s="651"/>
      <c r="F581" s="651"/>
      <c r="G581" s="652"/>
    </row>
    <row r="582" spans="2:9" ht="31.5" customHeight="1" thickBot="1">
      <c r="B582" s="260" t="s">
        <v>875</v>
      </c>
      <c r="C582" s="248"/>
      <c r="D582" s="653" t="str">
        <f>'1PROJE'!$G$3</f>
        <v>Z 5001</v>
      </c>
      <c r="E582" s="654"/>
      <c r="F582" s="654"/>
      <c r="G582" s="655"/>
      <c r="I582" s="250"/>
    </row>
    <row r="583" spans="2:9" ht="31.5" customHeight="1" thickBot="1">
      <c r="B583" s="260" t="s">
        <v>876</v>
      </c>
      <c r="D583" s="653" cm="1">
        <f t="array" aca="1" ref="D583" ca="1">INDIRECT("xHesaplama!H"&amp;""&amp;ROW(D580)+70-7*ROUNDDOWN(ROW(D580)/8,0))</f>
        <v>0</v>
      </c>
      <c r="E583" s="654"/>
      <c r="F583" s="654"/>
      <c r="G583" s="655"/>
    </row>
    <row r="584" spans="2:9" ht="31.5" customHeight="1" thickBot="1">
      <c r="B584" s="260" t="s">
        <v>877</v>
      </c>
      <c r="D584" s="252" t="s">
        <v>878</v>
      </c>
      <c r="E584" s="253" t="e" cm="1">
        <f t="array" aca="1" ref="E584" ca="1">INDIRECT("xHesaplama!J"&amp;""&amp;ROW(D580)+70-7*ROUNDDOWN(ROW(D580)/8,0))</f>
        <v>#N/A</v>
      </c>
      <c r="F584" s="254" t="s">
        <v>879</v>
      </c>
      <c r="G584" s="253" t="e" cm="1">
        <f t="array" aca="1" ref="G584" ca="1">INDIRECT("xHesaplama!K"&amp;""&amp;ROW(D580)+70-7*ROUNDDOWN(ROW(D580)/8,0))</f>
        <v>#N/A</v>
      </c>
    </row>
    <row r="585" spans="2:9" ht="69" customHeight="1" thickBot="1">
      <c r="B585" s="259" t="s">
        <v>869</v>
      </c>
      <c r="C585" s="248"/>
      <c r="D585" s="656"/>
      <c r="E585" s="656"/>
      <c r="F585" s="656"/>
      <c r="G585" s="656"/>
    </row>
    <row r="586" spans="2:9" ht="31.5" customHeight="1" thickBot="1">
      <c r="B586" s="260" t="s">
        <v>872</v>
      </c>
      <c r="C586" s="248"/>
      <c r="D586" s="657" t="str">
        <f>'1PROJE'!$E$3</f>
        <v>GÜNEŞ PEN</v>
      </c>
      <c r="E586" s="658"/>
      <c r="F586" s="658"/>
      <c r="G586" s="659"/>
    </row>
    <row r="587" spans="2:9" ht="31.5" customHeight="1" thickBot="1">
      <c r="B587" s="260" t="s">
        <v>873</v>
      </c>
      <c r="C587" s="248"/>
      <c r="D587" s="644" t="str">
        <f>'1PROJE'!$F$3</f>
        <v>GÜRKAN BEY</v>
      </c>
      <c r="E587" s="645"/>
      <c r="F587" s="645"/>
      <c r="G587" s="646"/>
    </row>
    <row r="588" spans="2:9" ht="31.5" customHeight="1" thickBot="1">
      <c r="B588" s="260" t="s">
        <v>356</v>
      </c>
      <c r="C588" s="248"/>
      <c r="D588" s="647" t="e" cm="1">
        <f t="array" aca="1" ref="D588" ca="1">INDIRECT("xHesaplama!I"&amp;""&amp;ROW(D588)+70-7*ROUNDDOWN(ROW(D588)/8,0))</f>
        <v>#N/A</v>
      </c>
      <c r="E588" s="648"/>
      <c r="F588" s="648"/>
      <c r="G588" s="649"/>
    </row>
    <row r="589" spans="2:9" ht="31.5" customHeight="1" thickBot="1">
      <c r="B589" s="260" t="s">
        <v>874</v>
      </c>
      <c r="C589" s="248"/>
      <c r="D589" s="650" t="str">
        <f>$H$1</f>
        <v>BOX</v>
      </c>
      <c r="E589" s="651"/>
      <c r="F589" s="651"/>
      <c r="G589" s="652"/>
    </row>
    <row r="590" spans="2:9" ht="31.5" customHeight="1" thickBot="1">
      <c r="B590" s="260" t="s">
        <v>875</v>
      </c>
      <c r="C590" s="248"/>
      <c r="D590" s="653" t="str">
        <f>'1PROJE'!$G$3</f>
        <v>Z 5001</v>
      </c>
      <c r="E590" s="654"/>
      <c r="F590" s="654"/>
      <c r="G590" s="655"/>
      <c r="I590" s="250"/>
    </row>
    <row r="591" spans="2:9" ht="31.5" customHeight="1" thickBot="1">
      <c r="B591" s="260" t="s">
        <v>876</v>
      </c>
      <c r="D591" s="653" cm="1">
        <f t="array" aca="1" ref="D591" ca="1">INDIRECT("xHesaplama!H"&amp;""&amp;ROW(D588)+70-7*ROUNDDOWN(ROW(D588)/8,0))</f>
        <v>0</v>
      </c>
      <c r="E591" s="654"/>
      <c r="F591" s="654"/>
      <c r="G591" s="655"/>
    </row>
    <row r="592" spans="2:9" ht="31.5" customHeight="1" thickBot="1">
      <c r="B592" s="260" t="s">
        <v>877</v>
      </c>
      <c r="D592" s="252" t="s">
        <v>878</v>
      </c>
      <c r="E592" s="253" t="e" cm="1">
        <f t="array" aca="1" ref="E592" ca="1">INDIRECT("xHesaplama!J"&amp;""&amp;ROW(D588)+70-7*ROUNDDOWN(ROW(D588)/8,0))</f>
        <v>#N/A</v>
      </c>
      <c r="F592" s="254" t="s">
        <v>879</v>
      </c>
      <c r="G592" s="253" t="e" cm="1">
        <f t="array" aca="1" ref="G592" ca="1">INDIRECT("xHesaplama!K"&amp;""&amp;ROW(D588)+70-7*ROUNDDOWN(ROW(D588)/8,0))</f>
        <v>#N/A</v>
      </c>
    </row>
    <row r="593" spans="2:9" ht="69" customHeight="1" thickBot="1">
      <c r="B593" s="259" t="s">
        <v>869</v>
      </c>
      <c r="C593" s="248"/>
      <c r="D593" s="656"/>
      <c r="E593" s="656"/>
      <c r="F593" s="656"/>
      <c r="G593" s="656"/>
    </row>
    <row r="594" spans="2:9" ht="31.5" customHeight="1" thickBot="1">
      <c r="B594" s="260" t="s">
        <v>872</v>
      </c>
      <c r="C594" s="248"/>
      <c r="D594" s="657" t="str">
        <f>'1PROJE'!$E$3</f>
        <v>GÜNEŞ PEN</v>
      </c>
      <c r="E594" s="658"/>
      <c r="F594" s="658"/>
      <c r="G594" s="659"/>
    </row>
    <row r="595" spans="2:9" ht="31.5" customHeight="1" thickBot="1">
      <c r="B595" s="260" t="s">
        <v>873</v>
      </c>
      <c r="C595" s="248"/>
      <c r="D595" s="644" t="str">
        <f>'1PROJE'!$F$3</f>
        <v>GÜRKAN BEY</v>
      </c>
      <c r="E595" s="645"/>
      <c r="F595" s="645"/>
      <c r="G595" s="646"/>
    </row>
    <row r="596" spans="2:9" ht="31.5" customHeight="1" thickBot="1">
      <c r="B596" s="260" t="s">
        <v>356</v>
      </c>
      <c r="C596" s="248"/>
      <c r="D596" s="647" t="e" cm="1">
        <f t="array" aca="1" ref="D596" ca="1">INDIRECT("xHesaplama!I"&amp;""&amp;ROW(D596)+70-7*ROUNDDOWN(ROW(D596)/8,0))</f>
        <v>#N/A</v>
      </c>
      <c r="E596" s="648"/>
      <c r="F596" s="648"/>
      <c r="G596" s="649"/>
    </row>
    <row r="597" spans="2:9" ht="31.5" customHeight="1" thickBot="1">
      <c r="B597" s="260" t="s">
        <v>874</v>
      </c>
      <c r="C597" s="248"/>
      <c r="D597" s="650" t="str">
        <f>$H$1</f>
        <v>BOX</v>
      </c>
      <c r="E597" s="651"/>
      <c r="F597" s="651"/>
      <c r="G597" s="652"/>
    </row>
    <row r="598" spans="2:9" ht="31.5" customHeight="1" thickBot="1">
      <c r="B598" s="260" t="s">
        <v>875</v>
      </c>
      <c r="C598" s="248"/>
      <c r="D598" s="653" t="str">
        <f>'1PROJE'!$G$3</f>
        <v>Z 5001</v>
      </c>
      <c r="E598" s="654"/>
      <c r="F598" s="654"/>
      <c r="G598" s="655"/>
      <c r="I598" s="250"/>
    </row>
    <row r="599" spans="2:9" ht="31.5" customHeight="1" thickBot="1">
      <c r="B599" s="260" t="s">
        <v>876</v>
      </c>
      <c r="D599" s="653" cm="1">
        <f t="array" aca="1" ref="D599" ca="1">INDIRECT("xHesaplama!H"&amp;""&amp;ROW(D596)+70-7*ROUNDDOWN(ROW(D596)/8,0))</f>
        <v>0</v>
      </c>
      <c r="E599" s="654"/>
      <c r="F599" s="654"/>
      <c r="G599" s="655"/>
    </row>
    <row r="600" spans="2:9" ht="31.5" customHeight="1" thickBot="1">
      <c r="B600" s="260" t="s">
        <v>877</v>
      </c>
      <c r="D600" s="252" t="s">
        <v>878</v>
      </c>
      <c r="E600" s="253" t="e" cm="1">
        <f t="array" aca="1" ref="E600" ca="1">INDIRECT("xHesaplama!J"&amp;""&amp;ROW(D596)+70-7*ROUNDDOWN(ROW(D596)/8,0))</f>
        <v>#N/A</v>
      </c>
      <c r="F600" s="254" t="s">
        <v>879</v>
      </c>
      <c r="G600" s="253" t="e" cm="1">
        <f t="array" aca="1" ref="G600" ca="1">INDIRECT("xHesaplama!K"&amp;""&amp;ROW(D596)+70-7*ROUNDDOWN(ROW(D596)/8,0))</f>
        <v>#N/A</v>
      </c>
    </row>
    <row r="601" spans="2:9" ht="69" customHeight="1" thickBot="1">
      <c r="B601" s="259" t="s">
        <v>869</v>
      </c>
      <c r="C601" s="248"/>
      <c r="D601" s="656"/>
      <c r="E601" s="656"/>
      <c r="F601" s="656"/>
      <c r="G601" s="656"/>
    </row>
    <row r="602" spans="2:9" ht="31.5" customHeight="1" thickBot="1">
      <c r="B602" s="260" t="s">
        <v>872</v>
      </c>
      <c r="C602" s="248"/>
      <c r="D602" s="657" t="str">
        <f>'1PROJE'!$E$3</f>
        <v>GÜNEŞ PEN</v>
      </c>
      <c r="E602" s="658"/>
      <c r="F602" s="658"/>
      <c r="G602" s="659"/>
    </row>
    <row r="603" spans="2:9" ht="31.5" customHeight="1" thickBot="1">
      <c r="B603" s="260" t="s">
        <v>873</v>
      </c>
      <c r="C603" s="248"/>
      <c r="D603" s="644" t="str">
        <f>'1PROJE'!$F$3</f>
        <v>GÜRKAN BEY</v>
      </c>
      <c r="E603" s="645"/>
      <c r="F603" s="645"/>
      <c r="G603" s="646"/>
    </row>
    <row r="604" spans="2:9" ht="31.5" customHeight="1" thickBot="1">
      <c r="B604" s="260" t="s">
        <v>356</v>
      </c>
      <c r="C604" s="248"/>
      <c r="D604" s="647" t="e" cm="1">
        <f t="array" aca="1" ref="D604" ca="1">INDIRECT("xHesaplama!I"&amp;""&amp;ROW(D604)+70-7*ROUNDDOWN(ROW(D604)/8,0))</f>
        <v>#N/A</v>
      </c>
      <c r="E604" s="648"/>
      <c r="F604" s="648"/>
      <c r="G604" s="649"/>
    </row>
    <row r="605" spans="2:9" ht="31.5" customHeight="1" thickBot="1">
      <c r="B605" s="260" t="s">
        <v>874</v>
      </c>
      <c r="C605" s="248"/>
      <c r="D605" s="650" t="str">
        <f>$H$1</f>
        <v>BOX</v>
      </c>
      <c r="E605" s="651"/>
      <c r="F605" s="651"/>
      <c r="G605" s="652"/>
    </row>
    <row r="606" spans="2:9" ht="31.5" customHeight="1" thickBot="1">
      <c r="B606" s="260" t="s">
        <v>875</v>
      </c>
      <c r="C606" s="248"/>
      <c r="D606" s="653" t="str">
        <f>'1PROJE'!$G$3</f>
        <v>Z 5001</v>
      </c>
      <c r="E606" s="654"/>
      <c r="F606" s="654"/>
      <c r="G606" s="655"/>
      <c r="I606" s="250"/>
    </row>
    <row r="607" spans="2:9" ht="31.5" customHeight="1" thickBot="1">
      <c r="B607" s="260" t="s">
        <v>876</v>
      </c>
      <c r="D607" s="653" cm="1">
        <f t="array" aca="1" ref="D607" ca="1">INDIRECT("xHesaplama!H"&amp;""&amp;ROW(D604)+70-7*ROUNDDOWN(ROW(D604)/8,0))</f>
        <v>0</v>
      </c>
      <c r="E607" s="654"/>
      <c r="F607" s="654"/>
      <c r="G607" s="655"/>
    </row>
    <row r="608" spans="2:9" ht="31.5" customHeight="1" thickBot="1">
      <c r="B608" s="260" t="s">
        <v>877</v>
      </c>
      <c r="D608" s="252" t="s">
        <v>878</v>
      </c>
      <c r="E608" s="253" t="e" cm="1">
        <f t="array" aca="1" ref="E608" ca="1">INDIRECT("xHesaplama!J"&amp;""&amp;ROW(D604)+70-7*ROUNDDOWN(ROW(D604)/8,0))</f>
        <v>#N/A</v>
      </c>
      <c r="F608" s="254" t="s">
        <v>879</v>
      </c>
      <c r="G608" s="253" t="e" cm="1">
        <f t="array" aca="1" ref="G608" ca="1">INDIRECT("xHesaplama!K"&amp;""&amp;ROW(D604)+70-7*ROUNDDOWN(ROW(D604)/8,0))</f>
        <v>#N/A</v>
      </c>
    </row>
    <row r="609" spans="2:9" ht="69" customHeight="1" thickBot="1">
      <c r="B609" s="259" t="s">
        <v>869</v>
      </c>
      <c r="C609" s="248"/>
      <c r="D609" s="656"/>
      <c r="E609" s="656"/>
      <c r="F609" s="656"/>
      <c r="G609" s="656"/>
    </row>
    <row r="610" spans="2:9" ht="31.5" customHeight="1" thickBot="1">
      <c r="B610" s="260" t="s">
        <v>872</v>
      </c>
      <c r="C610" s="248"/>
      <c r="D610" s="657" t="str">
        <f>'1PROJE'!$E$3</f>
        <v>GÜNEŞ PEN</v>
      </c>
      <c r="E610" s="658"/>
      <c r="F610" s="658"/>
      <c r="G610" s="659"/>
    </row>
    <row r="611" spans="2:9" ht="31.5" customHeight="1" thickBot="1">
      <c r="B611" s="260" t="s">
        <v>873</v>
      </c>
      <c r="C611" s="248"/>
      <c r="D611" s="644" t="str">
        <f>'1PROJE'!$F$3</f>
        <v>GÜRKAN BEY</v>
      </c>
      <c r="E611" s="645"/>
      <c r="F611" s="645"/>
      <c r="G611" s="646"/>
    </row>
    <row r="612" spans="2:9" ht="31.5" customHeight="1" thickBot="1">
      <c r="B612" s="260" t="s">
        <v>356</v>
      </c>
      <c r="C612" s="248"/>
      <c r="D612" s="647" t="e" cm="1">
        <f t="array" aca="1" ref="D612" ca="1">INDIRECT("xHesaplama!I"&amp;""&amp;ROW(D612)+70-7*ROUNDDOWN(ROW(D612)/8,0))</f>
        <v>#N/A</v>
      </c>
      <c r="E612" s="648"/>
      <c r="F612" s="648"/>
      <c r="G612" s="649"/>
    </row>
    <row r="613" spans="2:9" ht="31.5" customHeight="1" thickBot="1">
      <c r="B613" s="260" t="s">
        <v>874</v>
      </c>
      <c r="C613" s="248"/>
      <c r="D613" s="650" t="str">
        <f>$H$1</f>
        <v>BOX</v>
      </c>
      <c r="E613" s="651"/>
      <c r="F613" s="651"/>
      <c r="G613" s="652"/>
    </row>
    <row r="614" spans="2:9" ht="31.5" customHeight="1" thickBot="1">
      <c r="B614" s="260" t="s">
        <v>875</v>
      </c>
      <c r="C614" s="248"/>
      <c r="D614" s="653" t="str">
        <f>'1PROJE'!$G$3</f>
        <v>Z 5001</v>
      </c>
      <c r="E614" s="654"/>
      <c r="F614" s="654"/>
      <c r="G614" s="655"/>
      <c r="I614" s="250"/>
    </row>
    <row r="615" spans="2:9" ht="31.5" customHeight="1" thickBot="1">
      <c r="B615" s="260" t="s">
        <v>876</v>
      </c>
      <c r="D615" s="653" cm="1">
        <f t="array" aca="1" ref="D615" ca="1">INDIRECT("xHesaplama!H"&amp;""&amp;ROW(D612)+70-7*ROUNDDOWN(ROW(D612)/8,0))</f>
        <v>0</v>
      </c>
      <c r="E615" s="654"/>
      <c r="F615" s="654"/>
      <c r="G615" s="655"/>
    </row>
    <row r="616" spans="2:9" ht="31.5" customHeight="1" thickBot="1">
      <c r="B616" s="260" t="s">
        <v>877</v>
      </c>
      <c r="D616" s="252" t="s">
        <v>878</v>
      </c>
      <c r="E616" s="253" t="e" cm="1">
        <f t="array" aca="1" ref="E616" ca="1">INDIRECT("xHesaplama!J"&amp;""&amp;ROW(D612)+70-7*ROUNDDOWN(ROW(D612)/8,0))</f>
        <v>#N/A</v>
      </c>
      <c r="F616" s="254" t="s">
        <v>879</v>
      </c>
      <c r="G616" s="253" t="e" cm="1">
        <f t="array" aca="1" ref="G616" ca="1">INDIRECT("xHesaplama!K"&amp;""&amp;ROW(D612)+70-7*ROUNDDOWN(ROW(D612)/8,0))</f>
        <v>#N/A</v>
      </c>
    </row>
    <row r="617" spans="2:9" ht="69" customHeight="1" thickBot="1">
      <c r="B617" s="259" t="s">
        <v>869</v>
      </c>
      <c r="C617" s="248"/>
      <c r="D617" s="656"/>
      <c r="E617" s="656"/>
      <c r="F617" s="656"/>
      <c r="G617" s="656"/>
    </row>
    <row r="618" spans="2:9" ht="31.5" customHeight="1" thickBot="1">
      <c r="B618" s="260" t="s">
        <v>872</v>
      </c>
      <c r="C618" s="248"/>
      <c r="D618" s="657" t="str">
        <f>'1PROJE'!$E$3</f>
        <v>GÜNEŞ PEN</v>
      </c>
      <c r="E618" s="658"/>
      <c r="F618" s="658"/>
      <c r="G618" s="659"/>
    </row>
    <row r="619" spans="2:9" ht="31.5" customHeight="1" thickBot="1">
      <c r="B619" s="260" t="s">
        <v>873</v>
      </c>
      <c r="C619" s="248"/>
      <c r="D619" s="644" t="str">
        <f>'1PROJE'!$F$3</f>
        <v>GÜRKAN BEY</v>
      </c>
      <c r="E619" s="645"/>
      <c r="F619" s="645"/>
      <c r="G619" s="646"/>
    </row>
    <row r="620" spans="2:9" ht="31.5" customHeight="1" thickBot="1">
      <c r="B620" s="260" t="s">
        <v>356</v>
      </c>
      <c r="C620" s="248"/>
      <c r="D620" s="647" t="e" cm="1">
        <f t="array" aca="1" ref="D620" ca="1">INDIRECT("xHesaplama!I"&amp;""&amp;ROW(D620)+70-7*ROUNDDOWN(ROW(D620)/8,0))</f>
        <v>#N/A</v>
      </c>
      <c r="E620" s="648"/>
      <c r="F620" s="648"/>
      <c r="G620" s="649"/>
    </row>
    <row r="621" spans="2:9" ht="31.5" customHeight="1" thickBot="1">
      <c r="B621" s="260" t="s">
        <v>874</v>
      </c>
      <c r="C621" s="248"/>
      <c r="D621" s="650" t="str">
        <f>$H$1</f>
        <v>BOX</v>
      </c>
      <c r="E621" s="651"/>
      <c r="F621" s="651"/>
      <c r="G621" s="652"/>
    </row>
    <row r="622" spans="2:9" ht="31.5" customHeight="1" thickBot="1">
      <c r="B622" s="260" t="s">
        <v>875</v>
      </c>
      <c r="C622" s="248"/>
      <c r="D622" s="653" t="str">
        <f>'1PROJE'!$G$3</f>
        <v>Z 5001</v>
      </c>
      <c r="E622" s="654"/>
      <c r="F622" s="654"/>
      <c r="G622" s="655"/>
      <c r="I622" s="250"/>
    </row>
    <row r="623" spans="2:9" ht="31.5" customHeight="1" thickBot="1">
      <c r="B623" s="260" t="s">
        <v>876</v>
      </c>
      <c r="D623" s="653" cm="1">
        <f t="array" aca="1" ref="D623" ca="1">INDIRECT("xHesaplama!H"&amp;""&amp;ROW(D620)+70-7*ROUNDDOWN(ROW(D620)/8,0))</f>
        <v>0</v>
      </c>
      <c r="E623" s="654"/>
      <c r="F623" s="654"/>
      <c r="G623" s="655"/>
    </row>
    <row r="624" spans="2:9" ht="31.5" customHeight="1" thickBot="1">
      <c r="B624" s="260" t="s">
        <v>877</v>
      </c>
      <c r="D624" s="252" t="s">
        <v>878</v>
      </c>
      <c r="E624" s="253" t="e" cm="1">
        <f t="array" aca="1" ref="E624" ca="1">INDIRECT("xHesaplama!J"&amp;""&amp;ROW(D620)+70-7*ROUNDDOWN(ROW(D620)/8,0))</f>
        <v>#N/A</v>
      </c>
      <c r="F624" s="254" t="s">
        <v>879</v>
      </c>
      <c r="G624" s="253" t="e" cm="1">
        <f t="array" aca="1" ref="G624" ca="1">INDIRECT("xHesaplama!K"&amp;""&amp;ROW(D620)+70-7*ROUNDDOWN(ROW(D620)/8,0))</f>
        <v>#N/A</v>
      </c>
    </row>
    <row r="625" spans="2:9" ht="69" customHeight="1" thickBot="1">
      <c r="B625" s="259" t="s">
        <v>869</v>
      </c>
      <c r="C625" s="248"/>
      <c r="D625" s="656"/>
      <c r="E625" s="656"/>
      <c r="F625" s="656"/>
      <c r="G625" s="656"/>
    </row>
    <row r="626" spans="2:9" ht="31.5" customHeight="1" thickBot="1">
      <c r="B626" s="260" t="s">
        <v>872</v>
      </c>
      <c r="C626" s="248"/>
      <c r="D626" s="657" t="str">
        <f>'1PROJE'!$E$3</f>
        <v>GÜNEŞ PEN</v>
      </c>
      <c r="E626" s="658"/>
      <c r="F626" s="658"/>
      <c r="G626" s="659"/>
    </row>
    <row r="627" spans="2:9" ht="31.5" customHeight="1" thickBot="1">
      <c r="B627" s="260" t="s">
        <v>873</v>
      </c>
      <c r="C627" s="248"/>
      <c r="D627" s="644" t="str">
        <f>'1PROJE'!$F$3</f>
        <v>GÜRKAN BEY</v>
      </c>
      <c r="E627" s="645"/>
      <c r="F627" s="645"/>
      <c r="G627" s="646"/>
    </row>
    <row r="628" spans="2:9" ht="31.5" customHeight="1" thickBot="1">
      <c r="B628" s="260" t="s">
        <v>356</v>
      </c>
      <c r="C628" s="248"/>
      <c r="D628" s="647" t="e" cm="1">
        <f t="array" aca="1" ref="D628" ca="1">INDIRECT("xHesaplama!I"&amp;""&amp;ROW(D628)+70-7*ROUNDDOWN(ROW(D628)/8,0))</f>
        <v>#N/A</v>
      </c>
      <c r="E628" s="648"/>
      <c r="F628" s="648"/>
      <c r="G628" s="649"/>
    </row>
    <row r="629" spans="2:9" ht="31.5" customHeight="1" thickBot="1">
      <c r="B629" s="260" t="s">
        <v>874</v>
      </c>
      <c r="C629" s="248"/>
      <c r="D629" s="650" t="str">
        <f>$H$1</f>
        <v>BOX</v>
      </c>
      <c r="E629" s="651"/>
      <c r="F629" s="651"/>
      <c r="G629" s="652"/>
    </row>
    <row r="630" spans="2:9" ht="31.5" customHeight="1" thickBot="1">
      <c r="B630" s="260" t="s">
        <v>875</v>
      </c>
      <c r="C630" s="248"/>
      <c r="D630" s="653" t="str">
        <f>'1PROJE'!$G$3</f>
        <v>Z 5001</v>
      </c>
      <c r="E630" s="654"/>
      <c r="F630" s="654"/>
      <c r="G630" s="655"/>
      <c r="I630" s="250"/>
    </row>
    <row r="631" spans="2:9" ht="31.5" customHeight="1" thickBot="1">
      <c r="B631" s="260" t="s">
        <v>876</v>
      </c>
      <c r="D631" s="653" cm="1">
        <f t="array" aca="1" ref="D631" ca="1">INDIRECT("xHesaplama!H"&amp;""&amp;ROW(D628)+70-7*ROUNDDOWN(ROW(D628)/8,0))</f>
        <v>0</v>
      </c>
      <c r="E631" s="654"/>
      <c r="F631" s="654"/>
      <c r="G631" s="655"/>
    </row>
    <row r="632" spans="2:9" ht="31.5" customHeight="1" thickBot="1">
      <c r="B632" s="260" t="s">
        <v>877</v>
      </c>
      <c r="D632" s="252" t="s">
        <v>878</v>
      </c>
      <c r="E632" s="253" t="e" cm="1">
        <f t="array" aca="1" ref="E632" ca="1">INDIRECT("xHesaplama!J"&amp;""&amp;ROW(D628)+70-7*ROUNDDOWN(ROW(D628)/8,0))</f>
        <v>#N/A</v>
      </c>
      <c r="F632" s="254" t="s">
        <v>879</v>
      </c>
      <c r="G632" s="253" t="e" cm="1">
        <f t="array" aca="1" ref="G632" ca="1">INDIRECT("xHesaplama!K"&amp;""&amp;ROW(D628)+70-7*ROUNDDOWN(ROW(D628)/8,0))</f>
        <v>#N/A</v>
      </c>
    </row>
    <row r="633" spans="2:9" ht="69" customHeight="1" thickBot="1">
      <c r="B633" s="259" t="s">
        <v>869</v>
      </c>
      <c r="C633" s="248"/>
      <c r="D633" s="656"/>
      <c r="E633" s="656"/>
      <c r="F633" s="656"/>
      <c r="G633" s="656"/>
    </row>
    <row r="634" spans="2:9" ht="31.5" customHeight="1" thickBot="1">
      <c r="B634" s="260" t="s">
        <v>872</v>
      </c>
      <c r="C634" s="248"/>
      <c r="D634" s="657" t="str">
        <f>'1PROJE'!$E$3</f>
        <v>GÜNEŞ PEN</v>
      </c>
      <c r="E634" s="658"/>
      <c r="F634" s="658"/>
      <c r="G634" s="659"/>
    </row>
    <row r="635" spans="2:9" ht="31.5" customHeight="1" thickBot="1">
      <c r="B635" s="260" t="s">
        <v>873</v>
      </c>
      <c r="C635" s="248"/>
      <c r="D635" s="644" t="str">
        <f>'1PROJE'!$F$3</f>
        <v>GÜRKAN BEY</v>
      </c>
      <c r="E635" s="645"/>
      <c r="F635" s="645"/>
      <c r="G635" s="646"/>
    </row>
    <row r="636" spans="2:9" ht="31.5" customHeight="1" thickBot="1">
      <c r="B636" s="260" t="s">
        <v>356</v>
      </c>
      <c r="C636" s="248"/>
      <c r="D636" s="647" t="e" cm="1">
        <f t="array" aca="1" ref="D636" ca="1">INDIRECT("xHesaplama!I"&amp;""&amp;ROW(D636)+70-7*ROUNDDOWN(ROW(D636)/8,0))</f>
        <v>#N/A</v>
      </c>
      <c r="E636" s="648"/>
      <c r="F636" s="648"/>
      <c r="G636" s="649"/>
    </row>
    <row r="637" spans="2:9" ht="31.5" customHeight="1" thickBot="1">
      <c r="B637" s="260" t="s">
        <v>874</v>
      </c>
      <c r="C637" s="248"/>
      <c r="D637" s="650" t="str">
        <f>$H$1</f>
        <v>BOX</v>
      </c>
      <c r="E637" s="651"/>
      <c r="F637" s="651"/>
      <c r="G637" s="652"/>
    </row>
    <row r="638" spans="2:9" ht="31.5" customHeight="1" thickBot="1">
      <c r="B638" s="260" t="s">
        <v>875</v>
      </c>
      <c r="C638" s="248"/>
      <c r="D638" s="653" t="str">
        <f>'1PROJE'!$G$3</f>
        <v>Z 5001</v>
      </c>
      <c r="E638" s="654"/>
      <c r="F638" s="654"/>
      <c r="G638" s="655"/>
      <c r="I638" s="250"/>
    </row>
    <row r="639" spans="2:9" ht="31.5" customHeight="1" thickBot="1">
      <c r="B639" s="260" t="s">
        <v>876</v>
      </c>
      <c r="D639" s="653" cm="1">
        <f t="array" aca="1" ref="D639" ca="1">INDIRECT("xHesaplama!H"&amp;""&amp;ROW(D636)+70-7*ROUNDDOWN(ROW(D636)/8,0))</f>
        <v>0</v>
      </c>
      <c r="E639" s="654"/>
      <c r="F639" s="654"/>
      <c r="G639" s="655"/>
    </row>
    <row r="640" spans="2:9" ht="31.5" customHeight="1" thickBot="1">
      <c r="B640" s="260" t="s">
        <v>877</v>
      </c>
      <c r="D640" s="252" t="s">
        <v>878</v>
      </c>
      <c r="E640" s="253" t="e" cm="1">
        <f t="array" aca="1" ref="E640" ca="1">INDIRECT("xHesaplama!J"&amp;""&amp;ROW(D636)+70-7*ROUNDDOWN(ROW(D636)/8,0))</f>
        <v>#N/A</v>
      </c>
      <c r="F640" s="254" t="s">
        <v>879</v>
      </c>
      <c r="G640" s="253" t="e" cm="1">
        <f t="array" aca="1" ref="G640" ca="1">INDIRECT("xHesaplama!K"&amp;""&amp;ROW(D636)+70-7*ROUNDDOWN(ROW(D636)/8,0))</f>
        <v>#N/A</v>
      </c>
    </row>
    <row r="641" spans="2:9" ht="69" customHeight="1" thickBot="1">
      <c r="B641" s="259" t="s">
        <v>869</v>
      </c>
      <c r="C641" s="248"/>
      <c r="D641" s="656"/>
      <c r="E641" s="656"/>
      <c r="F641" s="656"/>
      <c r="G641" s="656"/>
    </row>
    <row r="642" spans="2:9" ht="31.5" customHeight="1" thickBot="1">
      <c r="B642" s="260" t="s">
        <v>872</v>
      </c>
      <c r="C642" s="248"/>
      <c r="D642" s="657" t="str">
        <f>'1PROJE'!$E$3</f>
        <v>GÜNEŞ PEN</v>
      </c>
      <c r="E642" s="658"/>
      <c r="F642" s="658"/>
      <c r="G642" s="659"/>
    </row>
    <row r="643" spans="2:9" ht="31.5" customHeight="1" thickBot="1">
      <c r="B643" s="260" t="s">
        <v>873</v>
      </c>
      <c r="C643" s="248"/>
      <c r="D643" s="644" t="str">
        <f>'1PROJE'!$F$3</f>
        <v>GÜRKAN BEY</v>
      </c>
      <c r="E643" s="645"/>
      <c r="F643" s="645"/>
      <c r="G643" s="646"/>
    </row>
    <row r="644" spans="2:9" ht="31.5" customHeight="1" thickBot="1">
      <c r="B644" s="260" t="s">
        <v>356</v>
      </c>
      <c r="C644" s="248"/>
      <c r="D644" s="647" t="e" cm="1">
        <f t="array" aca="1" ref="D644" ca="1">INDIRECT("xHesaplama!I"&amp;""&amp;ROW(D644)+70-7*ROUNDDOWN(ROW(D644)/8,0))</f>
        <v>#N/A</v>
      </c>
      <c r="E644" s="648"/>
      <c r="F644" s="648"/>
      <c r="G644" s="649"/>
    </row>
    <row r="645" spans="2:9" ht="31.5" customHeight="1" thickBot="1">
      <c r="B645" s="260" t="s">
        <v>874</v>
      </c>
      <c r="C645" s="248"/>
      <c r="D645" s="650" t="str">
        <f>$H$1</f>
        <v>BOX</v>
      </c>
      <c r="E645" s="651"/>
      <c r="F645" s="651"/>
      <c r="G645" s="652"/>
    </row>
    <row r="646" spans="2:9" ht="31.5" customHeight="1" thickBot="1">
      <c r="B646" s="260" t="s">
        <v>875</v>
      </c>
      <c r="C646" s="248"/>
      <c r="D646" s="653" t="str">
        <f>'1PROJE'!$G$3</f>
        <v>Z 5001</v>
      </c>
      <c r="E646" s="654"/>
      <c r="F646" s="654"/>
      <c r="G646" s="655"/>
      <c r="I646" s="250"/>
    </row>
    <row r="647" spans="2:9" ht="31.5" customHeight="1" thickBot="1">
      <c r="B647" s="260" t="s">
        <v>876</v>
      </c>
      <c r="D647" s="653" cm="1">
        <f t="array" aca="1" ref="D647" ca="1">INDIRECT("xHesaplama!H"&amp;""&amp;ROW(D644)+70-7*ROUNDDOWN(ROW(D644)/8,0))</f>
        <v>0</v>
      </c>
      <c r="E647" s="654"/>
      <c r="F647" s="654"/>
      <c r="G647" s="655"/>
    </row>
    <row r="648" spans="2:9" ht="31.5" customHeight="1" thickBot="1">
      <c r="B648" s="260" t="s">
        <v>877</v>
      </c>
      <c r="D648" s="252" t="s">
        <v>878</v>
      </c>
      <c r="E648" s="253" t="e" cm="1">
        <f t="array" aca="1" ref="E648" ca="1">INDIRECT("xHesaplama!J"&amp;""&amp;ROW(D644)+70-7*ROUNDDOWN(ROW(D644)/8,0))</f>
        <v>#N/A</v>
      </c>
      <c r="F648" s="254" t="s">
        <v>879</v>
      </c>
      <c r="G648" s="253" t="e" cm="1">
        <f t="array" aca="1" ref="G648" ca="1">INDIRECT("xHesaplama!K"&amp;""&amp;ROW(D644)+70-7*ROUNDDOWN(ROW(D644)/8,0))</f>
        <v>#N/A</v>
      </c>
    </row>
    <row r="649" spans="2:9" ht="69" customHeight="1" thickBot="1">
      <c r="B649" s="259" t="s">
        <v>869</v>
      </c>
      <c r="C649" s="248"/>
      <c r="D649" s="656"/>
      <c r="E649" s="656"/>
      <c r="F649" s="656"/>
      <c r="G649" s="656"/>
    </row>
    <row r="650" spans="2:9" ht="31.5" customHeight="1" thickBot="1">
      <c r="B650" s="260" t="s">
        <v>872</v>
      </c>
      <c r="C650" s="248"/>
      <c r="D650" s="657" t="str">
        <f>'1PROJE'!$E$3</f>
        <v>GÜNEŞ PEN</v>
      </c>
      <c r="E650" s="658"/>
      <c r="F650" s="658"/>
      <c r="G650" s="659"/>
    </row>
    <row r="651" spans="2:9" ht="31.5" customHeight="1" thickBot="1">
      <c r="B651" s="260" t="s">
        <v>873</v>
      </c>
      <c r="C651" s="248"/>
      <c r="D651" s="644" t="str">
        <f>'1PROJE'!$F$3</f>
        <v>GÜRKAN BEY</v>
      </c>
      <c r="E651" s="645"/>
      <c r="F651" s="645"/>
      <c r="G651" s="646"/>
    </row>
    <row r="652" spans="2:9" ht="31.5" customHeight="1" thickBot="1">
      <c r="B652" s="260" t="s">
        <v>356</v>
      </c>
      <c r="C652" s="248"/>
      <c r="D652" s="647" t="e" cm="1">
        <f t="array" aca="1" ref="D652" ca="1">INDIRECT("xHesaplama!I"&amp;""&amp;ROW(D652)+70-7*ROUNDDOWN(ROW(D652)/8,0))</f>
        <v>#N/A</v>
      </c>
      <c r="E652" s="648"/>
      <c r="F652" s="648"/>
      <c r="G652" s="649"/>
    </row>
    <row r="653" spans="2:9" ht="31.5" customHeight="1" thickBot="1">
      <c r="B653" s="260" t="s">
        <v>874</v>
      </c>
      <c r="C653" s="248"/>
      <c r="D653" s="650" t="str">
        <f>$H$1</f>
        <v>BOX</v>
      </c>
      <c r="E653" s="651"/>
      <c r="F653" s="651"/>
      <c r="G653" s="652"/>
    </row>
    <row r="654" spans="2:9" ht="31.5" customHeight="1" thickBot="1">
      <c r="B654" s="260" t="s">
        <v>875</v>
      </c>
      <c r="C654" s="248"/>
      <c r="D654" s="653" t="str">
        <f>'1PROJE'!$G$3</f>
        <v>Z 5001</v>
      </c>
      <c r="E654" s="654"/>
      <c r="F654" s="654"/>
      <c r="G654" s="655"/>
      <c r="I654" s="250"/>
    </row>
    <row r="655" spans="2:9" ht="31.5" customHeight="1" thickBot="1">
      <c r="B655" s="260" t="s">
        <v>876</v>
      </c>
      <c r="D655" s="653" cm="1">
        <f t="array" aca="1" ref="D655" ca="1">INDIRECT("xHesaplama!H"&amp;""&amp;ROW(D652)+70-7*ROUNDDOWN(ROW(D652)/8,0))</f>
        <v>0</v>
      </c>
      <c r="E655" s="654"/>
      <c r="F655" s="654"/>
      <c r="G655" s="655"/>
    </row>
    <row r="656" spans="2:9" ht="31.5" customHeight="1" thickBot="1">
      <c r="B656" s="260" t="s">
        <v>877</v>
      </c>
      <c r="D656" s="252" t="s">
        <v>878</v>
      </c>
      <c r="E656" s="253" t="e" cm="1">
        <f t="array" aca="1" ref="E656" ca="1">INDIRECT("xHesaplama!J"&amp;""&amp;ROW(D652)+70-7*ROUNDDOWN(ROW(D652)/8,0))</f>
        <v>#N/A</v>
      </c>
      <c r="F656" s="254" t="s">
        <v>879</v>
      </c>
      <c r="G656" s="253" t="e" cm="1">
        <f t="array" aca="1" ref="G656" ca="1">INDIRECT("xHesaplama!K"&amp;""&amp;ROW(D652)+70-7*ROUNDDOWN(ROW(D652)/8,0))</f>
        <v>#N/A</v>
      </c>
    </row>
    <row r="657" spans="2:9" ht="69" customHeight="1" thickBot="1">
      <c r="B657" s="259" t="s">
        <v>869</v>
      </c>
      <c r="C657" s="248"/>
      <c r="D657" s="656"/>
      <c r="E657" s="656"/>
      <c r="F657" s="656"/>
      <c r="G657" s="656"/>
    </row>
    <row r="658" spans="2:9" ht="31.5" customHeight="1" thickBot="1">
      <c r="B658" s="260" t="s">
        <v>872</v>
      </c>
      <c r="C658" s="248"/>
      <c r="D658" s="657" t="str">
        <f>'1PROJE'!$E$3</f>
        <v>GÜNEŞ PEN</v>
      </c>
      <c r="E658" s="658"/>
      <c r="F658" s="658"/>
      <c r="G658" s="659"/>
    </row>
    <row r="659" spans="2:9" ht="31.5" customHeight="1" thickBot="1">
      <c r="B659" s="260" t="s">
        <v>873</v>
      </c>
      <c r="C659" s="248"/>
      <c r="D659" s="644" t="str">
        <f>'1PROJE'!$F$3</f>
        <v>GÜRKAN BEY</v>
      </c>
      <c r="E659" s="645"/>
      <c r="F659" s="645"/>
      <c r="G659" s="646"/>
    </row>
    <row r="660" spans="2:9" ht="31.5" customHeight="1" thickBot="1">
      <c r="B660" s="260" t="s">
        <v>356</v>
      </c>
      <c r="C660" s="248"/>
      <c r="D660" s="647" t="e" cm="1">
        <f t="array" aca="1" ref="D660" ca="1">INDIRECT("xHesaplama!I"&amp;""&amp;ROW(D660)+70-7*ROUNDDOWN(ROW(D660)/8,0))</f>
        <v>#N/A</v>
      </c>
      <c r="E660" s="648"/>
      <c r="F660" s="648"/>
      <c r="G660" s="649"/>
    </row>
    <row r="661" spans="2:9" ht="31.5" customHeight="1" thickBot="1">
      <c r="B661" s="260" t="s">
        <v>874</v>
      </c>
      <c r="C661" s="248"/>
      <c r="D661" s="650" t="str">
        <f>$H$1</f>
        <v>BOX</v>
      </c>
      <c r="E661" s="651"/>
      <c r="F661" s="651"/>
      <c r="G661" s="652"/>
    </row>
    <row r="662" spans="2:9" ht="31.5" customHeight="1" thickBot="1">
      <c r="B662" s="260" t="s">
        <v>875</v>
      </c>
      <c r="C662" s="248"/>
      <c r="D662" s="653" t="str">
        <f>'1PROJE'!$G$3</f>
        <v>Z 5001</v>
      </c>
      <c r="E662" s="654"/>
      <c r="F662" s="654"/>
      <c r="G662" s="655"/>
      <c r="I662" s="250"/>
    </row>
    <row r="663" spans="2:9" ht="31.5" customHeight="1" thickBot="1">
      <c r="B663" s="260" t="s">
        <v>876</v>
      </c>
      <c r="D663" s="653" cm="1">
        <f t="array" aca="1" ref="D663" ca="1">INDIRECT("xHesaplama!H"&amp;""&amp;ROW(D660)+70-7*ROUNDDOWN(ROW(D660)/8,0))</f>
        <v>0</v>
      </c>
      <c r="E663" s="654"/>
      <c r="F663" s="654"/>
      <c r="G663" s="655"/>
    </row>
    <row r="664" spans="2:9" ht="31.5" customHeight="1" thickBot="1">
      <c r="B664" s="260" t="s">
        <v>877</v>
      </c>
      <c r="D664" s="252" t="s">
        <v>878</v>
      </c>
      <c r="E664" s="253" t="e" cm="1">
        <f t="array" aca="1" ref="E664" ca="1">INDIRECT("xHesaplama!J"&amp;""&amp;ROW(D660)+70-7*ROUNDDOWN(ROW(D660)/8,0))</f>
        <v>#N/A</v>
      </c>
      <c r="F664" s="254" t="s">
        <v>879</v>
      </c>
      <c r="G664" s="253" t="e" cm="1">
        <f t="array" aca="1" ref="G664" ca="1">INDIRECT("xHesaplama!K"&amp;""&amp;ROW(D660)+70-7*ROUNDDOWN(ROW(D660)/8,0))</f>
        <v>#N/A</v>
      </c>
    </row>
    <row r="665" spans="2:9" ht="69" customHeight="1" thickBot="1">
      <c r="B665" s="259" t="s">
        <v>869</v>
      </c>
      <c r="C665" s="248"/>
      <c r="D665" s="656"/>
      <c r="E665" s="656"/>
      <c r="F665" s="656"/>
      <c r="G665" s="656"/>
    </row>
    <row r="666" spans="2:9" ht="31.5" customHeight="1" thickBot="1">
      <c r="B666" s="260" t="s">
        <v>872</v>
      </c>
      <c r="C666" s="248"/>
      <c r="D666" s="657" t="str">
        <f>'1PROJE'!$E$3</f>
        <v>GÜNEŞ PEN</v>
      </c>
      <c r="E666" s="658"/>
      <c r="F666" s="658"/>
      <c r="G666" s="659"/>
    </row>
    <row r="667" spans="2:9" ht="31.5" customHeight="1" thickBot="1">
      <c r="B667" s="260" t="s">
        <v>873</v>
      </c>
      <c r="C667" s="248"/>
      <c r="D667" s="644" t="str">
        <f>'1PROJE'!$F$3</f>
        <v>GÜRKAN BEY</v>
      </c>
      <c r="E667" s="645"/>
      <c r="F667" s="645"/>
      <c r="G667" s="646"/>
    </row>
    <row r="668" spans="2:9" ht="31.5" customHeight="1" thickBot="1">
      <c r="B668" s="260" t="s">
        <v>356</v>
      </c>
      <c r="C668" s="248"/>
      <c r="D668" s="647" t="e" cm="1">
        <f t="array" aca="1" ref="D668" ca="1">INDIRECT("xHesaplama!I"&amp;""&amp;ROW(D668)+70-7*ROUNDDOWN(ROW(D668)/8,0))</f>
        <v>#N/A</v>
      </c>
      <c r="E668" s="648"/>
      <c r="F668" s="648"/>
      <c r="G668" s="649"/>
    </row>
    <row r="669" spans="2:9" ht="31.5" customHeight="1" thickBot="1">
      <c r="B669" s="260" t="s">
        <v>874</v>
      </c>
      <c r="C669" s="248"/>
      <c r="D669" s="650" t="str">
        <f>$H$1</f>
        <v>BOX</v>
      </c>
      <c r="E669" s="651"/>
      <c r="F669" s="651"/>
      <c r="G669" s="652"/>
    </row>
    <row r="670" spans="2:9" ht="31.5" customHeight="1" thickBot="1">
      <c r="B670" s="260" t="s">
        <v>875</v>
      </c>
      <c r="C670" s="248"/>
      <c r="D670" s="653" t="str">
        <f>'1PROJE'!$G$3</f>
        <v>Z 5001</v>
      </c>
      <c r="E670" s="654"/>
      <c r="F670" s="654"/>
      <c r="G670" s="655"/>
      <c r="I670" s="250"/>
    </row>
    <row r="671" spans="2:9" ht="31.5" customHeight="1" thickBot="1">
      <c r="B671" s="260" t="s">
        <v>876</v>
      </c>
      <c r="D671" s="653" cm="1">
        <f t="array" aca="1" ref="D671" ca="1">INDIRECT("xHesaplama!H"&amp;""&amp;ROW(D668)+70-7*ROUNDDOWN(ROW(D668)/8,0))</f>
        <v>0</v>
      </c>
      <c r="E671" s="654"/>
      <c r="F671" s="654"/>
      <c r="G671" s="655"/>
    </row>
    <row r="672" spans="2:9" ht="31.5" customHeight="1" thickBot="1">
      <c r="B672" s="260" t="s">
        <v>877</v>
      </c>
      <c r="D672" s="252" t="s">
        <v>878</v>
      </c>
      <c r="E672" s="253" t="e" cm="1">
        <f t="array" aca="1" ref="E672" ca="1">INDIRECT("xHesaplama!J"&amp;""&amp;ROW(D668)+70-7*ROUNDDOWN(ROW(D668)/8,0))</f>
        <v>#N/A</v>
      </c>
      <c r="F672" s="254" t="s">
        <v>879</v>
      </c>
      <c r="G672" s="253" t="e" cm="1">
        <f t="array" aca="1" ref="G672" ca="1">INDIRECT("xHesaplama!K"&amp;""&amp;ROW(D668)+70-7*ROUNDDOWN(ROW(D668)/8,0))</f>
        <v>#N/A</v>
      </c>
    </row>
    <row r="673" spans="2:9" ht="69" customHeight="1" thickBot="1">
      <c r="B673" s="259" t="s">
        <v>869</v>
      </c>
      <c r="C673" s="248"/>
      <c r="D673" s="656"/>
      <c r="E673" s="656"/>
      <c r="F673" s="656"/>
      <c r="G673" s="656"/>
    </row>
    <row r="674" spans="2:9" ht="31.5" customHeight="1" thickBot="1">
      <c r="B674" s="260" t="s">
        <v>872</v>
      </c>
      <c r="C674" s="248"/>
      <c r="D674" s="657" t="str">
        <f>'1PROJE'!$E$3</f>
        <v>GÜNEŞ PEN</v>
      </c>
      <c r="E674" s="658"/>
      <c r="F674" s="658"/>
      <c r="G674" s="659"/>
    </row>
    <row r="675" spans="2:9" ht="31.5" customHeight="1" thickBot="1">
      <c r="B675" s="260" t="s">
        <v>873</v>
      </c>
      <c r="C675" s="248"/>
      <c r="D675" s="644" t="str">
        <f>'1PROJE'!$F$3</f>
        <v>GÜRKAN BEY</v>
      </c>
      <c r="E675" s="645"/>
      <c r="F675" s="645"/>
      <c r="G675" s="646"/>
    </row>
    <row r="676" spans="2:9" ht="31.5" customHeight="1" thickBot="1">
      <c r="B676" s="260" t="s">
        <v>356</v>
      </c>
      <c r="C676" s="248"/>
      <c r="D676" s="647" t="e" cm="1">
        <f t="array" aca="1" ref="D676" ca="1">INDIRECT("xHesaplama!I"&amp;""&amp;ROW(D676)+70-7*ROUNDDOWN(ROW(D676)/8,0))</f>
        <v>#N/A</v>
      </c>
      <c r="E676" s="648"/>
      <c r="F676" s="648"/>
      <c r="G676" s="649"/>
    </row>
    <row r="677" spans="2:9" ht="31.5" customHeight="1" thickBot="1">
      <c r="B677" s="260" t="s">
        <v>874</v>
      </c>
      <c r="C677" s="248"/>
      <c r="D677" s="650" t="str">
        <f>$H$1</f>
        <v>BOX</v>
      </c>
      <c r="E677" s="651"/>
      <c r="F677" s="651"/>
      <c r="G677" s="652"/>
    </row>
    <row r="678" spans="2:9" ht="31.5" customHeight="1" thickBot="1">
      <c r="B678" s="260" t="s">
        <v>875</v>
      </c>
      <c r="C678" s="248"/>
      <c r="D678" s="653" t="str">
        <f>'1PROJE'!$G$3</f>
        <v>Z 5001</v>
      </c>
      <c r="E678" s="654"/>
      <c r="F678" s="654"/>
      <c r="G678" s="655"/>
      <c r="I678" s="250"/>
    </row>
    <row r="679" spans="2:9" ht="31.5" customHeight="1" thickBot="1">
      <c r="B679" s="260" t="s">
        <v>876</v>
      </c>
      <c r="D679" s="653" cm="1">
        <f t="array" aca="1" ref="D679" ca="1">INDIRECT("xHesaplama!H"&amp;""&amp;ROW(D676)+70-7*ROUNDDOWN(ROW(D676)/8,0))</f>
        <v>0</v>
      </c>
      <c r="E679" s="654"/>
      <c r="F679" s="654"/>
      <c r="G679" s="655"/>
    </row>
    <row r="680" spans="2:9" ht="31.5" customHeight="1" thickBot="1">
      <c r="B680" s="260" t="s">
        <v>877</v>
      </c>
      <c r="D680" s="252" t="s">
        <v>878</v>
      </c>
      <c r="E680" s="253" t="e" cm="1">
        <f t="array" aca="1" ref="E680" ca="1">INDIRECT("xHesaplama!J"&amp;""&amp;ROW(D676)+70-7*ROUNDDOWN(ROW(D676)/8,0))</f>
        <v>#N/A</v>
      </c>
      <c r="F680" s="254" t="s">
        <v>879</v>
      </c>
      <c r="G680" s="253" t="e" cm="1">
        <f t="array" aca="1" ref="G680" ca="1">INDIRECT("xHesaplama!K"&amp;""&amp;ROW(D676)+70-7*ROUNDDOWN(ROW(D676)/8,0))</f>
        <v>#N/A</v>
      </c>
    </row>
    <row r="681" spans="2:9" ht="69" customHeight="1" thickBot="1">
      <c r="B681" s="259" t="s">
        <v>869</v>
      </c>
      <c r="C681" s="248"/>
      <c r="D681" s="656"/>
      <c r="E681" s="656"/>
      <c r="F681" s="656"/>
      <c r="G681" s="656"/>
    </row>
    <row r="682" spans="2:9" ht="31.5" customHeight="1" thickBot="1">
      <c r="B682" s="260" t="s">
        <v>872</v>
      </c>
      <c r="C682" s="248"/>
      <c r="D682" s="657" t="str">
        <f>'1PROJE'!$E$3</f>
        <v>GÜNEŞ PEN</v>
      </c>
      <c r="E682" s="658"/>
      <c r="F682" s="658"/>
      <c r="G682" s="659"/>
    </row>
    <row r="683" spans="2:9" ht="31.5" customHeight="1" thickBot="1">
      <c r="B683" s="260" t="s">
        <v>873</v>
      </c>
      <c r="C683" s="248"/>
      <c r="D683" s="644" t="str">
        <f>'1PROJE'!$F$3</f>
        <v>GÜRKAN BEY</v>
      </c>
      <c r="E683" s="645"/>
      <c r="F683" s="645"/>
      <c r="G683" s="646"/>
    </row>
    <row r="684" spans="2:9" ht="31.5" customHeight="1" thickBot="1">
      <c r="B684" s="260" t="s">
        <v>356</v>
      </c>
      <c r="C684" s="248"/>
      <c r="D684" s="647" t="e" cm="1">
        <f t="array" aca="1" ref="D684" ca="1">INDIRECT("xHesaplama!I"&amp;""&amp;ROW(D684)+70-7*ROUNDDOWN(ROW(D684)/8,0))</f>
        <v>#N/A</v>
      </c>
      <c r="E684" s="648"/>
      <c r="F684" s="648"/>
      <c r="G684" s="649"/>
    </row>
    <row r="685" spans="2:9" ht="31.5" customHeight="1" thickBot="1">
      <c r="B685" s="260" t="s">
        <v>874</v>
      </c>
      <c r="C685" s="248"/>
      <c r="D685" s="650" t="str">
        <f>$H$1</f>
        <v>BOX</v>
      </c>
      <c r="E685" s="651"/>
      <c r="F685" s="651"/>
      <c r="G685" s="652"/>
    </row>
    <row r="686" spans="2:9" ht="31.5" customHeight="1" thickBot="1">
      <c r="B686" s="260" t="s">
        <v>875</v>
      </c>
      <c r="C686" s="248"/>
      <c r="D686" s="653" t="str">
        <f>'1PROJE'!$G$3</f>
        <v>Z 5001</v>
      </c>
      <c r="E686" s="654"/>
      <c r="F686" s="654"/>
      <c r="G686" s="655"/>
      <c r="I686" s="250"/>
    </row>
    <row r="687" spans="2:9" ht="31.5" customHeight="1" thickBot="1">
      <c r="B687" s="260" t="s">
        <v>876</v>
      </c>
      <c r="D687" s="653" cm="1">
        <f t="array" aca="1" ref="D687" ca="1">INDIRECT("xHesaplama!H"&amp;""&amp;ROW(D684)+70-7*ROUNDDOWN(ROW(D684)/8,0))</f>
        <v>0</v>
      </c>
      <c r="E687" s="654"/>
      <c r="F687" s="654"/>
      <c r="G687" s="655"/>
    </row>
    <row r="688" spans="2:9" ht="31.5" customHeight="1" thickBot="1">
      <c r="B688" s="260" t="s">
        <v>877</v>
      </c>
      <c r="D688" s="252" t="s">
        <v>878</v>
      </c>
      <c r="E688" s="253" t="e" cm="1">
        <f t="array" aca="1" ref="E688" ca="1">INDIRECT("xHesaplama!J"&amp;""&amp;ROW(D684)+70-7*ROUNDDOWN(ROW(D684)/8,0))</f>
        <v>#N/A</v>
      </c>
      <c r="F688" s="254" t="s">
        <v>879</v>
      </c>
      <c r="G688" s="253" t="e" cm="1">
        <f t="array" aca="1" ref="G688" ca="1">INDIRECT("xHesaplama!K"&amp;""&amp;ROW(D684)+70-7*ROUNDDOWN(ROW(D684)/8,0))</f>
        <v>#N/A</v>
      </c>
    </row>
    <row r="689" spans="2:9" ht="69" customHeight="1" thickBot="1">
      <c r="B689" s="259" t="s">
        <v>869</v>
      </c>
      <c r="C689" s="248"/>
      <c r="D689" s="656"/>
      <c r="E689" s="656"/>
      <c r="F689" s="656"/>
      <c r="G689" s="656"/>
    </row>
    <row r="690" spans="2:9" ht="31.5" customHeight="1" thickBot="1">
      <c r="B690" s="260" t="s">
        <v>872</v>
      </c>
      <c r="C690" s="248"/>
      <c r="D690" s="657" t="str">
        <f>'1PROJE'!$E$3</f>
        <v>GÜNEŞ PEN</v>
      </c>
      <c r="E690" s="658"/>
      <c r="F690" s="658"/>
      <c r="G690" s="659"/>
    </row>
    <row r="691" spans="2:9" ht="31.5" customHeight="1" thickBot="1">
      <c r="B691" s="260" t="s">
        <v>873</v>
      </c>
      <c r="C691" s="248"/>
      <c r="D691" s="644" t="str">
        <f>'1PROJE'!$F$3</f>
        <v>GÜRKAN BEY</v>
      </c>
      <c r="E691" s="645"/>
      <c r="F691" s="645"/>
      <c r="G691" s="646"/>
    </row>
    <row r="692" spans="2:9" ht="31.5" customHeight="1" thickBot="1">
      <c r="B692" s="260" t="s">
        <v>356</v>
      </c>
      <c r="C692" s="248"/>
      <c r="D692" s="647" t="e" cm="1">
        <f t="array" aca="1" ref="D692" ca="1">INDIRECT("xHesaplama!I"&amp;""&amp;ROW(D692)+70-7*ROUNDDOWN(ROW(D692)/8,0))</f>
        <v>#N/A</v>
      </c>
      <c r="E692" s="648"/>
      <c r="F692" s="648"/>
      <c r="G692" s="649"/>
    </row>
    <row r="693" spans="2:9" ht="31.5" customHeight="1" thickBot="1">
      <c r="B693" s="260" t="s">
        <v>874</v>
      </c>
      <c r="C693" s="248"/>
      <c r="D693" s="650" t="str">
        <f>$H$1</f>
        <v>BOX</v>
      </c>
      <c r="E693" s="651"/>
      <c r="F693" s="651"/>
      <c r="G693" s="652"/>
    </row>
    <row r="694" spans="2:9" ht="31.5" customHeight="1" thickBot="1">
      <c r="B694" s="260" t="s">
        <v>875</v>
      </c>
      <c r="C694" s="248"/>
      <c r="D694" s="653" t="str">
        <f>'1PROJE'!$G$3</f>
        <v>Z 5001</v>
      </c>
      <c r="E694" s="654"/>
      <c r="F694" s="654"/>
      <c r="G694" s="655"/>
      <c r="I694" s="250"/>
    </row>
    <row r="695" spans="2:9" ht="31.5" customHeight="1" thickBot="1">
      <c r="B695" s="260" t="s">
        <v>876</v>
      </c>
      <c r="D695" s="653" cm="1">
        <f t="array" aca="1" ref="D695" ca="1">INDIRECT("xHesaplama!H"&amp;""&amp;ROW(D692)+70-7*ROUNDDOWN(ROW(D692)/8,0))</f>
        <v>0</v>
      </c>
      <c r="E695" s="654"/>
      <c r="F695" s="654"/>
      <c r="G695" s="655"/>
    </row>
    <row r="696" spans="2:9" ht="31.5" customHeight="1" thickBot="1">
      <c r="B696" s="260" t="s">
        <v>877</v>
      </c>
      <c r="D696" s="252" t="s">
        <v>878</v>
      </c>
      <c r="E696" s="253" t="e" cm="1">
        <f t="array" aca="1" ref="E696" ca="1">INDIRECT("xHesaplama!J"&amp;""&amp;ROW(D692)+70-7*ROUNDDOWN(ROW(D692)/8,0))</f>
        <v>#N/A</v>
      </c>
      <c r="F696" s="254" t="s">
        <v>879</v>
      </c>
      <c r="G696" s="253" t="e" cm="1">
        <f t="array" aca="1" ref="G696" ca="1">INDIRECT("xHesaplama!K"&amp;""&amp;ROW(D692)+70-7*ROUNDDOWN(ROW(D692)/8,0))</f>
        <v>#N/A</v>
      </c>
    </row>
    <row r="697" spans="2:9" ht="69" customHeight="1" thickBot="1">
      <c r="B697" s="259" t="s">
        <v>869</v>
      </c>
      <c r="C697" s="248"/>
      <c r="D697" s="656"/>
      <c r="E697" s="656"/>
      <c r="F697" s="656"/>
      <c r="G697" s="656"/>
    </row>
    <row r="698" spans="2:9" ht="31.5" customHeight="1" thickBot="1">
      <c r="B698" s="260" t="s">
        <v>872</v>
      </c>
      <c r="C698" s="248"/>
      <c r="D698" s="657" t="str">
        <f>'1PROJE'!$E$3</f>
        <v>GÜNEŞ PEN</v>
      </c>
      <c r="E698" s="658"/>
      <c r="F698" s="658"/>
      <c r="G698" s="659"/>
    </row>
    <row r="699" spans="2:9" ht="31.5" customHeight="1" thickBot="1">
      <c r="B699" s="260" t="s">
        <v>873</v>
      </c>
      <c r="C699" s="248"/>
      <c r="D699" s="644" t="str">
        <f>'1PROJE'!$F$3</f>
        <v>GÜRKAN BEY</v>
      </c>
      <c r="E699" s="645"/>
      <c r="F699" s="645"/>
      <c r="G699" s="646"/>
    </row>
    <row r="700" spans="2:9" ht="31.5" customHeight="1" thickBot="1">
      <c r="B700" s="260" t="s">
        <v>356</v>
      </c>
      <c r="C700" s="248"/>
      <c r="D700" s="647" t="e" cm="1">
        <f t="array" aca="1" ref="D700" ca="1">INDIRECT("xHesaplama!I"&amp;""&amp;ROW(D700)+70-7*ROUNDDOWN(ROW(D700)/8,0))</f>
        <v>#N/A</v>
      </c>
      <c r="E700" s="648"/>
      <c r="F700" s="648"/>
      <c r="G700" s="649"/>
    </row>
    <row r="701" spans="2:9" ht="31.5" customHeight="1" thickBot="1">
      <c r="B701" s="260" t="s">
        <v>874</v>
      </c>
      <c r="C701" s="248"/>
      <c r="D701" s="650" t="str">
        <f>$H$1</f>
        <v>BOX</v>
      </c>
      <c r="E701" s="651"/>
      <c r="F701" s="651"/>
      <c r="G701" s="652"/>
    </row>
    <row r="702" spans="2:9" ht="31.5" customHeight="1" thickBot="1">
      <c r="B702" s="260" t="s">
        <v>875</v>
      </c>
      <c r="C702" s="248"/>
      <c r="D702" s="653" t="str">
        <f>'1PROJE'!$G$3</f>
        <v>Z 5001</v>
      </c>
      <c r="E702" s="654"/>
      <c r="F702" s="654"/>
      <c r="G702" s="655"/>
      <c r="I702" s="250"/>
    </row>
    <row r="703" spans="2:9" ht="31.5" customHeight="1" thickBot="1">
      <c r="B703" s="260" t="s">
        <v>876</v>
      </c>
      <c r="D703" s="653" cm="1">
        <f t="array" aca="1" ref="D703" ca="1">INDIRECT("xHesaplama!H"&amp;""&amp;ROW(D700)+70-7*ROUNDDOWN(ROW(D700)/8,0))</f>
        <v>0</v>
      </c>
      <c r="E703" s="654"/>
      <c r="F703" s="654"/>
      <c r="G703" s="655"/>
    </row>
    <row r="704" spans="2:9" ht="31.5" customHeight="1" thickBot="1">
      <c r="B704" s="260" t="s">
        <v>877</v>
      </c>
      <c r="D704" s="252" t="s">
        <v>878</v>
      </c>
      <c r="E704" s="253" t="e" cm="1">
        <f t="array" aca="1" ref="E704" ca="1">INDIRECT("xHesaplama!J"&amp;""&amp;ROW(D700)+70-7*ROUNDDOWN(ROW(D700)/8,0))</f>
        <v>#N/A</v>
      </c>
      <c r="F704" s="254" t="s">
        <v>879</v>
      </c>
      <c r="G704" s="253" t="e" cm="1">
        <f t="array" aca="1" ref="G704" ca="1">INDIRECT("xHesaplama!K"&amp;""&amp;ROW(D700)+70-7*ROUNDDOWN(ROW(D700)/8,0))</f>
        <v>#N/A</v>
      </c>
    </row>
    <row r="705" spans="2:9" ht="69" customHeight="1" thickBot="1">
      <c r="B705" s="259" t="s">
        <v>869</v>
      </c>
      <c r="C705" s="248"/>
      <c r="D705" s="656"/>
      <c r="E705" s="656"/>
      <c r="F705" s="656"/>
      <c r="G705" s="656"/>
    </row>
    <row r="706" spans="2:9" ht="31.5" customHeight="1" thickBot="1">
      <c r="B706" s="260" t="s">
        <v>872</v>
      </c>
      <c r="C706" s="248"/>
      <c r="D706" s="657" t="str">
        <f>'1PROJE'!$E$3</f>
        <v>GÜNEŞ PEN</v>
      </c>
      <c r="E706" s="658"/>
      <c r="F706" s="658"/>
      <c r="G706" s="659"/>
    </row>
    <row r="707" spans="2:9" ht="31.5" customHeight="1" thickBot="1">
      <c r="B707" s="260" t="s">
        <v>873</v>
      </c>
      <c r="C707" s="248"/>
      <c r="D707" s="644" t="str">
        <f>'1PROJE'!$F$3</f>
        <v>GÜRKAN BEY</v>
      </c>
      <c r="E707" s="645"/>
      <c r="F707" s="645"/>
      <c r="G707" s="646"/>
    </row>
    <row r="708" spans="2:9" ht="31.5" customHeight="1" thickBot="1">
      <c r="B708" s="260" t="s">
        <v>356</v>
      </c>
      <c r="C708" s="248"/>
      <c r="D708" s="647" t="e" cm="1">
        <f t="array" aca="1" ref="D708" ca="1">INDIRECT("xHesaplama!I"&amp;""&amp;ROW(D708)+70-7*ROUNDDOWN(ROW(D708)/8,0))</f>
        <v>#N/A</v>
      </c>
      <c r="E708" s="648"/>
      <c r="F708" s="648"/>
      <c r="G708" s="649"/>
    </row>
    <row r="709" spans="2:9" ht="31.5" customHeight="1" thickBot="1">
      <c r="B709" s="260" t="s">
        <v>874</v>
      </c>
      <c r="C709" s="248"/>
      <c r="D709" s="650" t="str">
        <f>$H$1</f>
        <v>BOX</v>
      </c>
      <c r="E709" s="651"/>
      <c r="F709" s="651"/>
      <c r="G709" s="652"/>
    </row>
    <row r="710" spans="2:9" ht="31.5" customHeight="1" thickBot="1">
      <c r="B710" s="260" t="s">
        <v>875</v>
      </c>
      <c r="C710" s="248"/>
      <c r="D710" s="653" t="str">
        <f>'1PROJE'!$G$3</f>
        <v>Z 5001</v>
      </c>
      <c r="E710" s="654"/>
      <c r="F710" s="654"/>
      <c r="G710" s="655"/>
      <c r="I710" s="250"/>
    </row>
    <row r="711" spans="2:9" ht="31.5" customHeight="1" thickBot="1">
      <c r="B711" s="260" t="s">
        <v>876</v>
      </c>
      <c r="D711" s="653" cm="1">
        <f t="array" aca="1" ref="D711" ca="1">INDIRECT("xHesaplama!H"&amp;""&amp;ROW(D708)+70-7*ROUNDDOWN(ROW(D708)/8,0))</f>
        <v>0</v>
      </c>
      <c r="E711" s="654"/>
      <c r="F711" s="654"/>
      <c r="G711" s="655"/>
    </row>
    <row r="712" spans="2:9" ht="31.5" customHeight="1" thickBot="1">
      <c r="B712" s="260" t="s">
        <v>877</v>
      </c>
      <c r="D712" s="252" t="s">
        <v>878</v>
      </c>
      <c r="E712" s="253" t="e" cm="1">
        <f t="array" aca="1" ref="E712" ca="1">INDIRECT("xHesaplama!J"&amp;""&amp;ROW(D708)+70-7*ROUNDDOWN(ROW(D708)/8,0))</f>
        <v>#N/A</v>
      </c>
      <c r="F712" s="254" t="s">
        <v>879</v>
      </c>
      <c r="G712" s="253" t="e" cm="1">
        <f t="array" aca="1" ref="G712" ca="1">INDIRECT("xHesaplama!K"&amp;""&amp;ROW(D708)+70-7*ROUNDDOWN(ROW(D708)/8,0))</f>
        <v>#N/A</v>
      </c>
    </row>
    <row r="713" spans="2:9" ht="69" customHeight="1" thickBot="1">
      <c r="B713" s="259" t="s">
        <v>869</v>
      </c>
      <c r="C713" s="248"/>
      <c r="D713" s="656"/>
      <c r="E713" s="656"/>
      <c r="F713" s="656"/>
      <c r="G713" s="656"/>
    </row>
    <row r="714" spans="2:9" ht="31.5" customHeight="1" thickBot="1">
      <c r="B714" s="260" t="s">
        <v>872</v>
      </c>
      <c r="C714" s="248"/>
      <c r="D714" s="657" t="str">
        <f>'1PROJE'!$E$3</f>
        <v>GÜNEŞ PEN</v>
      </c>
      <c r="E714" s="658"/>
      <c r="F714" s="658"/>
      <c r="G714" s="659"/>
    </row>
    <row r="715" spans="2:9" ht="31.5" customHeight="1" thickBot="1">
      <c r="B715" s="260" t="s">
        <v>873</v>
      </c>
      <c r="C715" s="248"/>
      <c r="D715" s="644" t="str">
        <f>'1PROJE'!$F$3</f>
        <v>GÜRKAN BEY</v>
      </c>
      <c r="E715" s="645"/>
      <c r="F715" s="645"/>
      <c r="G715" s="646"/>
    </row>
    <row r="716" spans="2:9" ht="31.5" customHeight="1" thickBot="1">
      <c r="B716" s="260" t="s">
        <v>356</v>
      </c>
      <c r="C716" s="248"/>
      <c r="D716" s="647" t="e" cm="1">
        <f t="array" aca="1" ref="D716" ca="1">INDIRECT("xHesaplama!I"&amp;""&amp;ROW(D716)+70-7*ROUNDDOWN(ROW(D716)/8,0))</f>
        <v>#N/A</v>
      </c>
      <c r="E716" s="648"/>
      <c r="F716" s="648"/>
      <c r="G716" s="649"/>
    </row>
    <row r="717" spans="2:9" ht="31.5" customHeight="1" thickBot="1">
      <c r="B717" s="260" t="s">
        <v>874</v>
      </c>
      <c r="C717" s="248"/>
      <c r="D717" s="650" t="str">
        <f>$H$1</f>
        <v>BOX</v>
      </c>
      <c r="E717" s="651"/>
      <c r="F717" s="651"/>
      <c r="G717" s="652"/>
    </row>
    <row r="718" spans="2:9" ht="31.5" customHeight="1" thickBot="1">
      <c r="B718" s="260" t="s">
        <v>875</v>
      </c>
      <c r="C718" s="248"/>
      <c r="D718" s="653" t="str">
        <f>'1PROJE'!$G$3</f>
        <v>Z 5001</v>
      </c>
      <c r="E718" s="654"/>
      <c r="F718" s="654"/>
      <c r="G718" s="655"/>
      <c r="I718" s="250"/>
    </row>
    <row r="719" spans="2:9" ht="31.5" customHeight="1" thickBot="1">
      <c r="B719" s="260" t="s">
        <v>876</v>
      </c>
      <c r="D719" s="653" cm="1">
        <f t="array" aca="1" ref="D719" ca="1">INDIRECT("xHesaplama!H"&amp;""&amp;ROW(D716)+70-7*ROUNDDOWN(ROW(D716)/8,0))</f>
        <v>0</v>
      </c>
      <c r="E719" s="654"/>
      <c r="F719" s="654"/>
      <c r="G719" s="655"/>
    </row>
    <row r="720" spans="2:9" ht="31.5" customHeight="1" thickBot="1">
      <c r="B720" s="260" t="s">
        <v>877</v>
      </c>
      <c r="D720" s="252" t="s">
        <v>878</v>
      </c>
      <c r="E720" s="253" t="e" cm="1">
        <f t="array" aca="1" ref="E720" ca="1">INDIRECT("xHesaplama!J"&amp;""&amp;ROW(D716)+70-7*ROUNDDOWN(ROW(D716)/8,0))</f>
        <v>#N/A</v>
      </c>
      <c r="F720" s="254" t="s">
        <v>879</v>
      </c>
      <c r="G720" s="253" t="e" cm="1">
        <f t="array" aca="1" ref="G720" ca="1">INDIRECT("xHesaplama!K"&amp;""&amp;ROW(D716)+70-7*ROUNDDOWN(ROW(D716)/8,0))</f>
        <v>#N/A</v>
      </c>
    </row>
    <row r="721" spans="2:9" ht="69" customHeight="1" thickBot="1">
      <c r="B721" s="259" t="s">
        <v>869</v>
      </c>
      <c r="C721" s="248"/>
      <c r="D721" s="656"/>
      <c r="E721" s="656"/>
      <c r="F721" s="656"/>
      <c r="G721" s="656"/>
    </row>
    <row r="722" spans="2:9" ht="31.5" customHeight="1" thickBot="1">
      <c r="B722" s="260" t="s">
        <v>872</v>
      </c>
      <c r="C722" s="248"/>
      <c r="D722" s="657" t="str">
        <f>'1PROJE'!$E$3</f>
        <v>GÜNEŞ PEN</v>
      </c>
      <c r="E722" s="658"/>
      <c r="F722" s="658"/>
      <c r="G722" s="659"/>
    </row>
    <row r="723" spans="2:9" ht="31.5" customHeight="1" thickBot="1">
      <c r="B723" s="260" t="s">
        <v>873</v>
      </c>
      <c r="C723" s="248"/>
      <c r="D723" s="644" t="str">
        <f>'1PROJE'!$F$3</f>
        <v>GÜRKAN BEY</v>
      </c>
      <c r="E723" s="645"/>
      <c r="F723" s="645"/>
      <c r="G723" s="646"/>
    </row>
    <row r="724" spans="2:9" ht="31.5" customHeight="1" thickBot="1">
      <c r="B724" s="260" t="s">
        <v>356</v>
      </c>
      <c r="C724" s="248"/>
      <c r="D724" s="647" t="e" cm="1">
        <f t="array" aca="1" ref="D724" ca="1">INDIRECT("xHesaplama!I"&amp;""&amp;ROW(D724)+70-7*ROUNDDOWN(ROW(D724)/8,0))</f>
        <v>#N/A</v>
      </c>
      <c r="E724" s="648"/>
      <c r="F724" s="648"/>
      <c r="G724" s="649"/>
    </row>
    <row r="725" spans="2:9" ht="31.5" customHeight="1" thickBot="1">
      <c r="B725" s="260" t="s">
        <v>874</v>
      </c>
      <c r="C725" s="248"/>
      <c r="D725" s="650" t="str">
        <f>$H$1</f>
        <v>BOX</v>
      </c>
      <c r="E725" s="651"/>
      <c r="F725" s="651"/>
      <c r="G725" s="652"/>
    </row>
    <row r="726" spans="2:9" ht="31.5" customHeight="1" thickBot="1">
      <c r="B726" s="260" t="s">
        <v>875</v>
      </c>
      <c r="C726" s="248"/>
      <c r="D726" s="653" t="str">
        <f>'1PROJE'!$G$3</f>
        <v>Z 5001</v>
      </c>
      <c r="E726" s="654"/>
      <c r="F726" s="654"/>
      <c r="G726" s="655"/>
      <c r="I726" s="250"/>
    </row>
    <row r="727" spans="2:9" ht="31.5" customHeight="1" thickBot="1">
      <c r="B727" s="260" t="s">
        <v>876</v>
      </c>
      <c r="D727" s="653" cm="1">
        <f t="array" aca="1" ref="D727" ca="1">INDIRECT("xHesaplama!H"&amp;""&amp;ROW(D724)+70-7*ROUNDDOWN(ROW(D724)/8,0))</f>
        <v>0</v>
      </c>
      <c r="E727" s="654"/>
      <c r="F727" s="654"/>
      <c r="G727" s="655"/>
    </row>
    <row r="728" spans="2:9" ht="31.5" customHeight="1" thickBot="1">
      <c r="B728" s="260" t="s">
        <v>877</v>
      </c>
      <c r="D728" s="252" t="s">
        <v>878</v>
      </c>
      <c r="E728" s="253" t="e" cm="1">
        <f t="array" aca="1" ref="E728" ca="1">INDIRECT("xHesaplama!J"&amp;""&amp;ROW(D724)+70-7*ROUNDDOWN(ROW(D724)/8,0))</f>
        <v>#N/A</v>
      </c>
      <c r="F728" s="254" t="s">
        <v>879</v>
      </c>
      <c r="G728" s="253" t="e" cm="1">
        <f t="array" aca="1" ref="G728" ca="1">INDIRECT("xHesaplama!K"&amp;""&amp;ROW(D724)+70-7*ROUNDDOWN(ROW(D724)/8,0))</f>
        <v>#N/A</v>
      </c>
    </row>
    <row r="729" spans="2:9" ht="69" customHeight="1" thickBot="1">
      <c r="B729" s="259" t="s">
        <v>869</v>
      </c>
      <c r="C729" s="248"/>
      <c r="D729" s="656"/>
      <c r="E729" s="656"/>
      <c r="F729" s="656"/>
      <c r="G729" s="656"/>
    </row>
    <row r="730" spans="2:9" ht="31.5" customHeight="1" thickBot="1">
      <c r="B730" s="260" t="s">
        <v>872</v>
      </c>
      <c r="C730" s="248"/>
      <c r="D730" s="657" t="str">
        <f>'1PROJE'!$E$3</f>
        <v>GÜNEŞ PEN</v>
      </c>
      <c r="E730" s="658"/>
      <c r="F730" s="658"/>
      <c r="G730" s="659"/>
    </row>
    <row r="731" spans="2:9" ht="31.5" customHeight="1" thickBot="1">
      <c r="B731" s="260" t="s">
        <v>873</v>
      </c>
      <c r="C731" s="248"/>
      <c r="D731" s="644" t="str">
        <f>'1PROJE'!$F$3</f>
        <v>GÜRKAN BEY</v>
      </c>
      <c r="E731" s="645"/>
      <c r="F731" s="645"/>
      <c r="G731" s="646"/>
    </row>
    <row r="732" spans="2:9" ht="31.5" customHeight="1" thickBot="1">
      <c r="B732" s="260" t="s">
        <v>356</v>
      </c>
      <c r="C732" s="248"/>
      <c r="D732" s="647" t="e" cm="1">
        <f t="array" aca="1" ref="D732" ca="1">INDIRECT("xHesaplama!I"&amp;""&amp;ROW(D732)+70-7*ROUNDDOWN(ROW(D732)/8,0))</f>
        <v>#N/A</v>
      </c>
      <c r="E732" s="648"/>
      <c r="F732" s="648"/>
      <c r="G732" s="649"/>
    </row>
    <row r="733" spans="2:9" ht="31.5" customHeight="1" thickBot="1">
      <c r="B733" s="260" t="s">
        <v>874</v>
      </c>
      <c r="C733" s="248"/>
      <c r="D733" s="650" t="str">
        <f>$H$1</f>
        <v>BOX</v>
      </c>
      <c r="E733" s="651"/>
      <c r="F733" s="651"/>
      <c r="G733" s="652"/>
    </row>
    <row r="734" spans="2:9" ht="31.5" customHeight="1" thickBot="1">
      <c r="B734" s="260" t="s">
        <v>875</v>
      </c>
      <c r="C734" s="248"/>
      <c r="D734" s="653" t="str">
        <f>'1PROJE'!$G$3</f>
        <v>Z 5001</v>
      </c>
      <c r="E734" s="654"/>
      <c r="F734" s="654"/>
      <c r="G734" s="655"/>
      <c r="I734" s="250"/>
    </row>
    <row r="735" spans="2:9" ht="31.5" customHeight="1" thickBot="1">
      <c r="B735" s="260" t="s">
        <v>876</v>
      </c>
      <c r="D735" s="653" cm="1">
        <f t="array" aca="1" ref="D735" ca="1">INDIRECT("xHesaplama!H"&amp;""&amp;ROW(D732)+70-7*ROUNDDOWN(ROW(D732)/8,0))</f>
        <v>0</v>
      </c>
      <c r="E735" s="654"/>
      <c r="F735" s="654"/>
      <c r="G735" s="655"/>
    </row>
    <row r="736" spans="2:9" ht="31.5" customHeight="1" thickBot="1">
      <c r="B736" s="260" t="s">
        <v>877</v>
      </c>
      <c r="D736" s="252" t="s">
        <v>878</v>
      </c>
      <c r="E736" s="253" t="e" cm="1">
        <f t="array" aca="1" ref="E736" ca="1">INDIRECT("xHesaplama!J"&amp;""&amp;ROW(D732)+70-7*ROUNDDOWN(ROW(D732)/8,0))</f>
        <v>#N/A</v>
      </c>
      <c r="F736" s="254" t="s">
        <v>879</v>
      </c>
      <c r="G736" s="253" t="e" cm="1">
        <f t="array" aca="1" ref="G736" ca="1">INDIRECT("xHesaplama!K"&amp;""&amp;ROW(D732)+70-7*ROUNDDOWN(ROW(D732)/8,0))</f>
        <v>#N/A</v>
      </c>
    </row>
    <row r="737" spans="2:9" ht="69" customHeight="1" thickBot="1">
      <c r="B737" s="259" t="s">
        <v>869</v>
      </c>
      <c r="C737" s="248"/>
      <c r="D737" s="656"/>
      <c r="E737" s="656"/>
      <c r="F737" s="656"/>
      <c r="G737" s="656"/>
    </row>
    <row r="738" spans="2:9" ht="31.5" customHeight="1" thickBot="1">
      <c r="B738" s="260" t="s">
        <v>872</v>
      </c>
      <c r="C738" s="248"/>
      <c r="D738" s="657" t="str">
        <f>'1PROJE'!$E$3</f>
        <v>GÜNEŞ PEN</v>
      </c>
      <c r="E738" s="658"/>
      <c r="F738" s="658"/>
      <c r="G738" s="659"/>
    </row>
    <row r="739" spans="2:9" ht="31.5" customHeight="1" thickBot="1">
      <c r="B739" s="260" t="s">
        <v>873</v>
      </c>
      <c r="C739" s="248"/>
      <c r="D739" s="644" t="str">
        <f>'1PROJE'!$F$3</f>
        <v>GÜRKAN BEY</v>
      </c>
      <c r="E739" s="645"/>
      <c r="F739" s="645"/>
      <c r="G739" s="646"/>
    </row>
    <row r="740" spans="2:9" ht="31.5" customHeight="1" thickBot="1">
      <c r="B740" s="260" t="s">
        <v>356</v>
      </c>
      <c r="C740" s="248"/>
      <c r="D740" s="647" t="e" cm="1">
        <f t="array" aca="1" ref="D740" ca="1">INDIRECT("xHesaplama!I"&amp;""&amp;ROW(D740)+70-7*ROUNDDOWN(ROW(D740)/8,0))</f>
        <v>#N/A</v>
      </c>
      <c r="E740" s="648"/>
      <c r="F740" s="648"/>
      <c r="G740" s="649"/>
    </row>
    <row r="741" spans="2:9" ht="31.5" customHeight="1" thickBot="1">
      <c r="B741" s="260" t="s">
        <v>874</v>
      </c>
      <c r="C741" s="248"/>
      <c r="D741" s="650" t="str">
        <f>$H$1</f>
        <v>BOX</v>
      </c>
      <c r="E741" s="651"/>
      <c r="F741" s="651"/>
      <c r="G741" s="652"/>
    </row>
    <row r="742" spans="2:9" ht="31.5" customHeight="1" thickBot="1">
      <c r="B742" s="260" t="s">
        <v>875</v>
      </c>
      <c r="C742" s="248"/>
      <c r="D742" s="653" t="str">
        <f>'1PROJE'!$G$3</f>
        <v>Z 5001</v>
      </c>
      <c r="E742" s="654"/>
      <c r="F742" s="654"/>
      <c r="G742" s="655"/>
      <c r="I742" s="250"/>
    </row>
    <row r="743" spans="2:9" ht="31.5" customHeight="1" thickBot="1">
      <c r="B743" s="260" t="s">
        <v>876</v>
      </c>
      <c r="D743" s="653" cm="1">
        <f t="array" aca="1" ref="D743" ca="1">INDIRECT("xHesaplama!H"&amp;""&amp;ROW(D740)+70-7*ROUNDDOWN(ROW(D740)/8,0))</f>
        <v>0</v>
      </c>
      <c r="E743" s="654"/>
      <c r="F743" s="654"/>
      <c r="G743" s="655"/>
    </row>
    <row r="744" spans="2:9" ht="31.5" customHeight="1" thickBot="1">
      <c r="B744" s="260" t="s">
        <v>877</v>
      </c>
      <c r="D744" s="252" t="s">
        <v>878</v>
      </c>
      <c r="E744" s="253" t="e" cm="1">
        <f t="array" aca="1" ref="E744" ca="1">INDIRECT("xHesaplama!J"&amp;""&amp;ROW(D740)+70-7*ROUNDDOWN(ROW(D740)/8,0))</f>
        <v>#N/A</v>
      </c>
      <c r="F744" s="254" t="s">
        <v>879</v>
      </c>
      <c r="G744" s="253" t="e" cm="1">
        <f t="array" aca="1" ref="G744" ca="1">INDIRECT("xHesaplama!K"&amp;""&amp;ROW(D740)+70-7*ROUNDDOWN(ROW(D740)/8,0))</f>
        <v>#N/A</v>
      </c>
    </row>
    <row r="745" spans="2:9" ht="69" customHeight="1" thickBot="1">
      <c r="B745" s="259" t="s">
        <v>869</v>
      </c>
      <c r="C745" s="248"/>
      <c r="D745" s="656"/>
      <c r="E745" s="656"/>
      <c r="F745" s="656"/>
      <c r="G745" s="656"/>
    </row>
    <row r="746" spans="2:9" ht="31.5" customHeight="1" thickBot="1">
      <c r="B746" s="260" t="s">
        <v>872</v>
      </c>
      <c r="C746" s="248"/>
      <c r="D746" s="657" t="str">
        <f>'1PROJE'!$E$3</f>
        <v>GÜNEŞ PEN</v>
      </c>
      <c r="E746" s="658"/>
      <c r="F746" s="658"/>
      <c r="G746" s="659"/>
    </row>
    <row r="747" spans="2:9" ht="31.5" customHeight="1" thickBot="1">
      <c r="B747" s="260" t="s">
        <v>873</v>
      </c>
      <c r="C747" s="248"/>
      <c r="D747" s="644" t="str">
        <f>'1PROJE'!$F$3</f>
        <v>GÜRKAN BEY</v>
      </c>
      <c r="E747" s="645"/>
      <c r="F747" s="645"/>
      <c r="G747" s="646"/>
    </row>
    <row r="748" spans="2:9" ht="31.5" customHeight="1" thickBot="1">
      <c r="B748" s="260" t="s">
        <v>356</v>
      </c>
      <c r="C748" s="248"/>
      <c r="D748" s="647" t="e" cm="1">
        <f t="array" aca="1" ref="D748" ca="1">INDIRECT("xHesaplama!I"&amp;""&amp;ROW(D748)+70-7*ROUNDDOWN(ROW(D748)/8,0))</f>
        <v>#N/A</v>
      </c>
      <c r="E748" s="648"/>
      <c r="F748" s="648"/>
      <c r="G748" s="649"/>
    </row>
    <row r="749" spans="2:9" ht="31.5" customHeight="1" thickBot="1">
      <c r="B749" s="260" t="s">
        <v>874</v>
      </c>
      <c r="C749" s="248"/>
      <c r="D749" s="650" t="str">
        <f>$H$1</f>
        <v>BOX</v>
      </c>
      <c r="E749" s="651"/>
      <c r="F749" s="651"/>
      <c r="G749" s="652"/>
    </row>
    <row r="750" spans="2:9" ht="31.5" customHeight="1" thickBot="1">
      <c r="B750" s="260" t="s">
        <v>875</v>
      </c>
      <c r="C750" s="248"/>
      <c r="D750" s="653" t="str">
        <f>'1PROJE'!$G$3</f>
        <v>Z 5001</v>
      </c>
      <c r="E750" s="654"/>
      <c r="F750" s="654"/>
      <c r="G750" s="655"/>
      <c r="I750" s="250"/>
    </row>
    <row r="751" spans="2:9" ht="31.5" customHeight="1" thickBot="1">
      <c r="B751" s="260" t="s">
        <v>876</v>
      </c>
      <c r="D751" s="653" cm="1">
        <f t="array" aca="1" ref="D751" ca="1">INDIRECT("xHesaplama!H"&amp;""&amp;ROW(D748)+70-7*ROUNDDOWN(ROW(D748)/8,0))</f>
        <v>0</v>
      </c>
      <c r="E751" s="654"/>
      <c r="F751" s="654"/>
      <c r="G751" s="655"/>
    </row>
    <row r="752" spans="2:9" ht="31.5" customHeight="1" thickBot="1">
      <c r="B752" s="260" t="s">
        <v>877</v>
      </c>
      <c r="D752" s="252" t="s">
        <v>878</v>
      </c>
      <c r="E752" s="253" t="e" cm="1">
        <f t="array" aca="1" ref="E752" ca="1">INDIRECT("xHesaplama!J"&amp;""&amp;ROW(D748)+70-7*ROUNDDOWN(ROW(D748)/8,0))</f>
        <v>#N/A</v>
      </c>
      <c r="F752" s="254" t="s">
        <v>879</v>
      </c>
      <c r="G752" s="253" t="e" cm="1">
        <f t="array" aca="1" ref="G752" ca="1">INDIRECT("xHesaplama!K"&amp;""&amp;ROW(D748)+70-7*ROUNDDOWN(ROW(D748)/8,0))</f>
        <v>#N/A</v>
      </c>
    </row>
    <row r="753" spans="2:9" ht="69" customHeight="1" thickBot="1">
      <c r="B753" s="259" t="s">
        <v>869</v>
      </c>
      <c r="C753" s="248"/>
      <c r="D753" s="656"/>
      <c r="E753" s="656"/>
      <c r="F753" s="656"/>
      <c r="G753" s="656"/>
    </row>
    <row r="754" spans="2:9" ht="31.5" customHeight="1" thickBot="1">
      <c r="B754" s="260" t="s">
        <v>872</v>
      </c>
      <c r="C754" s="248"/>
      <c r="D754" s="657" t="str">
        <f>'1PROJE'!$E$3</f>
        <v>GÜNEŞ PEN</v>
      </c>
      <c r="E754" s="658"/>
      <c r="F754" s="658"/>
      <c r="G754" s="659"/>
    </row>
    <row r="755" spans="2:9" ht="31.5" customHeight="1" thickBot="1">
      <c r="B755" s="260" t="s">
        <v>873</v>
      </c>
      <c r="C755" s="248"/>
      <c r="D755" s="644" t="str">
        <f>'1PROJE'!$F$3</f>
        <v>GÜRKAN BEY</v>
      </c>
      <c r="E755" s="645"/>
      <c r="F755" s="645"/>
      <c r="G755" s="646"/>
    </row>
    <row r="756" spans="2:9" ht="31.5" customHeight="1" thickBot="1">
      <c r="B756" s="260" t="s">
        <v>356</v>
      </c>
      <c r="C756" s="248"/>
      <c r="D756" s="647" t="e" cm="1">
        <f t="array" aca="1" ref="D756" ca="1">INDIRECT("xHesaplama!I"&amp;""&amp;ROW(D756)+70-7*ROUNDDOWN(ROW(D756)/8,0))</f>
        <v>#N/A</v>
      </c>
      <c r="E756" s="648"/>
      <c r="F756" s="648"/>
      <c r="G756" s="649"/>
    </row>
    <row r="757" spans="2:9" ht="31.5" customHeight="1" thickBot="1">
      <c r="B757" s="260" t="s">
        <v>874</v>
      </c>
      <c r="C757" s="248"/>
      <c r="D757" s="650" t="str">
        <f>$H$1</f>
        <v>BOX</v>
      </c>
      <c r="E757" s="651"/>
      <c r="F757" s="651"/>
      <c r="G757" s="652"/>
    </row>
    <row r="758" spans="2:9" ht="31.5" customHeight="1" thickBot="1">
      <c r="B758" s="260" t="s">
        <v>875</v>
      </c>
      <c r="C758" s="248"/>
      <c r="D758" s="653" t="str">
        <f>'1PROJE'!$G$3</f>
        <v>Z 5001</v>
      </c>
      <c r="E758" s="654"/>
      <c r="F758" s="654"/>
      <c r="G758" s="655"/>
      <c r="I758" s="250"/>
    </row>
    <row r="759" spans="2:9" ht="31.5" customHeight="1" thickBot="1">
      <c r="B759" s="260" t="s">
        <v>876</v>
      </c>
      <c r="D759" s="653" cm="1">
        <f t="array" aca="1" ref="D759" ca="1">INDIRECT("xHesaplama!H"&amp;""&amp;ROW(D756)+70-7*ROUNDDOWN(ROW(D756)/8,0))</f>
        <v>0</v>
      </c>
      <c r="E759" s="654"/>
      <c r="F759" s="654"/>
      <c r="G759" s="655"/>
    </row>
    <row r="760" spans="2:9" ht="31.5" customHeight="1" thickBot="1">
      <c r="B760" s="260" t="s">
        <v>877</v>
      </c>
      <c r="D760" s="252" t="s">
        <v>878</v>
      </c>
      <c r="E760" s="253" t="e" cm="1">
        <f t="array" aca="1" ref="E760" ca="1">INDIRECT("xHesaplama!J"&amp;""&amp;ROW(D756)+70-7*ROUNDDOWN(ROW(D756)/8,0))</f>
        <v>#N/A</v>
      </c>
      <c r="F760" s="254" t="s">
        <v>879</v>
      </c>
      <c r="G760" s="253" t="e" cm="1">
        <f t="array" aca="1" ref="G760" ca="1">INDIRECT("xHesaplama!K"&amp;""&amp;ROW(D756)+70-7*ROUNDDOWN(ROW(D756)/8,0))</f>
        <v>#N/A</v>
      </c>
    </row>
    <row r="761" spans="2:9" ht="69" customHeight="1" thickBot="1">
      <c r="B761" s="259" t="s">
        <v>869</v>
      </c>
      <c r="C761" s="248"/>
      <c r="D761" s="656"/>
      <c r="E761" s="656"/>
      <c r="F761" s="656"/>
      <c r="G761" s="656"/>
    </row>
    <row r="762" spans="2:9" ht="31.5" customHeight="1" thickBot="1">
      <c r="B762" s="260" t="s">
        <v>872</v>
      </c>
      <c r="C762" s="248"/>
      <c r="D762" s="657" t="str">
        <f>'1PROJE'!$E$3</f>
        <v>GÜNEŞ PEN</v>
      </c>
      <c r="E762" s="658"/>
      <c r="F762" s="658"/>
      <c r="G762" s="659"/>
    </row>
    <row r="763" spans="2:9" ht="31.5" customHeight="1" thickBot="1">
      <c r="B763" s="260" t="s">
        <v>873</v>
      </c>
      <c r="C763" s="248"/>
      <c r="D763" s="644" t="str">
        <f>'1PROJE'!$F$3</f>
        <v>GÜRKAN BEY</v>
      </c>
      <c r="E763" s="645"/>
      <c r="F763" s="645"/>
      <c r="G763" s="646"/>
    </row>
    <row r="764" spans="2:9" ht="31.5" customHeight="1" thickBot="1">
      <c r="B764" s="260" t="s">
        <v>356</v>
      </c>
      <c r="C764" s="248"/>
      <c r="D764" s="647" t="e" cm="1">
        <f t="array" aca="1" ref="D764" ca="1">INDIRECT("xHesaplama!I"&amp;""&amp;ROW(D764)+70-7*ROUNDDOWN(ROW(D764)/8,0))</f>
        <v>#N/A</v>
      </c>
      <c r="E764" s="648"/>
      <c r="F764" s="648"/>
      <c r="G764" s="649"/>
    </row>
    <row r="765" spans="2:9" ht="31.5" customHeight="1" thickBot="1">
      <c r="B765" s="260" t="s">
        <v>874</v>
      </c>
      <c r="C765" s="248"/>
      <c r="D765" s="650" t="str">
        <f>$H$1</f>
        <v>BOX</v>
      </c>
      <c r="E765" s="651"/>
      <c r="F765" s="651"/>
      <c r="G765" s="652"/>
    </row>
    <row r="766" spans="2:9" ht="31.5" customHeight="1" thickBot="1">
      <c r="B766" s="260" t="s">
        <v>875</v>
      </c>
      <c r="C766" s="248"/>
      <c r="D766" s="653" t="str">
        <f>'1PROJE'!$G$3</f>
        <v>Z 5001</v>
      </c>
      <c r="E766" s="654"/>
      <c r="F766" s="654"/>
      <c r="G766" s="655"/>
      <c r="I766" s="250"/>
    </row>
    <row r="767" spans="2:9" ht="31.5" customHeight="1" thickBot="1">
      <c r="B767" s="260" t="s">
        <v>876</v>
      </c>
      <c r="D767" s="653" cm="1">
        <f t="array" aca="1" ref="D767" ca="1">INDIRECT("xHesaplama!H"&amp;""&amp;ROW(D764)+70-7*ROUNDDOWN(ROW(D764)/8,0))</f>
        <v>0</v>
      </c>
      <c r="E767" s="654"/>
      <c r="F767" s="654"/>
      <c r="G767" s="655"/>
    </row>
    <row r="768" spans="2:9" ht="31.5" customHeight="1" thickBot="1">
      <c r="B768" s="260" t="s">
        <v>877</v>
      </c>
      <c r="D768" s="252" t="s">
        <v>878</v>
      </c>
      <c r="E768" s="253" t="e" cm="1">
        <f t="array" aca="1" ref="E768" ca="1">INDIRECT("xHesaplama!J"&amp;""&amp;ROW(D764)+70-7*ROUNDDOWN(ROW(D764)/8,0))</f>
        <v>#N/A</v>
      </c>
      <c r="F768" s="254" t="s">
        <v>879</v>
      </c>
      <c r="G768" s="253" t="e" cm="1">
        <f t="array" aca="1" ref="G768" ca="1">INDIRECT("xHesaplama!K"&amp;""&amp;ROW(D764)+70-7*ROUNDDOWN(ROW(D764)/8,0))</f>
        <v>#N/A</v>
      </c>
    </row>
    <row r="769" spans="2:9" ht="69" customHeight="1" thickBot="1">
      <c r="B769" s="259" t="s">
        <v>869</v>
      </c>
      <c r="C769" s="248"/>
      <c r="D769" s="656"/>
      <c r="E769" s="656"/>
      <c r="F769" s="656"/>
      <c r="G769" s="656"/>
    </row>
    <row r="770" spans="2:9" ht="31.5" customHeight="1" thickBot="1">
      <c r="B770" s="260" t="s">
        <v>872</v>
      </c>
      <c r="C770" s="248"/>
      <c r="D770" s="657" t="str">
        <f>'1PROJE'!$E$3</f>
        <v>GÜNEŞ PEN</v>
      </c>
      <c r="E770" s="658"/>
      <c r="F770" s="658"/>
      <c r="G770" s="659"/>
    </row>
    <row r="771" spans="2:9" ht="31.5" customHeight="1" thickBot="1">
      <c r="B771" s="260" t="s">
        <v>873</v>
      </c>
      <c r="C771" s="248"/>
      <c r="D771" s="644" t="str">
        <f>'1PROJE'!$F$3</f>
        <v>GÜRKAN BEY</v>
      </c>
      <c r="E771" s="645"/>
      <c r="F771" s="645"/>
      <c r="G771" s="646"/>
    </row>
    <row r="772" spans="2:9" ht="31.5" customHeight="1" thickBot="1">
      <c r="B772" s="260" t="s">
        <v>356</v>
      </c>
      <c r="C772" s="248"/>
      <c r="D772" s="647" t="e" cm="1">
        <f t="array" aca="1" ref="D772" ca="1">INDIRECT("xHesaplama!I"&amp;""&amp;ROW(D772)+70-7*ROUNDDOWN(ROW(D772)/8,0))</f>
        <v>#N/A</v>
      </c>
      <c r="E772" s="648"/>
      <c r="F772" s="648"/>
      <c r="G772" s="649"/>
    </row>
    <row r="773" spans="2:9" ht="31.5" customHeight="1" thickBot="1">
      <c r="B773" s="260" t="s">
        <v>874</v>
      </c>
      <c r="C773" s="248"/>
      <c r="D773" s="650" t="str">
        <f>$H$1</f>
        <v>BOX</v>
      </c>
      <c r="E773" s="651"/>
      <c r="F773" s="651"/>
      <c r="G773" s="652"/>
    </row>
    <row r="774" spans="2:9" ht="31.5" customHeight="1" thickBot="1">
      <c r="B774" s="260" t="s">
        <v>875</v>
      </c>
      <c r="C774" s="248"/>
      <c r="D774" s="653" t="str">
        <f>'1PROJE'!$G$3</f>
        <v>Z 5001</v>
      </c>
      <c r="E774" s="654"/>
      <c r="F774" s="654"/>
      <c r="G774" s="655"/>
      <c r="I774" s="250"/>
    </row>
    <row r="775" spans="2:9" ht="31.5" customHeight="1" thickBot="1">
      <c r="B775" s="260" t="s">
        <v>876</v>
      </c>
      <c r="D775" s="653" cm="1">
        <f t="array" aca="1" ref="D775" ca="1">INDIRECT("xHesaplama!H"&amp;""&amp;ROW(D772)+70-7*ROUNDDOWN(ROW(D772)/8,0))</f>
        <v>0</v>
      </c>
      <c r="E775" s="654"/>
      <c r="F775" s="654"/>
      <c r="G775" s="655"/>
    </row>
    <row r="776" spans="2:9" ht="31.5" customHeight="1" thickBot="1">
      <c r="B776" s="260" t="s">
        <v>877</v>
      </c>
      <c r="D776" s="252" t="s">
        <v>878</v>
      </c>
      <c r="E776" s="253" t="e" cm="1">
        <f t="array" aca="1" ref="E776" ca="1">INDIRECT("xHesaplama!J"&amp;""&amp;ROW(D772)+70-7*ROUNDDOWN(ROW(D772)/8,0))</f>
        <v>#N/A</v>
      </c>
      <c r="F776" s="254" t="s">
        <v>879</v>
      </c>
      <c r="G776" s="253" t="e" cm="1">
        <f t="array" aca="1" ref="G776" ca="1">INDIRECT("xHesaplama!K"&amp;""&amp;ROW(D772)+70-7*ROUNDDOWN(ROW(D772)/8,0))</f>
        <v>#N/A</v>
      </c>
    </row>
    <row r="777" spans="2:9" ht="69" customHeight="1" thickBot="1">
      <c r="B777" s="259" t="s">
        <v>869</v>
      </c>
      <c r="C777" s="248"/>
      <c r="D777" s="656"/>
      <c r="E777" s="656"/>
      <c r="F777" s="656"/>
      <c r="G777" s="656"/>
    </row>
    <row r="778" spans="2:9" ht="31.5" customHeight="1" thickBot="1">
      <c r="B778" s="260" t="s">
        <v>872</v>
      </c>
      <c r="C778" s="248"/>
      <c r="D778" s="657" t="str">
        <f>'1PROJE'!$E$3</f>
        <v>GÜNEŞ PEN</v>
      </c>
      <c r="E778" s="658"/>
      <c r="F778" s="658"/>
      <c r="G778" s="659"/>
    </row>
    <row r="779" spans="2:9" ht="31.5" customHeight="1" thickBot="1">
      <c r="B779" s="260" t="s">
        <v>873</v>
      </c>
      <c r="C779" s="248"/>
      <c r="D779" s="644" t="str">
        <f>'1PROJE'!$F$3</f>
        <v>GÜRKAN BEY</v>
      </c>
      <c r="E779" s="645"/>
      <c r="F779" s="645"/>
      <c r="G779" s="646"/>
    </row>
    <row r="780" spans="2:9" ht="31.5" customHeight="1" thickBot="1">
      <c r="B780" s="260" t="s">
        <v>356</v>
      </c>
      <c r="C780" s="248"/>
      <c r="D780" s="647" t="e" cm="1">
        <f t="array" aca="1" ref="D780" ca="1">INDIRECT("xHesaplama!I"&amp;""&amp;ROW(D780)+70-7*ROUNDDOWN(ROW(D780)/8,0))</f>
        <v>#N/A</v>
      </c>
      <c r="E780" s="648"/>
      <c r="F780" s="648"/>
      <c r="G780" s="649"/>
    </row>
    <row r="781" spans="2:9" ht="31.5" customHeight="1" thickBot="1">
      <c r="B781" s="260" t="s">
        <v>874</v>
      </c>
      <c r="C781" s="248"/>
      <c r="D781" s="650" t="str">
        <f>$H$1</f>
        <v>BOX</v>
      </c>
      <c r="E781" s="651"/>
      <c r="F781" s="651"/>
      <c r="G781" s="652"/>
    </row>
    <row r="782" spans="2:9" ht="31.5" customHeight="1" thickBot="1">
      <c r="B782" s="260" t="s">
        <v>875</v>
      </c>
      <c r="C782" s="248"/>
      <c r="D782" s="653" t="str">
        <f>'1PROJE'!$G$3</f>
        <v>Z 5001</v>
      </c>
      <c r="E782" s="654"/>
      <c r="F782" s="654"/>
      <c r="G782" s="655"/>
      <c r="I782" s="250"/>
    </row>
    <row r="783" spans="2:9" ht="31.5" customHeight="1" thickBot="1">
      <c r="B783" s="260" t="s">
        <v>876</v>
      </c>
      <c r="D783" s="653" cm="1">
        <f t="array" aca="1" ref="D783" ca="1">INDIRECT("xHesaplama!H"&amp;""&amp;ROW(D780)+70-7*ROUNDDOWN(ROW(D780)/8,0))</f>
        <v>0</v>
      </c>
      <c r="E783" s="654"/>
      <c r="F783" s="654"/>
      <c r="G783" s="655"/>
    </row>
    <row r="784" spans="2:9" ht="31.5" customHeight="1" thickBot="1">
      <c r="B784" s="260" t="s">
        <v>877</v>
      </c>
      <c r="D784" s="252" t="s">
        <v>878</v>
      </c>
      <c r="E784" s="253" t="e" cm="1">
        <f t="array" aca="1" ref="E784" ca="1">INDIRECT("xHesaplama!J"&amp;""&amp;ROW(D780)+70-7*ROUNDDOWN(ROW(D780)/8,0))</f>
        <v>#N/A</v>
      </c>
      <c r="F784" s="254" t="s">
        <v>879</v>
      </c>
      <c r="G784" s="253" t="e" cm="1">
        <f t="array" aca="1" ref="G784" ca="1">INDIRECT("xHesaplama!K"&amp;""&amp;ROW(D780)+70-7*ROUNDDOWN(ROW(D780)/8,0))</f>
        <v>#N/A</v>
      </c>
    </row>
    <row r="785" spans="2:9" ht="69" customHeight="1" thickBot="1">
      <c r="B785" s="259" t="s">
        <v>869</v>
      </c>
      <c r="C785" s="248"/>
      <c r="D785" s="656"/>
      <c r="E785" s="656"/>
      <c r="F785" s="656"/>
      <c r="G785" s="656"/>
    </row>
    <row r="786" spans="2:9" ht="31.5" customHeight="1" thickBot="1">
      <c r="B786" s="260" t="s">
        <v>872</v>
      </c>
      <c r="C786" s="248"/>
      <c r="D786" s="657" t="str">
        <f>'1PROJE'!$E$3</f>
        <v>GÜNEŞ PEN</v>
      </c>
      <c r="E786" s="658"/>
      <c r="F786" s="658"/>
      <c r="G786" s="659"/>
    </row>
    <row r="787" spans="2:9" ht="31.5" customHeight="1" thickBot="1">
      <c r="B787" s="260" t="s">
        <v>873</v>
      </c>
      <c r="C787" s="248"/>
      <c r="D787" s="644" t="str">
        <f>'1PROJE'!$F$3</f>
        <v>GÜRKAN BEY</v>
      </c>
      <c r="E787" s="645"/>
      <c r="F787" s="645"/>
      <c r="G787" s="646"/>
    </row>
    <row r="788" spans="2:9" ht="31.5" customHeight="1" thickBot="1">
      <c r="B788" s="260" t="s">
        <v>356</v>
      </c>
      <c r="C788" s="248"/>
      <c r="D788" s="647" t="e" cm="1">
        <f t="array" aca="1" ref="D788" ca="1">INDIRECT("xHesaplama!I"&amp;""&amp;ROW(D788)+70-7*ROUNDDOWN(ROW(D788)/8,0))</f>
        <v>#N/A</v>
      </c>
      <c r="E788" s="648"/>
      <c r="F788" s="648"/>
      <c r="G788" s="649"/>
    </row>
    <row r="789" spans="2:9" ht="31.5" customHeight="1" thickBot="1">
      <c r="B789" s="260" t="s">
        <v>874</v>
      </c>
      <c r="C789" s="248"/>
      <c r="D789" s="650" t="str">
        <f>$H$1</f>
        <v>BOX</v>
      </c>
      <c r="E789" s="651"/>
      <c r="F789" s="651"/>
      <c r="G789" s="652"/>
    </row>
    <row r="790" spans="2:9" ht="31.5" customHeight="1" thickBot="1">
      <c r="B790" s="260" t="s">
        <v>875</v>
      </c>
      <c r="C790" s="248"/>
      <c r="D790" s="653" t="str">
        <f>'1PROJE'!$G$3</f>
        <v>Z 5001</v>
      </c>
      <c r="E790" s="654"/>
      <c r="F790" s="654"/>
      <c r="G790" s="655"/>
      <c r="I790" s="250"/>
    </row>
    <row r="791" spans="2:9" ht="31.5" customHeight="1" thickBot="1">
      <c r="B791" s="260" t="s">
        <v>876</v>
      </c>
      <c r="D791" s="653" cm="1">
        <f t="array" aca="1" ref="D791" ca="1">INDIRECT("xHesaplama!H"&amp;""&amp;ROW(D788)+70-7*ROUNDDOWN(ROW(D788)/8,0))</f>
        <v>0</v>
      </c>
      <c r="E791" s="654"/>
      <c r="F791" s="654"/>
      <c r="G791" s="655"/>
    </row>
    <row r="792" spans="2:9" ht="31.5" customHeight="1" thickBot="1">
      <c r="B792" s="260" t="s">
        <v>877</v>
      </c>
      <c r="D792" s="252" t="s">
        <v>878</v>
      </c>
      <c r="E792" s="253" t="e" cm="1">
        <f t="array" aca="1" ref="E792" ca="1">INDIRECT("xHesaplama!J"&amp;""&amp;ROW(D788)+70-7*ROUNDDOWN(ROW(D788)/8,0))</f>
        <v>#N/A</v>
      </c>
      <c r="F792" s="254" t="s">
        <v>879</v>
      </c>
      <c r="G792" s="253" t="e" cm="1">
        <f t="array" aca="1" ref="G792" ca="1">INDIRECT("xHesaplama!K"&amp;""&amp;ROW(D788)+70-7*ROUNDDOWN(ROW(D788)/8,0))</f>
        <v>#N/A</v>
      </c>
    </row>
    <row r="793" spans="2:9" ht="69" customHeight="1" thickBot="1">
      <c r="B793" s="259" t="s">
        <v>869</v>
      </c>
      <c r="C793" s="248"/>
      <c r="D793" s="656"/>
      <c r="E793" s="656"/>
      <c r="F793" s="656"/>
      <c r="G793" s="656"/>
    </row>
    <row r="794" spans="2:9" ht="31.5" customHeight="1" thickBot="1">
      <c r="B794" s="260" t="s">
        <v>872</v>
      </c>
      <c r="C794" s="248"/>
      <c r="D794" s="657" t="str">
        <f>'1PROJE'!$E$3</f>
        <v>GÜNEŞ PEN</v>
      </c>
      <c r="E794" s="658"/>
      <c r="F794" s="658"/>
      <c r="G794" s="659"/>
    </row>
    <row r="795" spans="2:9" ht="31.5" customHeight="1" thickBot="1">
      <c r="B795" s="260" t="s">
        <v>873</v>
      </c>
      <c r="C795" s="248"/>
      <c r="D795" s="644" t="str">
        <f>'1PROJE'!$F$3</f>
        <v>GÜRKAN BEY</v>
      </c>
      <c r="E795" s="645"/>
      <c r="F795" s="645"/>
      <c r="G795" s="646"/>
    </row>
    <row r="796" spans="2:9" ht="31.5" customHeight="1" thickBot="1">
      <c r="B796" s="260" t="s">
        <v>356</v>
      </c>
      <c r="C796" s="248"/>
      <c r="D796" s="647" t="e" cm="1">
        <f t="array" aca="1" ref="D796" ca="1">INDIRECT("xHesaplama!I"&amp;""&amp;ROW(D796)+70-7*ROUNDDOWN(ROW(D796)/8,0))</f>
        <v>#N/A</v>
      </c>
      <c r="E796" s="648"/>
      <c r="F796" s="648"/>
      <c r="G796" s="649"/>
    </row>
    <row r="797" spans="2:9" ht="31.5" customHeight="1" thickBot="1">
      <c r="B797" s="260" t="s">
        <v>874</v>
      </c>
      <c r="C797" s="248"/>
      <c r="D797" s="650" t="str">
        <f>$H$1</f>
        <v>BOX</v>
      </c>
      <c r="E797" s="651"/>
      <c r="F797" s="651"/>
      <c r="G797" s="652"/>
    </row>
    <row r="798" spans="2:9" ht="31.5" customHeight="1" thickBot="1">
      <c r="B798" s="260" t="s">
        <v>875</v>
      </c>
      <c r="C798" s="248"/>
      <c r="D798" s="653" t="str">
        <f>'1PROJE'!$G$3</f>
        <v>Z 5001</v>
      </c>
      <c r="E798" s="654"/>
      <c r="F798" s="654"/>
      <c r="G798" s="655"/>
      <c r="I798" s="250"/>
    </row>
    <row r="799" spans="2:9" ht="31.5" customHeight="1" thickBot="1">
      <c r="B799" s="260" t="s">
        <v>876</v>
      </c>
      <c r="D799" s="653" cm="1">
        <f t="array" aca="1" ref="D799" ca="1">INDIRECT("xHesaplama!H"&amp;""&amp;ROW(D796)+70-7*ROUNDDOWN(ROW(D796)/8,0))</f>
        <v>0</v>
      </c>
      <c r="E799" s="654"/>
      <c r="F799" s="654"/>
      <c r="G799" s="655"/>
    </row>
    <row r="800" spans="2:9" ht="31.5" customHeight="1" thickBot="1">
      <c r="B800" s="260" t="s">
        <v>877</v>
      </c>
      <c r="D800" s="252" t="s">
        <v>878</v>
      </c>
      <c r="E800" s="253" t="e" cm="1">
        <f t="array" aca="1" ref="E800" ca="1">INDIRECT("xHesaplama!J"&amp;""&amp;ROW(D796)+70-7*ROUNDDOWN(ROW(D796)/8,0))</f>
        <v>#N/A</v>
      </c>
      <c r="F800" s="254" t="s">
        <v>879</v>
      </c>
      <c r="G800" s="253" t="e" cm="1">
        <f t="array" aca="1" ref="G800" ca="1">INDIRECT("xHesaplama!K"&amp;""&amp;ROW(D796)+70-7*ROUNDDOWN(ROW(D796)/8,0))</f>
        <v>#N/A</v>
      </c>
    </row>
    <row r="801" spans="2:9" ht="69" customHeight="1" thickBot="1">
      <c r="B801" s="259" t="s">
        <v>869</v>
      </c>
      <c r="C801" s="248"/>
      <c r="D801" s="656"/>
      <c r="E801" s="656"/>
      <c r="F801" s="656"/>
      <c r="G801" s="656"/>
    </row>
    <row r="802" spans="2:9" ht="31.5" customHeight="1" thickBot="1">
      <c r="B802" s="260" t="s">
        <v>872</v>
      </c>
      <c r="C802" s="248"/>
      <c r="D802" s="657" t="str">
        <f>'1PROJE'!$E$3</f>
        <v>GÜNEŞ PEN</v>
      </c>
      <c r="E802" s="658"/>
      <c r="F802" s="658"/>
      <c r="G802" s="659"/>
    </row>
    <row r="803" spans="2:9" ht="31.5" customHeight="1" thickBot="1">
      <c r="B803" s="260" t="s">
        <v>873</v>
      </c>
      <c r="C803" s="248"/>
      <c r="D803" s="644" t="str">
        <f>'1PROJE'!$F$3</f>
        <v>GÜRKAN BEY</v>
      </c>
      <c r="E803" s="645"/>
      <c r="F803" s="645"/>
      <c r="G803" s="646"/>
    </row>
    <row r="804" spans="2:9" ht="31.5" customHeight="1" thickBot="1">
      <c r="B804" s="260" t="s">
        <v>356</v>
      </c>
      <c r="C804" s="248"/>
      <c r="D804" s="647" t="e" cm="1">
        <f t="array" aca="1" ref="D804" ca="1">INDIRECT("xHesaplama!I"&amp;""&amp;ROW(D804)+70-7*ROUNDDOWN(ROW(D804)/8,0))</f>
        <v>#N/A</v>
      </c>
      <c r="E804" s="648"/>
      <c r="F804" s="648"/>
      <c r="G804" s="649"/>
    </row>
    <row r="805" spans="2:9" ht="31.5" customHeight="1" thickBot="1">
      <c r="B805" s="260" t="s">
        <v>874</v>
      </c>
      <c r="C805" s="248"/>
      <c r="D805" s="650" t="str">
        <f>$H$1</f>
        <v>BOX</v>
      </c>
      <c r="E805" s="651"/>
      <c r="F805" s="651"/>
      <c r="G805" s="652"/>
    </row>
    <row r="806" spans="2:9" ht="31.5" customHeight="1" thickBot="1">
      <c r="B806" s="260" t="s">
        <v>875</v>
      </c>
      <c r="C806" s="248"/>
      <c r="D806" s="653" t="str">
        <f>'1PROJE'!$G$3</f>
        <v>Z 5001</v>
      </c>
      <c r="E806" s="654"/>
      <c r="F806" s="654"/>
      <c r="G806" s="655"/>
      <c r="I806" s="250"/>
    </row>
    <row r="807" spans="2:9" ht="31.5" customHeight="1" thickBot="1">
      <c r="B807" s="260" t="s">
        <v>876</v>
      </c>
      <c r="D807" s="653" cm="1">
        <f t="array" aca="1" ref="D807" ca="1">INDIRECT("xHesaplama!H"&amp;""&amp;ROW(D804)+70-7*ROUNDDOWN(ROW(D804)/8,0))</f>
        <v>0</v>
      </c>
      <c r="E807" s="654"/>
      <c r="F807" s="654"/>
      <c r="G807" s="655"/>
    </row>
    <row r="808" spans="2:9" ht="31.5" customHeight="1" thickBot="1">
      <c r="B808" s="260" t="s">
        <v>877</v>
      </c>
      <c r="D808" s="252" t="s">
        <v>878</v>
      </c>
      <c r="E808" s="253" t="e" cm="1">
        <f t="array" aca="1" ref="E808" ca="1">INDIRECT("xHesaplama!J"&amp;""&amp;ROW(D804)+70-7*ROUNDDOWN(ROW(D804)/8,0))</f>
        <v>#N/A</v>
      </c>
      <c r="F808" s="254" t="s">
        <v>879</v>
      </c>
      <c r="G808" s="253" t="e" cm="1">
        <f t="array" aca="1" ref="G808" ca="1">INDIRECT("xHesaplama!K"&amp;""&amp;ROW(D804)+70-7*ROUNDDOWN(ROW(D804)/8,0))</f>
        <v>#N/A</v>
      </c>
    </row>
    <row r="809" spans="2:9" ht="69" customHeight="1" thickBot="1">
      <c r="B809" s="259" t="s">
        <v>869</v>
      </c>
      <c r="C809" s="248"/>
      <c r="D809" s="656"/>
      <c r="E809" s="656"/>
      <c r="F809" s="656"/>
      <c r="G809" s="656"/>
    </row>
    <row r="810" spans="2:9" ht="31.5" customHeight="1" thickBot="1">
      <c r="B810" s="260" t="s">
        <v>872</v>
      </c>
      <c r="C810" s="248"/>
      <c r="D810" s="657" t="str">
        <f>'1PROJE'!$E$3</f>
        <v>GÜNEŞ PEN</v>
      </c>
      <c r="E810" s="658"/>
      <c r="F810" s="658"/>
      <c r="G810" s="659"/>
    </row>
    <row r="811" spans="2:9" ht="31.5" customHeight="1" thickBot="1">
      <c r="B811" s="260" t="s">
        <v>873</v>
      </c>
      <c r="C811" s="248"/>
      <c r="D811" s="644" t="str">
        <f>'1PROJE'!$F$3</f>
        <v>GÜRKAN BEY</v>
      </c>
      <c r="E811" s="645"/>
      <c r="F811" s="645"/>
      <c r="G811" s="646"/>
    </row>
    <row r="812" spans="2:9" ht="31.5" customHeight="1" thickBot="1">
      <c r="B812" s="260" t="s">
        <v>356</v>
      </c>
      <c r="C812" s="248"/>
      <c r="D812" s="647" t="e" cm="1">
        <f t="array" aca="1" ref="D812" ca="1">INDIRECT("xHesaplama!I"&amp;""&amp;ROW(D812)+70-7*ROUNDDOWN(ROW(D812)/8,0))</f>
        <v>#N/A</v>
      </c>
      <c r="E812" s="648"/>
      <c r="F812" s="648"/>
      <c r="G812" s="649"/>
    </row>
    <row r="813" spans="2:9" ht="31.5" customHeight="1" thickBot="1">
      <c r="B813" s="260" t="s">
        <v>874</v>
      </c>
      <c r="C813" s="248"/>
      <c r="D813" s="650" t="str">
        <f>$H$1</f>
        <v>BOX</v>
      </c>
      <c r="E813" s="651"/>
      <c r="F813" s="651"/>
      <c r="G813" s="652"/>
    </row>
    <row r="814" spans="2:9" ht="31.5" customHeight="1" thickBot="1">
      <c r="B814" s="260" t="s">
        <v>875</v>
      </c>
      <c r="C814" s="248"/>
      <c r="D814" s="653" t="str">
        <f>'1PROJE'!$G$3</f>
        <v>Z 5001</v>
      </c>
      <c r="E814" s="654"/>
      <c r="F814" s="654"/>
      <c r="G814" s="655"/>
      <c r="I814" s="250"/>
    </row>
    <row r="815" spans="2:9" ht="31.5" customHeight="1" thickBot="1">
      <c r="B815" s="260" t="s">
        <v>876</v>
      </c>
      <c r="D815" s="653" cm="1">
        <f t="array" aca="1" ref="D815" ca="1">INDIRECT("xHesaplama!H"&amp;""&amp;ROW(D812)+70-7*ROUNDDOWN(ROW(D812)/8,0))</f>
        <v>0</v>
      </c>
      <c r="E815" s="654"/>
      <c r="F815" s="654"/>
      <c r="G815" s="655"/>
    </row>
    <row r="816" spans="2:9" ht="31.5" customHeight="1" thickBot="1">
      <c r="B816" s="260" t="s">
        <v>877</v>
      </c>
      <c r="D816" s="252" t="s">
        <v>878</v>
      </c>
      <c r="E816" s="253" t="e" cm="1">
        <f t="array" aca="1" ref="E816" ca="1">INDIRECT("xHesaplama!J"&amp;""&amp;ROW(D812)+70-7*ROUNDDOWN(ROW(D812)/8,0))</f>
        <v>#N/A</v>
      </c>
      <c r="F816" s="254" t="s">
        <v>879</v>
      </c>
      <c r="G816" s="253" t="e" cm="1">
        <f t="array" aca="1" ref="G816" ca="1">INDIRECT("xHesaplama!K"&amp;""&amp;ROW(D812)+70-7*ROUNDDOWN(ROW(D812)/8,0))</f>
        <v>#N/A</v>
      </c>
    </row>
    <row r="817" spans="2:9" ht="69" customHeight="1" thickBot="1">
      <c r="B817" s="259" t="s">
        <v>869</v>
      </c>
      <c r="C817" s="248"/>
      <c r="D817" s="656"/>
      <c r="E817" s="656"/>
      <c r="F817" s="656"/>
      <c r="G817" s="656"/>
    </row>
    <row r="818" spans="2:9" ht="31.5" customHeight="1" thickBot="1">
      <c r="B818" s="260" t="s">
        <v>872</v>
      </c>
      <c r="C818" s="248"/>
      <c r="D818" s="657" t="str">
        <f>'1PROJE'!$E$3</f>
        <v>GÜNEŞ PEN</v>
      </c>
      <c r="E818" s="658"/>
      <c r="F818" s="658"/>
      <c r="G818" s="659"/>
    </row>
    <row r="819" spans="2:9" ht="31.5" customHeight="1" thickBot="1">
      <c r="B819" s="260" t="s">
        <v>873</v>
      </c>
      <c r="C819" s="248"/>
      <c r="D819" s="644" t="str">
        <f>'1PROJE'!$F$3</f>
        <v>GÜRKAN BEY</v>
      </c>
      <c r="E819" s="645"/>
      <c r="F819" s="645"/>
      <c r="G819" s="646"/>
    </row>
    <row r="820" spans="2:9" ht="31.5" customHeight="1" thickBot="1">
      <c r="B820" s="260" t="s">
        <v>356</v>
      </c>
      <c r="C820" s="248"/>
      <c r="D820" s="647" t="e" cm="1">
        <f t="array" aca="1" ref="D820" ca="1">INDIRECT("xHesaplama!I"&amp;""&amp;ROW(D820)+70-7*ROUNDDOWN(ROW(D820)/8,0))</f>
        <v>#N/A</v>
      </c>
      <c r="E820" s="648"/>
      <c r="F820" s="648"/>
      <c r="G820" s="649"/>
    </row>
    <row r="821" spans="2:9" ht="31.5" customHeight="1" thickBot="1">
      <c r="B821" s="260" t="s">
        <v>874</v>
      </c>
      <c r="C821" s="248"/>
      <c r="D821" s="650" t="str">
        <f>$H$1</f>
        <v>BOX</v>
      </c>
      <c r="E821" s="651"/>
      <c r="F821" s="651"/>
      <c r="G821" s="652"/>
    </row>
    <row r="822" spans="2:9" ht="31.5" customHeight="1" thickBot="1">
      <c r="B822" s="260" t="s">
        <v>875</v>
      </c>
      <c r="C822" s="248"/>
      <c r="D822" s="653" t="str">
        <f>'1PROJE'!$G$3</f>
        <v>Z 5001</v>
      </c>
      <c r="E822" s="654"/>
      <c r="F822" s="654"/>
      <c r="G822" s="655"/>
      <c r="I822" s="250"/>
    </row>
    <row r="823" spans="2:9" ht="31.5" customHeight="1" thickBot="1">
      <c r="B823" s="260" t="s">
        <v>876</v>
      </c>
      <c r="D823" s="653" cm="1">
        <f t="array" aca="1" ref="D823" ca="1">INDIRECT("xHesaplama!H"&amp;""&amp;ROW(D820)+70-7*ROUNDDOWN(ROW(D820)/8,0))</f>
        <v>0</v>
      </c>
      <c r="E823" s="654"/>
      <c r="F823" s="654"/>
      <c r="G823" s="655"/>
    </row>
    <row r="824" spans="2:9" ht="31.5" customHeight="1" thickBot="1">
      <c r="B824" s="260" t="s">
        <v>877</v>
      </c>
      <c r="D824" s="252" t="s">
        <v>878</v>
      </c>
      <c r="E824" s="253" t="e" cm="1">
        <f t="array" aca="1" ref="E824" ca="1">INDIRECT("xHesaplama!J"&amp;""&amp;ROW(D820)+70-7*ROUNDDOWN(ROW(D820)/8,0))</f>
        <v>#N/A</v>
      </c>
      <c r="F824" s="254" t="s">
        <v>879</v>
      </c>
      <c r="G824" s="253" t="e" cm="1">
        <f t="array" aca="1" ref="G824" ca="1">INDIRECT("xHesaplama!K"&amp;""&amp;ROW(D820)+70-7*ROUNDDOWN(ROW(D820)/8,0))</f>
        <v>#N/A</v>
      </c>
    </row>
    <row r="825" spans="2:9" ht="69" customHeight="1" thickBot="1">
      <c r="B825" s="259" t="s">
        <v>869</v>
      </c>
      <c r="C825" s="248"/>
      <c r="D825" s="656"/>
      <c r="E825" s="656"/>
      <c r="F825" s="656"/>
      <c r="G825" s="656"/>
    </row>
    <row r="826" spans="2:9" ht="31.5" customHeight="1" thickBot="1">
      <c r="B826" s="260" t="s">
        <v>872</v>
      </c>
      <c r="C826" s="248"/>
      <c r="D826" s="657" t="str">
        <f>'1PROJE'!$E$3</f>
        <v>GÜNEŞ PEN</v>
      </c>
      <c r="E826" s="658"/>
      <c r="F826" s="658"/>
      <c r="G826" s="659"/>
    </row>
    <row r="827" spans="2:9" ht="31.5" customHeight="1" thickBot="1">
      <c r="B827" s="260" t="s">
        <v>873</v>
      </c>
      <c r="C827" s="248"/>
      <c r="D827" s="644" t="str">
        <f>'1PROJE'!$F$3</f>
        <v>GÜRKAN BEY</v>
      </c>
      <c r="E827" s="645"/>
      <c r="F827" s="645"/>
      <c r="G827" s="646"/>
    </row>
    <row r="828" spans="2:9" ht="31.5" customHeight="1" thickBot="1">
      <c r="B828" s="260" t="s">
        <v>356</v>
      </c>
      <c r="C828" s="248"/>
      <c r="D828" s="647" t="e" cm="1">
        <f t="array" aca="1" ref="D828" ca="1">INDIRECT("xHesaplama!I"&amp;""&amp;ROW(D828)+70-7*ROUNDDOWN(ROW(D828)/8,0))</f>
        <v>#N/A</v>
      </c>
      <c r="E828" s="648"/>
      <c r="F828" s="648"/>
      <c r="G828" s="649"/>
    </row>
    <row r="829" spans="2:9" ht="31.5" customHeight="1" thickBot="1">
      <c r="B829" s="260" t="s">
        <v>874</v>
      </c>
      <c r="C829" s="248"/>
      <c r="D829" s="650" t="str">
        <f>$H$1</f>
        <v>BOX</v>
      </c>
      <c r="E829" s="651"/>
      <c r="F829" s="651"/>
      <c r="G829" s="652"/>
    </row>
    <row r="830" spans="2:9" ht="31.5" customHeight="1" thickBot="1">
      <c r="B830" s="260" t="s">
        <v>875</v>
      </c>
      <c r="C830" s="248"/>
      <c r="D830" s="653" t="str">
        <f>'1PROJE'!$G$3</f>
        <v>Z 5001</v>
      </c>
      <c r="E830" s="654"/>
      <c r="F830" s="654"/>
      <c r="G830" s="655"/>
      <c r="I830" s="250"/>
    </row>
    <row r="831" spans="2:9" ht="31.5" customHeight="1" thickBot="1">
      <c r="B831" s="260" t="s">
        <v>876</v>
      </c>
      <c r="D831" s="653" cm="1">
        <f t="array" aca="1" ref="D831" ca="1">INDIRECT("xHesaplama!H"&amp;""&amp;ROW(D828)+70-7*ROUNDDOWN(ROW(D828)/8,0))</f>
        <v>0</v>
      </c>
      <c r="E831" s="654"/>
      <c r="F831" s="654"/>
      <c r="G831" s="655"/>
    </row>
    <row r="832" spans="2:9" ht="31.5" customHeight="1" thickBot="1">
      <c r="B832" s="260" t="s">
        <v>877</v>
      </c>
      <c r="D832" s="252" t="s">
        <v>878</v>
      </c>
      <c r="E832" s="253" t="e" cm="1">
        <f t="array" aca="1" ref="E832" ca="1">INDIRECT("xHesaplama!J"&amp;""&amp;ROW(D828)+70-7*ROUNDDOWN(ROW(D828)/8,0))</f>
        <v>#N/A</v>
      </c>
      <c r="F832" s="254" t="s">
        <v>879</v>
      </c>
      <c r="G832" s="253" t="e" cm="1">
        <f t="array" aca="1" ref="G832" ca="1">INDIRECT("xHesaplama!K"&amp;""&amp;ROW(D828)+70-7*ROUNDDOWN(ROW(D828)/8,0))</f>
        <v>#N/A</v>
      </c>
    </row>
    <row r="833" spans="2:9" ht="69" customHeight="1" thickBot="1">
      <c r="B833" s="259" t="s">
        <v>869</v>
      </c>
      <c r="C833" s="248"/>
      <c r="D833" s="656"/>
      <c r="E833" s="656"/>
      <c r="F833" s="656"/>
      <c r="G833" s="656"/>
    </row>
    <row r="834" spans="2:9" ht="31.5" customHeight="1" thickBot="1">
      <c r="B834" s="260" t="s">
        <v>872</v>
      </c>
      <c r="C834" s="248"/>
      <c r="D834" s="657" t="str">
        <f>'1PROJE'!$E$3</f>
        <v>GÜNEŞ PEN</v>
      </c>
      <c r="E834" s="658"/>
      <c r="F834" s="658"/>
      <c r="G834" s="659"/>
    </row>
    <row r="835" spans="2:9" ht="31.5" customHeight="1" thickBot="1">
      <c r="B835" s="260" t="s">
        <v>873</v>
      </c>
      <c r="C835" s="248"/>
      <c r="D835" s="644" t="str">
        <f>'1PROJE'!$F$3</f>
        <v>GÜRKAN BEY</v>
      </c>
      <c r="E835" s="645"/>
      <c r="F835" s="645"/>
      <c r="G835" s="646"/>
    </row>
    <row r="836" spans="2:9" ht="31.5" customHeight="1" thickBot="1">
      <c r="B836" s="260" t="s">
        <v>356</v>
      </c>
      <c r="C836" s="248"/>
      <c r="D836" s="647" t="e" cm="1">
        <f t="array" aca="1" ref="D836" ca="1">INDIRECT("xHesaplama!I"&amp;""&amp;ROW(D836)+70-7*ROUNDDOWN(ROW(D836)/8,0))</f>
        <v>#N/A</v>
      </c>
      <c r="E836" s="648"/>
      <c r="F836" s="648"/>
      <c r="G836" s="649"/>
    </row>
    <row r="837" spans="2:9" ht="31.5" customHeight="1" thickBot="1">
      <c r="B837" s="260" t="s">
        <v>874</v>
      </c>
      <c r="C837" s="248"/>
      <c r="D837" s="650" t="str">
        <f>$H$1</f>
        <v>BOX</v>
      </c>
      <c r="E837" s="651"/>
      <c r="F837" s="651"/>
      <c r="G837" s="652"/>
    </row>
    <row r="838" spans="2:9" ht="31.5" customHeight="1" thickBot="1">
      <c r="B838" s="260" t="s">
        <v>875</v>
      </c>
      <c r="C838" s="248"/>
      <c r="D838" s="653" t="str">
        <f>'1PROJE'!$G$3</f>
        <v>Z 5001</v>
      </c>
      <c r="E838" s="654"/>
      <c r="F838" s="654"/>
      <c r="G838" s="655"/>
      <c r="I838" s="250"/>
    </row>
    <row r="839" spans="2:9" ht="31.5" customHeight="1" thickBot="1">
      <c r="B839" s="260" t="s">
        <v>876</v>
      </c>
      <c r="D839" s="653" cm="1">
        <f t="array" aca="1" ref="D839" ca="1">INDIRECT("xHesaplama!H"&amp;""&amp;ROW(D836)+70-7*ROUNDDOWN(ROW(D836)/8,0))</f>
        <v>0</v>
      </c>
      <c r="E839" s="654"/>
      <c r="F839" s="654"/>
      <c r="G839" s="655"/>
    </row>
    <row r="840" spans="2:9" ht="31.5" customHeight="1" thickBot="1">
      <c r="B840" s="260" t="s">
        <v>877</v>
      </c>
      <c r="D840" s="252" t="s">
        <v>878</v>
      </c>
      <c r="E840" s="253" t="e" cm="1">
        <f t="array" aca="1" ref="E840" ca="1">INDIRECT("xHesaplama!J"&amp;""&amp;ROW(D836)+70-7*ROUNDDOWN(ROW(D836)/8,0))</f>
        <v>#N/A</v>
      </c>
      <c r="F840" s="254" t="s">
        <v>879</v>
      </c>
      <c r="G840" s="253" t="e" cm="1">
        <f t="array" aca="1" ref="G840" ca="1">INDIRECT("xHesaplama!K"&amp;""&amp;ROW(D836)+70-7*ROUNDDOWN(ROW(D836)/8,0))</f>
        <v>#N/A</v>
      </c>
    </row>
    <row r="841" spans="2:9" ht="69" customHeight="1" thickBot="1">
      <c r="B841" s="259" t="s">
        <v>869</v>
      </c>
      <c r="C841" s="248"/>
      <c r="D841" s="656"/>
      <c r="E841" s="656"/>
      <c r="F841" s="656"/>
      <c r="G841" s="656"/>
    </row>
    <row r="842" spans="2:9" ht="31.5" customHeight="1" thickBot="1">
      <c r="B842" s="260" t="s">
        <v>872</v>
      </c>
      <c r="C842" s="248"/>
      <c r="D842" s="657" t="str">
        <f>'1PROJE'!$E$3</f>
        <v>GÜNEŞ PEN</v>
      </c>
      <c r="E842" s="658"/>
      <c r="F842" s="658"/>
      <c r="G842" s="659"/>
    </row>
    <row r="843" spans="2:9" ht="31.5" customHeight="1" thickBot="1">
      <c r="B843" s="260" t="s">
        <v>873</v>
      </c>
      <c r="C843" s="248"/>
      <c r="D843" s="644" t="str">
        <f>'1PROJE'!$F$3</f>
        <v>GÜRKAN BEY</v>
      </c>
      <c r="E843" s="645"/>
      <c r="F843" s="645"/>
      <c r="G843" s="646"/>
    </row>
    <row r="844" spans="2:9" ht="31.5" customHeight="1" thickBot="1">
      <c r="B844" s="260" t="s">
        <v>356</v>
      </c>
      <c r="C844" s="248"/>
      <c r="D844" s="647" t="e" cm="1">
        <f t="array" aca="1" ref="D844" ca="1">INDIRECT("xHesaplama!I"&amp;""&amp;ROW(D844)+70-7*ROUNDDOWN(ROW(D844)/8,0))</f>
        <v>#N/A</v>
      </c>
      <c r="E844" s="648"/>
      <c r="F844" s="648"/>
      <c r="G844" s="649"/>
    </row>
    <row r="845" spans="2:9" ht="31.5" customHeight="1" thickBot="1">
      <c r="B845" s="260" t="s">
        <v>874</v>
      </c>
      <c r="C845" s="248"/>
      <c r="D845" s="650" t="str">
        <f>$H$1</f>
        <v>BOX</v>
      </c>
      <c r="E845" s="651"/>
      <c r="F845" s="651"/>
      <c r="G845" s="652"/>
    </row>
    <row r="846" spans="2:9" ht="31.5" customHeight="1" thickBot="1">
      <c r="B846" s="260" t="s">
        <v>875</v>
      </c>
      <c r="C846" s="248"/>
      <c r="D846" s="653" t="str">
        <f>'1PROJE'!$G$3</f>
        <v>Z 5001</v>
      </c>
      <c r="E846" s="654"/>
      <c r="F846" s="654"/>
      <c r="G846" s="655"/>
      <c r="I846" s="250"/>
    </row>
    <row r="847" spans="2:9" ht="31.5" customHeight="1" thickBot="1">
      <c r="B847" s="260" t="s">
        <v>876</v>
      </c>
      <c r="D847" s="653" cm="1">
        <f t="array" aca="1" ref="D847" ca="1">INDIRECT("xHesaplama!H"&amp;""&amp;ROW(D844)+70-7*ROUNDDOWN(ROW(D844)/8,0))</f>
        <v>0</v>
      </c>
      <c r="E847" s="654"/>
      <c r="F847" s="654"/>
      <c r="G847" s="655"/>
    </row>
    <row r="848" spans="2:9" ht="31.5" customHeight="1" thickBot="1">
      <c r="B848" s="260" t="s">
        <v>877</v>
      </c>
      <c r="D848" s="252" t="s">
        <v>878</v>
      </c>
      <c r="E848" s="253" t="e" cm="1">
        <f t="array" aca="1" ref="E848" ca="1">INDIRECT("xHesaplama!J"&amp;""&amp;ROW(D844)+70-7*ROUNDDOWN(ROW(D844)/8,0))</f>
        <v>#N/A</v>
      </c>
      <c r="F848" s="254" t="s">
        <v>879</v>
      </c>
      <c r="G848" s="253" t="e" cm="1">
        <f t="array" aca="1" ref="G848" ca="1">INDIRECT("xHesaplama!K"&amp;""&amp;ROW(D844)+70-7*ROUNDDOWN(ROW(D844)/8,0))</f>
        <v>#N/A</v>
      </c>
    </row>
    <row r="849" spans="2:9" ht="69" customHeight="1" thickBot="1">
      <c r="B849" s="259" t="s">
        <v>869</v>
      </c>
      <c r="C849" s="248"/>
      <c r="D849" s="656"/>
      <c r="E849" s="656"/>
      <c r="F849" s="656"/>
      <c r="G849" s="656"/>
    </row>
    <row r="850" spans="2:9" ht="31.5" customHeight="1" thickBot="1">
      <c r="B850" s="260" t="s">
        <v>872</v>
      </c>
      <c r="C850" s="248"/>
      <c r="D850" s="657" t="str">
        <f>'1PROJE'!$E$3</f>
        <v>GÜNEŞ PEN</v>
      </c>
      <c r="E850" s="658"/>
      <c r="F850" s="658"/>
      <c r="G850" s="659"/>
    </row>
    <row r="851" spans="2:9" ht="31.5" customHeight="1" thickBot="1">
      <c r="B851" s="260" t="s">
        <v>873</v>
      </c>
      <c r="C851" s="248"/>
      <c r="D851" s="644" t="str">
        <f>'1PROJE'!$F$3</f>
        <v>GÜRKAN BEY</v>
      </c>
      <c r="E851" s="645"/>
      <c r="F851" s="645"/>
      <c r="G851" s="646"/>
    </row>
    <row r="852" spans="2:9" ht="31.5" customHeight="1" thickBot="1">
      <c r="B852" s="260" t="s">
        <v>356</v>
      </c>
      <c r="C852" s="248"/>
      <c r="D852" s="647" t="e" cm="1">
        <f t="array" aca="1" ref="D852" ca="1">INDIRECT("xHesaplama!I"&amp;""&amp;ROW(D852)+70-7*ROUNDDOWN(ROW(D852)/8,0))</f>
        <v>#N/A</v>
      </c>
      <c r="E852" s="648"/>
      <c r="F852" s="648"/>
      <c r="G852" s="649"/>
    </row>
    <row r="853" spans="2:9" ht="31.5" customHeight="1" thickBot="1">
      <c r="B853" s="260" t="s">
        <v>874</v>
      </c>
      <c r="C853" s="248"/>
      <c r="D853" s="650" t="str">
        <f>$H$1</f>
        <v>BOX</v>
      </c>
      <c r="E853" s="651"/>
      <c r="F853" s="651"/>
      <c r="G853" s="652"/>
    </row>
    <row r="854" spans="2:9" ht="31.5" customHeight="1" thickBot="1">
      <c r="B854" s="260" t="s">
        <v>875</v>
      </c>
      <c r="C854" s="248"/>
      <c r="D854" s="653" t="str">
        <f>'1PROJE'!$G$3</f>
        <v>Z 5001</v>
      </c>
      <c r="E854" s="654"/>
      <c r="F854" s="654"/>
      <c r="G854" s="655"/>
      <c r="I854" s="250"/>
    </row>
    <row r="855" spans="2:9" ht="31.5" customHeight="1" thickBot="1">
      <c r="B855" s="260" t="s">
        <v>876</v>
      </c>
      <c r="D855" s="653" cm="1">
        <f t="array" aca="1" ref="D855" ca="1">INDIRECT("xHesaplama!H"&amp;""&amp;ROW(D852)+70-7*ROUNDDOWN(ROW(D852)/8,0))</f>
        <v>0</v>
      </c>
      <c r="E855" s="654"/>
      <c r="F855" s="654"/>
      <c r="G855" s="655"/>
    </row>
    <row r="856" spans="2:9" ht="31.5" customHeight="1" thickBot="1">
      <c r="B856" s="260" t="s">
        <v>877</v>
      </c>
      <c r="D856" s="252" t="s">
        <v>878</v>
      </c>
      <c r="E856" s="253" t="e" cm="1">
        <f t="array" aca="1" ref="E856" ca="1">INDIRECT("xHesaplama!J"&amp;""&amp;ROW(D852)+70-7*ROUNDDOWN(ROW(D852)/8,0))</f>
        <v>#N/A</v>
      </c>
      <c r="F856" s="254" t="s">
        <v>879</v>
      </c>
      <c r="G856" s="253" t="e" cm="1">
        <f t="array" aca="1" ref="G856" ca="1">INDIRECT("xHesaplama!K"&amp;""&amp;ROW(D852)+70-7*ROUNDDOWN(ROW(D852)/8,0))</f>
        <v>#N/A</v>
      </c>
    </row>
    <row r="857" spans="2:9" ht="69" customHeight="1" thickBot="1">
      <c r="B857" s="259" t="s">
        <v>869</v>
      </c>
      <c r="C857" s="248"/>
      <c r="D857" s="656"/>
      <c r="E857" s="656"/>
      <c r="F857" s="656"/>
      <c r="G857" s="656"/>
    </row>
    <row r="858" spans="2:9" ht="31.5" customHeight="1" thickBot="1">
      <c r="B858" s="260" t="s">
        <v>872</v>
      </c>
      <c r="C858" s="248"/>
      <c r="D858" s="657" t="str">
        <f>'1PROJE'!$E$3</f>
        <v>GÜNEŞ PEN</v>
      </c>
      <c r="E858" s="658"/>
      <c r="F858" s="658"/>
      <c r="G858" s="659"/>
    </row>
    <row r="859" spans="2:9" ht="31.5" customHeight="1" thickBot="1">
      <c r="B859" s="260" t="s">
        <v>873</v>
      </c>
      <c r="C859" s="248"/>
      <c r="D859" s="644" t="str">
        <f>'1PROJE'!$F$3</f>
        <v>GÜRKAN BEY</v>
      </c>
      <c r="E859" s="645"/>
      <c r="F859" s="645"/>
      <c r="G859" s="646"/>
    </row>
    <row r="860" spans="2:9" ht="31.5" customHeight="1" thickBot="1">
      <c r="B860" s="260" t="s">
        <v>356</v>
      </c>
      <c r="C860" s="248"/>
      <c r="D860" s="647" t="e" cm="1">
        <f t="array" aca="1" ref="D860" ca="1">INDIRECT("xHesaplama!I"&amp;""&amp;ROW(D860)+70-7*ROUNDDOWN(ROW(D860)/8,0))</f>
        <v>#N/A</v>
      </c>
      <c r="E860" s="648"/>
      <c r="F860" s="648"/>
      <c r="G860" s="649"/>
    </row>
    <row r="861" spans="2:9" ht="31.5" customHeight="1" thickBot="1">
      <c r="B861" s="260" t="s">
        <v>874</v>
      </c>
      <c r="C861" s="248"/>
      <c r="D861" s="650" t="str">
        <f>$H$1</f>
        <v>BOX</v>
      </c>
      <c r="E861" s="651"/>
      <c r="F861" s="651"/>
      <c r="G861" s="652"/>
    </row>
    <row r="862" spans="2:9" ht="31.5" customHeight="1" thickBot="1">
      <c r="B862" s="260" t="s">
        <v>875</v>
      </c>
      <c r="C862" s="248"/>
      <c r="D862" s="653" t="str">
        <f>'1PROJE'!$G$3</f>
        <v>Z 5001</v>
      </c>
      <c r="E862" s="654"/>
      <c r="F862" s="654"/>
      <c r="G862" s="655"/>
      <c r="I862" s="250"/>
    </row>
    <row r="863" spans="2:9" ht="31.5" customHeight="1" thickBot="1">
      <c r="B863" s="260" t="s">
        <v>876</v>
      </c>
      <c r="D863" s="653" cm="1">
        <f t="array" aca="1" ref="D863" ca="1">INDIRECT("xHesaplama!H"&amp;""&amp;ROW(D860)+70-7*ROUNDDOWN(ROW(D860)/8,0))</f>
        <v>0</v>
      </c>
      <c r="E863" s="654"/>
      <c r="F863" s="654"/>
      <c r="G863" s="655"/>
    </row>
    <row r="864" spans="2:9" ht="31.5" customHeight="1" thickBot="1">
      <c r="B864" s="260" t="s">
        <v>877</v>
      </c>
      <c r="D864" s="252" t="s">
        <v>878</v>
      </c>
      <c r="E864" s="253" t="e" cm="1">
        <f t="array" aca="1" ref="E864" ca="1">INDIRECT("xHesaplama!J"&amp;""&amp;ROW(D860)+70-7*ROUNDDOWN(ROW(D860)/8,0))</f>
        <v>#N/A</v>
      </c>
      <c r="F864" s="254" t="s">
        <v>879</v>
      </c>
      <c r="G864" s="253" t="e" cm="1">
        <f t="array" aca="1" ref="G864" ca="1">INDIRECT("xHesaplama!K"&amp;""&amp;ROW(D860)+70-7*ROUNDDOWN(ROW(D860)/8,0))</f>
        <v>#N/A</v>
      </c>
    </row>
    <row r="865" spans="2:9" ht="69" customHeight="1" thickBot="1">
      <c r="B865" s="259" t="s">
        <v>869</v>
      </c>
      <c r="C865" s="248"/>
      <c r="D865" s="656"/>
      <c r="E865" s="656"/>
      <c r="F865" s="656"/>
      <c r="G865" s="656"/>
    </row>
    <row r="866" spans="2:9" ht="31.5" customHeight="1" thickBot="1">
      <c r="B866" s="260" t="s">
        <v>872</v>
      </c>
      <c r="C866" s="248"/>
      <c r="D866" s="657" t="str">
        <f>'1PROJE'!$E$3</f>
        <v>GÜNEŞ PEN</v>
      </c>
      <c r="E866" s="658"/>
      <c r="F866" s="658"/>
      <c r="G866" s="659"/>
    </row>
    <row r="867" spans="2:9" ht="31.5" customHeight="1" thickBot="1">
      <c r="B867" s="260" t="s">
        <v>873</v>
      </c>
      <c r="C867" s="248"/>
      <c r="D867" s="644" t="str">
        <f>'1PROJE'!$F$3</f>
        <v>GÜRKAN BEY</v>
      </c>
      <c r="E867" s="645"/>
      <c r="F867" s="645"/>
      <c r="G867" s="646"/>
    </row>
    <row r="868" spans="2:9" ht="31.5" customHeight="1" thickBot="1">
      <c r="B868" s="260" t="s">
        <v>356</v>
      </c>
      <c r="C868" s="248"/>
      <c r="D868" s="647" t="e" cm="1">
        <f t="array" aca="1" ref="D868" ca="1">INDIRECT("xHesaplama!I"&amp;""&amp;ROW(D868)+70-7*ROUNDDOWN(ROW(D868)/8,0))</f>
        <v>#N/A</v>
      </c>
      <c r="E868" s="648"/>
      <c r="F868" s="648"/>
      <c r="G868" s="649"/>
    </row>
    <row r="869" spans="2:9" ht="31.5" customHeight="1" thickBot="1">
      <c r="B869" s="260" t="s">
        <v>874</v>
      </c>
      <c r="C869" s="248"/>
      <c r="D869" s="650" t="str">
        <f>$H$1</f>
        <v>BOX</v>
      </c>
      <c r="E869" s="651"/>
      <c r="F869" s="651"/>
      <c r="G869" s="652"/>
    </row>
    <row r="870" spans="2:9" ht="31.5" customHeight="1" thickBot="1">
      <c r="B870" s="260" t="s">
        <v>875</v>
      </c>
      <c r="C870" s="248"/>
      <c r="D870" s="653" t="str">
        <f>'1PROJE'!$G$3</f>
        <v>Z 5001</v>
      </c>
      <c r="E870" s="654"/>
      <c r="F870" s="654"/>
      <c r="G870" s="655"/>
      <c r="I870" s="250"/>
    </row>
    <row r="871" spans="2:9" ht="31.5" customHeight="1" thickBot="1">
      <c r="B871" s="260" t="s">
        <v>876</v>
      </c>
      <c r="D871" s="653" cm="1">
        <f t="array" aca="1" ref="D871" ca="1">INDIRECT("xHesaplama!H"&amp;""&amp;ROW(D868)+70-7*ROUNDDOWN(ROW(D868)/8,0))</f>
        <v>0</v>
      </c>
      <c r="E871" s="654"/>
      <c r="F871" s="654"/>
      <c r="G871" s="655"/>
    </row>
    <row r="872" spans="2:9" ht="31.5" customHeight="1" thickBot="1">
      <c r="B872" s="260" t="s">
        <v>877</v>
      </c>
      <c r="D872" s="252" t="s">
        <v>878</v>
      </c>
      <c r="E872" s="253" t="e" cm="1">
        <f t="array" aca="1" ref="E872" ca="1">INDIRECT("xHesaplama!J"&amp;""&amp;ROW(D868)+70-7*ROUNDDOWN(ROW(D868)/8,0))</f>
        <v>#N/A</v>
      </c>
      <c r="F872" s="254" t="s">
        <v>879</v>
      </c>
      <c r="G872" s="253" t="e" cm="1">
        <f t="array" aca="1" ref="G872" ca="1">INDIRECT("xHesaplama!K"&amp;""&amp;ROW(D868)+70-7*ROUNDDOWN(ROW(D868)/8,0))</f>
        <v>#N/A</v>
      </c>
    </row>
    <row r="873" spans="2:9" ht="69" customHeight="1" thickBot="1">
      <c r="B873" s="259" t="s">
        <v>869</v>
      </c>
      <c r="C873" s="248"/>
      <c r="D873" s="656"/>
      <c r="E873" s="656"/>
      <c r="F873" s="656"/>
      <c r="G873" s="656"/>
    </row>
    <row r="874" spans="2:9" ht="31.5" customHeight="1" thickBot="1">
      <c r="B874" s="260" t="s">
        <v>872</v>
      </c>
      <c r="C874" s="248"/>
      <c r="D874" s="657" t="str">
        <f>'1PROJE'!$E$3</f>
        <v>GÜNEŞ PEN</v>
      </c>
      <c r="E874" s="658"/>
      <c r="F874" s="658"/>
      <c r="G874" s="659"/>
    </row>
    <row r="875" spans="2:9" ht="31.5" customHeight="1" thickBot="1">
      <c r="B875" s="260" t="s">
        <v>873</v>
      </c>
      <c r="C875" s="248"/>
      <c r="D875" s="644" t="str">
        <f>'1PROJE'!$F$3</f>
        <v>GÜRKAN BEY</v>
      </c>
      <c r="E875" s="645"/>
      <c r="F875" s="645"/>
      <c r="G875" s="646"/>
    </row>
    <row r="876" spans="2:9" ht="31.5" customHeight="1" thickBot="1">
      <c r="B876" s="260" t="s">
        <v>356</v>
      </c>
      <c r="C876" s="248"/>
      <c r="D876" s="647" t="e" cm="1">
        <f t="array" aca="1" ref="D876" ca="1">INDIRECT("xHesaplama!I"&amp;""&amp;ROW(D876)+70-7*ROUNDDOWN(ROW(D876)/8,0))</f>
        <v>#N/A</v>
      </c>
      <c r="E876" s="648"/>
      <c r="F876" s="648"/>
      <c r="G876" s="649"/>
    </row>
    <row r="877" spans="2:9" ht="31.5" customHeight="1" thickBot="1">
      <c r="B877" s="260" t="s">
        <v>874</v>
      </c>
      <c r="C877" s="248"/>
      <c r="D877" s="650" t="str">
        <f>$H$1</f>
        <v>BOX</v>
      </c>
      <c r="E877" s="651"/>
      <c r="F877" s="651"/>
      <c r="G877" s="652"/>
    </row>
    <row r="878" spans="2:9" ht="31.5" customHeight="1" thickBot="1">
      <c r="B878" s="260" t="s">
        <v>875</v>
      </c>
      <c r="C878" s="248"/>
      <c r="D878" s="653" t="str">
        <f>'1PROJE'!$G$3</f>
        <v>Z 5001</v>
      </c>
      <c r="E878" s="654"/>
      <c r="F878" s="654"/>
      <c r="G878" s="655"/>
      <c r="I878" s="250"/>
    </row>
    <row r="879" spans="2:9" ht="31.5" customHeight="1" thickBot="1">
      <c r="B879" s="260" t="s">
        <v>876</v>
      </c>
      <c r="D879" s="653" cm="1">
        <f t="array" aca="1" ref="D879" ca="1">INDIRECT("xHesaplama!H"&amp;""&amp;ROW(D876)+70-7*ROUNDDOWN(ROW(D876)/8,0))</f>
        <v>0</v>
      </c>
      <c r="E879" s="654"/>
      <c r="F879" s="654"/>
      <c r="G879" s="655"/>
    </row>
    <row r="880" spans="2:9" ht="31.5" customHeight="1" thickBot="1">
      <c r="B880" s="260" t="s">
        <v>877</v>
      </c>
      <c r="D880" s="252" t="s">
        <v>878</v>
      </c>
      <c r="E880" s="253" t="e" cm="1">
        <f t="array" aca="1" ref="E880" ca="1">INDIRECT("xHesaplama!J"&amp;""&amp;ROW(D876)+70-7*ROUNDDOWN(ROW(D876)/8,0))</f>
        <v>#N/A</v>
      </c>
      <c r="F880" s="254" t="s">
        <v>879</v>
      </c>
      <c r="G880" s="253" t="e" cm="1">
        <f t="array" aca="1" ref="G880" ca="1">INDIRECT("xHesaplama!K"&amp;""&amp;ROW(D876)+70-7*ROUNDDOWN(ROW(D876)/8,0))</f>
        <v>#N/A</v>
      </c>
    </row>
    <row r="881" spans="2:9" ht="69" customHeight="1" thickBot="1">
      <c r="B881" s="259" t="s">
        <v>869</v>
      </c>
      <c r="C881" s="248"/>
      <c r="D881" s="656"/>
      <c r="E881" s="656"/>
      <c r="F881" s="656"/>
      <c r="G881" s="656"/>
    </row>
    <row r="882" spans="2:9" ht="31.5" customHeight="1" thickBot="1">
      <c r="B882" s="260" t="s">
        <v>872</v>
      </c>
      <c r="C882" s="248"/>
      <c r="D882" s="657" t="str">
        <f>'1PROJE'!$E$3</f>
        <v>GÜNEŞ PEN</v>
      </c>
      <c r="E882" s="658"/>
      <c r="F882" s="658"/>
      <c r="G882" s="659"/>
    </row>
    <row r="883" spans="2:9" ht="31.5" customHeight="1" thickBot="1">
      <c r="B883" s="260" t="s">
        <v>873</v>
      </c>
      <c r="C883" s="248"/>
      <c r="D883" s="644" t="str">
        <f>'1PROJE'!$F$3</f>
        <v>GÜRKAN BEY</v>
      </c>
      <c r="E883" s="645"/>
      <c r="F883" s="645"/>
      <c r="G883" s="646"/>
    </row>
    <row r="884" spans="2:9" ht="31.5" customHeight="1" thickBot="1">
      <c r="B884" s="260" t="s">
        <v>356</v>
      </c>
      <c r="C884" s="248"/>
      <c r="D884" s="647" t="e" cm="1">
        <f t="array" aca="1" ref="D884" ca="1">INDIRECT("xHesaplama!I"&amp;""&amp;ROW(D884)+70-7*ROUNDDOWN(ROW(D884)/8,0))</f>
        <v>#N/A</v>
      </c>
      <c r="E884" s="648"/>
      <c r="F884" s="648"/>
      <c r="G884" s="649"/>
    </row>
    <row r="885" spans="2:9" ht="31.5" customHeight="1" thickBot="1">
      <c r="B885" s="260" t="s">
        <v>874</v>
      </c>
      <c r="C885" s="248"/>
      <c r="D885" s="650" t="str">
        <f>$H$1</f>
        <v>BOX</v>
      </c>
      <c r="E885" s="651"/>
      <c r="F885" s="651"/>
      <c r="G885" s="652"/>
    </row>
    <row r="886" spans="2:9" ht="31.5" customHeight="1" thickBot="1">
      <c r="B886" s="260" t="s">
        <v>875</v>
      </c>
      <c r="C886" s="248"/>
      <c r="D886" s="653" t="str">
        <f>'1PROJE'!$G$3</f>
        <v>Z 5001</v>
      </c>
      <c r="E886" s="654"/>
      <c r="F886" s="654"/>
      <c r="G886" s="655"/>
      <c r="I886" s="250"/>
    </row>
    <row r="887" spans="2:9" ht="31.5" customHeight="1" thickBot="1">
      <c r="B887" s="260" t="s">
        <v>876</v>
      </c>
      <c r="D887" s="653" cm="1">
        <f t="array" aca="1" ref="D887" ca="1">INDIRECT("xHesaplama!H"&amp;""&amp;ROW(D884)+70-7*ROUNDDOWN(ROW(D884)/8,0))</f>
        <v>0</v>
      </c>
      <c r="E887" s="654"/>
      <c r="F887" s="654"/>
      <c r="G887" s="655"/>
    </row>
    <row r="888" spans="2:9" ht="31.5" customHeight="1" thickBot="1">
      <c r="B888" s="260" t="s">
        <v>877</v>
      </c>
      <c r="D888" s="252" t="s">
        <v>878</v>
      </c>
      <c r="E888" s="253" t="e" cm="1">
        <f t="array" aca="1" ref="E888" ca="1">INDIRECT("xHesaplama!J"&amp;""&amp;ROW(D884)+70-7*ROUNDDOWN(ROW(D884)/8,0))</f>
        <v>#N/A</v>
      </c>
      <c r="F888" s="254" t="s">
        <v>879</v>
      </c>
      <c r="G888" s="253" t="e" cm="1">
        <f t="array" aca="1" ref="G888" ca="1">INDIRECT("xHesaplama!K"&amp;""&amp;ROW(D884)+70-7*ROUNDDOWN(ROW(D884)/8,0))</f>
        <v>#N/A</v>
      </c>
    </row>
    <row r="889" spans="2:9" ht="69" customHeight="1" thickBot="1">
      <c r="B889" s="259" t="s">
        <v>869</v>
      </c>
      <c r="C889" s="248"/>
      <c r="D889" s="656"/>
      <c r="E889" s="656"/>
      <c r="F889" s="656"/>
      <c r="G889" s="656"/>
    </row>
    <row r="890" spans="2:9" ht="31.5" customHeight="1" thickBot="1">
      <c r="B890" s="260" t="s">
        <v>872</v>
      </c>
      <c r="C890" s="248"/>
      <c r="D890" s="657" t="str">
        <f>'1PROJE'!$E$3</f>
        <v>GÜNEŞ PEN</v>
      </c>
      <c r="E890" s="658"/>
      <c r="F890" s="658"/>
      <c r="G890" s="659"/>
    </row>
    <row r="891" spans="2:9" ht="31.5" customHeight="1" thickBot="1">
      <c r="B891" s="260" t="s">
        <v>873</v>
      </c>
      <c r="C891" s="248"/>
      <c r="D891" s="644" t="str">
        <f>'1PROJE'!$F$3</f>
        <v>GÜRKAN BEY</v>
      </c>
      <c r="E891" s="645"/>
      <c r="F891" s="645"/>
      <c r="G891" s="646"/>
    </row>
    <row r="892" spans="2:9" ht="31.5" customHeight="1" thickBot="1">
      <c r="B892" s="260" t="s">
        <v>356</v>
      </c>
      <c r="C892" s="248"/>
      <c r="D892" s="647" t="e" cm="1">
        <f t="array" aca="1" ref="D892" ca="1">INDIRECT("xHesaplama!I"&amp;""&amp;ROW(D892)+70-7*ROUNDDOWN(ROW(D892)/8,0))</f>
        <v>#N/A</v>
      </c>
      <c r="E892" s="648"/>
      <c r="F892" s="648"/>
      <c r="G892" s="649"/>
    </row>
    <row r="893" spans="2:9" ht="31.5" customHeight="1" thickBot="1">
      <c r="B893" s="260" t="s">
        <v>874</v>
      </c>
      <c r="C893" s="248"/>
      <c r="D893" s="650" t="str">
        <f>$H$1</f>
        <v>BOX</v>
      </c>
      <c r="E893" s="651"/>
      <c r="F893" s="651"/>
      <c r="G893" s="652"/>
    </row>
    <row r="894" spans="2:9" ht="31.5" customHeight="1" thickBot="1">
      <c r="B894" s="260" t="s">
        <v>875</v>
      </c>
      <c r="C894" s="248"/>
      <c r="D894" s="653" t="str">
        <f>'1PROJE'!$G$3</f>
        <v>Z 5001</v>
      </c>
      <c r="E894" s="654"/>
      <c r="F894" s="654"/>
      <c r="G894" s="655"/>
      <c r="I894" s="250"/>
    </row>
    <row r="895" spans="2:9" ht="31.5" customHeight="1" thickBot="1">
      <c r="B895" s="260" t="s">
        <v>876</v>
      </c>
      <c r="D895" s="653" cm="1">
        <f t="array" aca="1" ref="D895" ca="1">INDIRECT("xHesaplama!H"&amp;""&amp;ROW(D892)+70-7*ROUNDDOWN(ROW(D892)/8,0))</f>
        <v>0</v>
      </c>
      <c r="E895" s="654"/>
      <c r="F895" s="654"/>
      <c r="G895" s="655"/>
    </row>
    <row r="896" spans="2:9" ht="31.5" customHeight="1" thickBot="1">
      <c r="B896" s="260" t="s">
        <v>877</v>
      </c>
      <c r="D896" s="252" t="s">
        <v>878</v>
      </c>
      <c r="E896" s="253" t="e" cm="1">
        <f t="array" aca="1" ref="E896" ca="1">INDIRECT("xHesaplama!J"&amp;""&amp;ROW(D892)+70-7*ROUNDDOWN(ROW(D892)/8,0))</f>
        <v>#N/A</v>
      </c>
      <c r="F896" s="254" t="s">
        <v>879</v>
      </c>
      <c r="G896" s="253" t="e" cm="1">
        <f t="array" aca="1" ref="G896" ca="1">INDIRECT("xHesaplama!K"&amp;""&amp;ROW(D892)+70-7*ROUNDDOWN(ROW(D892)/8,0))</f>
        <v>#N/A</v>
      </c>
    </row>
    <row r="897" spans="2:9" ht="69" customHeight="1" thickBot="1">
      <c r="B897" s="259" t="s">
        <v>869</v>
      </c>
      <c r="C897" s="248"/>
      <c r="D897" s="656"/>
      <c r="E897" s="656"/>
      <c r="F897" s="656"/>
      <c r="G897" s="656"/>
    </row>
    <row r="898" spans="2:9" ht="31.5" customHeight="1" thickBot="1">
      <c r="B898" s="260" t="s">
        <v>872</v>
      </c>
      <c r="C898" s="248"/>
      <c r="D898" s="657" t="str">
        <f>'1PROJE'!$E$3</f>
        <v>GÜNEŞ PEN</v>
      </c>
      <c r="E898" s="658"/>
      <c r="F898" s="658"/>
      <c r="G898" s="659"/>
    </row>
    <row r="899" spans="2:9" ht="31.5" customHeight="1" thickBot="1">
      <c r="B899" s="260" t="s">
        <v>873</v>
      </c>
      <c r="C899" s="248"/>
      <c r="D899" s="644" t="str">
        <f>'1PROJE'!$F$3</f>
        <v>GÜRKAN BEY</v>
      </c>
      <c r="E899" s="645"/>
      <c r="F899" s="645"/>
      <c r="G899" s="646"/>
    </row>
    <row r="900" spans="2:9" ht="31.5" customHeight="1" thickBot="1">
      <c r="B900" s="260" t="s">
        <v>356</v>
      </c>
      <c r="C900" s="248"/>
      <c r="D900" s="647" t="e" cm="1">
        <f t="array" aca="1" ref="D900" ca="1">INDIRECT("xHesaplama!I"&amp;""&amp;ROW(D900)+70-7*ROUNDDOWN(ROW(D900)/8,0))</f>
        <v>#N/A</v>
      </c>
      <c r="E900" s="648"/>
      <c r="F900" s="648"/>
      <c r="G900" s="649"/>
    </row>
    <row r="901" spans="2:9" ht="31.5" customHeight="1" thickBot="1">
      <c r="B901" s="260" t="s">
        <v>874</v>
      </c>
      <c r="C901" s="248"/>
      <c r="D901" s="650" t="str">
        <f>$H$1</f>
        <v>BOX</v>
      </c>
      <c r="E901" s="651"/>
      <c r="F901" s="651"/>
      <c r="G901" s="652"/>
    </row>
    <row r="902" spans="2:9" ht="31.5" customHeight="1" thickBot="1">
      <c r="B902" s="260" t="s">
        <v>875</v>
      </c>
      <c r="C902" s="248"/>
      <c r="D902" s="653" t="str">
        <f>'1PROJE'!$G$3</f>
        <v>Z 5001</v>
      </c>
      <c r="E902" s="654"/>
      <c r="F902" s="654"/>
      <c r="G902" s="655"/>
      <c r="I902" s="250"/>
    </row>
    <row r="903" spans="2:9" ht="31.5" customHeight="1" thickBot="1">
      <c r="B903" s="260" t="s">
        <v>876</v>
      </c>
      <c r="D903" s="653" cm="1">
        <f t="array" aca="1" ref="D903" ca="1">INDIRECT("xHesaplama!H"&amp;""&amp;ROW(D900)+70-7*ROUNDDOWN(ROW(D900)/8,0))</f>
        <v>0</v>
      </c>
      <c r="E903" s="654"/>
      <c r="F903" s="654"/>
      <c r="G903" s="655"/>
    </row>
    <row r="904" spans="2:9" ht="31.5" customHeight="1" thickBot="1">
      <c r="B904" s="260" t="s">
        <v>877</v>
      </c>
      <c r="D904" s="252" t="s">
        <v>878</v>
      </c>
      <c r="E904" s="253" t="e" cm="1">
        <f t="array" aca="1" ref="E904" ca="1">INDIRECT("xHesaplama!J"&amp;""&amp;ROW(D900)+70-7*ROUNDDOWN(ROW(D900)/8,0))</f>
        <v>#N/A</v>
      </c>
      <c r="F904" s="254" t="s">
        <v>879</v>
      </c>
      <c r="G904" s="253" t="e" cm="1">
        <f t="array" aca="1" ref="G904" ca="1">INDIRECT("xHesaplama!K"&amp;""&amp;ROW(D900)+70-7*ROUNDDOWN(ROW(D900)/8,0))</f>
        <v>#N/A</v>
      </c>
    </row>
    <row r="905" spans="2:9" ht="69" customHeight="1" thickBot="1">
      <c r="B905" s="259" t="s">
        <v>869</v>
      </c>
      <c r="C905" s="248"/>
      <c r="D905" s="656"/>
      <c r="E905" s="656"/>
      <c r="F905" s="656"/>
      <c r="G905" s="656"/>
    </row>
    <row r="906" spans="2:9" ht="31.5" customHeight="1" thickBot="1">
      <c r="B906" s="260" t="s">
        <v>872</v>
      </c>
      <c r="C906" s="248"/>
      <c r="D906" s="657" t="str">
        <f>'1PROJE'!$E$3</f>
        <v>GÜNEŞ PEN</v>
      </c>
      <c r="E906" s="658"/>
      <c r="F906" s="658"/>
      <c r="G906" s="659"/>
    </row>
    <row r="907" spans="2:9" ht="31.5" customHeight="1" thickBot="1">
      <c r="B907" s="260" t="s">
        <v>873</v>
      </c>
      <c r="C907" s="248"/>
      <c r="D907" s="644" t="str">
        <f>'1PROJE'!$F$3</f>
        <v>GÜRKAN BEY</v>
      </c>
      <c r="E907" s="645"/>
      <c r="F907" s="645"/>
      <c r="G907" s="646"/>
    </row>
    <row r="908" spans="2:9" ht="31.5" customHeight="1" thickBot="1">
      <c r="B908" s="260" t="s">
        <v>356</v>
      </c>
      <c r="C908" s="248"/>
      <c r="D908" s="647" t="e" cm="1">
        <f t="array" aca="1" ref="D908" ca="1">INDIRECT("xHesaplama!I"&amp;""&amp;ROW(D908)+70-7*ROUNDDOWN(ROW(D908)/8,0))</f>
        <v>#N/A</v>
      </c>
      <c r="E908" s="648"/>
      <c r="F908" s="648"/>
      <c r="G908" s="649"/>
    </row>
    <row r="909" spans="2:9" ht="31.5" customHeight="1" thickBot="1">
      <c r="B909" s="260" t="s">
        <v>874</v>
      </c>
      <c r="C909" s="248"/>
      <c r="D909" s="650" t="str">
        <f>$H$1</f>
        <v>BOX</v>
      </c>
      <c r="E909" s="651"/>
      <c r="F909" s="651"/>
      <c r="G909" s="652"/>
    </row>
    <row r="910" spans="2:9" ht="31.5" customHeight="1" thickBot="1">
      <c r="B910" s="260" t="s">
        <v>875</v>
      </c>
      <c r="C910" s="248"/>
      <c r="D910" s="653" t="str">
        <f>'1PROJE'!$G$3</f>
        <v>Z 5001</v>
      </c>
      <c r="E910" s="654"/>
      <c r="F910" s="654"/>
      <c r="G910" s="655"/>
      <c r="I910" s="250"/>
    </row>
    <row r="911" spans="2:9" ht="31.5" customHeight="1" thickBot="1">
      <c r="B911" s="260" t="s">
        <v>876</v>
      </c>
      <c r="D911" s="653" cm="1">
        <f t="array" aca="1" ref="D911" ca="1">INDIRECT("xHesaplama!H"&amp;""&amp;ROW(D908)+70-7*ROUNDDOWN(ROW(D908)/8,0))</f>
        <v>0</v>
      </c>
      <c r="E911" s="654"/>
      <c r="F911" s="654"/>
      <c r="G911" s="655"/>
    </row>
    <row r="912" spans="2:9" ht="31.5" customHeight="1" thickBot="1">
      <c r="B912" s="260" t="s">
        <v>877</v>
      </c>
      <c r="D912" s="252" t="s">
        <v>878</v>
      </c>
      <c r="E912" s="253" t="e" cm="1">
        <f t="array" aca="1" ref="E912" ca="1">INDIRECT("xHesaplama!J"&amp;""&amp;ROW(D908)+70-7*ROUNDDOWN(ROW(D908)/8,0))</f>
        <v>#N/A</v>
      </c>
      <c r="F912" s="254" t="s">
        <v>879</v>
      </c>
      <c r="G912" s="253" t="e" cm="1">
        <f t="array" aca="1" ref="G912" ca="1">INDIRECT("xHesaplama!K"&amp;""&amp;ROW(D908)+70-7*ROUNDDOWN(ROW(D908)/8,0))</f>
        <v>#N/A</v>
      </c>
    </row>
    <row r="913" spans="2:9" ht="69" customHeight="1" thickBot="1">
      <c r="B913" s="259" t="s">
        <v>869</v>
      </c>
      <c r="C913" s="248"/>
      <c r="D913" s="656"/>
      <c r="E913" s="656"/>
      <c r="F913" s="656"/>
      <c r="G913" s="656"/>
    </row>
    <row r="914" spans="2:9" ht="31.5" customHeight="1" thickBot="1">
      <c r="B914" s="260" t="s">
        <v>872</v>
      </c>
      <c r="C914" s="248"/>
      <c r="D914" s="657" t="str">
        <f>'1PROJE'!$E$3</f>
        <v>GÜNEŞ PEN</v>
      </c>
      <c r="E914" s="658"/>
      <c r="F914" s="658"/>
      <c r="G914" s="659"/>
    </row>
    <row r="915" spans="2:9" ht="31.5" customHeight="1" thickBot="1">
      <c r="B915" s="260" t="s">
        <v>873</v>
      </c>
      <c r="C915" s="248"/>
      <c r="D915" s="644" t="str">
        <f>'1PROJE'!$F$3</f>
        <v>GÜRKAN BEY</v>
      </c>
      <c r="E915" s="645"/>
      <c r="F915" s="645"/>
      <c r="G915" s="646"/>
    </row>
    <row r="916" spans="2:9" ht="31.5" customHeight="1" thickBot="1">
      <c r="B916" s="260" t="s">
        <v>356</v>
      </c>
      <c r="C916" s="248"/>
      <c r="D916" s="647" t="e" cm="1">
        <f t="array" aca="1" ref="D916" ca="1">INDIRECT("xHesaplama!I"&amp;""&amp;ROW(D916)+70-7*ROUNDDOWN(ROW(D916)/8,0))</f>
        <v>#N/A</v>
      </c>
      <c r="E916" s="648"/>
      <c r="F916" s="648"/>
      <c r="G916" s="649"/>
    </row>
    <row r="917" spans="2:9" ht="31.5" customHeight="1" thickBot="1">
      <c r="B917" s="260" t="s">
        <v>874</v>
      </c>
      <c r="C917" s="248"/>
      <c r="D917" s="650" t="str">
        <f>$H$1</f>
        <v>BOX</v>
      </c>
      <c r="E917" s="651"/>
      <c r="F917" s="651"/>
      <c r="G917" s="652"/>
    </row>
    <row r="918" spans="2:9" ht="31.5" customHeight="1" thickBot="1">
      <c r="B918" s="260" t="s">
        <v>875</v>
      </c>
      <c r="C918" s="248"/>
      <c r="D918" s="653" t="str">
        <f>'1PROJE'!$G$3</f>
        <v>Z 5001</v>
      </c>
      <c r="E918" s="654"/>
      <c r="F918" s="654"/>
      <c r="G918" s="655"/>
      <c r="I918" s="250"/>
    </row>
    <row r="919" spans="2:9" ht="31.5" customHeight="1" thickBot="1">
      <c r="B919" s="260" t="s">
        <v>876</v>
      </c>
      <c r="D919" s="653" cm="1">
        <f t="array" aca="1" ref="D919" ca="1">INDIRECT("xHesaplama!H"&amp;""&amp;ROW(D916)+70-7*ROUNDDOWN(ROW(D916)/8,0))</f>
        <v>0</v>
      </c>
      <c r="E919" s="654"/>
      <c r="F919" s="654"/>
      <c r="G919" s="655"/>
    </row>
    <row r="920" spans="2:9" ht="31.5" customHeight="1" thickBot="1">
      <c r="B920" s="260" t="s">
        <v>877</v>
      </c>
      <c r="D920" s="252" t="s">
        <v>878</v>
      </c>
      <c r="E920" s="253" t="e" cm="1">
        <f t="array" aca="1" ref="E920" ca="1">INDIRECT("xHesaplama!J"&amp;""&amp;ROW(D916)+70-7*ROUNDDOWN(ROW(D916)/8,0))</f>
        <v>#N/A</v>
      </c>
      <c r="F920" s="254" t="s">
        <v>879</v>
      </c>
      <c r="G920" s="253" t="e" cm="1">
        <f t="array" aca="1" ref="G920" ca="1">INDIRECT("xHesaplama!K"&amp;""&amp;ROW(D916)+70-7*ROUNDDOWN(ROW(D916)/8,0))</f>
        <v>#N/A</v>
      </c>
    </row>
    <row r="921" spans="2:9" ht="69" customHeight="1" thickBot="1">
      <c r="B921" s="259" t="s">
        <v>869</v>
      </c>
      <c r="C921" s="248"/>
      <c r="D921" s="656"/>
      <c r="E921" s="656"/>
      <c r="F921" s="656"/>
      <c r="G921" s="656"/>
    </row>
    <row r="922" spans="2:9" ht="31.5" customHeight="1" thickBot="1">
      <c r="B922" s="260" t="s">
        <v>872</v>
      </c>
      <c r="C922" s="248"/>
      <c r="D922" s="657" t="str">
        <f>'1PROJE'!$E$3</f>
        <v>GÜNEŞ PEN</v>
      </c>
      <c r="E922" s="658"/>
      <c r="F922" s="658"/>
      <c r="G922" s="659"/>
    </row>
    <row r="923" spans="2:9" ht="31.5" customHeight="1" thickBot="1">
      <c r="B923" s="260" t="s">
        <v>873</v>
      </c>
      <c r="C923" s="248"/>
      <c r="D923" s="644" t="str">
        <f>'1PROJE'!$F$3</f>
        <v>GÜRKAN BEY</v>
      </c>
      <c r="E923" s="645"/>
      <c r="F923" s="645"/>
      <c r="G923" s="646"/>
    </row>
    <row r="924" spans="2:9" ht="31.5" customHeight="1" thickBot="1">
      <c r="B924" s="260" t="s">
        <v>356</v>
      </c>
      <c r="C924" s="248"/>
      <c r="D924" s="647" t="e" cm="1">
        <f t="array" aca="1" ref="D924" ca="1">INDIRECT("xHesaplama!I"&amp;""&amp;ROW(D924)+70-7*ROUNDDOWN(ROW(D924)/8,0))</f>
        <v>#N/A</v>
      </c>
      <c r="E924" s="648"/>
      <c r="F924" s="648"/>
      <c r="G924" s="649"/>
    </row>
    <row r="925" spans="2:9" ht="31.5" customHeight="1" thickBot="1">
      <c r="B925" s="260" t="s">
        <v>874</v>
      </c>
      <c r="C925" s="248"/>
      <c r="D925" s="650" t="str">
        <f>$H$1</f>
        <v>BOX</v>
      </c>
      <c r="E925" s="651"/>
      <c r="F925" s="651"/>
      <c r="G925" s="652"/>
    </row>
    <row r="926" spans="2:9" ht="31.5" customHeight="1" thickBot="1">
      <c r="B926" s="260" t="s">
        <v>875</v>
      </c>
      <c r="C926" s="248"/>
      <c r="D926" s="653" t="str">
        <f>'1PROJE'!$G$3</f>
        <v>Z 5001</v>
      </c>
      <c r="E926" s="654"/>
      <c r="F926" s="654"/>
      <c r="G926" s="655"/>
      <c r="I926" s="250"/>
    </row>
    <row r="927" spans="2:9" ht="31.5" customHeight="1" thickBot="1">
      <c r="B927" s="260" t="s">
        <v>876</v>
      </c>
      <c r="D927" s="653" cm="1">
        <f t="array" aca="1" ref="D927" ca="1">INDIRECT("xHesaplama!H"&amp;""&amp;ROW(D924)+70-7*ROUNDDOWN(ROW(D924)/8,0))</f>
        <v>0</v>
      </c>
      <c r="E927" s="654"/>
      <c r="F927" s="654"/>
      <c r="G927" s="655"/>
    </row>
    <row r="928" spans="2:9" ht="31.5" customHeight="1" thickBot="1">
      <c r="B928" s="260" t="s">
        <v>877</v>
      </c>
      <c r="D928" s="252" t="s">
        <v>878</v>
      </c>
      <c r="E928" s="253" t="e" cm="1">
        <f t="array" aca="1" ref="E928" ca="1">INDIRECT("xHesaplama!J"&amp;""&amp;ROW(D924)+70-7*ROUNDDOWN(ROW(D924)/8,0))</f>
        <v>#N/A</v>
      </c>
      <c r="F928" s="254" t="s">
        <v>879</v>
      </c>
      <c r="G928" s="253" t="e" cm="1">
        <f t="array" aca="1" ref="G928" ca="1">INDIRECT("xHesaplama!K"&amp;""&amp;ROW(D924)+70-7*ROUNDDOWN(ROW(D924)/8,0))</f>
        <v>#N/A</v>
      </c>
    </row>
    <row r="929" spans="2:9" ht="69" customHeight="1" thickBot="1">
      <c r="B929" s="259" t="s">
        <v>869</v>
      </c>
      <c r="C929" s="248"/>
      <c r="D929" s="656"/>
      <c r="E929" s="656"/>
      <c r="F929" s="656"/>
      <c r="G929" s="656"/>
    </row>
    <row r="930" spans="2:9" ht="31.5" customHeight="1" thickBot="1">
      <c r="B930" s="260" t="s">
        <v>872</v>
      </c>
      <c r="C930" s="248"/>
      <c r="D930" s="657" t="str">
        <f>'1PROJE'!$E$3</f>
        <v>GÜNEŞ PEN</v>
      </c>
      <c r="E930" s="658"/>
      <c r="F930" s="658"/>
      <c r="G930" s="659"/>
    </row>
    <row r="931" spans="2:9" ht="31.5" customHeight="1" thickBot="1">
      <c r="B931" s="260" t="s">
        <v>873</v>
      </c>
      <c r="C931" s="248"/>
      <c r="D931" s="644" t="str">
        <f>'1PROJE'!$F$3</f>
        <v>GÜRKAN BEY</v>
      </c>
      <c r="E931" s="645"/>
      <c r="F931" s="645"/>
      <c r="G931" s="646"/>
    </row>
    <row r="932" spans="2:9" ht="31.5" customHeight="1" thickBot="1">
      <c r="B932" s="260" t="s">
        <v>356</v>
      </c>
      <c r="C932" s="248"/>
      <c r="D932" s="647" t="e" cm="1">
        <f t="array" aca="1" ref="D932" ca="1">INDIRECT("xHesaplama!I"&amp;""&amp;ROW(D932)+70-7*ROUNDDOWN(ROW(D932)/8,0))</f>
        <v>#N/A</v>
      </c>
      <c r="E932" s="648"/>
      <c r="F932" s="648"/>
      <c r="G932" s="649"/>
    </row>
    <row r="933" spans="2:9" ht="31.5" customHeight="1" thickBot="1">
      <c r="B933" s="260" t="s">
        <v>874</v>
      </c>
      <c r="C933" s="248"/>
      <c r="D933" s="650" t="str">
        <f>$H$1</f>
        <v>BOX</v>
      </c>
      <c r="E933" s="651"/>
      <c r="F933" s="651"/>
      <c r="G933" s="652"/>
    </row>
    <row r="934" spans="2:9" ht="31.5" customHeight="1" thickBot="1">
      <c r="B934" s="260" t="s">
        <v>875</v>
      </c>
      <c r="C934" s="248"/>
      <c r="D934" s="653" t="str">
        <f>'1PROJE'!$G$3</f>
        <v>Z 5001</v>
      </c>
      <c r="E934" s="654"/>
      <c r="F934" s="654"/>
      <c r="G934" s="655"/>
      <c r="I934" s="250"/>
    </row>
    <row r="935" spans="2:9" ht="31.5" customHeight="1" thickBot="1">
      <c r="B935" s="260" t="s">
        <v>876</v>
      </c>
      <c r="D935" s="653" cm="1">
        <f t="array" aca="1" ref="D935" ca="1">INDIRECT("xHesaplama!H"&amp;""&amp;ROW(D932)+70-7*ROUNDDOWN(ROW(D932)/8,0))</f>
        <v>0</v>
      </c>
      <c r="E935" s="654"/>
      <c r="F935" s="654"/>
      <c r="G935" s="655"/>
    </row>
    <row r="936" spans="2:9" ht="31.5" customHeight="1" thickBot="1">
      <c r="B936" s="260" t="s">
        <v>877</v>
      </c>
      <c r="D936" s="252" t="s">
        <v>878</v>
      </c>
      <c r="E936" s="253" t="e" cm="1">
        <f t="array" aca="1" ref="E936" ca="1">INDIRECT("xHesaplama!J"&amp;""&amp;ROW(D932)+70-7*ROUNDDOWN(ROW(D932)/8,0))</f>
        <v>#N/A</v>
      </c>
      <c r="F936" s="254" t="s">
        <v>879</v>
      </c>
      <c r="G936" s="253" t="e" cm="1">
        <f t="array" aca="1" ref="G936" ca="1">INDIRECT("xHesaplama!K"&amp;""&amp;ROW(D932)+70-7*ROUNDDOWN(ROW(D932)/8,0))</f>
        <v>#N/A</v>
      </c>
    </row>
    <row r="937" spans="2:9" ht="69" customHeight="1" thickBot="1">
      <c r="B937" s="259" t="s">
        <v>869</v>
      </c>
      <c r="C937" s="248"/>
      <c r="D937" s="656"/>
      <c r="E937" s="656"/>
      <c r="F937" s="656"/>
      <c r="G937" s="656"/>
    </row>
    <row r="938" spans="2:9" ht="31.5" customHeight="1" thickBot="1">
      <c r="B938" s="260" t="s">
        <v>872</v>
      </c>
      <c r="C938" s="248"/>
      <c r="D938" s="657" t="str">
        <f>'1PROJE'!$E$3</f>
        <v>GÜNEŞ PEN</v>
      </c>
      <c r="E938" s="658"/>
      <c r="F938" s="658"/>
      <c r="G938" s="659"/>
    </row>
    <row r="939" spans="2:9" ht="31.5" customHeight="1" thickBot="1">
      <c r="B939" s="260" t="s">
        <v>873</v>
      </c>
      <c r="C939" s="248"/>
      <c r="D939" s="644" t="str">
        <f>'1PROJE'!$F$3</f>
        <v>GÜRKAN BEY</v>
      </c>
      <c r="E939" s="645"/>
      <c r="F939" s="645"/>
      <c r="G939" s="646"/>
    </row>
    <row r="940" spans="2:9" ht="31.5" customHeight="1" thickBot="1">
      <c r="B940" s="260" t="s">
        <v>356</v>
      </c>
      <c r="C940" s="248"/>
      <c r="D940" s="647" t="e" cm="1">
        <f t="array" aca="1" ref="D940" ca="1">INDIRECT("xHesaplama!I"&amp;""&amp;ROW(D940)+70-7*ROUNDDOWN(ROW(D940)/8,0))</f>
        <v>#N/A</v>
      </c>
      <c r="E940" s="648"/>
      <c r="F940" s="648"/>
      <c r="G940" s="649"/>
    </row>
    <row r="941" spans="2:9" ht="31.5" customHeight="1" thickBot="1">
      <c r="B941" s="260" t="s">
        <v>874</v>
      </c>
      <c r="C941" s="248"/>
      <c r="D941" s="650" t="str">
        <f>$H$1</f>
        <v>BOX</v>
      </c>
      <c r="E941" s="651"/>
      <c r="F941" s="651"/>
      <c r="G941" s="652"/>
    </row>
    <row r="942" spans="2:9" ht="31.5" customHeight="1" thickBot="1">
      <c r="B942" s="260" t="s">
        <v>875</v>
      </c>
      <c r="C942" s="248"/>
      <c r="D942" s="653" t="str">
        <f>'1PROJE'!$G$3</f>
        <v>Z 5001</v>
      </c>
      <c r="E942" s="654"/>
      <c r="F942" s="654"/>
      <c r="G942" s="655"/>
      <c r="I942" s="250"/>
    </row>
    <row r="943" spans="2:9" ht="31.5" customHeight="1" thickBot="1">
      <c r="B943" s="260" t="s">
        <v>876</v>
      </c>
      <c r="D943" s="653" cm="1">
        <f t="array" aca="1" ref="D943" ca="1">INDIRECT("xHesaplama!H"&amp;""&amp;ROW(D940)+70-7*ROUNDDOWN(ROW(D940)/8,0))</f>
        <v>0</v>
      </c>
      <c r="E943" s="654"/>
      <c r="F943" s="654"/>
      <c r="G943" s="655"/>
    </row>
    <row r="944" spans="2:9" ht="31.5" customHeight="1" thickBot="1">
      <c r="B944" s="260" t="s">
        <v>877</v>
      </c>
      <c r="D944" s="252" t="s">
        <v>878</v>
      </c>
      <c r="E944" s="253" t="e" cm="1">
        <f t="array" aca="1" ref="E944" ca="1">INDIRECT("xHesaplama!J"&amp;""&amp;ROW(D940)+70-7*ROUNDDOWN(ROW(D940)/8,0))</f>
        <v>#N/A</v>
      </c>
      <c r="F944" s="254" t="s">
        <v>879</v>
      </c>
      <c r="G944" s="253" t="e" cm="1">
        <f t="array" aca="1" ref="G944" ca="1">INDIRECT("xHesaplama!K"&amp;""&amp;ROW(D940)+70-7*ROUNDDOWN(ROW(D940)/8,0))</f>
        <v>#N/A</v>
      </c>
    </row>
    <row r="945" spans="2:9" ht="69" customHeight="1" thickBot="1">
      <c r="B945" s="259" t="s">
        <v>869</v>
      </c>
      <c r="C945" s="248"/>
      <c r="D945" s="656"/>
      <c r="E945" s="656"/>
      <c r="F945" s="656"/>
      <c r="G945" s="656"/>
    </row>
    <row r="946" spans="2:9" ht="31.5" customHeight="1" thickBot="1">
      <c r="B946" s="260" t="s">
        <v>872</v>
      </c>
      <c r="C946" s="248"/>
      <c r="D946" s="657" t="str">
        <f>'1PROJE'!$E$3</f>
        <v>GÜNEŞ PEN</v>
      </c>
      <c r="E946" s="658"/>
      <c r="F946" s="658"/>
      <c r="G946" s="659"/>
    </row>
    <row r="947" spans="2:9" ht="31.5" customHeight="1" thickBot="1">
      <c r="B947" s="260" t="s">
        <v>873</v>
      </c>
      <c r="C947" s="248"/>
      <c r="D947" s="644" t="str">
        <f>'1PROJE'!$F$3</f>
        <v>GÜRKAN BEY</v>
      </c>
      <c r="E947" s="645"/>
      <c r="F947" s="645"/>
      <c r="G947" s="646"/>
    </row>
    <row r="948" spans="2:9" ht="31.5" customHeight="1" thickBot="1">
      <c r="B948" s="260" t="s">
        <v>356</v>
      </c>
      <c r="C948" s="248"/>
      <c r="D948" s="647" t="e" cm="1">
        <f t="array" aca="1" ref="D948" ca="1">INDIRECT("xHesaplama!I"&amp;""&amp;ROW(D948)+70-7*ROUNDDOWN(ROW(D948)/8,0))</f>
        <v>#N/A</v>
      </c>
      <c r="E948" s="648"/>
      <c r="F948" s="648"/>
      <c r="G948" s="649"/>
    </row>
    <row r="949" spans="2:9" ht="31.5" customHeight="1" thickBot="1">
      <c r="B949" s="260" t="s">
        <v>874</v>
      </c>
      <c r="C949" s="248"/>
      <c r="D949" s="650" t="str">
        <f>$H$1</f>
        <v>BOX</v>
      </c>
      <c r="E949" s="651"/>
      <c r="F949" s="651"/>
      <c r="G949" s="652"/>
    </row>
    <row r="950" spans="2:9" ht="31.5" customHeight="1" thickBot="1">
      <c r="B950" s="260" t="s">
        <v>875</v>
      </c>
      <c r="C950" s="248"/>
      <c r="D950" s="653" t="str">
        <f>'1PROJE'!$G$3</f>
        <v>Z 5001</v>
      </c>
      <c r="E950" s="654"/>
      <c r="F950" s="654"/>
      <c r="G950" s="655"/>
      <c r="I950" s="250"/>
    </row>
    <row r="951" spans="2:9" ht="31.5" customHeight="1" thickBot="1">
      <c r="B951" s="260" t="s">
        <v>876</v>
      </c>
      <c r="D951" s="653" cm="1">
        <f t="array" aca="1" ref="D951" ca="1">INDIRECT("xHesaplama!H"&amp;""&amp;ROW(D948)+70-7*ROUNDDOWN(ROW(D948)/8,0))</f>
        <v>0</v>
      </c>
      <c r="E951" s="654"/>
      <c r="F951" s="654"/>
      <c r="G951" s="655"/>
    </row>
    <row r="952" spans="2:9" ht="31.5" customHeight="1" thickBot="1">
      <c r="B952" s="260" t="s">
        <v>877</v>
      </c>
      <c r="D952" s="252" t="s">
        <v>878</v>
      </c>
      <c r="E952" s="253" t="e" cm="1">
        <f t="array" aca="1" ref="E952" ca="1">INDIRECT("xHesaplama!J"&amp;""&amp;ROW(D948)+70-7*ROUNDDOWN(ROW(D948)/8,0))</f>
        <v>#N/A</v>
      </c>
      <c r="F952" s="254" t="s">
        <v>879</v>
      </c>
      <c r="G952" s="253" t="e" cm="1">
        <f t="array" aca="1" ref="G952" ca="1">INDIRECT("xHesaplama!K"&amp;""&amp;ROW(D948)+70-7*ROUNDDOWN(ROW(D948)/8,0))</f>
        <v>#N/A</v>
      </c>
    </row>
    <row r="953" spans="2:9" ht="69" customHeight="1" thickBot="1">
      <c r="B953" s="259" t="s">
        <v>869</v>
      </c>
      <c r="C953" s="248"/>
      <c r="D953" s="656"/>
      <c r="E953" s="656"/>
      <c r="F953" s="656"/>
      <c r="G953" s="656"/>
    </row>
    <row r="954" spans="2:9" ht="31.5" customHeight="1" thickBot="1">
      <c r="B954" s="260" t="s">
        <v>872</v>
      </c>
      <c r="C954" s="248"/>
      <c r="D954" s="657" t="str">
        <f>'1PROJE'!$E$3</f>
        <v>GÜNEŞ PEN</v>
      </c>
      <c r="E954" s="658"/>
      <c r="F954" s="658"/>
      <c r="G954" s="659"/>
    </row>
    <row r="955" spans="2:9" ht="31.5" customHeight="1" thickBot="1">
      <c r="B955" s="260" t="s">
        <v>873</v>
      </c>
      <c r="C955" s="248"/>
      <c r="D955" s="644" t="str">
        <f>'1PROJE'!$F$3</f>
        <v>GÜRKAN BEY</v>
      </c>
      <c r="E955" s="645"/>
      <c r="F955" s="645"/>
      <c r="G955" s="646"/>
    </row>
    <row r="956" spans="2:9" ht="31.5" customHeight="1" thickBot="1">
      <c r="B956" s="260" t="s">
        <v>356</v>
      </c>
      <c r="C956" s="248"/>
      <c r="D956" s="647" t="e" cm="1">
        <f t="array" aca="1" ref="D956" ca="1">INDIRECT("xHesaplama!I"&amp;""&amp;ROW(D956)+70-7*ROUNDDOWN(ROW(D956)/8,0))</f>
        <v>#N/A</v>
      </c>
      <c r="E956" s="648"/>
      <c r="F956" s="648"/>
      <c r="G956" s="649"/>
    </row>
    <row r="957" spans="2:9" ht="31.5" customHeight="1" thickBot="1">
      <c r="B957" s="260" t="s">
        <v>874</v>
      </c>
      <c r="C957" s="248"/>
      <c r="D957" s="650" t="str">
        <f>$H$1</f>
        <v>BOX</v>
      </c>
      <c r="E957" s="651"/>
      <c r="F957" s="651"/>
      <c r="G957" s="652"/>
    </row>
    <row r="958" spans="2:9" ht="31.5" customHeight="1" thickBot="1">
      <c r="B958" s="260" t="s">
        <v>875</v>
      </c>
      <c r="C958" s="248"/>
      <c r="D958" s="653" t="str">
        <f>'1PROJE'!$G$3</f>
        <v>Z 5001</v>
      </c>
      <c r="E958" s="654"/>
      <c r="F958" s="654"/>
      <c r="G958" s="655"/>
      <c r="I958" s="250"/>
    </row>
    <row r="959" spans="2:9" ht="31.5" customHeight="1" thickBot="1">
      <c r="B959" s="260" t="s">
        <v>876</v>
      </c>
      <c r="D959" s="653" cm="1">
        <f t="array" aca="1" ref="D959" ca="1">INDIRECT("xHesaplama!H"&amp;""&amp;ROW(D956)+70-7*ROUNDDOWN(ROW(D956)/8,0))</f>
        <v>0</v>
      </c>
      <c r="E959" s="654"/>
      <c r="F959" s="654"/>
      <c r="G959" s="655"/>
    </row>
    <row r="960" spans="2:9" ht="31.5" customHeight="1" thickBot="1">
      <c r="B960" s="260" t="s">
        <v>877</v>
      </c>
      <c r="D960" s="252" t="s">
        <v>878</v>
      </c>
      <c r="E960" s="253" t="e" cm="1">
        <f t="array" aca="1" ref="E960" ca="1">INDIRECT("xHesaplama!J"&amp;""&amp;ROW(D956)+70-7*ROUNDDOWN(ROW(D956)/8,0))</f>
        <v>#N/A</v>
      </c>
      <c r="F960" s="254" t="s">
        <v>879</v>
      </c>
      <c r="G960" s="253" t="e" cm="1">
        <f t="array" aca="1" ref="G960" ca="1">INDIRECT("xHesaplama!K"&amp;""&amp;ROW(D956)+70-7*ROUNDDOWN(ROW(D956)/8,0))</f>
        <v>#N/A</v>
      </c>
    </row>
    <row r="961" spans="2:9" ht="69" customHeight="1" thickBot="1">
      <c r="B961" s="259" t="s">
        <v>869</v>
      </c>
      <c r="C961" s="248"/>
      <c r="D961" s="656"/>
      <c r="E961" s="656"/>
      <c r="F961" s="656"/>
      <c r="G961" s="656"/>
    </row>
    <row r="962" spans="2:9" ht="31.5" customHeight="1" thickBot="1">
      <c r="B962" s="260" t="s">
        <v>872</v>
      </c>
      <c r="C962" s="248"/>
      <c r="D962" s="657" t="str">
        <f>'1PROJE'!$E$3</f>
        <v>GÜNEŞ PEN</v>
      </c>
      <c r="E962" s="658"/>
      <c r="F962" s="658"/>
      <c r="G962" s="659"/>
    </row>
    <row r="963" spans="2:9" ht="31.5" customHeight="1" thickBot="1">
      <c r="B963" s="260" t="s">
        <v>873</v>
      </c>
      <c r="C963" s="248"/>
      <c r="D963" s="644" t="str">
        <f>'1PROJE'!$F$3</f>
        <v>GÜRKAN BEY</v>
      </c>
      <c r="E963" s="645"/>
      <c r="F963" s="645"/>
      <c r="G963" s="646"/>
    </row>
    <row r="964" spans="2:9" ht="31.5" customHeight="1" thickBot="1">
      <c r="B964" s="260" t="s">
        <v>356</v>
      </c>
      <c r="C964" s="248"/>
      <c r="D964" s="647" t="e" cm="1">
        <f t="array" aca="1" ref="D964" ca="1">INDIRECT("xHesaplama!I"&amp;""&amp;ROW(D964)+70-7*ROUNDDOWN(ROW(D964)/8,0))</f>
        <v>#N/A</v>
      </c>
      <c r="E964" s="648"/>
      <c r="F964" s="648"/>
      <c r="G964" s="649"/>
    </row>
    <row r="965" spans="2:9" ht="31.5" customHeight="1" thickBot="1">
      <c r="B965" s="260" t="s">
        <v>874</v>
      </c>
      <c r="C965" s="248"/>
      <c r="D965" s="650" t="str">
        <f>$H$1</f>
        <v>BOX</v>
      </c>
      <c r="E965" s="651"/>
      <c r="F965" s="651"/>
      <c r="G965" s="652"/>
    </row>
    <row r="966" spans="2:9" ht="31.5" customHeight="1" thickBot="1">
      <c r="B966" s="260" t="s">
        <v>875</v>
      </c>
      <c r="C966" s="248"/>
      <c r="D966" s="653" t="str">
        <f>'1PROJE'!$G$3</f>
        <v>Z 5001</v>
      </c>
      <c r="E966" s="654"/>
      <c r="F966" s="654"/>
      <c r="G966" s="655"/>
      <c r="I966" s="250"/>
    </row>
    <row r="967" spans="2:9" ht="31.5" customHeight="1" thickBot="1">
      <c r="B967" s="260" t="s">
        <v>876</v>
      </c>
      <c r="D967" s="653" cm="1">
        <f t="array" aca="1" ref="D967" ca="1">INDIRECT("xHesaplama!H"&amp;""&amp;ROW(D964)+70-7*ROUNDDOWN(ROW(D964)/8,0))</f>
        <v>0</v>
      </c>
      <c r="E967" s="654"/>
      <c r="F967" s="654"/>
      <c r="G967" s="655"/>
    </row>
    <row r="968" spans="2:9" ht="31.5" customHeight="1" thickBot="1">
      <c r="B968" s="260" t="s">
        <v>877</v>
      </c>
      <c r="D968" s="252" t="s">
        <v>878</v>
      </c>
      <c r="E968" s="253" t="e" cm="1">
        <f t="array" aca="1" ref="E968" ca="1">INDIRECT("xHesaplama!J"&amp;""&amp;ROW(D964)+70-7*ROUNDDOWN(ROW(D964)/8,0))</f>
        <v>#N/A</v>
      </c>
      <c r="F968" s="254" t="s">
        <v>879</v>
      </c>
      <c r="G968" s="253" t="e" cm="1">
        <f t="array" aca="1" ref="G968" ca="1">INDIRECT("xHesaplama!K"&amp;""&amp;ROW(D964)+70-7*ROUNDDOWN(ROW(D964)/8,0))</f>
        <v>#N/A</v>
      </c>
    </row>
    <row r="969" spans="2:9" ht="69" customHeight="1" thickBot="1">
      <c r="B969" s="259" t="s">
        <v>869</v>
      </c>
      <c r="C969" s="248"/>
      <c r="D969" s="656"/>
      <c r="E969" s="656"/>
      <c r="F969" s="656"/>
      <c r="G969" s="656"/>
    </row>
    <row r="970" spans="2:9" ht="31.5" customHeight="1" thickBot="1">
      <c r="B970" s="260" t="s">
        <v>872</v>
      </c>
      <c r="C970" s="248"/>
      <c r="D970" s="657" t="str">
        <f>'1PROJE'!$E$3</f>
        <v>GÜNEŞ PEN</v>
      </c>
      <c r="E970" s="658"/>
      <c r="F970" s="658"/>
      <c r="G970" s="659"/>
    </row>
    <row r="971" spans="2:9" ht="31.5" customHeight="1" thickBot="1">
      <c r="B971" s="260" t="s">
        <v>873</v>
      </c>
      <c r="C971" s="248"/>
      <c r="D971" s="644" t="str">
        <f>'1PROJE'!$F$3</f>
        <v>GÜRKAN BEY</v>
      </c>
      <c r="E971" s="645"/>
      <c r="F971" s="645"/>
      <c r="G971" s="646"/>
    </row>
    <row r="972" spans="2:9" ht="31.5" customHeight="1" thickBot="1">
      <c r="B972" s="260" t="s">
        <v>356</v>
      </c>
      <c r="C972" s="248"/>
      <c r="D972" s="647" t="e" cm="1">
        <f t="array" aca="1" ref="D972" ca="1">INDIRECT("xHesaplama!I"&amp;""&amp;ROW(D972)+70-7*ROUNDDOWN(ROW(D972)/8,0))</f>
        <v>#N/A</v>
      </c>
      <c r="E972" s="648"/>
      <c r="F972" s="648"/>
      <c r="G972" s="649"/>
    </row>
    <row r="973" spans="2:9" ht="31.5" customHeight="1" thickBot="1">
      <c r="B973" s="260" t="s">
        <v>874</v>
      </c>
      <c r="C973" s="248"/>
      <c r="D973" s="650" t="str">
        <f>$H$1</f>
        <v>BOX</v>
      </c>
      <c r="E973" s="651"/>
      <c r="F973" s="651"/>
      <c r="G973" s="652"/>
    </row>
    <row r="974" spans="2:9" ht="31.5" customHeight="1" thickBot="1">
      <c r="B974" s="260" t="s">
        <v>875</v>
      </c>
      <c r="C974" s="248"/>
      <c r="D974" s="653" t="str">
        <f>'1PROJE'!$G$3</f>
        <v>Z 5001</v>
      </c>
      <c r="E974" s="654"/>
      <c r="F974" s="654"/>
      <c r="G974" s="655"/>
      <c r="I974" s="250"/>
    </row>
    <row r="975" spans="2:9" ht="31.5" customHeight="1" thickBot="1">
      <c r="B975" s="260" t="s">
        <v>876</v>
      </c>
      <c r="D975" s="653" cm="1">
        <f t="array" aca="1" ref="D975" ca="1">INDIRECT("xHesaplama!H"&amp;""&amp;ROW(D972)+70-7*ROUNDDOWN(ROW(D972)/8,0))</f>
        <v>0</v>
      </c>
      <c r="E975" s="654"/>
      <c r="F975" s="654"/>
      <c r="G975" s="655"/>
    </row>
    <row r="976" spans="2:9" ht="31.5" customHeight="1" thickBot="1">
      <c r="B976" s="260" t="s">
        <v>877</v>
      </c>
      <c r="D976" s="252" t="s">
        <v>878</v>
      </c>
      <c r="E976" s="253" t="e" cm="1">
        <f t="array" aca="1" ref="E976" ca="1">INDIRECT("xHesaplama!J"&amp;""&amp;ROW(D972)+70-7*ROUNDDOWN(ROW(D972)/8,0))</f>
        <v>#N/A</v>
      </c>
      <c r="F976" s="254" t="s">
        <v>879</v>
      </c>
      <c r="G976" s="253" t="e" cm="1">
        <f t="array" aca="1" ref="G976" ca="1">INDIRECT("xHesaplama!K"&amp;""&amp;ROW(D972)+70-7*ROUNDDOWN(ROW(D972)/8,0))</f>
        <v>#N/A</v>
      </c>
    </row>
    <row r="977" spans="2:9" ht="69" customHeight="1" thickBot="1">
      <c r="B977" s="259" t="s">
        <v>869</v>
      </c>
      <c r="C977" s="248"/>
      <c r="D977" s="656"/>
      <c r="E977" s="656"/>
      <c r="F977" s="656"/>
      <c r="G977" s="656"/>
    </row>
    <row r="978" spans="2:9" ht="31.5" customHeight="1" thickBot="1">
      <c r="B978" s="260" t="s">
        <v>872</v>
      </c>
      <c r="C978" s="248"/>
      <c r="D978" s="657" t="str">
        <f>'1PROJE'!$E$3</f>
        <v>GÜNEŞ PEN</v>
      </c>
      <c r="E978" s="658"/>
      <c r="F978" s="658"/>
      <c r="G978" s="659"/>
    </row>
    <row r="979" spans="2:9" ht="31.5" customHeight="1" thickBot="1">
      <c r="B979" s="260" t="s">
        <v>873</v>
      </c>
      <c r="C979" s="248"/>
      <c r="D979" s="644" t="str">
        <f>'1PROJE'!$F$3</f>
        <v>GÜRKAN BEY</v>
      </c>
      <c r="E979" s="645"/>
      <c r="F979" s="645"/>
      <c r="G979" s="646"/>
    </row>
    <row r="980" spans="2:9" ht="31.5" customHeight="1" thickBot="1">
      <c r="B980" s="260" t="s">
        <v>356</v>
      </c>
      <c r="C980" s="248"/>
      <c r="D980" s="647" t="e" cm="1">
        <f t="array" aca="1" ref="D980" ca="1">INDIRECT("xHesaplama!I"&amp;""&amp;ROW(D980)+70-7*ROUNDDOWN(ROW(D980)/8,0))</f>
        <v>#N/A</v>
      </c>
      <c r="E980" s="648"/>
      <c r="F980" s="648"/>
      <c r="G980" s="649"/>
    </row>
    <row r="981" spans="2:9" ht="31.5" customHeight="1" thickBot="1">
      <c r="B981" s="260" t="s">
        <v>874</v>
      </c>
      <c r="C981" s="248"/>
      <c r="D981" s="650" t="str">
        <f>$H$1</f>
        <v>BOX</v>
      </c>
      <c r="E981" s="651"/>
      <c r="F981" s="651"/>
      <c r="G981" s="652"/>
    </row>
    <row r="982" spans="2:9" ht="31.5" customHeight="1" thickBot="1">
      <c r="B982" s="260" t="s">
        <v>875</v>
      </c>
      <c r="C982" s="248"/>
      <c r="D982" s="653" t="str">
        <f>'1PROJE'!$G$3</f>
        <v>Z 5001</v>
      </c>
      <c r="E982" s="654"/>
      <c r="F982" s="654"/>
      <c r="G982" s="655"/>
      <c r="I982" s="250"/>
    </row>
    <row r="983" spans="2:9" ht="31.5" customHeight="1" thickBot="1">
      <c r="B983" s="260" t="s">
        <v>876</v>
      </c>
      <c r="D983" s="653" cm="1">
        <f t="array" aca="1" ref="D983" ca="1">INDIRECT("xHesaplama!H"&amp;""&amp;ROW(D980)+70-7*ROUNDDOWN(ROW(D980)/8,0))</f>
        <v>0</v>
      </c>
      <c r="E983" s="654"/>
      <c r="F983" s="654"/>
      <c r="G983" s="655"/>
    </row>
    <row r="984" spans="2:9" ht="31.5" customHeight="1" thickBot="1">
      <c r="B984" s="260" t="s">
        <v>877</v>
      </c>
      <c r="D984" s="252" t="s">
        <v>878</v>
      </c>
      <c r="E984" s="253" t="e" cm="1">
        <f t="array" aca="1" ref="E984" ca="1">INDIRECT("xHesaplama!J"&amp;""&amp;ROW(D980)+70-7*ROUNDDOWN(ROW(D980)/8,0))</f>
        <v>#N/A</v>
      </c>
      <c r="F984" s="254" t="s">
        <v>879</v>
      </c>
      <c r="G984" s="253" t="e" cm="1">
        <f t="array" aca="1" ref="G984" ca="1">INDIRECT("xHesaplama!K"&amp;""&amp;ROW(D980)+70-7*ROUNDDOWN(ROW(D980)/8,0))</f>
        <v>#N/A</v>
      </c>
    </row>
    <row r="985" spans="2:9" ht="69" customHeight="1" thickBot="1">
      <c r="B985" s="259" t="s">
        <v>869</v>
      </c>
      <c r="C985" s="248"/>
      <c r="D985" s="656"/>
      <c r="E985" s="656"/>
      <c r="F985" s="656"/>
      <c r="G985" s="656"/>
    </row>
    <row r="986" spans="2:9" ht="31.5" customHeight="1" thickBot="1">
      <c r="B986" s="260" t="s">
        <v>872</v>
      </c>
      <c r="C986" s="248"/>
      <c r="D986" s="657" t="str">
        <f>'1PROJE'!$E$3</f>
        <v>GÜNEŞ PEN</v>
      </c>
      <c r="E986" s="658"/>
      <c r="F986" s="658"/>
      <c r="G986" s="659"/>
    </row>
    <row r="987" spans="2:9" ht="31.5" customHeight="1" thickBot="1">
      <c r="B987" s="260" t="s">
        <v>873</v>
      </c>
      <c r="C987" s="248"/>
      <c r="D987" s="644" t="str">
        <f>'1PROJE'!$F$3</f>
        <v>GÜRKAN BEY</v>
      </c>
      <c r="E987" s="645"/>
      <c r="F987" s="645"/>
      <c r="G987" s="646"/>
    </row>
    <row r="988" spans="2:9" ht="31.5" customHeight="1" thickBot="1">
      <c r="B988" s="260" t="s">
        <v>356</v>
      </c>
      <c r="C988" s="248"/>
      <c r="D988" s="647" t="e" cm="1">
        <f t="array" aca="1" ref="D988" ca="1">INDIRECT("xHesaplama!I"&amp;""&amp;ROW(D988)+70-7*ROUNDDOWN(ROW(D988)/8,0))</f>
        <v>#N/A</v>
      </c>
      <c r="E988" s="648"/>
      <c r="F988" s="648"/>
      <c r="G988" s="649"/>
    </row>
    <row r="989" spans="2:9" ht="31.5" customHeight="1" thickBot="1">
      <c r="B989" s="260" t="s">
        <v>874</v>
      </c>
      <c r="C989" s="248"/>
      <c r="D989" s="650" t="str">
        <f>$H$1</f>
        <v>BOX</v>
      </c>
      <c r="E989" s="651"/>
      <c r="F989" s="651"/>
      <c r="G989" s="652"/>
    </row>
    <row r="990" spans="2:9" ht="31.5" customHeight="1" thickBot="1">
      <c r="B990" s="260" t="s">
        <v>875</v>
      </c>
      <c r="C990" s="248"/>
      <c r="D990" s="653" t="str">
        <f>'1PROJE'!$G$3</f>
        <v>Z 5001</v>
      </c>
      <c r="E990" s="654"/>
      <c r="F990" s="654"/>
      <c r="G990" s="655"/>
      <c r="I990" s="250"/>
    </row>
    <row r="991" spans="2:9" ht="31.5" customHeight="1" thickBot="1">
      <c r="B991" s="260" t="s">
        <v>876</v>
      </c>
      <c r="D991" s="653" cm="1">
        <f t="array" aca="1" ref="D991" ca="1">INDIRECT("xHesaplama!H"&amp;""&amp;ROW(D988)+70-7*ROUNDDOWN(ROW(D988)/8,0))</f>
        <v>0</v>
      </c>
      <c r="E991" s="654"/>
      <c r="F991" s="654"/>
      <c r="G991" s="655"/>
    </row>
    <row r="992" spans="2:9" ht="31.5" customHeight="1" thickBot="1">
      <c r="B992" s="260" t="s">
        <v>877</v>
      </c>
      <c r="D992" s="252" t="s">
        <v>878</v>
      </c>
      <c r="E992" s="253" t="e" cm="1">
        <f t="array" aca="1" ref="E992" ca="1">INDIRECT("xHesaplama!J"&amp;""&amp;ROW(D988)+70-7*ROUNDDOWN(ROW(D988)/8,0))</f>
        <v>#N/A</v>
      </c>
      <c r="F992" s="254" t="s">
        <v>879</v>
      </c>
      <c r="G992" s="253" t="e" cm="1">
        <f t="array" aca="1" ref="G992" ca="1">INDIRECT("xHesaplama!K"&amp;""&amp;ROW(D988)+70-7*ROUNDDOWN(ROW(D988)/8,0))</f>
        <v>#N/A</v>
      </c>
    </row>
    <row r="993" spans="2:9" ht="69" customHeight="1" thickBot="1">
      <c r="B993" s="259" t="s">
        <v>869</v>
      </c>
      <c r="C993" s="248"/>
      <c r="D993" s="656"/>
      <c r="E993" s="656"/>
      <c r="F993" s="656"/>
      <c r="G993" s="656"/>
    </row>
    <row r="994" spans="2:9" ht="31.5" customHeight="1" thickBot="1">
      <c r="B994" s="260" t="s">
        <v>872</v>
      </c>
      <c r="C994" s="248"/>
      <c r="D994" s="657" t="str">
        <f>'1PROJE'!$E$3</f>
        <v>GÜNEŞ PEN</v>
      </c>
      <c r="E994" s="658"/>
      <c r="F994" s="658"/>
      <c r="G994" s="659"/>
    </row>
    <row r="995" spans="2:9" ht="31.5" customHeight="1" thickBot="1">
      <c r="B995" s="260" t="s">
        <v>873</v>
      </c>
      <c r="C995" s="248"/>
      <c r="D995" s="644" t="str">
        <f>'1PROJE'!$F$3</f>
        <v>GÜRKAN BEY</v>
      </c>
      <c r="E995" s="645"/>
      <c r="F995" s="645"/>
      <c r="G995" s="646"/>
    </row>
    <row r="996" spans="2:9" ht="31.5" customHeight="1" thickBot="1">
      <c r="B996" s="260" t="s">
        <v>356</v>
      </c>
      <c r="C996" s="248"/>
      <c r="D996" s="647" t="e" cm="1">
        <f t="array" aca="1" ref="D996" ca="1">INDIRECT("xHesaplama!I"&amp;""&amp;ROW(D996)+70-7*ROUNDDOWN(ROW(D996)/8,0))</f>
        <v>#N/A</v>
      </c>
      <c r="E996" s="648"/>
      <c r="F996" s="648"/>
      <c r="G996" s="649"/>
    </row>
    <row r="997" spans="2:9" ht="31.5" customHeight="1" thickBot="1">
      <c r="B997" s="260" t="s">
        <v>874</v>
      </c>
      <c r="C997" s="248"/>
      <c r="D997" s="650" t="str">
        <f>$H$1</f>
        <v>BOX</v>
      </c>
      <c r="E997" s="651"/>
      <c r="F997" s="651"/>
      <c r="G997" s="652"/>
    </row>
    <row r="998" spans="2:9" ht="31.5" customHeight="1" thickBot="1">
      <c r="B998" s="260" t="s">
        <v>875</v>
      </c>
      <c r="C998" s="248"/>
      <c r="D998" s="653" t="str">
        <f>'1PROJE'!$G$3</f>
        <v>Z 5001</v>
      </c>
      <c r="E998" s="654"/>
      <c r="F998" s="654"/>
      <c r="G998" s="655"/>
      <c r="I998" s="250"/>
    </row>
    <row r="999" spans="2:9" ht="31.5" customHeight="1" thickBot="1">
      <c r="B999" s="260" t="s">
        <v>876</v>
      </c>
      <c r="D999" s="653" cm="1">
        <f t="array" aca="1" ref="D999" ca="1">INDIRECT("xHesaplama!H"&amp;""&amp;ROW(D996)+70-7*ROUNDDOWN(ROW(D996)/8,0))</f>
        <v>0</v>
      </c>
      <c r="E999" s="654"/>
      <c r="F999" s="654"/>
      <c r="G999" s="655"/>
    </row>
    <row r="1000" spans="2:9" ht="31.5" customHeight="1" thickBot="1">
      <c r="B1000" s="260" t="s">
        <v>877</v>
      </c>
      <c r="D1000" s="252" t="s">
        <v>878</v>
      </c>
      <c r="E1000" s="253" t="e" cm="1">
        <f t="array" aca="1" ref="E1000" ca="1">INDIRECT("xHesaplama!J"&amp;""&amp;ROW(D996)+70-7*ROUNDDOWN(ROW(D996)/8,0))</f>
        <v>#N/A</v>
      </c>
      <c r="F1000" s="254" t="s">
        <v>879</v>
      </c>
      <c r="G1000" s="253" t="e" cm="1">
        <f t="array" aca="1" ref="G1000" ca="1">INDIRECT("xHesaplama!K"&amp;""&amp;ROW(D996)+70-7*ROUNDDOWN(ROW(D996)/8,0))</f>
        <v>#N/A</v>
      </c>
    </row>
    <row r="1001" spans="2:9" ht="69" customHeight="1" thickBot="1">
      <c r="B1001" s="259" t="s">
        <v>869</v>
      </c>
      <c r="C1001" s="248"/>
      <c r="D1001" s="656"/>
      <c r="E1001" s="656"/>
      <c r="F1001" s="656"/>
      <c r="G1001" s="656"/>
    </row>
    <row r="1002" spans="2:9" ht="31.5" customHeight="1" thickBot="1">
      <c r="B1002" s="260" t="s">
        <v>872</v>
      </c>
      <c r="C1002" s="248"/>
      <c r="D1002" s="657" t="str">
        <f>'1PROJE'!$E$3</f>
        <v>GÜNEŞ PEN</v>
      </c>
      <c r="E1002" s="658"/>
      <c r="F1002" s="658"/>
      <c r="G1002" s="659"/>
    </row>
    <row r="1003" spans="2:9" ht="31.5" customHeight="1" thickBot="1">
      <c r="B1003" s="260" t="s">
        <v>873</v>
      </c>
      <c r="C1003" s="248"/>
      <c r="D1003" s="644" t="str">
        <f>'1PROJE'!$F$3</f>
        <v>GÜRKAN BEY</v>
      </c>
      <c r="E1003" s="645"/>
      <c r="F1003" s="645"/>
      <c r="G1003" s="646"/>
    </row>
    <row r="1004" spans="2:9" ht="31.5" customHeight="1" thickBot="1">
      <c r="B1004" s="260" t="s">
        <v>356</v>
      </c>
      <c r="C1004" s="248"/>
      <c r="D1004" s="647" t="e" cm="1">
        <f t="array" aca="1" ref="D1004" ca="1">INDIRECT("xHesaplama!I"&amp;""&amp;ROW(D1004)+70-7*ROUNDDOWN(ROW(D1004)/8,0))</f>
        <v>#N/A</v>
      </c>
      <c r="E1004" s="648"/>
      <c r="F1004" s="648"/>
      <c r="G1004" s="649"/>
    </row>
    <row r="1005" spans="2:9" ht="31.5" customHeight="1" thickBot="1">
      <c r="B1005" s="260" t="s">
        <v>874</v>
      </c>
      <c r="C1005" s="248"/>
      <c r="D1005" s="650" t="str">
        <f>$H$1</f>
        <v>BOX</v>
      </c>
      <c r="E1005" s="651"/>
      <c r="F1005" s="651"/>
      <c r="G1005" s="652"/>
    </row>
    <row r="1006" spans="2:9" ht="31.5" customHeight="1" thickBot="1">
      <c r="B1006" s="260" t="s">
        <v>875</v>
      </c>
      <c r="C1006" s="248"/>
      <c r="D1006" s="653" t="str">
        <f>'1PROJE'!$G$3</f>
        <v>Z 5001</v>
      </c>
      <c r="E1006" s="654"/>
      <c r="F1006" s="654"/>
      <c r="G1006" s="655"/>
      <c r="I1006" s="250"/>
    </row>
    <row r="1007" spans="2:9" ht="31.5" customHeight="1" thickBot="1">
      <c r="B1007" s="260" t="s">
        <v>876</v>
      </c>
      <c r="D1007" s="653" cm="1">
        <f t="array" aca="1" ref="D1007" ca="1">INDIRECT("xHesaplama!H"&amp;""&amp;ROW(D1004)+70-7*ROUNDDOWN(ROW(D1004)/8,0))</f>
        <v>0</v>
      </c>
      <c r="E1007" s="654"/>
      <c r="F1007" s="654"/>
      <c r="G1007" s="655"/>
    </row>
    <row r="1008" spans="2:9" ht="31.5" customHeight="1" thickBot="1">
      <c r="B1008" s="260" t="s">
        <v>877</v>
      </c>
      <c r="D1008" s="252" t="s">
        <v>878</v>
      </c>
      <c r="E1008" s="253" t="e" cm="1">
        <f t="array" aca="1" ref="E1008" ca="1">INDIRECT("xHesaplama!J"&amp;""&amp;ROW(D1004)+70-7*ROUNDDOWN(ROW(D1004)/8,0))</f>
        <v>#N/A</v>
      </c>
      <c r="F1008" s="254" t="s">
        <v>879</v>
      </c>
      <c r="G1008" s="253" t="e" cm="1">
        <f t="array" aca="1" ref="G1008" ca="1">INDIRECT("xHesaplama!K"&amp;""&amp;ROW(D1004)+70-7*ROUNDDOWN(ROW(D1004)/8,0))</f>
        <v>#N/A</v>
      </c>
    </row>
    <row r="1009" spans="2:9" ht="69" customHeight="1" thickBot="1">
      <c r="B1009" s="259" t="s">
        <v>869</v>
      </c>
      <c r="C1009" s="248"/>
      <c r="D1009" s="656"/>
      <c r="E1009" s="656"/>
      <c r="F1009" s="656"/>
      <c r="G1009" s="656"/>
    </row>
    <row r="1010" spans="2:9" ht="31.5" customHeight="1" thickBot="1">
      <c r="B1010" s="260" t="s">
        <v>872</v>
      </c>
      <c r="C1010" s="248"/>
      <c r="D1010" s="657" t="str">
        <f>'1PROJE'!$E$3</f>
        <v>GÜNEŞ PEN</v>
      </c>
      <c r="E1010" s="658"/>
      <c r="F1010" s="658"/>
      <c r="G1010" s="659"/>
    </row>
    <row r="1011" spans="2:9" ht="31.5" customHeight="1" thickBot="1">
      <c r="B1011" s="260" t="s">
        <v>873</v>
      </c>
      <c r="C1011" s="248"/>
      <c r="D1011" s="644" t="str">
        <f>'1PROJE'!$F$3</f>
        <v>GÜRKAN BEY</v>
      </c>
      <c r="E1011" s="645"/>
      <c r="F1011" s="645"/>
      <c r="G1011" s="646"/>
    </row>
    <row r="1012" spans="2:9" ht="31.5" customHeight="1" thickBot="1">
      <c r="B1012" s="260" t="s">
        <v>356</v>
      </c>
      <c r="C1012" s="248"/>
      <c r="D1012" s="647" t="e" cm="1">
        <f t="array" aca="1" ref="D1012" ca="1">INDIRECT("xHesaplama!I"&amp;""&amp;ROW(D1012)+70-7*ROUNDDOWN(ROW(D1012)/8,0))</f>
        <v>#N/A</v>
      </c>
      <c r="E1012" s="648"/>
      <c r="F1012" s="648"/>
      <c r="G1012" s="649"/>
    </row>
    <row r="1013" spans="2:9" ht="31.5" customHeight="1" thickBot="1">
      <c r="B1013" s="260" t="s">
        <v>874</v>
      </c>
      <c r="C1013" s="248"/>
      <c r="D1013" s="650" t="str">
        <f>$H$1</f>
        <v>BOX</v>
      </c>
      <c r="E1013" s="651"/>
      <c r="F1013" s="651"/>
      <c r="G1013" s="652"/>
    </row>
    <row r="1014" spans="2:9" ht="31.5" customHeight="1" thickBot="1">
      <c r="B1014" s="260" t="s">
        <v>875</v>
      </c>
      <c r="C1014" s="248"/>
      <c r="D1014" s="653" t="str">
        <f>'1PROJE'!$G$3</f>
        <v>Z 5001</v>
      </c>
      <c r="E1014" s="654"/>
      <c r="F1014" s="654"/>
      <c r="G1014" s="655"/>
      <c r="I1014" s="250"/>
    </row>
    <row r="1015" spans="2:9" ht="31.5" customHeight="1" thickBot="1">
      <c r="B1015" s="260" t="s">
        <v>876</v>
      </c>
      <c r="D1015" s="653" cm="1">
        <f t="array" aca="1" ref="D1015" ca="1">INDIRECT("xHesaplama!H"&amp;""&amp;ROW(D1012)+70-7*ROUNDDOWN(ROW(D1012)/8,0))</f>
        <v>0</v>
      </c>
      <c r="E1015" s="654"/>
      <c r="F1015" s="654"/>
      <c r="G1015" s="655"/>
    </row>
    <row r="1016" spans="2:9" ht="31.5" customHeight="1" thickBot="1">
      <c r="B1016" s="260" t="s">
        <v>877</v>
      </c>
      <c r="D1016" s="252" t="s">
        <v>878</v>
      </c>
      <c r="E1016" s="253" t="e" cm="1">
        <f t="array" aca="1" ref="E1016" ca="1">INDIRECT("xHesaplama!J"&amp;""&amp;ROW(D1012)+70-7*ROUNDDOWN(ROW(D1012)/8,0))</f>
        <v>#N/A</v>
      </c>
      <c r="F1016" s="254" t="s">
        <v>879</v>
      </c>
      <c r="G1016" s="253" t="e" cm="1">
        <f t="array" aca="1" ref="G1016" ca="1">INDIRECT("xHesaplama!K"&amp;""&amp;ROW(D1012)+70-7*ROUNDDOWN(ROW(D1012)/8,0))</f>
        <v>#N/A</v>
      </c>
    </row>
    <row r="1017" spans="2:9" ht="69" customHeight="1" thickBot="1">
      <c r="B1017" s="259" t="s">
        <v>869</v>
      </c>
      <c r="C1017" s="248"/>
      <c r="D1017" s="656"/>
      <c r="E1017" s="656"/>
      <c r="F1017" s="656"/>
      <c r="G1017" s="656"/>
    </row>
    <row r="1018" spans="2:9" ht="31.5" customHeight="1" thickBot="1">
      <c r="B1018" s="260" t="s">
        <v>872</v>
      </c>
      <c r="C1018" s="248"/>
      <c r="D1018" s="657" t="str">
        <f>'1PROJE'!$E$3</f>
        <v>GÜNEŞ PEN</v>
      </c>
      <c r="E1018" s="658"/>
      <c r="F1018" s="658"/>
      <c r="G1018" s="659"/>
    </row>
    <row r="1019" spans="2:9" ht="31.5" customHeight="1" thickBot="1">
      <c r="B1019" s="260" t="s">
        <v>873</v>
      </c>
      <c r="C1019" s="248"/>
      <c r="D1019" s="644" t="str">
        <f>'1PROJE'!$F$3</f>
        <v>GÜRKAN BEY</v>
      </c>
      <c r="E1019" s="645"/>
      <c r="F1019" s="645"/>
      <c r="G1019" s="646"/>
    </row>
    <row r="1020" spans="2:9" ht="31.5" customHeight="1" thickBot="1">
      <c r="B1020" s="260" t="s">
        <v>356</v>
      </c>
      <c r="C1020" s="248"/>
      <c r="D1020" s="647" t="e" cm="1">
        <f t="array" aca="1" ref="D1020" ca="1">INDIRECT("xHesaplama!I"&amp;""&amp;ROW(D1020)+70-7*ROUNDDOWN(ROW(D1020)/8,0))</f>
        <v>#N/A</v>
      </c>
      <c r="E1020" s="648"/>
      <c r="F1020" s="648"/>
      <c r="G1020" s="649"/>
    </row>
    <row r="1021" spans="2:9" ht="31.5" customHeight="1" thickBot="1">
      <c r="B1021" s="260" t="s">
        <v>874</v>
      </c>
      <c r="C1021" s="248"/>
      <c r="D1021" s="650" t="str">
        <f>$H$1</f>
        <v>BOX</v>
      </c>
      <c r="E1021" s="651"/>
      <c r="F1021" s="651"/>
      <c r="G1021" s="652"/>
    </row>
    <row r="1022" spans="2:9" ht="31.5" customHeight="1" thickBot="1">
      <c r="B1022" s="260" t="s">
        <v>875</v>
      </c>
      <c r="C1022" s="248"/>
      <c r="D1022" s="653" t="str">
        <f>'1PROJE'!$G$3</f>
        <v>Z 5001</v>
      </c>
      <c r="E1022" s="654"/>
      <c r="F1022" s="654"/>
      <c r="G1022" s="655"/>
      <c r="I1022" s="250"/>
    </row>
    <row r="1023" spans="2:9" ht="31.5" customHeight="1" thickBot="1">
      <c r="B1023" s="260" t="s">
        <v>876</v>
      </c>
      <c r="D1023" s="653" cm="1">
        <f t="array" aca="1" ref="D1023" ca="1">INDIRECT("xHesaplama!H"&amp;""&amp;ROW(D1020)+70-7*ROUNDDOWN(ROW(D1020)/8,0))</f>
        <v>0</v>
      </c>
      <c r="E1023" s="654"/>
      <c r="F1023" s="654"/>
      <c r="G1023" s="655"/>
    </row>
    <row r="1024" spans="2:9" ht="31.5" customHeight="1" thickBot="1">
      <c r="B1024" s="260" t="s">
        <v>877</v>
      </c>
      <c r="D1024" s="252" t="s">
        <v>878</v>
      </c>
      <c r="E1024" s="253" t="e" cm="1">
        <f t="array" aca="1" ref="E1024" ca="1">INDIRECT("xHesaplama!J"&amp;""&amp;ROW(D1020)+70-7*ROUNDDOWN(ROW(D1020)/8,0))</f>
        <v>#N/A</v>
      </c>
      <c r="F1024" s="254" t="s">
        <v>879</v>
      </c>
      <c r="G1024" s="253" t="e" cm="1">
        <f t="array" aca="1" ref="G1024" ca="1">INDIRECT("xHesaplama!K"&amp;""&amp;ROW(D1020)+70-7*ROUNDDOWN(ROW(D1020)/8,0))</f>
        <v>#N/A</v>
      </c>
    </row>
    <row r="1025" spans="2:9" ht="69" customHeight="1" thickBot="1">
      <c r="B1025" s="259" t="s">
        <v>869</v>
      </c>
      <c r="C1025" s="248"/>
      <c r="D1025" s="656"/>
      <c r="E1025" s="656"/>
      <c r="F1025" s="656"/>
      <c r="G1025" s="656"/>
    </row>
    <row r="1026" spans="2:9" ht="31.5" customHeight="1" thickBot="1">
      <c r="B1026" s="260" t="s">
        <v>872</v>
      </c>
      <c r="C1026" s="248"/>
      <c r="D1026" s="657" t="str">
        <f>'1PROJE'!$E$3</f>
        <v>GÜNEŞ PEN</v>
      </c>
      <c r="E1026" s="658"/>
      <c r="F1026" s="658"/>
      <c r="G1026" s="659"/>
    </row>
    <row r="1027" spans="2:9" ht="31.5" customHeight="1" thickBot="1">
      <c r="B1027" s="260" t="s">
        <v>873</v>
      </c>
      <c r="C1027" s="248"/>
      <c r="D1027" s="644" t="str">
        <f>'1PROJE'!$F$3</f>
        <v>GÜRKAN BEY</v>
      </c>
      <c r="E1027" s="645"/>
      <c r="F1027" s="645"/>
      <c r="G1027" s="646"/>
    </row>
    <row r="1028" spans="2:9" ht="31.5" customHeight="1" thickBot="1">
      <c r="B1028" s="260" t="s">
        <v>356</v>
      </c>
      <c r="C1028" s="248"/>
      <c r="D1028" s="647" t="e" cm="1">
        <f t="array" aca="1" ref="D1028" ca="1">INDIRECT("xHesaplama!I"&amp;""&amp;ROW(D1028)+70-7*ROUNDDOWN(ROW(D1028)/8,0))</f>
        <v>#N/A</v>
      </c>
      <c r="E1028" s="648"/>
      <c r="F1028" s="648"/>
      <c r="G1028" s="649"/>
    </row>
    <row r="1029" spans="2:9" ht="31.5" customHeight="1" thickBot="1">
      <c r="B1029" s="260" t="s">
        <v>874</v>
      </c>
      <c r="C1029" s="248"/>
      <c r="D1029" s="650" t="str">
        <f>$H$1</f>
        <v>BOX</v>
      </c>
      <c r="E1029" s="651"/>
      <c r="F1029" s="651"/>
      <c r="G1029" s="652"/>
    </row>
    <row r="1030" spans="2:9" ht="31.5" customHeight="1" thickBot="1">
      <c r="B1030" s="260" t="s">
        <v>875</v>
      </c>
      <c r="C1030" s="248"/>
      <c r="D1030" s="653" t="str">
        <f>'1PROJE'!$G$3</f>
        <v>Z 5001</v>
      </c>
      <c r="E1030" s="654"/>
      <c r="F1030" s="654"/>
      <c r="G1030" s="655"/>
      <c r="I1030" s="250"/>
    </row>
    <row r="1031" spans="2:9" ht="31.5" customHeight="1" thickBot="1">
      <c r="B1031" s="260" t="s">
        <v>876</v>
      </c>
      <c r="D1031" s="653" cm="1">
        <f t="array" aca="1" ref="D1031" ca="1">INDIRECT("xHesaplama!H"&amp;""&amp;ROW(D1028)+70-7*ROUNDDOWN(ROW(D1028)/8,0))</f>
        <v>0</v>
      </c>
      <c r="E1031" s="654"/>
      <c r="F1031" s="654"/>
      <c r="G1031" s="655"/>
    </row>
    <row r="1032" spans="2:9" ht="31.5" customHeight="1" thickBot="1">
      <c r="B1032" s="260" t="s">
        <v>877</v>
      </c>
      <c r="D1032" s="252" t="s">
        <v>878</v>
      </c>
      <c r="E1032" s="253" t="e" cm="1">
        <f t="array" aca="1" ref="E1032" ca="1">INDIRECT("xHesaplama!J"&amp;""&amp;ROW(D1028)+70-7*ROUNDDOWN(ROW(D1028)/8,0))</f>
        <v>#N/A</v>
      </c>
      <c r="F1032" s="254" t="s">
        <v>879</v>
      </c>
      <c r="G1032" s="253" t="e" cm="1">
        <f t="array" aca="1" ref="G1032" ca="1">INDIRECT("xHesaplama!K"&amp;""&amp;ROW(D1028)+70-7*ROUNDDOWN(ROW(D1028)/8,0))</f>
        <v>#N/A</v>
      </c>
    </row>
    <row r="1033" spans="2:9" ht="69" customHeight="1" thickBot="1">
      <c r="B1033" s="259" t="s">
        <v>869</v>
      </c>
      <c r="C1033" s="248"/>
      <c r="D1033" s="656"/>
      <c r="E1033" s="656"/>
      <c r="F1033" s="656"/>
      <c r="G1033" s="656"/>
    </row>
    <row r="1034" spans="2:9" ht="31.5" customHeight="1" thickBot="1">
      <c r="B1034" s="260" t="s">
        <v>872</v>
      </c>
      <c r="C1034" s="248"/>
      <c r="D1034" s="657" t="str">
        <f>'1PROJE'!$E$3</f>
        <v>GÜNEŞ PEN</v>
      </c>
      <c r="E1034" s="658"/>
      <c r="F1034" s="658"/>
      <c r="G1034" s="659"/>
    </row>
    <row r="1035" spans="2:9" ht="31.5" customHeight="1" thickBot="1">
      <c r="B1035" s="260" t="s">
        <v>873</v>
      </c>
      <c r="C1035" s="248"/>
      <c r="D1035" s="644" t="str">
        <f>'1PROJE'!$F$3</f>
        <v>GÜRKAN BEY</v>
      </c>
      <c r="E1035" s="645"/>
      <c r="F1035" s="645"/>
      <c r="G1035" s="646"/>
    </row>
    <row r="1036" spans="2:9" ht="31.5" customHeight="1" thickBot="1">
      <c r="B1036" s="260" t="s">
        <v>356</v>
      </c>
      <c r="C1036" s="248"/>
      <c r="D1036" s="647" t="e" cm="1">
        <f t="array" aca="1" ref="D1036" ca="1">INDIRECT("xHesaplama!I"&amp;""&amp;ROW(D1036)+70-7*ROUNDDOWN(ROW(D1036)/8,0))</f>
        <v>#N/A</v>
      </c>
      <c r="E1036" s="648"/>
      <c r="F1036" s="648"/>
      <c r="G1036" s="649"/>
    </row>
    <row r="1037" spans="2:9" ht="31.5" customHeight="1" thickBot="1">
      <c r="B1037" s="260" t="s">
        <v>874</v>
      </c>
      <c r="C1037" s="248"/>
      <c r="D1037" s="650" t="str">
        <f>$H$1</f>
        <v>BOX</v>
      </c>
      <c r="E1037" s="651"/>
      <c r="F1037" s="651"/>
      <c r="G1037" s="652"/>
    </row>
    <row r="1038" spans="2:9" ht="31.5" customHeight="1" thickBot="1">
      <c r="B1038" s="260" t="s">
        <v>875</v>
      </c>
      <c r="C1038" s="248"/>
      <c r="D1038" s="653" t="str">
        <f>'1PROJE'!$G$3</f>
        <v>Z 5001</v>
      </c>
      <c r="E1038" s="654"/>
      <c r="F1038" s="654"/>
      <c r="G1038" s="655"/>
      <c r="I1038" s="250"/>
    </row>
    <row r="1039" spans="2:9" ht="31.5" customHeight="1" thickBot="1">
      <c r="B1039" s="260" t="s">
        <v>876</v>
      </c>
      <c r="D1039" s="653" cm="1">
        <f t="array" aca="1" ref="D1039" ca="1">INDIRECT("xHesaplama!H"&amp;""&amp;ROW(D1036)+70-7*ROUNDDOWN(ROW(D1036)/8,0))</f>
        <v>0</v>
      </c>
      <c r="E1039" s="654"/>
      <c r="F1039" s="654"/>
      <c r="G1039" s="655"/>
    </row>
    <row r="1040" spans="2:9" ht="31.5" customHeight="1" thickBot="1">
      <c r="B1040" s="260" t="s">
        <v>877</v>
      </c>
      <c r="D1040" s="252" t="s">
        <v>878</v>
      </c>
      <c r="E1040" s="253" t="e" cm="1">
        <f t="array" aca="1" ref="E1040" ca="1">INDIRECT("xHesaplama!J"&amp;""&amp;ROW(D1036)+70-7*ROUNDDOWN(ROW(D1036)/8,0))</f>
        <v>#N/A</v>
      </c>
      <c r="F1040" s="254" t="s">
        <v>879</v>
      </c>
      <c r="G1040" s="253" t="e" cm="1">
        <f t="array" aca="1" ref="G1040" ca="1">INDIRECT("xHesaplama!K"&amp;""&amp;ROW(D1036)+70-7*ROUNDDOWN(ROW(D1036)/8,0))</f>
        <v>#N/A</v>
      </c>
    </row>
    <row r="1041" spans="2:9" ht="69" customHeight="1" thickBot="1">
      <c r="B1041" s="259" t="s">
        <v>869</v>
      </c>
      <c r="C1041" s="248"/>
      <c r="D1041" s="656"/>
      <c r="E1041" s="656"/>
      <c r="F1041" s="656"/>
      <c r="G1041" s="656"/>
    </row>
    <row r="1042" spans="2:9" ht="31.5" customHeight="1" thickBot="1">
      <c r="B1042" s="260" t="s">
        <v>872</v>
      </c>
      <c r="C1042" s="248"/>
      <c r="D1042" s="657" t="str">
        <f>'1PROJE'!$E$3</f>
        <v>GÜNEŞ PEN</v>
      </c>
      <c r="E1042" s="658"/>
      <c r="F1042" s="658"/>
      <c r="G1042" s="659"/>
    </row>
    <row r="1043" spans="2:9" ht="31.5" customHeight="1" thickBot="1">
      <c r="B1043" s="260" t="s">
        <v>873</v>
      </c>
      <c r="C1043" s="248"/>
      <c r="D1043" s="644" t="str">
        <f>'1PROJE'!$F$3</f>
        <v>GÜRKAN BEY</v>
      </c>
      <c r="E1043" s="645"/>
      <c r="F1043" s="645"/>
      <c r="G1043" s="646"/>
    </row>
    <row r="1044" spans="2:9" ht="31.5" customHeight="1" thickBot="1">
      <c r="B1044" s="260" t="s">
        <v>356</v>
      </c>
      <c r="C1044" s="248"/>
      <c r="D1044" s="647" t="e" cm="1">
        <f t="array" aca="1" ref="D1044" ca="1">INDIRECT("xHesaplama!I"&amp;""&amp;ROW(D1044)+70-7*ROUNDDOWN(ROW(D1044)/8,0))</f>
        <v>#N/A</v>
      </c>
      <c r="E1044" s="648"/>
      <c r="F1044" s="648"/>
      <c r="G1044" s="649"/>
    </row>
    <row r="1045" spans="2:9" ht="31.5" customHeight="1" thickBot="1">
      <c r="B1045" s="260" t="s">
        <v>874</v>
      </c>
      <c r="C1045" s="248"/>
      <c r="D1045" s="650" t="str">
        <f>$H$1</f>
        <v>BOX</v>
      </c>
      <c r="E1045" s="651"/>
      <c r="F1045" s="651"/>
      <c r="G1045" s="652"/>
    </row>
    <row r="1046" spans="2:9" ht="31.5" customHeight="1" thickBot="1">
      <c r="B1046" s="260" t="s">
        <v>875</v>
      </c>
      <c r="C1046" s="248"/>
      <c r="D1046" s="653" t="str">
        <f>'1PROJE'!$G$3</f>
        <v>Z 5001</v>
      </c>
      <c r="E1046" s="654"/>
      <c r="F1046" s="654"/>
      <c r="G1046" s="655"/>
      <c r="I1046" s="250"/>
    </row>
    <row r="1047" spans="2:9" ht="31.5" customHeight="1" thickBot="1">
      <c r="B1047" s="260" t="s">
        <v>876</v>
      </c>
      <c r="D1047" s="653" cm="1">
        <f t="array" aca="1" ref="D1047" ca="1">INDIRECT("xHesaplama!H"&amp;""&amp;ROW(D1044)+70-7*ROUNDDOWN(ROW(D1044)/8,0))</f>
        <v>0</v>
      </c>
      <c r="E1047" s="654"/>
      <c r="F1047" s="654"/>
      <c r="G1047" s="655"/>
    </row>
    <row r="1048" spans="2:9" ht="31.5" customHeight="1" thickBot="1">
      <c r="B1048" s="260" t="s">
        <v>877</v>
      </c>
      <c r="D1048" s="252" t="s">
        <v>878</v>
      </c>
      <c r="E1048" s="253" t="e" cm="1">
        <f t="array" aca="1" ref="E1048" ca="1">INDIRECT("xHesaplama!J"&amp;""&amp;ROW(D1044)+70-7*ROUNDDOWN(ROW(D1044)/8,0))</f>
        <v>#N/A</v>
      </c>
      <c r="F1048" s="254" t="s">
        <v>879</v>
      </c>
      <c r="G1048" s="253" t="e" cm="1">
        <f t="array" aca="1" ref="G1048" ca="1">INDIRECT("xHesaplama!K"&amp;""&amp;ROW(D1044)+70-7*ROUNDDOWN(ROW(D1044)/8,0))</f>
        <v>#N/A</v>
      </c>
    </row>
    <row r="1049" spans="2:9" ht="69" customHeight="1" thickBot="1">
      <c r="B1049" s="259" t="s">
        <v>869</v>
      </c>
      <c r="C1049" s="248"/>
      <c r="D1049" s="656"/>
      <c r="E1049" s="656"/>
      <c r="F1049" s="656"/>
      <c r="G1049" s="656"/>
    </row>
    <row r="1050" spans="2:9" ht="31.5" customHeight="1" thickBot="1">
      <c r="B1050" s="260" t="s">
        <v>872</v>
      </c>
      <c r="C1050" s="248"/>
      <c r="D1050" s="657" t="str">
        <f>'1PROJE'!$E$3</f>
        <v>GÜNEŞ PEN</v>
      </c>
      <c r="E1050" s="658"/>
      <c r="F1050" s="658"/>
      <c r="G1050" s="659"/>
    </row>
    <row r="1051" spans="2:9" ht="31.5" customHeight="1" thickBot="1">
      <c r="B1051" s="260" t="s">
        <v>873</v>
      </c>
      <c r="C1051" s="248"/>
      <c r="D1051" s="644" t="str">
        <f>'1PROJE'!$F$3</f>
        <v>GÜRKAN BEY</v>
      </c>
      <c r="E1051" s="645"/>
      <c r="F1051" s="645"/>
      <c r="G1051" s="646"/>
    </row>
    <row r="1052" spans="2:9" ht="31.5" customHeight="1" thickBot="1">
      <c r="B1052" s="260" t="s">
        <v>356</v>
      </c>
      <c r="C1052" s="248"/>
      <c r="D1052" s="647" t="e" cm="1">
        <f t="array" aca="1" ref="D1052" ca="1">INDIRECT("xHesaplama!I"&amp;""&amp;ROW(D1052)+70-7*ROUNDDOWN(ROW(D1052)/8,0))</f>
        <v>#N/A</v>
      </c>
      <c r="E1052" s="648"/>
      <c r="F1052" s="648"/>
      <c r="G1052" s="649"/>
    </row>
    <row r="1053" spans="2:9" ht="31.5" customHeight="1" thickBot="1">
      <c r="B1053" s="260" t="s">
        <v>874</v>
      </c>
      <c r="C1053" s="248"/>
      <c r="D1053" s="650" t="str">
        <f>$H$1</f>
        <v>BOX</v>
      </c>
      <c r="E1053" s="651"/>
      <c r="F1053" s="651"/>
      <c r="G1053" s="652"/>
    </row>
    <row r="1054" spans="2:9" ht="31.5" customHeight="1" thickBot="1">
      <c r="B1054" s="260" t="s">
        <v>875</v>
      </c>
      <c r="C1054" s="248"/>
      <c r="D1054" s="653" t="str">
        <f>'1PROJE'!$G$3</f>
        <v>Z 5001</v>
      </c>
      <c r="E1054" s="654"/>
      <c r="F1054" s="654"/>
      <c r="G1054" s="655"/>
      <c r="I1054" s="250"/>
    </row>
    <row r="1055" spans="2:9" ht="31.5" customHeight="1" thickBot="1">
      <c r="B1055" s="260" t="s">
        <v>876</v>
      </c>
      <c r="D1055" s="653" cm="1">
        <f t="array" aca="1" ref="D1055" ca="1">INDIRECT("xHesaplama!H"&amp;""&amp;ROW(D1052)+70-7*ROUNDDOWN(ROW(D1052)/8,0))</f>
        <v>0</v>
      </c>
      <c r="E1055" s="654"/>
      <c r="F1055" s="654"/>
      <c r="G1055" s="655"/>
    </row>
    <row r="1056" spans="2:9" ht="31.5" customHeight="1" thickBot="1">
      <c r="B1056" s="260" t="s">
        <v>877</v>
      </c>
      <c r="D1056" s="252" t="s">
        <v>878</v>
      </c>
      <c r="E1056" s="253" t="e" cm="1">
        <f t="array" aca="1" ref="E1056" ca="1">INDIRECT("xHesaplama!J"&amp;""&amp;ROW(D1052)+70-7*ROUNDDOWN(ROW(D1052)/8,0))</f>
        <v>#N/A</v>
      </c>
      <c r="F1056" s="254" t="s">
        <v>879</v>
      </c>
      <c r="G1056" s="253" t="e" cm="1">
        <f t="array" aca="1" ref="G1056" ca="1">INDIRECT("xHesaplama!K"&amp;""&amp;ROW(D1052)+70-7*ROUNDDOWN(ROW(D1052)/8,0))</f>
        <v>#N/A</v>
      </c>
    </row>
    <row r="1057" spans="2:9" ht="69" customHeight="1" thickBot="1">
      <c r="B1057" s="259" t="s">
        <v>869</v>
      </c>
      <c r="C1057" s="248"/>
      <c r="D1057" s="656"/>
      <c r="E1057" s="656"/>
      <c r="F1057" s="656"/>
      <c r="G1057" s="656"/>
    </row>
    <row r="1058" spans="2:9" ht="31.5" customHeight="1" thickBot="1">
      <c r="B1058" s="260" t="s">
        <v>872</v>
      </c>
      <c r="C1058" s="248"/>
      <c r="D1058" s="657" t="str">
        <f>'1PROJE'!$E$3</f>
        <v>GÜNEŞ PEN</v>
      </c>
      <c r="E1058" s="658"/>
      <c r="F1058" s="658"/>
      <c r="G1058" s="659"/>
    </row>
    <row r="1059" spans="2:9" ht="31.5" customHeight="1" thickBot="1">
      <c r="B1059" s="260" t="s">
        <v>873</v>
      </c>
      <c r="C1059" s="248"/>
      <c r="D1059" s="644" t="str">
        <f>'1PROJE'!$F$3</f>
        <v>GÜRKAN BEY</v>
      </c>
      <c r="E1059" s="645"/>
      <c r="F1059" s="645"/>
      <c r="G1059" s="646"/>
    </row>
    <row r="1060" spans="2:9" ht="31.5" customHeight="1" thickBot="1">
      <c r="B1060" s="260" t="s">
        <v>356</v>
      </c>
      <c r="C1060" s="248"/>
      <c r="D1060" s="647" t="e" cm="1">
        <f t="array" aca="1" ref="D1060" ca="1">INDIRECT("xHesaplama!I"&amp;""&amp;ROW(D1060)+70-7*ROUNDDOWN(ROW(D1060)/8,0))</f>
        <v>#N/A</v>
      </c>
      <c r="E1060" s="648"/>
      <c r="F1060" s="648"/>
      <c r="G1060" s="649"/>
    </row>
    <row r="1061" spans="2:9" ht="31.5" customHeight="1" thickBot="1">
      <c r="B1061" s="260" t="s">
        <v>874</v>
      </c>
      <c r="C1061" s="248"/>
      <c r="D1061" s="650" t="str">
        <f>$H$1</f>
        <v>BOX</v>
      </c>
      <c r="E1061" s="651"/>
      <c r="F1061" s="651"/>
      <c r="G1061" s="652"/>
    </row>
    <row r="1062" spans="2:9" ht="31.5" customHeight="1" thickBot="1">
      <c r="B1062" s="260" t="s">
        <v>875</v>
      </c>
      <c r="C1062" s="248"/>
      <c r="D1062" s="653" t="str">
        <f>'1PROJE'!$G$3</f>
        <v>Z 5001</v>
      </c>
      <c r="E1062" s="654"/>
      <c r="F1062" s="654"/>
      <c r="G1062" s="655"/>
      <c r="I1062" s="250"/>
    </row>
    <row r="1063" spans="2:9" ht="31.5" customHeight="1" thickBot="1">
      <c r="B1063" s="260" t="s">
        <v>876</v>
      </c>
      <c r="D1063" s="653" cm="1">
        <f t="array" aca="1" ref="D1063" ca="1">INDIRECT("xHesaplama!H"&amp;""&amp;ROW(D1060)+70-7*ROUNDDOWN(ROW(D1060)/8,0))</f>
        <v>0</v>
      </c>
      <c r="E1063" s="654"/>
      <c r="F1063" s="654"/>
      <c r="G1063" s="655"/>
    </row>
    <row r="1064" spans="2:9" ht="31.5" customHeight="1" thickBot="1">
      <c r="B1064" s="260" t="s">
        <v>877</v>
      </c>
      <c r="D1064" s="252" t="s">
        <v>878</v>
      </c>
      <c r="E1064" s="253" t="e" cm="1">
        <f t="array" aca="1" ref="E1064" ca="1">INDIRECT("xHesaplama!J"&amp;""&amp;ROW(D1060)+70-7*ROUNDDOWN(ROW(D1060)/8,0))</f>
        <v>#N/A</v>
      </c>
      <c r="F1064" s="254" t="s">
        <v>879</v>
      </c>
      <c r="G1064" s="253" t="e" cm="1">
        <f t="array" aca="1" ref="G1064" ca="1">INDIRECT("xHesaplama!K"&amp;""&amp;ROW(D1060)+70-7*ROUNDDOWN(ROW(D1060)/8,0))</f>
        <v>#N/A</v>
      </c>
    </row>
    <row r="1065" spans="2:9" ht="69" customHeight="1" thickBot="1">
      <c r="B1065" s="259" t="s">
        <v>869</v>
      </c>
      <c r="C1065" s="248"/>
      <c r="D1065" s="656"/>
      <c r="E1065" s="656"/>
      <c r="F1065" s="656"/>
      <c r="G1065" s="656"/>
    </row>
    <row r="1066" spans="2:9" ht="31.5" customHeight="1" thickBot="1">
      <c r="B1066" s="260" t="s">
        <v>872</v>
      </c>
      <c r="C1066" s="248"/>
      <c r="D1066" s="657" t="str">
        <f>'1PROJE'!$E$3</f>
        <v>GÜNEŞ PEN</v>
      </c>
      <c r="E1066" s="658"/>
      <c r="F1066" s="658"/>
      <c r="G1066" s="659"/>
    </row>
    <row r="1067" spans="2:9" ht="31.5" customHeight="1" thickBot="1">
      <c r="B1067" s="260" t="s">
        <v>873</v>
      </c>
      <c r="C1067" s="248"/>
      <c r="D1067" s="644" t="str">
        <f>'1PROJE'!$F$3</f>
        <v>GÜRKAN BEY</v>
      </c>
      <c r="E1067" s="645"/>
      <c r="F1067" s="645"/>
      <c r="G1067" s="646"/>
    </row>
    <row r="1068" spans="2:9" ht="31.5" customHeight="1" thickBot="1">
      <c r="B1068" s="260" t="s">
        <v>356</v>
      </c>
      <c r="C1068" s="248"/>
      <c r="D1068" s="647" t="e" cm="1">
        <f t="array" aca="1" ref="D1068" ca="1">INDIRECT("xHesaplama!I"&amp;""&amp;ROW(D1068)+70-7*ROUNDDOWN(ROW(D1068)/8,0))</f>
        <v>#N/A</v>
      </c>
      <c r="E1068" s="648"/>
      <c r="F1068" s="648"/>
      <c r="G1068" s="649"/>
    </row>
    <row r="1069" spans="2:9" ht="31.5" customHeight="1" thickBot="1">
      <c r="B1069" s="260" t="s">
        <v>874</v>
      </c>
      <c r="C1069" s="248"/>
      <c r="D1069" s="650" t="str">
        <f>$H$1</f>
        <v>BOX</v>
      </c>
      <c r="E1069" s="651"/>
      <c r="F1069" s="651"/>
      <c r="G1069" s="652"/>
    </row>
    <row r="1070" spans="2:9" ht="31.5" customHeight="1" thickBot="1">
      <c r="B1070" s="260" t="s">
        <v>875</v>
      </c>
      <c r="C1070" s="248"/>
      <c r="D1070" s="653" t="str">
        <f>'1PROJE'!$G$3</f>
        <v>Z 5001</v>
      </c>
      <c r="E1070" s="654"/>
      <c r="F1070" s="654"/>
      <c r="G1070" s="655"/>
      <c r="I1070" s="250"/>
    </row>
    <row r="1071" spans="2:9" ht="31.5" customHeight="1" thickBot="1">
      <c r="B1071" s="260" t="s">
        <v>876</v>
      </c>
      <c r="D1071" s="653" cm="1">
        <f t="array" aca="1" ref="D1071" ca="1">INDIRECT("xHesaplama!H"&amp;""&amp;ROW(D1068)+70-7*ROUNDDOWN(ROW(D1068)/8,0))</f>
        <v>0</v>
      </c>
      <c r="E1071" s="654"/>
      <c r="F1071" s="654"/>
      <c r="G1071" s="655"/>
    </row>
    <row r="1072" spans="2:9" ht="31.5" customHeight="1" thickBot="1">
      <c r="B1072" s="260" t="s">
        <v>877</v>
      </c>
      <c r="D1072" s="252" t="s">
        <v>878</v>
      </c>
      <c r="E1072" s="253" t="e" cm="1">
        <f t="array" aca="1" ref="E1072" ca="1">INDIRECT("xHesaplama!J"&amp;""&amp;ROW(D1068)+70-7*ROUNDDOWN(ROW(D1068)/8,0))</f>
        <v>#N/A</v>
      </c>
      <c r="F1072" s="254" t="s">
        <v>879</v>
      </c>
      <c r="G1072" s="253" t="e" cm="1">
        <f t="array" aca="1" ref="G1072" ca="1">INDIRECT("xHesaplama!K"&amp;""&amp;ROW(D1068)+70-7*ROUNDDOWN(ROW(D1068)/8,0))</f>
        <v>#N/A</v>
      </c>
    </row>
    <row r="1073" spans="2:9" ht="69" customHeight="1" thickBot="1">
      <c r="B1073" s="259" t="s">
        <v>869</v>
      </c>
      <c r="C1073" s="248"/>
      <c r="D1073" s="656"/>
      <c r="E1073" s="656"/>
      <c r="F1073" s="656"/>
      <c r="G1073" s="656"/>
    </row>
    <row r="1074" spans="2:9" ht="31.5" customHeight="1" thickBot="1">
      <c r="B1074" s="260" t="s">
        <v>872</v>
      </c>
      <c r="C1074" s="248"/>
      <c r="D1074" s="657" t="str">
        <f>'1PROJE'!$E$3</f>
        <v>GÜNEŞ PEN</v>
      </c>
      <c r="E1074" s="658"/>
      <c r="F1074" s="658"/>
      <c r="G1074" s="659"/>
    </row>
    <row r="1075" spans="2:9" ht="31.5" customHeight="1" thickBot="1">
      <c r="B1075" s="260" t="s">
        <v>873</v>
      </c>
      <c r="C1075" s="248"/>
      <c r="D1075" s="644" t="str">
        <f>'1PROJE'!$F$3</f>
        <v>GÜRKAN BEY</v>
      </c>
      <c r="E1075" s="645"/>
      <c r="F1075" s="645"/>
      <c r="G1075" s="646"/>
    </row>
    <row r="1076" spans="2:9" ht="31.5" customHeight="1" thickBot="1">
      <c r="B1076" s="260" t="s">
        <v>356</v>
      </c>
      <c r="C1076" s="248"/>
      <c r="D1076" s="647" t="e" cm="1">
        <f t="array" aca="1" ref="D1076" ca="1">INDIRECT("xHesaplama!I"&amp;""&amp;ROW(D1076)+70-7*ROUNDDOWN(ROW(D1076)/8,0))</f>
        <v>#N/A</v>
      </c>
      <c r="E1076" s="648"/>
      <c r="F1076" s="648"/>
      <c r="G1076" s="649"/>
    </row>
    <row r="1077" spans="2:9" ht="31.5" customHeight="1" thickBot="1">
      <c r="B1077" s="260" t="s">
        <v>874</v>
      </c>
      <c r="C1077" s="248"/>
      <c r="D1077" s="650" t="str">
        <f>$H$1</f>
        <v>BOX</v>
      </c>
      <c r="E1077" s="651"/>
      <c r="F1077" s="651"/>
      <c r="G1077" s="652"/>
    </row>
    <row r="1078" spans="2:9" ht="31.5" customHeight="1" thickBot="1">
      <c r="B1078" s="260" t="s">
        <v>875</v>
      </c>
      <c r="C1078" s="248"/>
      <c r="D1078" s="653" t="str">
        <f>'1PROJE'!$G$3</f>
        <v>Z 5001</v>
      </c>
      <c r="E1078" s="654"/>
      <c r="F1078" s="654"/>
      <c r="G1078" s="655"/>
      <c r="I1078" s="250"/>
    </row>
    <row r="1079" spans="2:9" ht="31.5" customHeight="1" thickBot="1">
      <c r="B1079" s="260" t="s">
        <v>876</v>
      </c>
      <c r="D1079" s="653" cm="1">
        <f t="array" aca="1" ref="D1079" ca="1">INDIRECT("xHesaplama!H"&amp;""&amp;ROW(D1076)+70-7*ROUNDDOWN(ROW(D1076)/8,0))</f>
        <v>0</v>
      </c>
      <c r="E1079" s="654"/>
      <c r="F1079" s="654"/>
      <c r="G1079" s="655"/>
    </row>
    <row r="1080" spans="2:9" ht="31.5" customHeight="1" thickBot="1">
      <c r="B1080" s="260" t="s">
        <v>877</v>
      </c>
      <c r="D1080" s="252" t="s">
        <v>878</v>
      </c>
      <c r="E1080" s="253" t="e" cm="1">
        <f t="array" aca="1" ref="E1080" ca="1">INDIRECT("xHesaplama!J"&amp;""&amp;ROW(D1076)+70-7*ROUNDDOWN(ROW(D1076)/8,0))</f>
        <v>#N/A</v>
      </c>
      <c r="F1080" s="254" t="s">
        <v>879</v>
      </c>
      <c r="G1080" s="253" t="e" cm="1">
        <f t="array" aca="1" ref="G1080" ca="1">INDIRECT("xHesaplama!K"&amp;""&amp;ROW(D1076)+70-7*ROUNDDOWN(ROW(D1076)/8,0))</f>
        <v>#N/A</v>
      </c>
    </row>
    <row r="1081" spans="2:9" ht="69" customHeight="1" thickBot="1">
      <c r="B1081" s="259" t="s">
        <v>869</v>
      </c>
      <c r="C1081" s="248"/>
      <c r="D1081" s="656"/>
      <c r="E1081" s="656"/>
      <c r="F1081" s="656"/>
      <c r="G1081" s="656"/>
    </row>
    <row r="1082" spans="2:9" ht="31.5" customHeight="1" thickBot="1">
      <c r="B1082" s="260" t="s">
        <v>872</v>
      </c>
      <c r="C1082" s="248"/>
      <c r="D1082" s="657" t="str">
        <f>'1PROJE'!$E$3</f>
        <v>GÜNEŞ PEN</v>
      </c>
      <c r="E1082" s="658"/>
      <c r="F1082" s="658"/>
      <c r="G1082" s="659"/>
    </row>
    <row r="1083" spans="2:9" ht="31.5" customHeight="1" thickBot="1">
      <c r="B1083" s="260" t="s">
        <v>873</v>
      </c>
      <c r="C1083" s="248"/>
      <c r="D1083" s="644" t="str">
        <f>'1PROJE'!$F$3</f>
        <v>GÜRKAN BEY</v>
      </c>
      <c r="E1083" s="645"/>
      <c r="F1083" s="645"/>
      <c r="G1083" s="646"/>
    </row>
    <row r="1084" spans="2:9" ht="31.5" customHeight="1" thickBot="1">
      <c r="B1084" s="260" t="s">
        <v>356</v>
      </c>
      <c r="C1084" s="248"/>
      <c r="D1084" s="647" t="e" cm="1">
        <f t="array" aca="1" ref="D1084" ca="1">INDIRECT("xHesaplama!I"&amp;""&amp;ROW(D1084)+70-7*ROUNDDOWN(ROW(D1084)/8,0))</f>
        <v>#N/A</v>
      </c>
      <c r="E1084" s="648"/>
      <c r="F1084" s="648"/>
      <c r="G1084" s="649"/>
    </row>
    <row r="1085" spans="2:9" ht="31.5" customHeight="1" thickBot="1">
      <c r="B1085" s="260" t="s">
        <v>874</v>
      </c>
      <c r="C1085" s="248"/>
      <c r="D1085" s="650" t="str">
        <f>$H$1</f>
        <v>BOX</v>
      </c>
      <c r="E1085" s="651"/>
      <c r="F1085" s="651"/>
      <c r="G1085" s="652"/>
    </row>
    <row r="1086" spans="2:9" ht="31.5" customHeight="1" thickBot="1">
      <c r="B1086" s="260" t="s">
        <v>875</v>
      </c>
      <c r="C1086" s="248"/>
      <c r="D1086" s="653" t="str">
        <f>'1PROJE'!$G$3</f>
        <v>Z 5001</v>
      </c>
      <c r="E1086" s="654"/>
      <c r="F1086" s="654"/>
      <c r="G1086" s="655"/>
      <c r="I1086" s="250"/>
    </row>
    <row r="1087" spans="2:9" ht="31.5" customHeight="1" thickBot="1">
      <c r="B1087" s="260" t="s">
        <v>876</v>
      </c>
      <c r="D1087" s="653" cm="1">
        <f t="array" aca="1" ref="D1087" ca="1">INDIRECT("xHesaplama!H"&amp;""&amp;ROW(D1084)+70-7*ROUNDDOWN(ROW(D1084)/8,0))</f>
        <v>0</v>
      </c>
      <c r="E1087" s="654"/>
      <c r="F1087" s="654"/>
      <c r="G1087" s="655"/>
    </row>
    <row r="1088" spans="2:9" ht="31.5" customHeight="1" thickBot="1">
      <c r="B1088" s="260" t="s">
        <v>877</v>
      </c>
      <c r="D1088" s="252" t="s">
        <v>878</v>
      </c>
      <c r="E1088" s="253" t="e" cm="1">
        <f t="array" aca="1" ref="E1088" ca="1">INDIRECT("xHesaplama!J"&amp;""&amp;ROW(D1084)+70-7*ROUNDDOWN(ROW(D1084)/8,0))</f>
        <v>#N/A</v>
      </c>
      <c r="F1088" s="254" t="s">
        <v>879</v>
      </c>
      <c r="G1088" s="253" t="e" cm="1">
        <f t="array" aca="1" ref="G1088" ca="1">INDIRECT("xHesaplama!K"&amp;""&amp;ROW(D1084)+70-7*ROUNDDOWN(ROW(D1084)/8,0))</f>
        <v>#N/A</v>
      </c>
    </row>
    <row r="1089" spans="2:9" ht="69" customHeight="1" thickBot="1">
      <c r="B1089" s="259" t="s">
        <v>869</v>
      </c>
      <c r="C1089" s="248"/>
      <c r="D1089" s="656"/>
      <c r="E1089" s="656"/>
      <c r="F1089" s="656"/>
      <c r="G1089" s="656"/>
    </row>
    <row r="1090" spans="2:9" ht="31.5" customHeight="1" thickBot="1">
      <c r="B1090" s="260" t="s">
        <v>872</v>
      </c>
      <c r="C1090" s="248"/>
      <c r="D1090" s="657" t="str">
        <f>'1PROJE'!$E$3</f>
        <v>GÜNEŞ PEN</v>
      </c>
      <c r="E1090" s="658"/>
      <c r="F1090" s="658"/>
      <c r="G1090" s="659"/>
    </row>
    <row r="1091" spans="2:9" ht="31.5" customHeight="1" thickBot="1">
      <c r="B1091" s="260" t="s">
        <v>873</v>
      </c>
      <c r="C1091" s="248"/>
      <c r="D1091" s="644" t="str">
        <f>'1PROJE'!$F$3</f>
        <v>GÜRKAN BEY</v>
      </c>
      <c r="E1091" s="645"/>
      <c r="F1091" s="645"/>
      <c r="G1091" s="646"/>
    </row>
    <row r="1092" spans="2:9" ht="31.5" customHeight="1" thickBot="1">
      <c r="B1092" s="260" t="s">
        <v>356</v>
      </c>
      <c r="C1092" s="248"/>
      <c r="D1092" s="647" t="e" cm="1">
        <f t="array" aca="1" ref="D1092" ca="1">INDIRECT("xHesaplama!I"&amp;""&amp;ROW(D1092)+70-7*ROUNDDOWN(ROW(D1092)/8,0))</f>
        <v>#N/A</v>
      </c>
      <c r="E1092" s="648"/>
      <c r="F1092" s="648"/>
      <c r="G1092" s="649"/>
    </row>
    <row r="1093" spans="2:9" ht="31.5" customHeight="1" thickBot="1">
      <c r="B1093" s="260" t="s">
        <v>874</v>
      </c>
      <c r="C1093" s="248"/>
      <c r="D1093" s="650" t="str">
        <f>$H$1</f>
        <v>BOX</v>
      </c>
      <c r="E1093" s="651"/>
      <c r="F1093" s="651"/>
      <c r="G1093" s="652"/>
    </row>
    <row r="1094" spans="2:9" ht="31.5" customHeight="1" thickBot="1">
      <c r="B1094" s="260" t="s">
        <v>875</v>
      </c>
      <c r="C1094" s="248"/>
      <c r="D1094" s="653" t="str">
        <f>'1PROJE'!$G$3</f>
        <v>Z 5001</v>
      </c>
      <c r="E1094" s="654"/>
      <c r="F1094" s="654"/>
      <c r="G1094" s="655"/>
      <c r="I1094" s="250"/>
    </row>
    <row r="1095" spans="2:9" ht="31.5" customHeight="1" thickBot="1">
      <c r="B1095" s="260" t="s">
        <v>876</v>
      </c>
      <c r="D1095" s="653" cm="1">
        <f t="array" aca="1" ref="D1095" ca="1">INDIRECT("xHesaplama!H"&amp;""&amp;ROW(D1092)+70-7*ROUNDDOWN(ROW(D1092)/8,0))</f>
        <v>0</v>
      </c>
      <c r="E1095" s="654"/>
      <c r="F1095" s="654"/>
      <c r="G1095" s="655"/>
    </row>
    <row r="1096" spans="2:9" ht="31.5" customHeight="1" thickBot="1">
      <c r="B1096" s="260" t="s">
        <v>877</v>
      </c>
      <c r="D1096" s="252" t="s">
        <v>878</v>
      </c>
      <c r="E1096" s="253" t="e" cm="1">
        <f t="array" aca="1" ref="E1096" ca="1">INDIRECT("xHesaplama!J"&amp;""&amp;ROW(D1092)+70-7*ROUNDDOWN(ROW(D1092)/8,0))</f>
        <v>#N/A</v>
      </c>
      <c r="F1096" s="254" t="s">
        <v>879</v>
      </c>
      <c r="G1096" s="253" t="e" cm="1">
        <f t="array" aca="1" ref="G1096" ca="1">INDIRECT("xHesaplama!K"&amp;""&amp;ROW(D1092)+70-7*ROUNDDOWN(ROW(D1092)/8,0))</f>
        <v>#N/A</v>
      </c>
    </row>
    <row r="1097" spans="2:9" ht="69" customHeight="1" thickBot="1">
      <c r="B1097" s="259" t="s">
        <v>869</v>
      </c>
      <c r="C1097" s="248"/>
      <c r="D1097" s="656"/>
      <c r="E1097" s="656"/>
      <c r="F1097" s="656"/>
      <c r="G1097" s="656"/>
    </row>
    <row r="1098" spans="2:9" ht="31.5" customHeight="1" thickBot="1">
      <c r="B1098" s="260" t="s">
        <v>872</v>
      </c>
      <c r="C1098" s="248"/>
      <c r="D1098" s="657" t="str">
        <f>'1PROJE'!$E$3</f>
        <v>GÜNEŞ PEN</v>
      </c>
      <c r="E1098" s="658"/>
      <c r="F1098" s="658"/>
      <c r="G1098" s="659"/>
    </row>
    <row r="1099" spans="2:9" ht="31.5" customHeight="1" thickBot="1">
      <c r="B1099" s="260" t="s">
        <v>873</v>
      </c>
      <c r="C1099" s="248"/>
      <c r="D1099" s="644" t="str">
        <f>'1PROJE'!$F$3</f>
        <v>GÜRKAN BEY</v>
      </c>
      <c r="E1099" s="645"/>
      <c r="F1099" s="645"/>
      <c r="G1099" s="646"/>
    </row>
    <row r="1100" spans="2:9" ht="31.5" customHeight="1" thickBot="1">
      <c r="B1100" s="260" t="s">
        <v>356</v>
      </c>
      <c r="C1100" s="248"/>
      <c r="D1100" s="647" t="e" cm="1">
        <f t="array" aca="1" ref="D1100" ca="1">INDIRECT("xHesaplama!I"&amp;""&amp;ROW(D1100)+70-7*ROUNDDOWN(ROW(D1100)/8,0))</f>
        <v>#N/A</v>
      </c>
      <c r="E1100" s="648"/>
      <c r="F1100" s="648"/>
      <c r="G1100" s="649"/>
    </row>
    <row r="1101" spans="2:9" ht="31.5" customHeight="1" thickBot="1">
      <c r="B1101" s="260" t="s">
        <v>874</v>
      </c>
      <c r="C1101" s="248"/>
      <c r="D1101" s="650" t="str">
        <f>$H$1</f>
        <v>BOX</v>
      </c>
      <c r="E1101" s="651"/>
      <c r="F1101" s="651"/>
      <c r="G1101" s="652"/>
    </row>
    <row r="1102" spans="2:9" ht="31.5" customHeight="1" thickBot="1">
      <c r="B1102" s="260" t="s">
        <v>875</v>
      </c>
      <c r="C1102" s="248"/>
      <c r="D1102" s="653" t="str">
        <f>'1PROJE'!$G$3</f>
        <v>Z 5001</v>
      </c>
      <c r="E1102" s="654"/>
      <c r="F1102" s="654"/>
      <c r="G1102" s="655"/>
      <c r="I1102" s="250"/>
    </row>
    <row r="1103" spans="2:9" ht="31.5" customHeight="1" thickBot="1">
      <c r="B1103" s="260" t="s">
        <v>876</v>
      </c>
      <c r="D1103" s="653" cm="1">
        <f t="array" aca="1" ref="D1103" ca="1">INDIRECT("xHesaplama!H"&amp;""&amp;ROW(D1100)+70-7*ROUNDDOWN(ROW(D1100)/8,0))</f>
        <v>0</v>
      </c>
      <c r="E1103" s="654"/>
      <c r="F1103" s="654"/>
      <c r="G1103" s="655"/>
    </row>
    <row r="1104" spans="2:9" ht="31.5" customHeight="1" thickBot="1">
      <c r="B1104" s="260" t="s">
        <v>877</v>
      </c>
      <c r="D1104" s="252" t="s">
        <v>878</v>
      </c>
      <c r="E1104" s="253" t="e" cm="1">
        <f t="array" aca="1" ref="E1104" ca="1">INDIRECT("xHesaplama!J"&amp;""&amp;ROW(D1100)+70-7*ROUNDDOWN(ROW(D1100)/8,0))</f>
        <v>#N/A</v>
      </c>
      <c r="F1104" s="254" t="s">
        <v>879</v>
      </c>
      <c r="G1104" s="253" t="e" cm="1">
        <f t="array" aca="1" ref="G1104" ca="1">INDIRECT("xHesaplama!K"&amp;""&amp;ROW(D1100)+70-7*ROUNDDOWN(ROW(D1100)/8,0))</f>
        <v>#N/A</v>
      </c>
    </row>
    <row r="1105" spans="2:9" ht="69" customHeight="1" thickBot="1">
      <c r="B1105" s="259" t="s">
        <v>869</v>
      </c>
      <c r="C1105" s="248"/>
      <c r="D1105" s="656"/>
      <c r="E1105" s="656"/>
      <c r="F1105" s="656"/>
      <c r="G1105" s="656"/>
    </row>
    <row r="1106" spans="2:9" ht="31.5" customHeight="1" thickBot="1">
      <c r="B1106" s="260" t="s">
        <v>872</v>
      </c>
      <c r="C1106" s="248"/>
      <c r="D1106" s="657" t="str">
        <f>'1PROJE'!$E$3</f>
        <v>GÜNEŞ PEN</v>
      </c>
      <c r="E1106" s="658"/>
      <c r="F1106" s="658"/>
      <c r="G1106" s="659"/>
    </row>
    <row r="1107" spans="2:9" ht="31.5" customHeight="1" thickBot="1">
      <c r="B1107" s="260" t="s">
        <v>873</v>
      </c>
      <c r="C1107" s="248"/>
      <c r="D1107" s="644" t="str">
        <f>'1PROJE'!$F$3</f>
        <v>GÜRKAN BEY</v>
      </c>
      <c r="E1107" s="645"/>
      <c r="F1107" s="645"/>
      <c r="G1107" s="646"/>
    </row>
    <row r="1108" spans="2:9" ht="31.5" customHeight="1" thickBot="1">
      <c r="B1108" s="260" t="s">
        <v>356</v>
      </c>
      <c r="C1108" s="248"/>
      <c r="D1108" s="647" t="e" cm="1">
        <f t="array" aca="1" ref="D1108" ca="1">INDIRECT("xHesaplama!I"&amp;""&amp;ROW(D1108)+70-7*ROUNDDOWN(ROW(D1108)/8,0))</f>
        <v>#N/A</v>
      </c>
      <c r="E1108" s="648"/>
      <c r="F1108" s="648"/>
      <c r="G1108" s="649"/>
    </row>
    <row r="1109" spans="2:9" ht="31.5" customHeight="1" thickBot="1">
      <c r="B1109" s="260" t="s">
        <v>874</v>
      </c>
      <c r="C1109" s="248"/>
      <c r="D1109" s="650" t="str">
        <f>$H$1</f>
        <v>BOX</v>
      </c>
      <c r="E1109" s="651"/>
      <c r="F1109" s="651"/>
      <c r="G1109" s="652"/>
    </row>
    <row r="1110" spans="2:9" ht="31.5" customHeight="1" thickBot="1">
      <c r="B1110" s="260" t="s">
        <v>875</v>
      </c>
      <c r="C1110" s="248"/>
      <c r="D1110" s="653" t="str">
        <f>'1PROJE'!$G$3</f>
        <v>Z 5001</v>
      </c>
      <c r="E1110" s="654"/>
      <c r="F1110" s="654"/>
      <c r="G1110" s="655"/>
      <c r="I1110" s="250"/>
    </row>
    <row r="1111" spans="2:9" ht="31.5" customHeight="1" thickBot="1">
      <c r="B1111" s="260" t="s">
        <v>876</v>
      </c>
      <c r="D1111" s="653" cm="1">
        <f t="array" aca="1" ref="D1111" ca="1">INDIRECT("xHesaplama!H"&amp;""&amp;ROW(D1108)+70-7*ROUNDDOWN(ROW(D1108)/8,0))</f>
        <v>0</v>
      </c>
      <c r="E1111" s="654"/>
      <c r="F1111" s="654"/>
      <c r="G1111" s="655"/>
    </row>
    <row r="1112" spans="2:9" ht="31.5" customHeight="1" thickBot="1">
      <c r="B1112" s="260" t="s">
        <v>877</v>
      </c>
      <c r="D1112" s="252" t="s">
        <v>878</v>
      </c>
      <c r="E1112" s="253" t="e" cm="1">
        <f t="array" aca="1" ref="E1112" ca="1">INDIRECT("xHesaplama!J"&amp;""&amp;ROW(D1108)+70-7*ROUNDDOWN(ROW(D1108)/8,0))</f>
        <v>#N/A</v>
      </c>
      <c r="F1112" s="254" t="s">
        <v>879</v>
      </c>
      <c r="G1112" s="253" t="e" cm="1">
        <f t="array" aca="1" ref="G1112" ca="1">INDIRECT("xHesaplama!K"&amp;""&amp;ROW(D1108)+70-7*ROUNDDOWN(ROW(D1108)/8,0))</f>
        <v>#N/A</v>
      </c>
    </row>
    <row r="1113" spans="2:9" ht="69" customHeight="1" thickBot="1">
      <c r="B1113" s="259" t="s">
        <v>869</v>
      </c>
      <c r="C1113" s="248"/>
      <c r="D1113" s="656"/>
      <c r="E1113" s="656"/>
      <c r="F1113" s="656"/>
      <c r="G1113" s="656"/>
    </row>
    <row r="1114" spans="2:9" ht="31.5" customHeight="1" thickBot="1">
      <c r="B1114" s="260" t="s">
        <v>872</v>
      </c>
      <c r="C1114" s="248"/>
      <c r="D1114" s="657" t="str">
        <f>'1PROJE'!$E$3</f>
        <v>GÜNEŞ PEN</v>
      </c>
      <c r="E1114" s="658"/>
      <c r="F1114" s="658"/>
      <c r="G1114" s="659"/>
    </row>
    <row r="1115" spans="2:9" ht="31.5" customHeight="1" thickBot="1">
      <c r="B1115" s="260" t="s">
        <v>873</v>
      </c>
      <c r="C1115" s="248"/>
      <c r="D1115" s="644" t="str">
        <f>'1PROJE'!$F$3</f>
        <v>GÜRKAN BEY</v>
      </c>
      <c r="E1115" s="645"/>
      <c r="F1115" s="645"/>
      <c r="G1115" s="646"/>
    </row>
    <row r="1116" spans="2:9" ht="31.5" customHeight="1" thickBot="1">
      <c r="B1116" s="260" t="s">
        <v>356</v>
      </c>
      <c r="C1116" s="248"/>
      <c r="D1116" s="647" t="e" cm="1">
        <f t="array" aca="1" ref="D1116" ca="1">INDIRECT("xHesaplama!I"&amp;""&amp;ROW(D1116)+70-7*ROUNDDOWN(ROW(D1116)/8,0))</f>
        <v>#N/A</v>
      </c>
      <c r="E1116" s="648"/>
      <c r="F1116" s="648"/>
      <c r="G1116" s="649"/>
    </row>
    <row r="1117" spans="2:9" ht="31.5" customHeight="1" thickBot="1">
      <c r="B1117" s="260" t="s">
        <v>874</v>
      </c>
      <c r="C1117" s="248"/>
      <c r="D1117" s="650" t="str">
        <f>$H$1</f>
        <v>BOX</v>
      </c>
      <c r="E1117" s="651"/>
      <c r="F1117" s="651"/>
      <c r="G1117" s="652"/>
    </row>
    <row r="1118" spans="2:9" ht="31.5" customHeight="1" thickBot="1">
      <c r="B1118" s="260" t="s">
        <v>875</v>
      </c>
      <c r="C1118" s="248"/>
      <c r="D1118" s="653" t="str">
        <f>'1PROJE'!$G$3</f>
        <v>Z 5001</v>
      </c>
      <c r="E1118" s="654"/>
      <c r="F1118" s="654"/>
      <c r="G1118" s="655"/>
      <c r="I1118" s="250"/>
    </row>
    <row r="1119" spans="2:9" ht="31.5" customHeight="1" thickBot="1">
      <c r="B1119" s="260" t="s">
        <v>876</v>
      </c>
      <c r="D1119" s="653" cm="1">
        <f t="array" aca="1" ref="D1119" ca="1">INDIRECT("xHesaplama!H"&amp;""&amp;ROW(D1116)+70-7*ROUNDDOWN(ROW(D1116)/8,0))</f>
        <v>0</v>
      </c>
      <c r="E1119" s="654"/>
      <c r="F1119" s="654"/>
      <c r="G1119" s="655"/>
    </row>
    <row r="1120" spans="2:9" ht="31.5" customHeight="1" thickBot="1">
      <c r="B1120" s="260" t="s">
        <v>877</v>
      </c>
      <c r="D1120" s="252" t="s">
        <v>878</v>
      </c>
      <c r="E1120" s="253" t="e" cm="1">
        <f t="array" aca="1" ref="E1120" ca="1">INDIRECT("xHesaplama!J"&amp;""&amp;ROW(D1116)+70-7*ROUNDDOWN(ROW(D1116)/8,0))</f>
        <v>#N/A</v>
      </c>
      <c r="F1120" s="254" t="s">
        <v>879</v>
      </c>
      <c r="G1120" s="253" t="e" cm="1">
        <f t="array" aca="1" ref="G1120" ca="1">INDIRECT("xHesaplama!K"&amp;""&amp;ROW(D1116)+70-7*ROUNDDOWN(ROW(D1116)/8,0))</f>
        <v>#N/A</v>
      </c>
    </row>
    <row r="1121" spans="2:9" ht="69" customHeight="1" thickBot="1">
      <c r="B1121" s="259" t="s">
        <v>869</v>
      </c>
      <c r="C1121" s="248"/>
      <c r="D1121" s="656"/>
      <c r="E1121" s="656"/>
      <c r="F1121" s="656"/>
      <c r="G1121" s="656"/>
    </row>
    <row r="1122" spans="2:9" ht="31.5" customHeight="1" thickBot="1">
      <c r="B1122" s="260" t="s">
        <v>872</v>
      </c>
      <c r="C1122" s="248"/>
      <c r="D1122" s="657" t="str">
        <f>'1PROJE'!$E$3</f>
        <v>GÜNEŞ PEN</v>
      </c>
      <c r="E1122" s="658"/>
      <c r="F1122" s="658"/>
      <c r="G1122" s="659"/>
    </row>
    <row r="1123" spans="2:9" ht="31.5" customHeight="1" thickBot="1">
      <c r="B1123" s="260" t="s">
        <v>873</v>
      </c>
      <c r="C1123" s="248"/>
      <c r="D1123" s="644" t="str">
        <f>'1PROJE'!$F$3</f>
        <v>GÜRKAN BEY</v>
      </c>
      <c r="E1123" s="645"/>
      <c r="F1123" s="645"/>
      <c r="G1123" s="646"/>
    </row>
    <row r="1124" spans="2:9" ht="31.5" customHeight="1" thickBot="1">
      <c r="B1124" s="260" t="s">
        <v>356</v>
      </c>
      <c r="C1124" s="248"/>
      <c r="D1124" s="647" t="e" cm="1">
        <f t="array" aca="1" ref="D1124" ca="1">INDIRECT("xHesaplama!I"&amp;""&amp;ROW(D1124)+70-7*ROUNDDOWN(ROW(D1124)/8,0))</f>
        <v>#N/A</v>
      </c>
      <c r="E1124" s="648"/>
      <c r="F1124" s="648"/>
      <c r="G1124" s="649"/>
    </row>
    <row r="1125" spans="2:9" ht="31.5" customHeight="1" thickBot="1">
      <c r="B1125" s="260" t="s">
        <v>874</v>
      </c>
      <c r="C1125" s="248"/>
      <c r="D1125" s="650" t="str">
        <f>$H$1</f>
        <v>BOX</v>
      </c>
      <c r="E1125" s="651"/>
      <c r="F1125" s="651"/>
      <c r="G1125" s="652"/>
    </row>
    <row r="1126" spans="2:9" ht="31.5" customHeight="1" thickBot="1">
      <c r="B1126" s="260" t="s">
        <v>875</v>
      </c>
      <c r="C1126" s="248"/>
      <c r="D1126" s="653" t="str">
        <f>'1PROJE'!$G$3</f>
        <v>Z 5001</v>
      </c>
      <c r="E1126" s="654"/>
      <c r="F1126" s="654"/>
      <c r="G1126" s="655"/>
      <c r="I1126" s="250"/>
    </row>
    <row r="1127" spans="2:9" ht="31.5" customHeight="1" thickBot="1">
      <c r="B1127" s="260" t="s">
        <v>876</v>
      </c>
      <c r="D1127" s="653" cm="1">
        <f t="array" aca="1" ref="D1127" ca="1">INDIRECT("xHesaplama!H"&amp;""&amp;ROW(D1124)+70-7*ROUNDDOWN(ROW(D1124)/8,0))</f>
        <v>0</v>
      </c>
      <c r="E1127" s="654"/>
      <c r="F1127" s="654"/>
      <c r="G1127" s="655"/>
    </row>
    <row r="1128" spans="2:9" ht="31.5" customHeight="1" thickBot="1">
      <c r="B1128" s="260" t="s">
        <v>877</v>
      </c>
      <c r="D1128" s="252" t="s">
        <v>878</v>
      </c>
      <c r="E1128" s="253" t="e" cm="1">
        <f t="array" aca="1" ref="E1128" ca="1">INDIRECT("xHesaplama!J"&amp;""&amp;ROW(D1124)+70-7*ROUNDDOWN(ROW(D1124)/8,0))</f>
        <v>#N/A</v>
      </c>
      <c r="F1128" s="254" t="s">
        <v>879</v>
      </c>
      <c r="G1128" s="253" t="e" cm="1">
        <f t="array" aca="1" ref="G1128" ca="1">INDIRECT("xHesaplama!K"&amp;""&amp;ROW(D1124)+70-7*ROUNDDOWN(ROW(D1124)/8,0))</f>
        <v>#N/A</v>
      </c>
    </row>
    <row r="1129" spans="2:9" ht="69" customHeight="1" thickBot="1">
      <c r="B1129" s="259" t="s">
        <v>869</v>
      </c>
      <c r="C1129" s="248"/>
      <c r="D1129" s="656"/>
      <c r="E1129" s="656"/>
      <c r="F1129" s="656"/>
      <c r="G1129" s="656"/>
    </row>
    <row r="1130" spans="2:9" ht="31.5" customHeight="1" thickBot="1">
      <c r="B1130" s="260" t="s">
        <v>872</v>
      </c>
      <c r="C1130" s="248"/>
      <c r="D1130" s="657" t="str">
        <f>'1PROJE'!$E$3</f>
        <v>GÜNEŞ PEN</v>
      </c>
      <c r="E1130" s="658"/>
      <c r="F1130" s="658"/>
      <c r="G1130" s="659"/>
    </row>
    <row r="1131" spans="2:9" ht="31.5" customHeight="1" thickBot="1">
      <c r="B1131" s="260" t="s">
        <v>873</v>
      </c>
      <c r="C1131" s="248"/>
      <c r="D1131" s="644" t="str">
        <f>'1PROJE'!$F$3</f>
        <v>GÜRKAN BEY</v>
      </c>
      <c r="E1131" s="645"/>
      <c r="F1131" s="645"/>
      <c r="G1131" s="646"/>
    </row>
    <row r="1132" spans="2:9" ht="31.5" customHeight="1" thickBot="1">
      <c r="B1132" s="260" t="s">
        <v>356</v>
      </c>
      <c r="C1132" s="248"/>
      <c r="D1132" s="647" t="e" cm="1">
        <f t="array" aca="1" ref="D1132" ca="1">INDIRECT("xHesaplama!I"&amp;""&amp;ROW(D1132)+70-7*ROUNDDOWN(ROW(D1132)/8,0))</f>
        <v>#N/A</v>
      </c>
      <c r="E1132" s="648"/>
      <c r="F1132" s="648"/>
      <c r="G1132" s="649"/>
    </row>
    <row r="1133" spans="2:9" ht="31.5" customHeight="1" thickBot="1">
      <c r="B1133" s="260" t="s">
        <v>874</v>
      </c>
      <c r="C1133" s="248"/>
      <c r="D1133" s="650" t="str">
        <f>$H$1</f>
        <v>BOX</v>
      </c>
      <c r="E1133" s="651"/>
      <c r="F1133" s="651"/>
      <c r="G1133" s="652"/>
    </row>
    <row r="1134" spans="2:9" ht="31.5" customHeight="1" thickBot="1">
      <c r="B1134" s="260" t="s">
        <v>875</v>
      </c>
      <c r="C1134" s="248"/>
      <c r="D1134" s="653" t="str">
        <f>'1PROJE'!$G$3</f>
        <v>Z 5001</v>
      </c>
      <c r="E1134" s="654"/>
      <c r="F1134" s="654"/>
      <c r="G1134" s="655"/>
      <c r="I1134" s="250"/>
    </row>
    <row r="1135" spans="2:9" ht="31.5" customHeight="1" thickBot="1">
      <c r="B1135" s="260" t="s">
        <v>876</v>
      </c>
      <c r="D1135" s="653" cm="1">
        <f t="array" aca="1" ref="D1135" ca="1">INDIRECT("xHesaplama!H"&amp;""&amp;ROW(D1132)+70-7*ROUNDDOWN(ROW(D1132)/8,0))</f>
        <v>0</v>
      </c>
      <c r="E1135" s="654"/>
      <c r="F1135" s="654"/>
      <c r="G1135" s="655"/>
    </row>
    <row r="1136" spans="2:9" ht="31.5" customHeight="1" thickBot="1">
      <c r="B1136" s="260" t="s">
        <v>877</v>
      </c>
      <c r="D1136" s="252" t="s">
        <v>878</v>
      </c>
      <c r="E1136" s="253" t="e" cm="1">
        <f t="array" aca="1" ref="E1136" ca="1">INDIRECT("xHesaplama!J"&amp;""&amp;ROW(D1132)+70-7*ROUNDDOWN(ROW(D1132)/8,0))</f>
        <v>#N/A</v>
      </c>
      <c r="F1136" s="254" t="s">
        <v>879</v>
      </c>
      <c r="G1136" s="253" t="e" cm="1">
        <f t="array" aca="1" ref="G1136" ca="1">INDIRECT("xHesaplama!K"&amp;""&amp;ROW(D1132)+70-7*ROUNDDOWN(ROW(D1132)/8,0))</f>
        <v>#N/A</v>
      </c>
    </row>
    <row r="1137" spans="2:9" ht="69" customHeight="1" thickBot="1">
      <c r="B1137" s="259" t="s">
        <v>869</v>
      </c>
      <c r="C1137" s="248"/>
      <c r="D1137" s="656"/>
      <c r="E1137" s="656"/>
      <c r="F1137" s="656"/>
      <c r="G1137" s="656"/>
    </row>
    <row r="1138" spans="2:9" ht="31.5" customHeight="1" thickBot="1">
      <c r="B1138" s="260" t="s">
        <v>872</v>
      </c>
      <c r="C1138" s="248"/>
      <c r="D1138" s="657" t="str">
        <f>'1PROJE'!$E$3</f>
        <v>GÜNEŞ PEN</v>
      </c>
      <c r="E1138" s="658"/>
      <c r="F1138" s="658"/>
      <c r="G1138" s="659"/>
    </row>
    <row r="1139" spans="2:9" ht="31.5" customHeight="1" thickBot="1">
      <c r="B1139" s="260" t="s">
        <v>873</v>
      </c>
      <c r="C1139" s="248"/>
      <c r="D1139" s="644" t="str">
        <f>'1PROJE'!$F$3</f>
        <v>GÜRKAN BEY</v>
      </c>
      <c r="E1139" s="645"/>
      <c r="F1139" s="645"/>
      <c r="G1139" s="646"/>
    </row>
    <row r="1140" spans="2:9" ht="31.5" customHeight="1" thickBot="1">
      <c r="B1140" s="260" t="s">
        <v>356</v>
      </c>
      <c r="C1140" s="248"/>
      <c r="D1140" s="647" t="e" cm="1">
        <f t="array" aca="1" ref="D1140" ca="1">INDIRECT("xHesaplama!I"&amp;""&amp;ROW(D1140)+70-7*ROUNDDOWN(ROW(D1140)/8,0))</f>
        <v>#N/A</v>
      </c>
      <c r="E1140" s="648"/>
      <c r="F1140" s="648"/>
      <c r="G1140" s="649"/>
    </row>
    <row r="1141" spans="2:9" ht="31.5" customHeight="1" thickBot="1">
      <c r="B1141" s="260" t="s">
        <v>874</v>
      </c>
      <c r="C1141" s="248"/>
      <c r="D1141" s="650" t="str">
        <f>$H$1</f>
        <v>BOX</v>
      </c>
      <c r="E1141" s="651"/>
      <c r="F1141" s="651"/>
      <c r="G1141" s="652"/>
    </row>
    <row r="1142" spans="2:9" ht="31.5" customHeight="1" thickBot="1">
      <c r="B1142" s="260" t="s">
        <v>875</v>
      </c>
      <c r="C1142" s="248"/>
      <c r="D1142" s="653" t="str">
        <f>'1PROJE'!$G$3</f>
        <v>Z 5001</v>
      </c>
      <c r="E1142" s="654"/>
      <c r="F1142" s="654"/>
      <c r="G1142" s="655"/>
      <c r="I1142" s="250"/>
    </row>
    <row r="1143" spans="2:9" ht="31.5" customHeight="1" thickBot="1">
      <c r="B1143" s="260" t="s">
        <v>876</v>
      </c>
      <c r="D1143" s="653" cm="1">
        <f t="array" aca="1" ref="D1143" ca="1">INDIRECT("xHesaplama!H"&amp;""&amp;ROW(D1140)+70-7*ROUNDDOWN(ROW(D1140)/8,0))</f>
        <v>0</v>
      </c>
      <c r="E1143" s="654"/>
      <c r="F1143" s="654"/>
      <c r="G1143" s="655"/>
    </row>
    <row r="1144" spans="2:9" ht="31.5" customHeight="1" thickBot="1">
      <c r="B1144" s="260" t="s">
        <v>877</v>
      </c>
      <c r="D1144" s="252" t="s">
        <v>878</v>
      </c>
      <c r="E1144" s="253" t="e" cm="1">
        <f t="array" aca="1" ref="E1144" ca="1">INDIRECT("xHesaplama!J"&amp;""&amp;ROW(D1140)+70-7*ROUNDDOWN(ROW(D1140)/8,0))</f>
        <v>#N/A</v>
      </c>
      <c r="F1144" s="254" t="s">
        <v>879</v>
      </c>
      <c r="G1144" s="253" t="e" cm="1">
        <f t="array" aca="1" ref="G1144" ca="1">INDIRECT("xHesaplama!K"&amp;""&amp;ROW(D1140)+70-7*ROUNDDOWN(ROW(D1140)/8,0))</f>
        <v>#N/A</v>
      </c>
    </row>
    <row r="1145" spans="2:9" ht="69" customHeight="1" thickBot="1">
      <c r="B1145" s="259" t="s">
        <v>869</v>
      </c>
      <c r="C1145" s="248"/>
      <c r="D1145" s="656"/>
      <c r="E1145" s="656"/>
      <c r="F1145" s="656"/>
      <c r="G1145" s="656"/>
    </row>
    <row r="1146" spans="2:9" ht="31.5" customHeight="1" thickBot="1">
      <c r="B1146" s="260" t="s">
        <v>872</v>
      </c>
      <c r="C1146" s="248"/>
      <c r="D1146" s="657" t="str">
        <f>'1PROJE'!$E$3</f>
        <v>GÜNEŞ PEN</v>
      </c>
      <c r="E1146" s="658"/>
      <c r="F1146" s="658"/>
      <c r="G1146" s="659"/>
    </row>
    <row r="1147" spans="2:9" ht="31.5" customHeight="1" thickBot="1">
      <c r="B1147" s="260" t="s">
        <v>873</v>
      </c>
      <c r="C1147" s="248"/>
      <c r="D1147" s="644" t="str">
        <f>'1PROJE'!$F$3</f>
        <v>GÜRKAN BEY</v>
      </c>
      <c r="E1147" s="645"/>
      <c r="F1147" s="645"/>
      <c r="G1147" s="646"/>
    </row>
    <row r="1148" spans="2:9" ht="31.5" customHeight="1" thickBot="1">
      <c r="B1148" s="260" t="s">
        <v>356</v>
      </c>
      <c r="C1148" s="248"/>
      <c r="D1148" s="647" t="e" cm="1">
        <f t="array" aca="1" ref="D1148" ca="1">INDIRECT("xHesaplama!I"&amp;""&amp;ROW(D1148)+70-7*ROUNDDOWN(ROW(D1148)/8,0))</f>
        <v>#N/A</v>
      </c>
      <c r="E1148" s="648"/>
      <c r="F1148" s="648"/>
      <c r="G1148" s="649"/>
    </row>
    <row r="1149" spans="2:9" ht="31.5" customHeight="1" thickBot="1">
      <c r="B1149" s="260" t="s">
        <v>874</v>
      </c>
      <c r="C1149" s="248"/>
      <c r="D1149" s="650" t="str">
        <f>$H$1</f>
        <v>BOX</v>
      </c>
      <c r="E1149" s="651"/>
      <c r="F1149" s="651"/>
      <c r="G1149" s="652"/>
    </row>
    <row r="1150" spans="2:9" ht="31.5" customHeight="1" thickBot="1">
      <c r="B1150" s="260" t="s">
        <v>875</v>
      </c>
      <c r="C1150" s="248"/>
      <c r="D1150" s="653" t="str">
        <f>'1PROJE'!$G$3</f>
        <v>Z 5001</v>
      </c>
      <c r="E1150" s="654"/>
      <c r="F1150" s="654"/>
      <c r="G1150" s="655"/>
      <c r="I1150" s="250"/>
    </row>
    <row r="1151" spans="2:9" ht="31.5" customHeight="1" thickBot="1">
      <c r="B1151" s="260" t="s">
        <v>876</v>
      </c>
      <c r="D1151" s="653" cm="1">
        <f t="array" aca="1" ref="D1151" ca="1">INDIRECT("xHesaplama!H"&amp;""&amp;ROW(D1148)+70-7*ROUNDDOWN(ROW(D1148)/8,0))</f>
        <v>0</v>
      </c>
      <c r="E1151" s="654"/>
      <c r="F1151" s="654"/>
      <c r="G1151" s="655"/>
    </row>
    <row r="1152" spans="2:9" ht="31.5" customHeight="1" thickBot="1">
      <c r="B1152" s="260" t="s">
        <v>877</v>
      </c>
      <c r="D1152" s="252" t="s">
        <v>878</v>
      </c>
      <c r="E1152" s="253" t="e" cm="1">
        <f t="array" aca="1" ref="E1152" ca="1">INDIRECT("xHesaplama!J"&amp;""&amp;ROW(D1148)+70-7*ROUNDDOWN(ROW(D1148)/8,0))</f>
        <v>#N/A</v>
      </c>
      <c r="F1152" s="254" t="s">
        <v>879</v>
      </c>
      <c r="G1152" s="253" t="e" cm="1">
        <f t="array" aca="1" ref="G1152" ca="1">INDIRECT("xHesaplama!K"&amp;""&amp;ROW(D1148)+70-7*ROUNDDOWN(ROW(D1148)/8,0))</f>
        <v>#N/A</v>
      </c>
    </row>
    <row r="1153" spans="2:9" ht="69" customHeight="1" thickBot="1">
      <c r="B1153" s="259" t="s">
        <v>869</v>
      </c>
      <c r="C1153" s="248"/>
      <c r="D1153" s="656"/>
      <c r="E1153" s="656"/>
      <c r="F1153" s="656"/>
      <c r="G1153" s="656"/>
    </row>
    <row r="1154" spans="2:9" ht="31.5" customHeight="1" thickBot="1">
      <c r="B1154" s="260" t="s">
        <v>872</v>
      </c>
      <c r="C1154" s="248"/>
      <c r="D1154" s="657" t="str">
        <f>'1PROJE'!$E$3</f>
        <v>GÜNEŞ PEN</v>
      </c>
      <c r="E1154" s="658"/>
      <c r="F1154" s="658"/>
      <c r="G1154" s="659"/>
    </row>
    <row r="1155" spans="2:9" ht="31.5" customHeight="1" thickBot="1">
      <c r="B1155" s="260" t="s">
        <v>873</v>
      </c>
      <c r="C1155" s="248"/>
      <c r="D1155" s="644" t="str">
        <f>'1PROJE'!$F$3</f>
        <v>GÜRKAN BEY</v>
      </c>
      <c r="E1155" s="645"/>
      <c r="F1155" s="645"/>
      <c r="G1155" s="646"/>
    </row>
    <row r="1156" spans="2:9" ht="31.5" customHeight="1" thickBot="1">
      <c r="B1156" s="260" t="s">
        <v>356</v>
      </c>
      <c r="C1156" s="248"/>
      <c r="D1156" s="647" t="e" cm="1">
        <f t="array" aca="1" ref="D1156" ca="1">INDIRECT("xHesaplama!I"&amp;""&amp;ROW(D1156)+70-7*ROUNDDOWN(ROW(D1156)/8,0))</f>
        <v>#N/A</v>
      </c>
      <c r="E1156" s="648"/>
      <c r="F1156" s="648"/>
      <c r="G1156" s="649"/>
    </row>
    <row r="1157" spans="2:9" ht="31.5" customHeight="1" thickBot="1">
      <c r="B1157" s="260" t="s">
        <v>874</v>
      </c>
      <c r="C1157" s="248"/>
      <c r="D1157" s="650" t="str">
        <f>$H$1</f>
        <v>BOX</v>
      </c>
      <c r="E1157" s="651"/>
      <c r="F1157" s="651"/>
      <c r="G1157" s="652"/>
    </row>
    <row r="1158" spans="2:9" ht="31.5" customHeight="1" thickBot="1">
      <c r="B1158" s="260" t="s">
        <v>875</v>
      </c>
      <c r="C1158" s="248"/>
      <c r="D1158" s="653" t="str">
        <f>'1PROJE'!$G$3</f>
        <v>Z 5001</v>
      </c>
      <c r="E1158" s="654"/>
      <c r="F1158" s="654"/>
      <c r="G1158" s="655"/>
      <c r="I1158" s="250"/>
    </row>
    <row r="1159" spans="2:9" ht="31.5" customHeight="1" thickBot="1">
      <c r="B1159" s="260" t="s">
        <v>876</v>
      </c>
      <c r="D1159" s="653" cm="1">
        <f t="array" aca="1" ref="D1159" ca="1">INDIRECT("xHesaplama!H"&amp;""&amp;ROW(D1156)+70-7*ROUNDDOWN(ROW(D1156)/8,0))</f>
        <v>0</v>
      </c>
      <c r="E1159" s="654"/>
      <c r="F1159" s="654"/>
      <c r="G1159" s="655"/>
    </row>
    <row r="1160" spans="2:9" ht="31.5" customHeight="1" thickBot="1">
      <c r="B1160" s="260" t="s">
        <v>877</v>
      </c>
      <c r="D1160" s="252" t="s">
        <v>878</v>
      </c>
      <c r="E1160" s="253" t="e" cm="1">
        <f t="array" aca="1" ref="E1160" ca="1">INDIRECT("xHesaplama!J"&amp;""&amp;ROW(D1156)+70-7*ROUNDDOWN(ROW(D1156)/8,0))</f>
        <v>#N/A</v>
      </c>
      <c r="F1160" s="254" t="s">
        <v>879</v>
      </c>
      <c r="G1160" s="253" t="e" cm="1">
        <f t="array" aca="1" ref="G1160" ca="1">INDIRECT("xHesaplama!K"&amp;""&amp;ROW(D1156)+70-7*ROUNDDOWN(ROW(D1156)/8,0))</f>
        <v>#N/A</v>
      </c>
    </row>
    <row r="1161" spans="2:9" ht="69" customHeight="1" thickBot="1">
      <c r="B1161" s="259" t="s">
        <v>869</v>
      </c>
      <c r="C1161" s="248"/>
      <c r="D1161" s="656"/>
      <c r="E1161" s="656"/>
      <c r="F1161" s="656"/>
      <c r="G1161" s="656"/>
    </row>
    <row r="1162" spans="2:9" ht="31.5" customHeight="1" thickBot="1">
      <c r="B1162" s="260" t="s">
        <v>872</v>
      </c>
      <c r="C1162" s="248"/>
      <c r="D1162" s="657" t="str">
        <f>'1PROJE'!$E$3</f>
        <v>GÜNEŞ PEN</v>
      </c>
      <c r="E1162" s="658"/>
      <c r="F1162" s="658"/>
      <c r="G1162" s="659"/>
    </row>
    <row r="1163" spans="2:9" ht="31.5" customHeight="1" thickBot="1">
      <c r="B1163" s="260" t="s">
        <v>873</v>
      </c>
      <c r="C1163" s="248"/>
      <c r="D1163" s="644" t="str">
        <f>'1PROJE'!$F$3</f>
        <v>GÜRKAN BEY</v>
      </c>
      <c r="E1163" s="645"/>
      <c r="F1163" s="645"/>
      <c r="G1163" s="646"/>
    </row>
    <row r="1164" spans="2:9" ht="31.5" customHeight="1" thickBot="1">
      <c r="B1164" s="260" t="s">
        <v>356</v>
      </c>
      <c r="C1164" s="248"/>
      <c r="D1164" s="647" t="e" cm="1">
        <f t="array" aca="1" ref="D1164" ca="1">INDIRECT("xHesaplama!I"&amp;""&amp;ROW(D1164)+70-7*ROUNDDOWN(ROW(D1164)/8,0))</f>
        <v>#N/A</v>
      </c>
      <c r="E1164" s="648"/>
      <c r="F1164" s="648"/>
      <c r="G1164" s="649"/>
    </row>
    <row r="1165" spans="2:9" ht="31.5" customHeight="1" thickBot="1">
      <c r="B1165" s="260" t="s">
        <v>874</v>
      </c>
      <c r="C1165" s="248"/>
      <c r="D1165" s="650" t="str">
        <f>$H$1</f>
        <v>BOX</v>
      </c>
      <c r="E1165" s="651"/>
      <c r="F1165" s="651"/>
      <c r="G1165" s="652"/>
    </row>
    <row r="1166" spans="2:9" ht="31.5" customHeight="1" thickBot="1">
      <c r="B1166" s="260" t="s">
        <v>875</v>
      </c>
      <c r="C1166" s="248"/>
      <c r="D1166" s="653" t="str">
        <f>'1PROJE'!$G$3</f>
        <v>Z 5001</v>
      </c>
      <c r="E1166" s="654"/>
      <c r="F1166" s="654"/>
      <c r="G1166" s="655"/>
      <c r="I1166" s="250"/>
    </row>
    <row r="1167" spans="2:9" ht="31.5" customHeight="1" thickBot="1">
      <c r="B1167" s="260" t="s">
        <v>876</v>
      </c>
      <c r="D1167" s="653" cm="1">
        <f t="array" aca="1" ref="D1167" ca="1">INDIRECT("xHesaplama!H"&amp;""&amp;ROW(D1164)+70-7*ROUNDDOWN(ROW(D1164)/8,0))</f>
        <v>0</v>
      </c>
      <c r="E1167" s="654"/>
      <c r="F1167" s="654"/>
      <c r="G1167" s="655"/>
    </row>
    <row r="1168" spans="2:9" ht="31.5" customHeight="1" thickBot="1">
      <c r="B1168" s="260" t="s">
        <v>877</v>
      </c>
      <c r="D1168" s="252" t="s">
        <v>878</v>
      </c>
      <c r="E1168" s="253" t="e" cm="1">
        <f t="array" aca="1" ref="E1168" ca="1">INDIRECT("xHesaplama!J"&amp;""&amp;ROW(D1164)+70-7*ROUNDDOWN(ROW(D1164)/8,0))</f>
        <v>#N/A</v>
      </c>
      <c r="F1168" s="254" t="s">
        <v>879</v>
      </c>
      <c r="G1168" s="253" t="e" cm="1">
        <f t="array" aca="1" ref="G1168" ca="1">INDIRECT("xHesaplama!K"&amp;""&amp;ROW(D1164)+70-7*ROUNDDOWN(ROW(D1164)/8,0))</f>
        <v>#N/A</v>
      </c>
    </row>
    <row r="1169" spans="2:9" ht="69" customHeight="1" thickBot="1">
      <c r="B1169" s="259" t="s">
        <v>869</v>
      </c>
      <c r="C1169" s="248"/>
      <c r="D1169" s="656"/>
      <c r="E1169" s="656"/>
      <c r="F1169" s="656"/>
      <c r="G1169" s="656"/>
    </row>
    <row r="1170" spans="2:9" ht="31.5" customHeight="1" thickBot="1">
      <c r="B1170" s="260" t="s">
        <v>872</v>
      </c>
      <c r="C1170" s="248"/>
      <c r="D1170" s="657" t="str">
        <f>'1PROJE'!$E$3</f>
        <v>GÜNEŞ PEN</v>
      </c>
      <c r="E1170" s="658"/>
      <c r="F1170" s="658"/>
      <c r="G1170" s="659"/>
    </row>
    <row r="1171" spans="2:9" ht="31.5" customHeight="1" thickBot="1">
      <c r="B1171" s="260" t="s">
        <v>873</v>
      </c>
      <c r="C1171" s="248"/>
      <c r="D1171" s="644" t="str">
        <f>'1PROJE'!$F$3</f>
        <v>GÜRKAN BEY</v>
      </c>
      <c r="E1171" s="645"/>
      <c r="F1171" s="645"/>
      <c r="G1171" s="646"/>
    </row>
    <row r="1172" spans="2:9" ht="31.5" customHeight="1" thickBot="1">
      <c r="B1172" s="260" t="s">
        <v>356</v>
      </c>
      <c r="C1172" s="248"/>
      <c r="D1172" s="647" t="e" cm="1">
        <f t="array" aca="1" ref="D1172" ca="1">INDIRECT("xHesaplama!I"&amp;""&amp;ROW(D1172)+70-7*ROUNDDOWN(ROW(D1172)/8,0))</f>
        <v>#N/A</v>
      </c>
      <c r="E1172" s="648"/>
      <c r="F1172" s="648"/>
      <c r="G1172" s="649"/>
    </row>
    <row r="1173" spans="2:9" ht="31.5" customHeight="1" thickBot="1">
      <c r="B1173" s="260" t="s">
        <v>874</v>
      </c>
      <c r="C1173" s="248"/>
      <c r="D1173" s="650" t="str">
        <f>$H$1</f>
        <v>BOX</v>
      </c>
      <c r="E1173" s="651"/>
      <c r="F1173" s="651"/>
      <c r="G1173" s="652"/>
    </row>
    <row r="1174" spans="2:9" ht="31.5" customHeight="1" thickBot="1">
      <c r="B1174" s="260" t="s">
        <v>875</v>
      </c>
      <c r="C1174" s="248"/>
      <c r="D1174" s="653" t="str">
        <f>'1PROJE'!$G$3</f>
        <v>Z 5001</v>
      </c>
      <c r="E1174" s="654"/>
      <c r="F1174" s="654"/>
      <c r="G1174" s="655"/>
      <c r="I1174" s="250"/>
    </row>
    <row r="1175" spans="2:9" ht="31.5" customHeight="1" thickBot="1">
      <c r="B1175" s="260" t="s">
        <v>876</v>
      </c>
      <c r="D1175" s="653" cm="1">
        <f t="array" aca="1" ref="D1175" ca="1">INDIRECT("xHesaplama!H"&amp;""&amp;ROW(D1172)+70-7*ROUNDDOWN(ROW(D1172)/8,0))</f>
        <v>0</v>
      </c>
      <c r="E1175" s="654"/>
      <c r="F1175" s="654"/>
      <c r="G1175" s="655"/>
    </row>
    <row r="1176" spans="2:9" ht="31.5" customHeight="1" thickBot="1">
      <c r="B1176" s="260" t="s">
        <v>877</v>
      </c>
      <c r="D1176" s="252" t="s">
        <v>878</v>
      </c>
      <c r="E1176" s="253" t="e" cm="1">
        <f t="array" aca="1" ref="E1176" ca="1">INDIRECT("xHesaplama!J"&amp;""&amp;ROW(D1172)+70-7*ROUNDDOWN(ROW(D1172)/8,0))</f>
        <v>#N/A</v>
      </c>
      <c r="F1176" s="254" t="s">
        <v>879</v>
      </c>
      <c r="G1176" s="253" t="e" cm="1">
        <f t="array" aca="1" ref="G1176" ca="1">INDIRECT("xHesaplama!K"&amp;""&amp;ROW(D1172)+70-7*ROUNDDOWN(ROW(D1172)/8,0))</f>
        <v>#N/A</v>
      </c>
    </row>
    <row r="1177" spans="2:9" ht="69" customHeight="1" thickBot="1">
      <c r="B1177" s="259" t="s">
        <v>869</v>
      </c>
      <c r="C1177" s="248"/>
      <c r="D1177" s="656"/>
      <c r="E1177" s="656"/>
      <c r="F1177" s="656"/>
      <c r="G1177" s="656"/>
    </row>
    <row r="1178" spans="2:9" ht="31.5" customHeight="1" thickBot="1">
      <c r="B1178" s="260" t="s">
        <v>872</v>
      </c>
      <c r="C1178" s="248"/>
      <c r="D1178" s="657" t="str">
        <f>'1PROJE'!$E$3</f>
        <v>GÜNEŞ PEN</v>
      </c>
      <c r="E1178" s="658"/>
      <c r="F1178" s="658"/>
      <c r="G1178" s="659"/>
    </row>
    <row r="1179" spans="2:9" ht="31.5" customHeight="1" thickBot="1">
      <c r="B1179" s="260" t="s">
        <v>873</v>
      </c>
      <c r="C1179" s="248"/>
      <c r="D1179" s="644" t="str">
        <f>'1PROJE'!$F$3</f>
        <v>GÜRKAN BEY</v>
      </c>
      <c r="E1179" s="645"/>
      <c r="F1179" s="645"/>
      <c r="G1179" s="646"/>
    </row>
    <row r="1180" spans="2:9" ht="31.5" customHeight="1" thickBot="1">
      <c r="B1180" s="260" t="s">
        <v>356</v>
      </c>
      <c r="C1180" s="248"/>
      <c r="D1180" s="647" t="e" cm="1">
        <f t="array" aca="1" ref="D1180" ca="1">INDIRECT("xHesaplama!I"&amp;""&amp;ROW(D1180)+70-7*ROUNDDOWN(ROW(D1180)/8,0))</f>
        <v>#N/A</v>
      </c>
      <c r="E1180" s="648"/>
      <c r="F1180" s="648"/>
      <c r="G1180" s="649"/>
    </row>
    <row r="1181" spans="2:9" ht="31.5" customHeight="1" thickBot="1">
      <c r="B1181" s="260" t="s">
        <v>874</v>
      </c>
      <c r="C1181" s="248"/>
      <c r="D1181" s="650" t="str">
        <f>$H$1</f>
        <v>BOX</v>
      </c>
      <c r="E1181" s="651"/>
      <c r="F1181" s="651"/>
      <c r="G1181" s="652"/>
    </row>
    <row r="1182" spans="2:9" ht="31.5" customHeight="1" thickBot="1">
      <c r="B1182" s="260" t="s">
        <v>875</v>
      </c>
      <c r="C1182" s="248"/>
      <c r="D1182" s="653" t="str">
        <f>'1PROJE'!$G$3</f>
        <v>Z 5001</v>
      </c>
      <c r="E1182" s="654"/>
      <c r="F1182" s="654"/>
      <c r="G1182" s="655"/>
      <c r="I1182" s="250"/>
    </row>
    <row r="1183" spans="2:9" ht="31.5" customHeight="1" thickBot="1">
      <c r="B1183" s="260" t="s">
        <v>876</v>
      </c>
      <c r="D1183" s="653" cm="1">
        <f t="array" aca="1" ref="D1183" ca="1">INDIRECT("xHesaplama!H"&amp;""&amp;ROW(D1180)+70-7*ROUNDDOWN(ROW(D1180)/8,0))</f>
        <v>0</v>
      </c>
      <c r="E1183" s="654"/>
      <c r="F1183" s="654"/>
      <c r="G1183" s="655"/>
    </row>
    <row r="1184" spans="2:9" ht="31.5" customHeight="1" thickBot="1">
      <c r="B1184" s="260" t="s">
        <v>877</v>
      </c>
      <c r="D1184" s="252" t="s">
        <v>878</v>
      </c>
      <c r="E1184" s="253" t="e" cm="1">
        <f t="array" aca="1" ref="E1184" ca="1">INDIRECT("xHesaplama!J"&amp;""&amp;ROW(D1180)+70-7*ROUNDDOWN(ROW(D1180)/8,0))</f>
        <v>#N/A</v>
      </c>
      <c r="F1184" s="254" t="s">
        <v>879</v>
      </c>
      <c r="G1184" s="253" t="e" cm="1">
        <f t="array" aca="1" ref="G1184" ca="1">INDIRECT("xHesaplama!K"&amp;""&amp;ROW(D1180)+70-7*ROUNDDOWN(ROW(D1180)/8,0))</f>
        <v>#N/A</v>
      </c>
    </row>
    <row r="1185" spans="2:9" ht="69" customHeight="1" thickBot="1">
      <c r="B1185" s="259" t="s">
        <v>869</v>
      </c>
      <c r="C1185" s="248"/>
      <c r="D1185" s="656"/>
      <c r="E1185" s="656"/>
      <c r="F1185" s="656"/>
      <c r="G1185" s="656"/>
    </row>
    <row r="1186" spans="2:9" ht="31.5" customHeight="1" thickBot="1">
      <c r="B1186" s="260" t="s">
        <v>872</v>
      </c>
      <c r="C1186" s="248"/>
      <c r="D1186" s="657" t="str">
        <f>'1PROJE'!$E$3</f>
        <v>GÜNEŞ PEN</v>
      </c>
      <c r="E1186" s="658"/>
      <c r="F1186" s="658"/>
      <c r="G1186" s="659"/>
    </row>
    <row r="1187" spans="2:9" ht="31.5" customHeight="1" thickBot="1">
      <c r="B1187" s="260" t="s">
        <v>873</v>
      </c>
      <c r="C1187" s="248"/>
      <c r="D1187" s="644" t="str">
        <f>'1PROJE'!$F$3</f>
        <v>GÜRKAN BEY</v>
      </c>
      <c r="E1187" s="645"/>
      <c r="F1187" s="645"/>
      <c r="G1187" s="646"/>
    </row>
    <row r="1188" spans="2:9" ht="31.5" customHeight="1" thickBot="1">
      <c r="B1188" s="260" t="s">
        <v>356</v>
      </c>
      <c r="C1188" s="248"/>
      <c r="D1188" s="647" t="e" cm="1">
        <f t="array" aca="1" ref="D1188" ca="1">INDIRECT("xHesaplama!I"&amp;""&amp;ROW(D1188)+70-7*ROUNDDOWN(ROW(D1188)/8,0))</f>
        <v>#N/A</v>
      </c>
      <c r="E1188" s="648"/>
      <c r="F1188" s="648"/>
      <c r="G1188" s="649"/>
    </row>
    <row r="1189" spans="2:9" ht="31.5" customHeight="1" thickBot="1">
      <c r="B1189" s="260" t="s">
        <v>874</v>
      </c>
      <c r="C1189" s="248"/>
      <c r="D1189" s="650" t="str">
        <f>$H$1</f>
        <v>BOX</v>
      </c>
      <c r="E1189" s="651"/>
      <c r="F1189" s="651"/>
      <c r="G1189" s="652"/>
    </row>
    <row r="1190" spans="2:9" ht="31.5" customHeight="1" thickBot="1">
      <c r="B1190" s="260" t="s">
        <v>875</v>
      </c>
      <c r="C1190" s="248"/>
      <c r="D1190" s="653" t="str">
        <f>'1PROJE'!$G$3</f>
        <v>Z 5001</v>
      </c>
      <c r="E1190" s="654"/>
      <c r="F1190" s="654"/>
      <c r="G1190" s="655"/>
      <c r="I1190" s="250"/>
    </row>
    <row r="1191" spans="2:9" ht="31.5" customHeight="1" thickBot="1">
      <c r="B1191" s="260" t="s">
        <v>876</v>
      </c>
      <c r="D1191" s="653" cm="1">
        <f t="array" aca="1" ref="D1191" ca="1">INDIRECT("xHesaplama!H"&amp;""&amp;ROW(D1188)+70-7*ROUNDDOWN(ROW(D1188)/8,0))</f>
        <v>0</v>
      </c>
      <c r="E1191" s="654"/>
      <c r="F1191" s="654"/>
      <c r="G1191" s="655"/>
    </row>
    <row r="1192" spans="2:9" ht="31.5" customHeight="1" thickBot="1">
      <c r="B1192" s="260" t="s">
        <v>877</v>
      </c>
      <c r="D1192" s="252" t="s">
        <v>878</v>
      </c>
      <c r="E1192" s="253" t="e" cm="1">
        <f t="array" aca="1" ref="E1192" ca="1">INDIRECT("xHesaplama!J"&amp;""&amp;ROW(D1188)+70-7*ROUNDDOWN(ROW(D1188)/8,0))</f>
        <v>#N/A</v>
      </c>
      <c r="F1192" s="254" t="s">
        <v>879</v>
      </c>
      <c r="G1192" s="253" t="e" cm="1">
        <f t="array" aca="1" ref="G1192" ca="1">INDIRECT("xHesaplama!K"&amp;""&amp;ROW(D1188)+70-7*ROUNDDOWN(ROW(D1188)/8,0))</f>
        <v>#N/A</v>
      </c>
    </row>
    <row r="1193" spans="2:9" ht="69" customHeight="1" thickBot="1">
      <c r="B1193" s="259" t="s">
        <v>869</v>
      </c>
      <c r="C1193" s="248"/>
      <c r="D1193" s="656"/>
      <c r="E1193" s="656"/>
      <c r="F1193" s="656"/>
      <c r="G1193" s="656"/>
    </row>
    <row r="1194" spans="2:9" ht="31.5" customHeight="1" thickBot="1">
      <c r="B1194" s="260" t="s">
        <v>872</v>
      </c>
      <c r="C1194" s="248"/>
      <c r="D1194" s="657" t="str">
        <f>'1PROJE'!$E$3</f>
        <v>GÜNEŞ PEN</v>
      </c>
      <c r="E1194" s="658"/>
      <c r="F1194" s="658"/>
      <c r="G1194" s="659"/>
    </row>
    <row r="1195" spans="2:9" ht="31.5" customHeight="1" thickBot="1">
      <c r="B1195" s="260" t="s">
        <v>873</v>
      </c>
      <c r="C1195" s="248"/>
      <c r="D1195" s="644" t="str">
        <f>'1PROJE'!$F$3</f>
        <v>GÜRKAN BEY</v>
      </c>
      <c r="E1195" s="645"/>
      <c r="F1195" s="645"/>
      <c r="G1195" s="646"/>
    </row>
    <row r="1196" spans="2:9" ht="31.5" customHeight="1" thickBot="1">
      <c r="B1196" s="260" t="s">
        <v>356</v>
      </c>
      <c r="C1196" s="248"/>
      <c r="D1196" s="647" t="e" cm="1">
        <f t="array" aca="1" ref="D1196" ca="1">INDIRECT("xHesaplama!I"&amp;""&amp;ROW(D1196)+70-7*ROUNDDOWN(ROW(D1196)/8,0))</f>
        <v>#N/A</v>
      </c>
      <c r="E1196" s="648"/>
      <c r="F1196" s="648"/>
      <c r="G1196" s="649"/>
    </row>
    <row r="1197" spans="2:9" ht="31.5" customHeight="1" thickBot="1">
      <c r="B1197" s="260" t="s">
        <v>874</v>
      </c>
      <c r="C1197" s="248"/>
      <c r="D1197" s="650" t="str">
        <f>$H$1</f>
        <v>BOX</v>
      </c>
      <c r="E1197" s="651"/>
      <c r="F1197" s="651"/>
      <c r="G1197" s="652"/>
    </row>
    <row r="1198" spans="2:9" ht="31.5" customHeight="1" thickBot="1">
      <c r="B1198" s="260" t="s">
        <v>875</v>
      </c>
      <c r="C1198" s="248"/>
      <c r="D1198" s="653" t="str">
        <f>'1PROJE'!$G$3</f>
        <v>Z 5001</v>
      </c>
      <c r="E1198" s="654"/>
      <c r="F1198" s="654"/>
      <c r="G1198" s="655"/>
      <c r="I1198" s="250"/>
    </row>
    <row r="1199" spans="2:9" ht="31.5" customHeight="1" thickBot="1">
      <c r="B1199" s="260" t="s">
        <v>876</v>
      </c>
      <c r="D1199" s="653" cm="1">
        <f t="array" aca="1" ref="D1199" ca="1">INDIRECT("xHesaplama!H"&amp;""&amp;ROW(D1196)+70-7*ROUNDDOWN(ROW(D1196)/8,0))</f>
        <v>0</v>
      </c>
      <c r="E1199" s="654"/>
      <c r="F1199" s="654"/>
      <c r="G1199" s="655"/>
    </row>
    <row r="1200" spans="2:9" ht="31.5" customHeight="1" thickBot="1">
      <c r="B1200" s="260" t="s">
        <v>877</v>
      </c>
      <c r="D1200" s="252" t="s">
        <v>878</v>
      </c>
      <c r="E1200" s="253" t="e" cm="1">
        <f t="array" aca="1" ref="E1200" ca="1">INDIRECT("xHesaplama!J"&amp;""&amp;ROW(D1196)+70-7*ROUNDDOWN(ROW(D1196)/8,0))</f>
        <v>#N/A</v>
      </c>
      <c r="F1200" s="254" t="s">
        <v>879</v>
      </c>
      <c r="G1200" s="253" t="e" cm="1">
        <f t="array" aca="1" ref="G1200" ca="1">INDIRECT("xHesaplama!K"&amp;""&amp;ROW(D1196)+70-7*ROUNDDOWN(ROW(D1196)/8,0))</f>
        <v>#N/A</v>
      </c>
    </row>
    <row r="1201" spans="2:9" ht="69" customHeight="1" thickBot="1">
      <c r="B1201" s="259" t="s">
        <v>869</v>
      </c>
      <c r="C1201" s="248"/>
      <c r="D1201" s="656"/>
      <c r="E1201" s="656"/>
      <c r="F1201" s="656"/>
      <c r="G1201" s="656"/>
    </row>
    <row r="1202" spans="2:9" ht="31.5" customHeight="1" thickBot="1">
      <c r="B1202" s="260" t="s">
        <v>872</v>
      </c>
      <c r="C1202" s="248"/>
      <c r="D1202" s="657" t="str">
        <f>'1PROJE'!$E$3</f>
        <v>GÜNEŞ PEN</v>
      </c>
      <c r="E1202" s="658"/>
      <c r="F1202" s="658"/>
      <c r="G1202" s="659"/>
    </row>
    <row r="1203" spans="2:9" ht="31.5" customHeight="1" thickBot="1">
      <c r="B1203" s="260" t="s">
        <v>873</v>
      </c>
      <c r="C1203" s="248"/>
      <c r="D1203" s="644" t="str">
        <f>'1PROJE'!$F$3</f>
        <v>GÜRKAN BEY</v>
      </c>
      <c r="E1203" s="645"/>
      <c r="F1203" s="645"/>
      <c r="G1203" s="646"/>
    </row>
    <row r="1204" spans="2:9" ht="31.5" customHeight="1" thickBot="1">
      <c r="B1204" s="260" t="s">
        <v>356</v>
      </c>
      <c r="C1204" s="248"/>
      <c r="D1204" s="647" t="e" cm="1">
        <f t="array" aca="1" ref="D1204" ca="1">INDIRECT("xHesaplama!I"&amp;""&amp;ROW(D1204)+70-7*ROUNDDOWN(ROW(D1204)/8,0))</f>
        <v>#N/A</v>
      </c>
      <c r="E1204" s="648"/>
      <c r="F1204" s="648"/>
      <c r="G1204" s="649"/>
    </row>
    <row r="1205" spans="2:9" ht="31.5" customHeight="1" thickBot="1">
      <c r="B1205" s="260" t="s">
        <v>874</v>
      </c>
      <c r="C1205" s="248"/>
      <c r="D1205" s="650" t="str">
        <f>$H$1</f>
        <v>BOX</v>
      </c>
      <c r="E1205" s="651"/>
      <c r="F1205" s="651"/>
      <c r="G1205" s="652"/>
    </row>
    <row r="1206" spans="2:9" ht="31.5" customHeight="1" thickBot="1">
      <c r="B1206" s="260" t="s">
        <v>875</v>
      </c>
      <c r="C1206" s="248"/>
      <c r="D1206" s="653" t="str">
        <f>'1PROJE'!$G$3</f>
        <v>Z 5001</v>
      </c>
      <c r="E1206" s="654"/>
      <c r="F1206" s="654"/>
      <c r="G1206" s="655"/>
      <c r="I1206" s="250"/>
    </row>
    <row r="1207" spans="2:9" ht="31.5" customHeight="1" thickBot="1">
      <c r="B1207" s="260" t="s">
        <v>876</v>
      </c>
      <c r="D1207" s="653" cm="1">
        <f t="array" aca="1" ref="D1207" ca="1">INDIRECT("xHesaplama!H"&amp;""&amp;ROW(D1204)+70-7*ROUNDDOWN(ROW(D1204)/8,0))</f>
        <v>0</v>
      </c>
      <c r="E1207" s="654"/>
      <c r="F1207" s="654"/>
      <c r="G1207" s="655"/>
    </row>
    <row r="1208" spans="2:9" ht="31.5" customHeight="1" thickBot="1">
      <c r="B1208" s="260" t="s">
        <v>877</v>
      </c>
      <c r="D1208" s="252" t="s">
        <v>878</v>
      </c>
      <c r="E1208" s="253" t="e" cm="1">
        <f t="array" aca="1" ref="E1208" ca="1">INDIRECT("xHesaplama!J"&amp;""&amp;ROW(D1204)+70-7*ROUNDDOWN(ROW(D1204)/8,0))</f>
        <v>#N/A</v>
      </c>
      <c r="F1208" s="254" t="s">
        <v>879</v>
      </c>
      <c r="G1208" s="253" t="e" cm="1">
        <f t="array" aca="1" ref="G1208" ca="1">INDIRECT("xHesaplama!K"&amp;""&amp;ROW(D1204)+70-7*ROUNDDOWN(ROW(D1204)/8,0))</f>
        <v>#N/A</v>
      </c>
    </row>
    <row r="1209" spans="2:9" ht="69" customHeight="1" thickBot="1">
      <c r="B1209" s="259" t="s">
        <v>869</v>
      </c>
      <c r="C1209" s="248"/>
      <c r="D1209" s="656"/>
      <c r="E1209" s="656"/>
      <c r="F1209" s="656"/>
      <c r="G1209" s="656"/>
    </row>
    <row r="1210" spans="2:9" ht="31.5" customHeight="1" thickBot="1">
      <c r="B1210" s="260" t="s">
        <v>872</v>
      </c>
      <c r="C1210" s="248"/>
      <c r="D1210" s="657" t="str">
        <f>'1PROJE'!$E$3</f>
        <v>GÜNEŞ PEN</v>
      </c>
      <c r="E1210" s="658"/>
      <c r="F1210" s="658"/>
      <c r="G1210" s="659"/>
    </row>
    <row r="1211" spans="2:9" ht="31.5" customHeight="1" thickBot="1">
      <c r="B1211" s="260" t="s">
        <v>873</v>
      </c>
      <c r="C1211" s="248"/>
      <c r="D1211" s="644" t="str">
        <f>'1PROJE'!$F$3</f>
        <v>GÜRKAN BEY</v>
      </c>
      <c r="E1211" s="645"/>
      <c r="F1211" s="645"/>
      <c r="G1211" s="646"/>
    </row>
    <row r="1212" spans="2:9" ht="31.5" customHeight="1" thickBot="1">
      <c r="B1212" s="260" t="s">
        <v>356</v>
      </c>
      <c r="C1212" s="248"/>
      <c r="D1212" s="647" t="e" cm="1">
        <f t="array" aca="1" ref="D1212" ca="1">INDIRECT("xHesaplama!I"&amp;""&amp;ROW(D1212)+70-7*ROUNDDOWN(ROW(D1212)/8,0))</f>
        <v>#N/A</v>
      </c>
      <c r="E1212" s="648"/>
      <c r="F1212" s="648"/>
      <c r="G1212" s="649"/>
    </row>
    <row r="1213" spans="2:9" ht="31.5" customHeight="1" thickBot="1">
      <c r="B1213" s="260" t="s">
        <v>874</v>
      </c>
      <c r="C1213" s="248"/>
      <c r="D1213" s="650" t="str">
        <f>$H$1</f>
        <v>BOX</v>
      </c>
      <c r="E1213" s="651"/>
      <c r="F1213" s="651"/>
      <c r="G1213" s="652"/>
    </row>
    <row r="1214" spans="2:9" ht="31.5" customHeight="1" thickBot="1">
      <c r="B1214" s="260" t="s">
        <v>875</v>
      </c>
      <c r="C1214" s="248"/>
      <c r="D1214" s="653" t="str">
        <f>'1PROJE'!$G$3</f>
        <v>Z 5001</v>
      </c>
      <c r="E1214" s="654"/>
      <c r="F1214" s="654"/>
      <c r="G1214" s="655"/>
      <c r="I1214" s="250"/>
    </row>
    <row r="1215" spans="2:9" ht="31.5" customHeight="1" thickBot="1">
      <c r="B1215" s="260" t="s">
        <v>876</v>
      </c>
      <c r="D1215" s="653" cm="1">
        <f t="array" aca="1" ref="D1215" ca="1">INDIRECT("xHesaplama!H"&amp;""&amp;ROW(D1212)+70-7*ROUNDDOWN(ROW(D1212)/8,0))</f>
        <v>0</v>
      </c>
      <c r="E1215" s="654"/>
      <c r="F1215" s="654"/>
      <c r="G1215" s="655"/>
    </row>
    <row r="1216" spans="2:9" ht="31.5" customHeight="1" thickBot="1">
      <c r="B1216" s="260" t="s">
        <v>877</v>
      </c>
      <c r="D1216" s="252" t="s">
        <v>878</v>
      </c>
      <c r="E1216" s="253" t="e" cm="1">
        <f t="array" aca="1" ref="E1216" ca="1">INDIRECT("xHesaplama!J"&amp;""&amp;ROW(D1212)+70-7*ROUNDDOWN(ROW(D1212)/8,0))</f>
        <v>#N/A</v>
      </c>
      <c r="F1216" s="254" t="s">
        <v>879</v>
      </c>
      <c r="G1216" s="253" t="e" cm="1">
        <f t="array" aca="1" ref="G1216" ca="1">INDIRECT("xHesaplama!K"&amp;""&amp;ROW(D1212)+70-7*ROUNDDOWN(ROW(D1212)/8,0))</f>
        <v>#N/A</v>
      </c>
    </row>
    <row r="1217" spans="2:9" ht="69" customHeight="1" thickBot="1">
      <c r="B1217" s="259" t="s">
        <v>869</v>
      </c>
      <c r="C1217" s="248"/>
      <c r="D1217" s="656"/>
      <c r="E1217" s="656"/>
      <c r="F1217" s="656"/>
      <c r="G1217" s="656"/>
    </row>
    <row r="1218" spans="2:9" ht="31.5" customHeight="1" thickBot="1">
      <c r="B1218" s="260" t="s">
        <v>872</v>
      </c>
      <c r="C1218" s="248"/>
      <c r="D1218" s="657" t="str">
        <f>'1PROJE'!$E$3</f>
        <v>GÜNEŞ PEN</v>
      </c>
      <c r="E1218" s="658"/>
      <c r="F1218" s="658"/>
      <c r="G1218" s="659"/>
    </row>
    <row r="1219" spans="2:9" ht="31.5" customHeight="1" thickBot="1">
      <c r="B1219" s="260" t="s">
        <v>873</v>
      </c>
      <c r="C1219" s="248"/>
      <c r="D1219" s="644" t="str">
        <f>'1PROJE'!$F$3</f>
        <v>GÜRKAN BEY</v>
      </c>
      <c r="E1219" s="645"/>
      <c r="F1219" s="645"/>
      <c r="G1219" s="646"/>
    </row>
    <row r="1220" spans="2:9" ht="31.5" customHeight="1" thickBot="1">
      <c r="B1220" s="260" t="s">
        <v>356</v>
      </c>
      <c r="C1220" s="248"/>
      <c r="D1220" s="647" t="e" cm="1">
        <f t="array" aca="1" ref="D1220" ca="1">INDIRECT("xHesaplama!I"&amp;""&amp;ROW(D1220)+70-7*ROUNDDOWN(ROW(D1220)/8,0))</f>
        <v>#N/A</v>
      </c>
      <c r="E1220" s="648"/>
      <c r="F1220" s="648"/>
      <c r="G1220" s="649"/>
    </row>
    <row r="1221" spans="2:9" ht="31.5" customHeight="1" thickBot="1">
      <c r="B1221" s="260" t="s">
        <v>874</v>
      </c>
      <c r="C1221" s="248"/>
      <c r="D1221" s="650" t="str">
        <f>$H$1</f>
        <v>BOX</v>
      </c>
      <c r="E1221" s="651"/>
      <c r="F1221" s="651"/>
      <c r="G1221" s="652"/>
    </row>
    <row r="1222" spans="2:9" ht="31.5" customHeight="1" thickBot="1">
      <c r="B1222" s="260" t="s">
        <v>875</v>
      </c>
      <c r="C1222" s="248"/>
      <c r="D1222" s="653" t="str">
        <f>'1PROJE'!$G$3</f>
        <v>Z 5001</v>
      </c>
      <c r="E1222" s="654"/>
      <c r="F1222" s="654"/>
      <c r="G1222" s="655"/>
      <c r="I1222" s="250"/>
    </row>
    <row r="1223" spans="2:9" ht="31.5" customHeight="1" thickBot="1">
      <c r="B1223" s="260" t="s">
        <v>876</v>
      </c>
      <c r="D1223" s="653" cm="1">
        <f t="array" aca="1" ref="D1223" ca="1">INDIRECT("xHesaplama!H"&amp;""&amp;ROW(D1220)+70-7*ROUNDDOWN(ROW(D1220)/8,0))</f>
        <v>0</v>
      </c>
      <c r="E1223" s="654"/>
      <c r="F1223" s="654"/>
      <c r="G1223" s="655"/>
    </row>
    <row r="1224" spans="2:9" ht="31.5" customHeight="1" thickBot="1">
      <c r="B1224" s="260" t="s">
        <v>877</v>
      </c>
      <c r="D1224" s="252" t="s">
        <v>878</v>
      </c>
      <c r="E1224" s="253" t="e" cm="1">
        <f t="array" aca="1" ref="E1224" ca="1">INDIRECT("xHesaplama!J"&amp;""&amp;ROW(D1220)+70-7*ROUNDDOWN(ROW(D1220)/8,0))</f>
        <v>#N/A</v>
      </c>
      <c r="F1224" s="254" t="s">
        <v>879</v>
      </c>
      <c r="G1224" s="253" t="e" cm="1">
        <f t="array" aca="1" ref="G1224" ca="1">INDIRECT("xHesaplama!K"&amp;""&amp;ROW(D1220)+70-7*ROUNDDOWN(ROW(D1220)/8,0))</f>
        <v>#N/A</v>
      </c>
    </row>
    <row r="1225" spans="2:9" ht="69" customHeight="1" thickBot="1">
      <c r="B1225" s="259" t="s">
        <v>869</v>
      </c>
      <c r="C1225" s="248"/>
      <c r="D1225" s="656"/>
      <c r="E1225" s="656"/>
      <c r="F1225" s="656"/>
      <c r="G1225" s="656"/>
    </row>
    <row r="1226" spans="2:9" ht="31.5" customHeight="1" thickBot="1">
      <c r="B1226" s="260" t="s">
        <v>872</v>
      </c>
      <c r="C1226" s="248"/>
      <c r="D1226" s="657" t="str">
        <f>'1PROJE'!$E$3</f>
        <v>GÜNEŞ PEN</v>
      </c>
      <c r="E1226" s="658"/>
      <c r="F1226" s="658"/>
      <c r="G1226" s="659"/>
    </row>
    <row r="1227" spans="2:9" ht="31.5" customHeight="1" thickBot="1">
      <c r="B1227" s="260" t="s">
        <v>873</v>
      </c>
      <c r="C1227" s="248"/>
      <c r="D1227" s="644" t="str">
        <f>'1PROJE'!$F$3</f>
        <v>GÜRKAN BEY</v>
      </c>
      <c r="E1227" s="645"/>
      <c r="F1227" s="645"/>
      <c r="G1227" s="646"/>
    </row>
    <row r="1228" spans="2:9" ht="31.5" customHeight="1" thickBot="1">
      <c r="B1228" s="260" t="s">
        <v>356</v>
      </c>
      <c r="C1228" s="248"/>
      <c r="D1228" s="647" t="e" cm="1">
        <f t="array" aca="1" ref="D1228" ca="1">INDIRECT("xHesaplama!I"&amp;""&amp;ROW(D1228)+70-7*ROUNDDOWN(ROW(D1228)/8,0))</f>
        <v>#N/A</v>
      </c>
      <c r="E1228" s="648"/>
      <c r="F1228" s="648"/>
      <c r="G1228" s="649"/>
    </row>
    <row r="1229" spans="2:9" ht="31.5" customHeight="1" thickBot="1">
      <c r="B1229" s="260" t="s">
        <v>874</v>
      </c>
      <c r="C1229" s="248"/>
      <c r="D1229" s="650" t="str">
        <f>$H$1</f>
        <v>BOX</v>
      </c>
      <c r="E1229" s="651"/>
      <c r="F1229" s="651"/>
      <c r="G1229" s="652"/>
    </row>
    <row r="1230" spans="2:9" ht="31.5" customHeight="1" thickBot="1">
      <c r="B1230" s="260" t="s">
        <v>875</v>
      </c>
      <c r="C1230" s="248"/>
      <c r="D1230" s="653" t="str">
        <f>'1PROJE'!$G$3</f>
        <v>Z 5001</v>
      </c>
      <c r="E1230" s="654"/>
      <c r="F1230" s="654"/>
      <c r="G1230" s="655"/>
      <c r="I1230" s="250"/>
    </row>
    <row r="1231" spans="2:9" ht="31.5" customHeight="1" thickBot="1">
      <c r="B1231" s="260" t="s">
        <v>876</v>
      </c>
      <c r="D1231" s="653" cm="1">
        <f t="array" aca="1" ref="D1231" ca="1">INDIRECT("xHesaplama!H"&amp;""&amp;ROW(D1228)+70-7*ROUNDDOWN(ROW(D1228)/8,0))</f>
        <v>0</v>
      </c>
      <c r="E1231" s="654"/>
      <c r="F1231" s="654"/>
      <c r="G1231" s="655"/>
    </row>
    <row r="1232" spans="2:9" ht="31.5" customHeight="1" thickBot="1">
      <c r="B1232" s="260" t="s">
        <v>877</v>
      </c>
      <c r="D1232" s="252" t="s">
        <v>878</v>
      </c>
      <c r="E1232" s="253" t="e" cm="1">
        <f t="array" aca="1" ref="E1232" ca="1">INDIRECT("xHesaplama!J"&amp;""&amp;ROW(D1228)+70-7*ROUNDDOWN(ROW(D1228)/8,0))</f>
        <v>#N/A</v>
      </c>
      <c r="F1232" s="254" t="s">
        <v>879</v>
      </c>
      <c r="G1232" s="253" t="e" cm="1">
        <f t="array" aca="1" ref="G1232" ca="1">INDIRECT("xHesaplama!K"&amp;""&amp;ROW(D1228)+70-7*ROUNDDOWN(ROW(D1228)/8,0))</f>
        <v>#N/A</v>
      </c>
    </row>
    <row r="1233" spans="2:9" ht="69" customHeight="1" thickBot="1">
      <c r="B1233" s="259" t="s">
        <v>869</v>
      </c>
      <c r="C1233" s="248"/>
      <c r="D1233" s="656"/>
      <c r="E1233" s="656"/>
      <c r="F1233" s="656"/>
      <c r="G1233" s="656"/>
    </row>
    <row r="1234" spans="2:9" ht="31.5" customHeight="1" thickBot="1">
      <c r="B1234" s="260" t="s">
        <v>872</v>
      </c>
      <c r="C1234" s="248"/>
      <c r="D1234" s="657" t="str">
        <f>'1PROJE'!$E$3</f>
        <v>GÜNEŞ PEN</v>
      </c>
      <c r="E1234" s="658"/>
      <c r="F1234" s="658"/>
      <c r="G1234" s="659"/>
    </row>
    <row r="1235" spans="2:9" ht="31.5" customHeight="1" thickBot="1">
      <c r="B1235" s="260" t="s">
        <v>873</v>
      </c>
      <c r="C1235" s="248"/>
      <c r="D1235" s="644" t="str">
        <f>'1PROJE'!$F$3</f>
        <v>GÜRKAN BEY</v>
      </c>
      <c r="E1235" s="645"/>
      <c r="F1235" s="645"/>
      <c r="G1235" s="646"/>
    </row>
    <row r="1236" spans="2:9" ht="31.5" customHeight="1" thickBot="1">
      <c r="B1236" s="260" t="s">
        <v>356</v>
      </c>
      <c r="C1236" s="248"/>
      <c r="D1236" s="647" t="e" cm="1">
        <f t="array" aca="1" ref="D1236" ca="1">INDIRECT("xHesaplama!I"&amp;""&amp;ROW(D1236)+70-7*ROUNDDOWN(ROW(D1236)/8,0))</f>
        <v>#N/A</v>
      </c>
      <c r="E1236" s="648"/>
      <c r="F1236" s="648"/>
      <c r="G1236" s="649"/>
    </row>
    <row r="1237" spans="2:9" ht="31.5" customHeight="1" thickBot="1">
      <c r="B1237" s="260" t="s">
        <v>874</v>
      </c>
      <c r="C1237" s="248"/>
      <c r="D1237" s="650" t="str">
        <f>$H$1</f>
        <v>BOX</v>
      </c>
      <c r="E1237" s="651"/>
      <c r="F1237" s="651"/>
      <c r="G1237" s="652"/>
    </row>
    <row r="1238" spans="2:9" ht="31.5" customHeight="1" thickBot="1">
      <c r="B1238" s="260" t="s">
        <v>875</v>
      </c>
      <c r="C1238" s="248"/>
      <c r="D1238" s="653" t="str">
        <f>'1PROJE'!$G$3</f>
        <v>Z 5001</v>
      </c>
      <c r="E1238" s="654"/>
      <c r="F1238" s="654"/>
      <c r="G1238" s="655"/>
      <c r="I1238" s="250"/>
    </row>
    <row r="1239" spans="2:9" ht="31.5" customHeight="1" thickBot="1">
      <c r="B1239" s="260" t="s">
        <v>876</v>
      </c>
      <c r="D1239" s="653" cm="1">
        <f t="array" aca="1" ref="D1239" ca="1">INDIRECT("xHesaplama!H"&amp;""&amp;ROW(D1236)+70-7*ROUNDDOWN(ROW(D1236)/8,0))</f>
        <v>0</v>
      </c>
      <c r="E1239" s="654"/>
      <c r="F1239" s="654"/>
      <c r="G1239" s="655"/>
    </row>
    <row r="1240" spans="2:9" ht="31.5" customHeight="1" thickBot="1">
      <c r="B1240" s="260" t="s">
        <v>877</v>
      </c>
      <c r="D1240" s="252" t="s">
        <v>878</v>
      </c>
      <c r="E1240" s="253" t="e" cm="1">
        <f t="array" aca="1" ref="E1240" ca="1">INDIRECT("xHesaplama!J"&amp;""&amp;ROW(D1236)+70-7*ROUNDDOWN(ROW(D1236)/8,0))</f>
        <v>#N/A</v>
      </c>
      <c r="F1240" s="254" t="s">
        <v>879</v>
      </c>
      <c r="G1240" s="253" t="e" cm="1">
        <f t="array" aca="1" ref="G1240" ca="1">INDIRECT("xHesaplama!K"&amp;""&amp;ROW(D1236)+70-7*ROUNDDOWN(ROW(D1236)/8,0))</f>
        <v>#N/A</v>
      </c>
    </row>
    <row r="1241" spans="2:9" ht="69" customHeight="1" thickBot="1">
      <c r="B1241" s="259" t="s">
        <v>869</v>
      </c>
      <c r="C1241" s="248"/>
      <c r="D1241" s="656"/>
      <c r="E1241" s="656"/>
      <c r="F1241" s="656"/>
      <c r="G1241" s="656"/>
    </row>
    <row r="1242" spans="2:9" ht="31.5" customHeight="1" thickBot="1">
      <c r="B1242" s="260" t="s">
        <v>872</v>
      </c>
      <c r="C1242" s="248"/>
      <c r="D1242" s="657" t="str">
        <f>'1PROJE'!$E$3</f>
        <v>GÜNEŞ PEN</v>
      </c>
      <c r="E1242" s="658"/>
      <c r="F1242" s="658"/>
      <c r="G1242" s="659"/>
    </row>
    <row r="1243" spans="2:9" ht="31.5" customHeight="1" thickBot="1">
      <c r="B1243" s="260" t="s">
        <v>873</v>
      </c>
      <c r="C1243" s="248"/>
      <c r="D1243" s="644" t="str">
        <f>'1PROJE'!$F$3</f>
        <v>GÜRKAN BEY</v>
      </c>
      <c r="E1243" s="645"/>
      <c r="F1243" s="645"/>
      <c r="G1243" s="646"/>
    </row>
    <row r="1244" spans="2:9" ht="31.5" customHeight="1" thickBot="1">
      <c r="B1244" s="260" t="s">
        <v>356</v>
      </c>
      <c r="C1244" s="248"/>
      <c r="D1244" s="647" t="e" cm="1">
        <f t="array" aca="1" ref="D1244" ca="1">INDIRECT("xHesaplama!I"&amp;""&amp;ROW(D1244)+70-7*ROUNDDOWN(ROW(D1244)/8,0))</f>
        <v>#N/A</v>
      </c>
      <c r="E1244" s="648"/>
      <c r="F1244" s="648"/>
      <c r="G1244" s="649"/>
    </row>
    <row r="1245" spans="2:9" ht="31.5" customHeight="1" thickBot="1">
      <c r="B1245" s="260" t="s">
        <v>874</v>
      </c>
      <c r="C1245" s="248"/>
      <c r="D1245" s="650" t="str">
        <f>$H$1</f>
        <v>BOX</v>
      </c>
      <c r="E1245" s="651"/>
      <c r="F1245" s="651"/>
      <c r="G1245" s="652"/>
    </row>
    <row r="1246" spans="2:9" ht="31.5" customHeight="1" thickBot="1">
      <c r="B1246" s="260" t="s">
        <v>875</v>
      </c>
      <c r="C1246" s="248"/>
      <c r="D1246" s="653" t="str">
        <f>'1PROJE'!$G$3</f>
        <v>Z 5001</v>
      </c>
      <c r="E1246" s="654"/>
      <c r="F1246" s="654"/>
      <c r="G1246" s="655"/>
      <c r="I1246" s="250"/>
    </row>
    <row r="1247" spans="2:9" ht="31.5" customHeight="1" thickBot="1">
      <c r="B1247" s="260" t="s">
        <v>876</v>
      </c>
      <c r="D1247" s="653" cm="1">
        <f t="array" aca="1" ref="D1247" ca="1">INDIRECT("xHesaplama!H"&amp;""&amp;ROW(D1244)+70-7*ROUNDDOWN(ROW(D1244)/8,0))</f>
        <v>0</v>
      </c>
      <c r="E1247" s="654"/>
      <c r="F1247" s="654"/>
      <c r="G1247" s="655"/>
    </row>
    <row r="1248" spans="2:9" ht="31.5" customHeight="1" thickBot="1">
      <c r="B1248" s="260" t="s">
        <v>877</v>
      </c>
      <c r="D1248" s="252" t="s">
        <v>878</v>
      </c>
      <c r="E1248" s="253" t="e" cm="1">
        <f t="array" aca="1" ref="E1248" ca="1">INDIRECT("xHesaplama!J"&amp;""&amp;ROW(D1244)+70-7*ROUNDDOWN(ROW(D1244)/8,0))</f>
        <v>#N/A</v>
      </c>
      <c r="F1248" s="254" t="s">
        <v>879</v>
      </c>
      <c r="G1248" s="253" t="e" cm="1">
        <f t="array" aca="1" ref="G1248" ca="1">INDIRECT("xHesaplama!K"&amp;""&amp;ROW(D1244)+70-7*ROUNDDOWN(ROW(D1244)/8,0))</f>
        <v>#N/A</v>
      </c>
    </row>
    <row r="1249" spans="2:9" ht="69" customHeight="1" thickBot="1">
      <c r="B1249" s="259" t="s">
        <v>869</v>
      </c>
      <c r="C1249" s="248"/>
      <c r="D1249" s="656"/>
      <c r="E1249" s="656"/>
      <c r="F1249" s="656"/>
      <c r="G1249" s="656"/>
    </row>
    <row r="1250" spans="2:9" ht="31.5" customHeight="1" thickBot="1">
      <c r="B1250" s="260" t="s">
        <v>872</v>
      </c>
      <c r="C1250" s="248"/>
      <c r="D1250" s="657" t="str">
        <f>'1PROJE'!$E$3</f>
        <v>GÜNEŞ PEN</v>
      </c>
      <c r="E1250" s="658"/>
      <c r="F1250" s="658"/>
      <c r="G1250" s="659"/>
    </row>
    <row r="1251" spans="2:9" ht="31.5" customHeight="1" thickBot="1">
      <c r="B1251" s="260" t="s">
        <v>873</v>
      </c>
      <c r="C1251" s="248"/>
      <c r="D1251" s="644" t="str">
        <f>'1PROJE'!$F$3</f>
        <v>GÜRKAN BEY</v>
      </c>
      <c r="E1251" s="645"/>
      <c r="F1251" s="645"/>
      <c r="G1251" s="646"/>
    </row>
    <row r="1252" spans="2:9" ht="31.5" customHeight="1" thickBot="1">
      <c r="B1252" s="260" t="s">
        <v>356</v>
      </c>
      <c r="C1252" s="248"/>
      <c r="D1252" s="647" t="e" cm="1">
        <f t="array" aca="1" ref="D1252" ca="1">INDIRECT("xHesaplama!I"&amp;""&amp;ROW(D1252)+70-7*ROUNDDOWN(ROW(D1252)/8,0))</f>
        <v>#N/A</v>
      </c>
      <c r="E1252" s="648"/>
      <c r="F1252" s="648"/>
      <c r="G1252" s="649"/>
    </row>
    <row r="1253" spans="2:9" ht="31.5" customHeight="1" thickBot="1">
      <c r="B1253" s="260" t="s">
        <v>874</v>
      </c>
      <c r="C1253" s="248"/>
      <c r="D1253" s="650" t="str">
        <f>$H$1</f>
        <v>BOX</v>
      </c>
      <c r="E1253" s="651"/>
      <c r="F1253" s="651"/>
      <c r="G1253" s="652"/>
    </row>
    <row r="1254" spans="2:9" ht="31.5" customHeight="1" thickBot="1">
      <c r="B1254" s="260" t="s">
        <v>875</v>
      </c>
      <c r="C1254" s="248"/>
      <c r="D1254" s="653" t="str">
        <f>'1PROJE'!$G$3</f>
        <v>Z 5001</v>
      </c>
      <c r="E1254" s="654"/>
      <c r="F1254" s="654"/>
      <c r="G1254" s="655"/>
      <c r="I1254" s="250"/>
    </row>
    <row r="1255" spans="2:9" ht="31.5" customHeight="1" thickBot="1">
      <c r="B1255" s="260" t="s">
        <v>876</v>
      </c>
      <c r="D1255" s="653" cm="1">
        <f t="array" aca="1" ref="D1255" ca="1">INDIRECT("xHesaplama!H"&amp;""&amp;ROW(D1252)+70-7*ROUNDDOWN(ROW(D1252)/8,0))</f>
        <v>0</v>
      </c>
      <c r="E1255" s="654"/>
      <c r="F1255" s="654"/>
      <c r="G1255" s="655"/>
    </row>
    <row r="1256" spans="2:9" ht="31.5" customHeight="1" thickBot="1">
      <c r="B1256" s="260" t="s">
        <v>877</v>
      </c>
      <c r="D1256" s="252" t="s">
        <v>878</v>
      </c>
      <c r="E1256" s="253" t="e" cm="1">
        <f t="array" aca="1" ref="E1256" ca="1">INDIRECT("xHesaplama!J"&amp;""&amp;ROW(D1252)+70-7*ROUNDDOWN(ROW(D1252)/8,0))</f>
        <v>#N/A</v>
      </c>
      <c r="F1256" s="254" t="s">
        <v>879</v>
      </c>
      <c r="G1256" s="253" t="e" cm="1">
        <f t="array" aca="1" ref="G1256" ca="1">INDIRECT("xHesaplama!K"&amp;""&amp;ROW(D1252)+70-7*ROUNDDOWN(ROW(D1252)/8,0))</f>
        <v>#N/A</v>
      </c>
    </row>
    <row r="1257" spans="2:9" ht="69" customHeight="1" thickBot="1">
      <c r="B1257" s="259" t="s">
        <v>869</v>
      </c>
      <c r="C1257" s="248"/>
      <c r="D1257" s="656"/>
      <c r="E1257" s="656"/>
      <c r="F1257" s="656"/>
      <c r="G1257" s="656"/>
    </row>
    <row r="1258" spans="2:9" ht="31.5" customHeight="1" thickBot="1">
      <c r="B1258" s="260" t="s">
        <v>872</v>
      </c>
      <c r="C1258" s="248"/>
      <c r="D1258" s="657" t="str">
        <f>'1PROJE'!$E$3</f>
        <v>GÜNEŞ PEN</v>
      </c>
      <c r="E1258" s="658"/>
      <c r="F1258" s="658"/>
      <c r="G1258" s="659"/>
    </row>
    <row r="1259" spans="2:9" ht="31.5" customHeight="1" thickBot="1">
      <c r="B1259" s="260" t="s">
        <v>873</v>
      </c>
      <c r="C1259" s="248"/>
      <c r="D1259" s="644" t="str">
        <f>'1PROJE'!$F$3</f>
        <v>GÜRKAN BEY</v>
      </c>
      <c r="E1259" s="645"/>
      <c r="F1259" s="645"/>
      <c r="G1259" s="646"/>
    </row>
    <row r="1260" spans="2:9" ht="31.5" customHeight="1" thickBot="1">
      <c r="B1260" s="260" t="s">
        <v>356</v>
      </c>
      <c r="C1260" s="248"/>
      <c r="D1260" s="647" t="e" cm="1">
        <f t="array" aca="1" ref="D1260" ca="1">INDIRECT("xHesaplama!I"&amp;""&amp;ROW(D1260)+70-7*ROUNDDOWN(ROW(D1260)/8,0))</f>
        <v>#N/A</v>
      </c>
      <c r="E1260" s="648"/>
      <c r="F1260" s="648"/>
      <c r="G1260" s="649"/>
    </row>
    <row r="1261" spans="2:9" ht="31.5" customHeight="1" thickBot="1">
      <c r="B1261" s="260" t="s">
        <v>874</v>
      </c>
      <c r="C1261" s="248"/>
      <c r="D1261" s="650" t="str">
        <f>$H$1</f>
        <v>BOX</v>
      </c>
      <c r="E1261" s="651"/>
      <c r="F1261" s="651"/>
      <c r="G1261" s="652"/>
    </row>
    <row r="1262" spans="2:9" ht="31.5" customHeight="1" thickBot="1">
      <c r="B1262" s="260" t="s">
        <v>875</v>
      </c>
      <c r="C1262" s="248"/>
      <c r="D1262" s="653" t="str">
        <f>'1PROJE'!$G$3</f>
        <v>Z 5001</v>
      </c>
      <c r="E1262" s="654"/>
      <c r="F1262" s="654"/>
      <c r="G1262" s="655"/>
      <c r="I1262" s="250"/>
    </row>
    <row r="1263" spans="2:9" ht="31.5" customHeight="1" thickBot="1">
      <c r="B1263" s="260" t="s">
        <v>876</v>
      </c>
      <c r="D1263" s="653" cm="1">
        <f t="array" aca="1" ref="D1263" ca="1">INDIRECT("xHesaplama!H"&amp;""&amp;ROW(D1260)+70-7*ROUNDDOWN(ROW(D1260)/8,0))</f>
        <v>0</v>
      </c>
      <c r="E1263" s="654"/>
      <c r="F1263" s="654"/>
      <c r="G1263" s="655"/>
    </row>
    <row r="1264" spans="2:9" ht="31.5" customHeight="1" thickBot="1">
      <c r="B1264" s="260" t="s">
        <v>877</v>
      </c>
      <c r="D1264" s="252" t="s">
        <v>878</v>
      </c>
      <c r="E1264" s="253" t="e" cm="1">
        <f t="array" aca="1" ref="E1264" ca="1">INDIRECT("xHesaplama!J"&amp;""&amp;ROW(D1260)+70-7*ROUNDDOWN(ROW(D1260)/8,0))</f>
        <v>#N/A</v>
      </c>
      <c r="F1264" s="254" t="s">
        <v>879</v>
      </c>
      <c r="G1264" s="253" t="e" cm="1">
        <f t="array" aca="1" ref="G1264" ca="1">INDIRECT("xHesaplama!K"&amp;""&amp;ROW(D1260)+70-7*ROUNDDOWN(ROW(D1260)/8,0))</f>
        <v>#N/A</v>
      </c>
    </row>
    <row r="1265" spans="2:9" ht="69" customHeight="1" thickBot="1">
      <c r="B1265" s="259" t="s">
        <v>869</v>
      </c>
      <c r="C1265" s="248"/>
      <c r="D1265" s="656"/>
      <c r="E1265" s="656"/>
      <c r="F1265" s="656"/>
      <c r="G1265" s="656"/>
    </row>
    <row r="1266" spans="2:9" ht="31.5" customHeight="1" thickBot="1">
      <c r="B1266" s="260" t="s">
        <v>872</v>
      </c>
      <c r="C1266" s="248"/>
      <c r="D1266" s="657" t="str">
        <f>'1PROJE'!$E$3</f>
        <v>GÜNEŞ PEN</v>
      </c>
      <c r="E1266" s="658"/>
      <c r="F1266" s="658"/>
      <c r="G1266" s="659"/>
    </row>
    <row r="1267" spans="2:9" ht="31.5" customHeight="1" thickBot="1">
      <c r="B1267" s="260" t="s">
        <v>873</v>
      </c>
      <c r="C1267" s="248"/>
      <c r="D1267" s="644" t="str">
        <f>'1PROJE'!$F$3</f>
        <v>GÜRKAN BEY</v>
      </c>
      <c r="E1267" s="645"/>
      <c r="F1267" s="645"/>
      <c r="G1267" s="646"/>
    </row>
    <row r="1268" spans="2:9" ht="31.5" customHeight="1" thickBot="1">
      <c r="B1268" s="260" t="s">
        <v>356</v>
      </c>
      <c r="C1268" s="248"/>
      <c r="D1268" s="647" t="e" cm="1">
        <f t="array" aca="1" ref="D1268" ca="1">INDIRECT("xHesaplama!I"&amp;""&amp;ROW(D1268)+70-7*ROUNDDOWN(ROW(D1268)/8,0))</f>
        <v>#N/A</v>
      </c>
      <c r="E1268" s="648"/>
      <c r="F1268" s="648"/>
      <c r="G1268" s="649"/>
    </row>
    <row r="1269" spans="2:9" ht="31.5" customHeight="1" thickBot="1">
      <c r="B1269" s="260" t="s">
        <v>874</v>
      </c>
      <c r="C1269" s="248"/>
      <c r="D1269" s="650" t="str">
        <f>$H$1</f>
        <v>BOX</v>
      </c>
      <c r="E1269" s="651"/>
      <c r="F1269" s="651"/>
      <c r="G1269" s="652"/>
    </row>
    <row r="1270" spans="2:9" ht="31.5" customHeight="1" thickBot="1">
      <c r="B1270" s="260" t="s">
        <v>875</v>
      </c>
      <c r="C1270" s="248"/>
      <c r="D1270" s="653" t="str">
        <f>'1PROJE'!$G$3</f>
        <v>Z 5001</v>
      </c>
      <c r="E1270" s="654"/>
      <c r="F1270" s="654"/>
      <c r="G1270" s="655"/>
      <c r="I1270" s="250"/>
    </row>
    <row r="1271" spans="2:9" ht="31.5" customHeight="1" thickBot="1">
      <c r="B1271" s="260" t="s">
        <v>876</v>
      </c>
      <c r="D1271" s="653" cm="1">
        <f t="array" aca="1" ref="D1271" ca="1">INDIRECT("xHesaplama!H"&amp;""&amp;ROW(D1268)+70-7*ROUNDDOWN(ROW(D1268)/8,0))</f>
        <v>0</v>
      </c>
      <c r="E1271" s="654"/>
      <c r="F1271" s="654"/>
      <c r="G1271" s="655"/>
    </row>
    <row r="1272" spans="2:9" ht="31.5" customHeight="1" thickBot="1">
      <c r="B1272" s="260" t="s">
        <v>877</v>
      </c>
      <c r="D1272" s="252" t="s">
        <v>878</v>
      </c>
      <c r="E1272" s="253" t="e" cm="1">
        <f t="array" aca="1" ref="E1272" ca="1">INDIRECT("xHesaplama!J"&amp;""&amp;ROW(D1268)+70-7*ROUNDDOWN(ROW(D1268)/8,0))</f>
        <v>#N/A</v>
      </c>
      <c r="F1272" s="254" t="s">
        <v>879</v>
      </c>
      <c r="G1272" s="253" t="e" cm="1">
        <f t="array" aca="1" ref="G1272" ca="1">INDIRECT("xHesaplama!K"&amp;""&amp;ROW(D1268)+70-7*ROUNDDOWN(ROW(D1268)/8,0))</f>
        <v>#N/A</v>
      </c>
    </row>
    <row r="1273" spans="2:9" ht="69" customHeight="1" thickBot="1">
      <c r="B1273" s="259" t="s">
        <v>869</v>
      </c>
      <c r="C1273" s="248"/>
      <c r="D1273" s="656"/>
      <c r="E1273" s="656"/>
      <c r="F1273" s="656"/>
      <c r="G1273" s="656"/>
    </row>
    <row r="1274" spans="2:9" ht="31.5" customHeight="1" thickBot="1">
      <c r="B1274" s="260" t="s">
        <v>872</v>
      </c>
      <c r="C1274" s="248"/>
      <c r="D1274" s="657" t="str">
        <f>'1PROJE'!$E$3</f>
        <v>GÜNEŞ PEN</v>
      </c>
      <c r="E1274" s="658"/>
      <c r="F1274" s="658"/>
      <c r="G1274" s="659"/>
    </row>
    <row r="1275" spans="2:9" ht="31.5" customHeight="1" thickBot="1">
      <c r="B1275" s="260" t="s">
        <v>873</v>
      </c>
      <c r="C1275" s="248"/>
      <c r="D1275" s="644" t="str">
        <f>'1PROJE'!$F$3</f>
        <v>GÜRKAN BEY</v>
      </c>
      <c r="E1275" s="645"/>
      <c r="F1275" s="645"/>
      <c r="G1275" s="646"/>
    </row>
    <row r="1276" spans="2:9" ht="31.5" customHeight="1" thickBot="1">
      <c r="B1276" s="260" t="s">
        <v>356</v>
      </c>
      <c r="C1276" s="248"/>
      <c r="D1276" s="647" t="e" cm="1">
        <f t="array" aca="1" ref="D1276" ca="1">INDIRECT("xHesaplama!I"&amp;""&amp;ROW(D1276)+70-7*ROUNDDOWN(ROW(D1276)/8,0))</f>
        <v>#N/A</v>
      </c>
      <c r="E1276" s="648"/>
      <c r="F1276" s="648"/>
      <c r="G1276" s="649"/>
    </row>
    <row r="1277" spans="2:9" ht="31.5" customHeight="1" thickBot="1">
      <c r="B1277" s="260" t="s">
        <v>874</v>
      </c>
      <c r="C1277" s="248"/>
      <c r="D1277" s="650" t="str">
        <f>$H$1</f>
        <v>BOX</v>
      </c>
      <c r="E1277" s="651"/>
      <c r="F1277" s="651"/>
      <c r="G1277" s="652"/>
    </row>
    <row r="1278" spans="2:9" ht="31.5" customHeight="1" thickBot="1">
      <c r="B1278" s="260" t="s">
        <v>875</v>
      </c>
      <c r="C1278" s="248"/>
      <c r="D1278" s="653" t="str">
        <f>'1PROJE'!$G$3</f>
        <v>Z 5001</v>
      </c>
      <c r="E1278" s="654"/>
      <c r="F1278" s="654"/>
      <c r="G1278" s="655"/>
      <c r="I1278" s="250"/>
    </row>
    <row r="1279" spans="2:9" ht="31.5" customHeight="1" thickBot="1">
      <c r="B1279" s="260" t="s">
        <v>876</v>
      </c>
      <c r="D1279" s="653" cm="1">
        <f t="array" aca="1" ref="D1279" ca="1">INDIRECT("xHesaplama!H"&amp;""&amp;ROW(D1276)+70-7*ROUNDDOWN(ROW(D1276)/8,0))</f>
        <v>0</v>
      </c>
      <c r="E1279" s="654"/>
      <c r="F1279" s="654"/>
      <c r="G1279" s="655"/>
    </row>
    <row r="1280" spans="2:9" ht="31.5" customHeight="1" thickBot="1">
      <c r="B1280" s="260" t="s">
        <v>877</v>
      </c>
      <c r="D1280" s="252" t="s">
        <v>878</v>
      </c>
      <c r="E1280" s="253" t="e" cm="1">
        <f t="array" aca="1" ref="E1280" ca="1">INDIRECT("xHesaplama!J"&amp;""&amp;ROW(D1276)+70-7*ROUNDDOWN(ROW(D1276)/8,0))</f>
        <v>#N/A</v>
      </c>
      <c r="F1280" s="254" t="s">
        <v>879</v>
      </c>
      <c r="G1280" s="253" t="e" cm="1">
        <f t="array" aca="1" ref="G1280" ca="1">INDIRECT("xHesaplama!K"&amp;""&amp;ROW(D1276)+70-7*ROUNDDOWN(ROW(D1276)/8,0))</f>
        <v>#N/A</v>
      </c>
    </row>
    <row r="1281" spans="2:9" ht="69" customHeight="1" thickBot="1">
      <c r="B1281" s="259" t="s">
        <v>869</v>
      </c>
      <c r="C1281" s="248"/>
      <c r="D1281" s="656"/>
      <c r="E1281" s="656"/>
      <c r="F1281" s="656"/>
      <c r="G1281" s="656"/>
    </row>
    <row r="1282" spans="2:9" ht="31.5" customHeight="1" thickBot="1">
      <c r="B1282" s="260" t="s">
        <v>872</v>
      </c>
      <c r="C1282" s="248"/>
      <c r="D1282" s="657" t="str">
        <f>'1PROJE'!$E$3</f>
        <v>GÜNEŞ PEN</v>
      </c>
      <c r="E1282" s="658"/>
      <c r="F1282" s="658"/>
      <c r="G1282" s="659"/>
    </row>
    <row r="1283" spans="2:9" ht="31.5" customHeight="1" thickBot="1">
      <c r="B1283" s="260" t="s">
        <v>873</v>
      </c>
      <c r="C1283" s="248"/>
      <c r="D1283" s="644" t="str">
        <f>'1PROJE'!$F$3</f>
        <v>GÜRKAN BEY</v>
      </c>
      <c r="E1283" s="645"/>
      <c r="F1283" s="645"/>
      <c r="G1283" s="646"/>
    </row>
    <row r="1284" spans="2:9" ht="31.5" customHeight="1" thickBot="1">
      <c r="B1284" s="260" t="s">
        <v>356</v>
      </c>
      <c r="C1284" s="248"/>
      <c r="D1284" s="647" t="e" cm="1">
        <f t="array" aca="1" ref="D1284" ca="1">INDIRECT("xHesaplama!I"&amp;""&amp;ROW(D1284)+70-7*ROUNDDOWN(ROW(D1284)/8,0))</f>
        <v>#N/A</v>
      </c>
      <c r="E1284" s="648"/>
      <c r="F1284" s="648"/>
      <c r="G1284" s="649"/>
    </row>
    <row r="1285" spans="2:9" ht="31.5" customHeight="1" thickBot="1">
      <c r="B1285" s="260" t="s">
        <v>874</v>
      </c>
      <c r="C1285" s="248"/>
      <c r="D1285" s="650" t="str">
        <f>$H$1</f>
        <v>BOX</v>
      </c>
      <c r="E1285" s="651"/>
      <c r="F1285" s="651"/>
      <c r="G1285" s="652"/>
    </row>
    <row r="1286" spans="2:9" ht="31.5" customHeight="1" thickBot="1">
      <c r="B1286" s="260" t="s">
        <v>875</v>
      </c>
      <c r="C1286" s="248"/>
      <c r="D1286" s="653" t="str">
        <f>'1PROJE'!$G$3</f>
        <v>Z 5001</v>
      </c>
      <c r="E1286" s="654"/>
      <c r="F1286" s="654"/>
      <c r="G1286" s="655"/>
      <c r="I1286" s="250"/>
    </row>
    <row r="1287" spans="2:9" ht="31.5" customHeight="1" thickBot="1">
      <c r="B1287" s="260" t="s">
        <v>876</v>
      </c>
      <c r="D1287" s="653" cm="1">
        <f t="array" aca="1" ref="D1287" ca="1">INDIRECT("xHesaplama!H"&amp;""&amp;ROW(D1284)+70-7*ROUNDDOWN(ROW(D1284)/8,0))</f>
        <v>0</v>
      </c>
      <c r="E1287" s="654"/>
      <c r="F1287" s="654"/>
      <c r="G1287" s="655"/>
    </row>
    <row r="1288" spans="2:9" ht="31.5" customHeight="1" thickBot="1">
      <c r="B1288" s="260" t="s">
        <v>877</v>
      </c>
      <c r="D1288" s="252" t="s">
        <v>878</v>
      </c>
      <c r="E1288" s="253" t="e" cm="1">
        <f t="array" aca="1" ref="E1288" ca="1">INDIRECT("xHesaplama!J"&amp;""&amp;ROW(D1284)+70-7*ROUNDDOWN(ROW(D1284)/8,0))</f>
        <v>#N/A</v>
      </c>
      <c r="F1288" s="254" t="s">
        <v>879</v>
      </c>
      <c r="G1288" s="253" t="e" cm="1">
        <f t="array" aca="1" ref="G1288" ca="1">INDIRECT("xHesaplama!K"&amp;""&amp;ROW(D1284)+70-7*ROUNDDOWN(ROW(D1284)/8,0))</f>
        <v>#N/A</v>
      </c>
    </row>
    <row r="1289" spans="2:9" ht="69" customHeight="1" thickBot="1">
      <c r="B1289" s="259" t="s">
        <v>869</v>
      </c>
      <c r="C1289" s="248"/>
      <c r="D1289" s="656"/>
      <c r="E1289" s="656"/>
      <c r="F1289" s="656"/>
      <c r="G1289" s="656"/>
    </row>
    <row r="1290" spans="2:9" ht="31.5" customHeight="1" thickBot="1">
      <c r="B1290" s="260" t="s">
        <v>872</v>
      </c>
      <c r="C1290" s="248"/>
      <c r="D1290" s="657" t="str">
        <f>'1PROJE'!$E$3</f>
        <v>GÜNEŞ PEN</v>
      </c>
      <c r="E1290" s="658"/>
      <c r="F1290" s="658"/>
      <c r="G1290" s="659"/>
    </row>
    <row r="1291" spans="2:9" ht="31.5" customHeight="1" thickBot="1">
      <c r="B1291" s="260" t="s">
        <v>873</v>
      </c>
      <c r="C1291" s="248"/>
      <c r="D1291" s="644" t="str">
        <f>'1PROJE'!$F$3</f>
        <v>GÜRKAN BEY</v>
      </c>
      <c r="E1291" s="645"/>
      <c r="F1291" s="645"/>
      <c r="G1291" s="646"/>
    </row>
    <row r="1292" spans="2:9" ht="31.5" customHeight="1" thickBot="1">
      <c r="B1292" s="260" t="s">
        <v>356</v>
      </c>
      <c r="C1292" s="248"/>
      <c r="D1292" s="647" t="e" cm="1">
        <f t="array" aca="1" ref="D1292" ca="1">INDIRECT("xHesaplama!I"&amp;""&amp;ROW(D1292)+70-7*ROUNDDOWN(ROW(D1292)/8,0))</f>
        <v>#N/A</v>
      </c>
      <c r="E1292" s="648"/>
      <c r="F1292" s="648"/>
      <c r="G1292" s="649"/>
    </row>
    <row r="1293" spans="2:9" ht="31.5" customHeight="1" thickBot="1">
      <c r="B1293" s="260" t="s">
        <v>874</v>
      </c>
      <c r="C1293" s="248"/>
      <c r="D1293" s="650" t="str">
        <f>$H$1</f>
        <v>BOX</v>
      </c>
      <c r="E1293" s="651"/>
      <c r="F1293" s="651"/>
      <c r="G1293" s="652"/>
    </row>
    <row r="1294" spans="2:9" ht="31.5" customHeight="1" thickBot="1">
      <c r="B1294" s="260" t="s">
        <v>875</v>
      </c>
      <c r="C1294" s="248"/>
      <c r="D1294" s="653" t="str">
        <f>'1PROJE'!$G$3</f>
        <v>Z 5001</v>
      </c>
      <c r="E1294" s="654"/>
      <c r="F1294" s="654"/>
      <c r="G1294" s="655"/>
      <c r="I1294" s="250"/>
    </row>
    <row r="1295" spans="2:9" ht="31.5" customHeight="1" thickBot="1">
      <c r="B1295" s="260" t="s">
        <v>876</v>
      </c>
      <c r="D1295" s="653" cm="1">
        <f t="array" aca="1" ref="D1295" ca="1">INDIRECT("xHesaplama!H"&amp;""&amp;ROW(D1292)+70-7*ROUNDDOWN(ROW(D1292)/8,0))</f>
        <v>0</v>
      </c>
      <c r="E1295" s="654"/>
      <c r="F1295" s="654"/>
      <c r="G1295" s="655"/>
    </row>
    <row r="1296" spans="2:9" ht="31.5" customHeight="1" thickBot="1">
      <c r="B1296" s="260" t="s">
        <v>877</v>
      </c>
      <c r="D1296" s="252" t="s">
        <v>878</v>
      </c>
      <c r="E1296" s="253" t="e" cm="1">
        <f t="array" aca="1" ref="E1296" ca="1">INDIRECT("xHesaplama!J"&amp;""&amp;ROW(D1292)+70-7*ROUNDDOWN(ROW(D1292)/8,0))</f>
        <v>#N/A</v>
      </c>
      <c r="F1296" s="254" t="s">
        <v>879</v>
      </c>
      <c r="G1296" s="253" t="e" cm="1">
        <f t="array" aca="1" ref="G1296" ca="1">INDIRECT("xHesaplama!K"&amp;""&amp;ROW(D1292)+70-7*ROUNDDOWN(ROW(D1292)/8,0))</f>
        <v>#N/A</v>
      </c>
    </row>
    <row r="1297" spans="2:9" ht="69" customHeight="1" thickBot="1">
      <c r="B1297" s="259" t="s">
        <v>869</v>
      </c>
      <c r="C1297" s="248"/>
      <c r="D1297" s="656"/>
      <c r="E1297" s="656"/>
      <c r="F1297" s="656"/>
      <c r="G1297" s="656"/>
    </row>
    <row r="1298" spans="2:9" ht="31.5" customHeight="1" thickBot="1">
      <c r="B1298" s="260" t="s">
        <v>872</v>
      </c>
      <c r="C1298" s="248"/>
      <c r="D1298" s="657" t="str">
        <f>'1PROJE'!$E$3</f>
        <v>GÜNEŞ PEN</v>
      </c>
      <c r="E1298" s="658"/>
      <c r="F1298" s="658"/>
      <c r="G1298" s="659"/>
    </row>
    <row r="1299" spans="2:9" ht="31.5" customHeight="1" thickBot="1">
      <c r="B1299" s="260" t="s">
        <v>873</v>
      </c>
      <c r="C1299" s="248"/>
      <c r="D1299" s="644" t="str">
        <f>'1PROJE'!$F$3</f>
        <v>GÜRKAN BEY</v>
      </c>
      <c r="E1299" s="645"/>
      <c r="F1299" s="645"/>
      <c r="G1299" s="646"/>
    </row>
    <row r="1300" spans="2:9" ht="31.5" customHeight="1" thickBot="1">
      <c r="B1300" s="260" t="s">
        <v>356</v>
      </c>
      <c r="C1300" s="248"/>
      <c r="D1300" s="647" t="e" cm="1">
        <f t="array" aca="1" ref="D1300" ca="1">INDIRECT("xHesaplama!I"&amp;""&amp;ROW(D1300)+70-7*ROUNDDOWN(ROW(D1300)/8,0))</f>
        <v>#N/A</v>
      </c>
      <c r="E1300" s="648"/>
      <c r="F1300" s="648"/>
      <c r="G1300" s="649"/>
    </row>
    <row r="1301" spans="2:9" ht="31.5" customHeight="1" thickBot="1">
      <c r="B1301" s="260" t="s">
        <v>874</v>
      </c>
      <c r="C1301" s="248"/>
      <c r="D1301" s="650" t="str">
        <f>$H$1</f>
        <v>BOX</v>
      </c>
      <c r="E1301" s="651"/>
      <c r="F1301" s="651"/>
      <c r="G1301" s="652"/>
    </row>
    <row r="1302" spans="2:9" ht="31.5" customHeight="1" thickBot="1">
      <c r="B1302" s="260" t="s">
        <v>875</v>
      </c>
      <c r="C1302" s="248"/>
      <c r="D1302" s="653" t="str">
        <f>'1PROJE'!$G$3</f>
        <v>Z 5001</v>
      </c>
      <c r="E1302" s="654"/>
      <c r="F1302" s="654"/>
      <c r="G1302" s="655"/>
      <c r="I1302" s="250"/>
    </row>
    <row r="1303" spans="2:9" ht="31.5" customHeight="1" thickBot="1">
      <c r="B1303" s="260" t="s">
        <v>876</v>
      </c>
      <c r="D1303" s="653" cm="1">
        <f t="array" aca="1" ref="D1303" ca="1">INDIRECT("xHesaplama!H"&amp;""&amp;ROW(D1300)+70-7*ROUNDDOWN(ROW(D1300)/8,0))</f>
        <v>0</v>
      </c>
      <c r="E1303" s="654"/>
      <c r="F1303" s="654"/>
      <c r="G1303" s="655"/>
    </row>
    <row r="1304" spans="2:9" ht="31.5" customHeight="1" thickBot="1">
      <c r="B1304" s="260" t="s">
        <v>877</v>
      </c>
      <c r="D1304" s="252" t="s">
        <v>878</v>
      </c>
      <c r="E1304" s="253" t="e" cm="1">
        <f t="array" aca="1" ref="E1304" ca="1">INDIRECT("xHesaplama!J"&amp;""&amp;ROW(D1300)+70-7*ROUNDDOWN(ROW(D1300)/8,0))</f>
        <v>#N/A</v>
      </c>
      <c r="F1304" s="254" t="s">
        <v>879</v>
      </c>
      <c r="G1304" s="253" t="e" cm="1">
        <f t="array" aca="1" ref="G1304" ca="1">INDIRECT("xHesaplama!K"&amp;""&amp;ROW(D1300)+70-7*ROUNDDOWN(ROW(D1300)/8,0))</f>
        <v>#N/A</v>
      </c>
    </row>
    <row r="1305" spans="2:9" ht="69" customHeight="1" thickBot="1">
      <c r="B1305" s="259" t="s">
        <v>869</v>
      </c>
      <c r="C1305" s="248"/>
      <c r="D1305" s="656"/>
      <c r="E1305" s="656"/>
      <c r="F1305" s="656"/>
      <c r="G1305" s="656"/>
    </row>
    <row r="1306" spans="2:9" ht="31.5" customHeight="1" thickBot="1">
      <c r="B1306" s="260" t="s">
        <v>872</v>
      </c>
      <c r="C1306" s="248"/>
      <c r="D1306" s="657" t="str">
        <f>'1PROJE'!$E$3</f>
        <v>GÜNEŞ PEN</v>
      </c>
      <c r="E1306" s="658"/>
      <c r="F1306" s="658"/>
      <c r="G1306" s="659"/>
    </row>
    <row r="1307" spans="2:9" ht="31.5" customHeight="1" thickBot="1">
      <c r="B1307" s="260" t="s">
        <v>873</v>
      </c>
      <c r="C1307" s="248"/>
      <c r="D1307" s="644" t="str">
        <f>'1PROJE'!$F$3</f>
        <v>GÜRKAN BEY</v>
      </c>
      <c r="E1307" s="645"/>
      <c r="F1307" s="645"/>
      <c r="G1307" s="646"/>
    </row>
    <row r="1308" spans="2:9" ht="31.5" customHeight="1" thickBot="1">
      <c r="B1308" s="260" t="s">
        <v>356</v>
      </c>
      <c r="C1308" s="248"/>
      <c r="D1308" s="647" t="e" cm="1">
        <f t="array" aca="1" ref="D1308" ca="1">INDIRECT("xHesaplama!I"&amp;""&amp;ROW(D1308)+70-7*ROUNDDOWN(ROW(D1308)/8,0))</f>
        <v>#N/A</v>
      </c>
      <c r="E1308" s="648"/>
      <c r="F1308" s="648"/>
      <c r="G1308" s="649"/>
    </row>
    <row r="1309" spans="2:9" ht="31.5" customHeight="1" thickBot="1">
      <c r="B1309" s="260" t="s">
        <v>874</v>
      </c>
      <c r="C1309" s="248"/>
      <c r="D1309" s="650" t="str">
        <f>$H$1</f>
        <v>BOX</v>
      </c>
      <c r="E1309" s="651"/>
      <c r="F1309" s="651"/>
      <c r="G1309" s="652"/>
    </row>
    <row r="1310" spans="2:9" ht="31.5" customHeight="1" thickBot="1">
      <c r="B1310" s="260" t="s">
        <v>875</v>
      </c>
      <c r="C1310" s="248"/>
      <c r="D1310" s="653" t="str">
        <f>'1PROJE'!$G$3</f>
        <v>Z 5001</v>
      </c>
      <c r="E1310" s="654"/>
      <c r="F1310" s="654"/>
      <c r="G1310" s="655"/>
      <c r="I1310" s="250"/>
    </row>
    <row r="1311" spans="2:9" ht="31.5" customHeight="1" thickBot="1">
      <c r="B1311" s="260" t="s">
        <v>876</v>
      </c>
      <c r="D1311" s="653" cm="1">
        <f t="array" aca="1" ref="D1311" ca="1">INDIRECT("xHesaplama!H"&amp;""&amp;ROW(D1308)+70-7*ROUNDDOWN(ROW(D1308)/8,0))</f>
        <v>0</v>
      </c>
      <c r="E1311" s="654"/>
      <c r="F1311" s="654"/>
      <c r="G1311" s="655"/>
    </row>
    <row r="1312" spans="2:9" ht="31.5" customHeight="1" thickBot="1">
      <c r="B1312" s="260" t="s">
        <v>877</v>
      </c>
      <c r="D1312" s="252" t="s">
        <v>878</v>
      </c>
      <c r="E1312" s="253" t="e" cm="1">
        <f t="array" aca="1" ref="E1312" ca="1">INDIRECT("xHesaplama!J"&amp;""&amp;ROW(D1308)+70-7*ROUNDDOWN(ROW(D1308)/8,0))</f>
        <v>#N/A</v>
      </c>
      <c r="F1312" s="254" t="s">
        <v>879</v>
      </c>
      <c r="G1312" s="253" t="e" cm="1">
        <f t="array" aca="1" ref="G1312" ca="1">INDIRECT("xHesaplama!K"&amp;""&amp;ROW(D1308)+70-7*ROUNDDOWN(ROW(D1308)/8,0))</f>
        <v>#N/A</v>
      </c>
    </row>
    <row r="1313" spans="2:9" ht="69" customHeight="1" thickBot="1">
      <c r="B1313" s="259" t="s">
        <v>869</v>
      </c>
      <c r="C1313" s="248"/>
      <c r="D1313" s="656"/>
      <c r="E1313" s="656"/>
      <c r="F1313" s="656"/>
      <c r="G1313" s="656"/>
    </row>
    <row r="1314" spans="2:9" ht="31.5" customHeight="1" thickBot="1">
      <c r="B1314" s="260" t="s">
        <v>872</v>
      </c>
      <c r="C1314" s="248"/>
      <c r="D1314" s="657" t="str">
        <f>'1PROJE'!$E$3</f>
        <v>GÜNEŞ PEN</v>
      </c>
      <c r="E1314" s="658"/>
      <c r="F1314" s="658"/>
      <c r="G1314" s="659"/>
    </row>
    <row r="1315" spans="2:9" ht="31.5" customHeight="1" thickBot="1">
      <c r="B1315" s="260" t="s">
        <v>873</v>
      </c>
      <c r="C1315" s="248"/>
      <c r="D1315" s="644" t="str">
        <f>'1PROJE'!$F$3</f>
        <v>GÜRKAN BEY</v>
      </c>
      <c r="E1315" s="645"/>
      <c r="F1315" s="645"/>
      <c r="G1315" s="646"/>
    </row>
    <row r="1316" spans="2:9" ht="31.5" customHeight="1" thickBot="1">
      <c r="B1316" s="260" t="s">
        <v>356</v>
      </c>
      <c r="C1316" s="248"/>
      <c r="D1316" s="647" t="e" cm="1">
        <f t="array" aca="1" ref="D1316" ca="1">INDIRECT("xHesaplama!I"&amp;""&amp;ROW(D1316)+70-7*ROUNDDOWN(ROW(D1316)/8,0))</f>
        <v>#N/A</v>
      </c>
      <c r="E1316" s="648"/>
      <c r="F1316" s="648"/>
      <c r="G1316" s="649"/>
    </row>
    <row r="1317" spans="2:9" ht="31.5" customHeight="1" thickBot="1">
      <c r="B1317" s="260" t="s">
        <v>874</v>
      </c>
      <c r="C1317" s="248"/>
      <c r="D1317" s="650" t="str">
        <f>$H$1</f>
        <v>BOX</v>
      </c>
      <c r="E1317" s="651"/>
      <c r="F1317" s="651"/>
      <c r="G1317" s="652"/>
    </row>
    <row r="1318" spans="2:9" ht="31.5" customHeight="1" thickBot="1">
      <c r="B1318" s="260" t="s">
        <v>875</v>
      </c>
      <c r="C1318" s="248"/>
      <c r="D1318" s="653" t="str">
        <f>'1PROJE'!$G$3</f>
        <v>Z 5001</v>
      </c>
      <c r="E1318" s="654"/>
      <c r="F1318" s="654"/>
      <c r="G1318" s="655"/>
      <c r="I1318" s="250"/>
    </row>
    <row r="1319" spans="2:9" ht="31.5" customHeight="1" thickBot="1">
      <c r="B1319" s="260" t="s">
        <v>876</v>
      </c>
      <c r="D1319" s="653" cm="1">
        <f t="array" aca="1" ref="D1319" ca="1">INDIRECT("xHesaplama!H"&amp;""&amp;ROW(D1316)+70-7*ROUNDDOWN(ROW(D1316)/8,0))</f>
        <v>0</v>
      </c>
      <c r="E1319" s="654"/>
      <c r="F1319" s="654"/>
      <c r="G1319" s="655"/>
    </row>
    <row r="1320" spans="2:9" ht="31.5" customHeight="1" thickBot="1">
      <c r="B1320" s="260" t="s">
        <v>877</v>
      </c>
      <c r="D1320" s="252" t="s">
        <v>878</v>
      </c>
      <c r="E1320" s="253" t="e" cm="1">
        <f t="array" aca="1" ref="E1320" ca="1">INDIRECT("xHesaplama!J"&amp;""&amp;ROW(D1316)+70-7*ROUNDDOWN(ROW(D1316)/8,0))</f>
        <v>#N/A</v>
      </c>
      <c r="F1320" s="254" t="s">
        <v>879</v>
      </c>
      <c r="G1320" s="253" t="e" cm="1">
        <f t="array" aca="1" ref="G1320" ca="1">INDIRECT("xHesaplama!K"&amp;""&amp;ROW(D1316)+70-7*ROUNDDOWN(ROW(D1316)/8,0))</f>
        <v>#N/A</v>
      </c>
    </row>
    <row r="1321" spans="2:9" ht="69" customHeight="1" thickBot="1">
      <c r="B1321" s="259" t="s">
        <v>869</v>
      </c>
      <c r="C1321" s="248"/>
      <c r="D1321" s="656"/>
      <c r="E1321" s="656"/>
      <c r="F1321" s="656"/>
      <c r="G1321" s="656"/>
    </row>
    <row r="1322" spans="2:9" ht="31.5" customHeight="1" thickBot="1">
      <c r="B1322" s="260" t="s">
        <v>872</v>
      </c>
      <c r="C1322" s="248"/>
      <c r="D1322" s="657" t="str">
        <f>'1PROJE'!$E$3</f>
        <v>GÜNEŞ PEN</v>
      </c>
      <c r="E1322" s="658"/>
      <c r="F1322" s="658"/>
      <c r="G1322" s="659"/>
    </row>
    <row r="1323" spans="2:9" ht="31.5" customHeight="1" thickBot="1">
      <c r="B1323" s="260" t="s">
        <v>873</v>
      </c>
      <c r="C1323" s="248"/>
      <c r="D1323" s="644" t="str">
        <f>'1PROJE'!$F$3</f>
        <v>GÜRKAN BEY</v>
      </c>
      <c r="E1323" s="645"/>
      <c r="F1323" s="645"/>
      <c r="G1323" s="646"/>
    </row>
    <row r="1324" spans="2:9" ht="31.5" customHeight="1" thickBot="1">
      <c r="B1324" s="260" t="s">
        <v>356</v>
      </c>
      <c r="C1324" s="248"/>
      <c r="D1324" s="647" t="e" cm="1">
        <f t="array" aca="1" ref="D1324" ca="1">INDIRECT("xHesaplama!I"&amp;""&amp;ROW(D1324)+70-7*ROUNDDOWN(ROW(D1324)/8,0))</f>
        <v>#N/A</v>
      </c>
      <c r="E1324" s="648"/>
      <c r="F1324" s="648"/>
      <c r="G1324" s="649"/>
    </row>
    <row r="1325" spans="2:9" ht="31.5" customHeight="1" thickBot="1">
      <c r="B1325" s="260" t="s">
        <v>874</v>
      </c>
      <c r="C1325" s="248"/>
      <c r="D1325" s="650" t="str">
        <f>$H$1</f>
        <v>BOX</v>
      </c>
      <c r="E1325" s="651"/>
      <c r="F1325" s="651"/>
      <c r="G1325" s="652"/>
    </row>
    <row r="1326" spans="2:9" ht="31.5" customHeight="1" thickBot="1">
      <c r="B1326" s="260" t="s">
        <v>875</v>
      </c>
      <c r="C1326" s="248"/>
      <c r="D1326" s="653" t="str">
        <f>'1PROJE'!$G$3</f>
        <v>Z 5001</v>
      </c>
      <c r="E1326" s="654"/>
      <c r="F1326" s="654"/>
      <c r="G1326" s="655"/>
      <c r="I1326" s="250"/>
    </row>
    <row r="1327" spans="2:9" ht="31.5" customHeight="1" thickBot="1">
      <c r="B1327" s="260" t="s">
        <v>876</v>
      </c>
      <c r="D1327" s="653" cm="1">
        <f t="array" aca="1" ref="D1327" ca="1">INDIRECT("xHesaplama!H"&amp;""&amp;ROW(D1324)+70-7*ROUNDDOWN(ROW(D1324)/8,0))</f>
        <v>0</v>
      </c>
      <c r="E1327" s="654"/>
      <c r="F1327" s="654"/>
      <c r="G1327" s="655"/>
    </row>
    <row r="1328" spans="2:9" ht="31.5" customHeight="1" thickBot="1">
      <c r="B1328" s="260" t="s">
        <v>877</v>
      </c>
      <c r="D1328" s="252" t="s">
        <v>878</v>
      </c>
      <c r="E1328" s="253" t="e" cm="1">
        <f t="array" aca="1" ref="E1328" ca="1">INDIRECT("xHesaplama!J"&amp;""&amp;ROW(D1324)+70-7*ROUNDDOWN(ROW(D1324)/8,0))</f>
        <v>#N/A</v>
      </c>
      <c r="F1328" s="254" t="s">
        <v>879</v>
      </c>
      <c r="G1328" s="253" t="e" cm="1">
        <f t="array" aca="1" ref="G1328" ca="1">INDIRECT("xHesaplama!K"&amp;""&amp;ROW(D1324)+70-7*ROUNDDOWN(ROW(D1324)/8,0))</f>
        <v>#N/A</v>
      </c>
    </row>
    <row r="1329" spans="2:9" ht="69" customHeight="1" thickBot="1">
      <c r="B1329" s="259" t="s">
        <v>869</v>
      </c>
      <c r="C1329" s="248"/>
      <c r="D1329" s="656"/>
      <c r="E1329" s="656"/>
      <c r="F1329" s="656"/>
      <c r="G1329" s="656"/>
    </row>
    <row r="1330" spans="2:9" ht="31.5" customHeight="1" thickBot="1">
      <c r="B1330" s="260" t="s">
        <v>872</v>
      </c>
      <c r="C1330" s="248"/>
      <c r="D1330" s="657" t="str">
        <f>'1PROJE'!$E$3</f>
        <v>GÜNEŞ PEN</v>
      </c>
      <c r="E1330" s="658"/>
      <c r="F1330" s="658"/>
      <c r="G1330" s="659"/>
    </row>
    <row r="1331" spans="2:9" ht="31.5" customHeight="1" thickBot="1">
      <c r="B1331" s="260" t="s">
        <v>873</v>
      </c>
      <c r="C1331" s="248"/>
      <c r="D1331" s="644" t="str">
        <f>'1PROJE'!$F$3</f>
        <v>GÜRKAN BEY</v>
      </c>
      <c r="E1331" s="645"/>
      <c r="F1331" s="645"/>
      <c r="G1331" s="646"/>
    </row>
    <row r="1332" spans="2:9" ht="31.5" customHeight="1" thickBot="1">
      <c r="B1332" s="260" t="s">
        <v>356</v>
      </c>
      <c r="C1332" s="248"/>
      <c r="D1332" s="647" t="e" cm="1">
        <f t="array" aca="1" ref="D1332" ca="1">INDIRECT("xHesaplama!I"&amp;""&amp;ROW(D1332)+70-7*ROUNDDOWN(ROW(D1332)/8,0))</f>
        <v>#N/A</v>
      </c>
      <c r="E1332" s="648"/>
      <c r="F1332" s="648"/>
      <c r="G1332" s="649"/>
    </row>
    <row r="1333" spans="2:9" ht="31.5" customHeight="1" thickBot="1">
      <c r="B1333" s="260" t="s">
        <v>874</v>
      </c>
      <c r="C1333" s="248"/>
      <c r="D1333" s="650" t="str">
        <f>$H$1</f>
        <v>BOX</v>
      </c>
      <c r="E1333" s="651"/>
      <c r="F1333" s="651"/>
      <c r="G1333" s="652"/>
    </row>
    <row r="1334" spans="2:9" ht="31.5" customHeight="1" thickBot="1">
      <c r="B1334" s="260" t="s">
        <v>875</v>
      </c>
      <c r="C1334" s="248"/>
      <c r="D1334" s="653" t="str">
        <f>'1PROJE'!$G$3</f>
        <v>Z 5001</v>
      </c>
      <c r="E1334" s="654"/>
      <c r="F1334" s="654"/>
      <c r="G1334" s="655"/>
      <c r="I1334" s="250"/>
    </row>
    <row r="1335" spans="2:9" ht="31.5" customHeight="1" thickBot="1">
      <c r="B1335" s="260" t="s">
        <v>876</v>
      </c>
      <c r="D1335" s="653" cm="1">
        <f t="array" aca="1" ref="D1335" ca="1">INDIRECT("xHesaplama!H"&amp;""&amp;ROW(D1332)+70-7*ROUNDDOWN(ROW(D1332)/8,0))</f>
        <v>0</v>
      </c>
      <c r="E1335" s="654"/>
      <c r="F1335" s="654"/>
      <c r="G1335" s="655"/>
    </row>
    <row r="1336" spans="2:9" ht="31.5" customHeight="1" thickBot="1">
      <c r="B1336" s="260" t="s">
        <v>877</v>
      </c>
      <c r="D1336" s="252" t="s">
        <v>878</v>
      </c>
      <c r="E1336" s="253" t="e" cm="1">
        <f t="array" aca="1" ref="E1336" ca="1">INDIRECT("xHesaplama!J"&amp;""&amp;ROW(D1332)+70-7*ROUNDDOWN(ROW(D1332)/8,0))</f>
        <v>#N/A</v>
      </c>
      <c r="F1336" s="254" t="s">
        <v>879</v>
      </c>
      <c r="G1336" s="253" t="e" cm="1">
        <f t="array" aca="1" ref="G1336" ca="1">INDIRECT("xHesaplama!K"&amp;""&amp;ROW(D1332)+70-7*ROUNDDOWN(ROW(D1332)/8,0))</f>
        <v>#N/A</v>
      </c>
    </row>
    <row r="1337" spans="2:9" ht="69" customHeight="1" thickBot="1">
      <c r="B1337" s="259" t="s">
        <v>869</v>
      </c>
      <c r="C1337" s="248"/>
      <c r="D1337" s="656"/>
      <c r="E1337" s="656"/>
      <c r="F1337" s="656"/>
      <c r="G1337" s="656"/>
    </row>
    <row r="1338" spans="2:9" ht="31.5" customHeight="1" thickBot="1">
      <c r="B1338" s="260" t="s">
        <v>872</v>
      </c>
      <c r="C1338" s="248"/>
      <c r="D1338" s="657" t="str">
        <f>'1PROJE'!$E$3</f>
        <v>GÜNEŞ PEN</v>
      </c>
      <c r="E1338" s="658"/>
      <c r="F1338" s="658"/>
      <c r="G1338" s="659"/>
    </row>
    <row r="1339" spans="2:9" ht="31.5" customHeight="1" thickBot="1">
      <c r="B1339" s="260" t="s">
        <v>873</v>
      </c>
      <c r="C1339" s="248"/>
      <c r="D1339" s="644" t="str">
        <f>'1PROJE'!$F$3</f>
        <v>GÜRKAN BEY</v>
      </c>
      <c r="E1339" s="645"/>
      <c r="F1339" s="645"/>
      <c r="G1339" s="646"/>
    </row>
    <row r="1340" spans="2:9" ht="31.5" customHeight="1" thickBot="1">
      <c r="B1340" s="260" t="s">
        <v>356</v>
      </c>
      <c r="C1340" s="248"/>
      <c r="D1340" s="647" t="e" cm="1">
        <f t="array" aca="1" ref="D1340" ca="1">INDIRECT("xHesaplama!I"&amp;""&amp;ROW(D1340)+70-7*ROUNDDOWN(ROW(D1340)/8,0))</f>
        <v>#N/A</v>
      </c>
      <c r="E1340" s="648"/>
      <c r="F1340" s="648"/>
      <c r="G1340" s="649"/>
    </row>
    <row r="1341" spans="2:9" ht="31.5" customHeight="1" thickBot="1">
      <c r="B1341" s="260" t="s">
        <v>874</v>
      </c>
      <c r="C1341" s="248"/>
      <c r="D1341" s="650" t="str">
        <f>$H$1</f>
        <v>BOX</v>
      </c>
      <c r="E1341" s="651"/>
      <c r="F1341" s="651"/>
      <c r="G1341" s="652"/>
    </row>
    <row r="1342" spans="2:9" ht="31.5" customHeight="1" thickBot="1">
      <c r="B1342" s="260" t="s">
        <v>875</v>
      </c>
      <c r="C1342" s="248"/>
      <c r="D1342" s="653" t="str">
        <f>'1PROJE'!$G$3</f>
        <v>Z 5001</v>
      </c>
      <c r="E1342" s="654"/>
      <c r="F1342" s="654"/>
      <c r="G1342" s="655"/>
      <c r="I1342" s="250"/>
    </row>
    <row r="1343" spans="2:9" ht="31.5" customHeight="1" thickBot="1">
      <c r="B1343" s="260" t="s">
        <v>876</v>
      </c>
      <c r="D1343" s="653" cm="1">
        <f t="array" aca="1" ref="D1343" ca="1">INDIRECT("xHesaplama!H"&amp;""&amp;ROW(D1340)+70-7*ROUNDDOWN(ROW(D1340)/8,0))</f>
        <v>0</v>
      </c>
      <c r="E1343" s="654"/>
      <c r="F1343" s="654"/>
      <c r="G1343" s="655"/>
    </row>
    <row r="1344" spans="2:9" ht="31.5" customHeight="1" thickBot="1">
      <c r="B1344" s="260" t="s">
        <v>877</v>
      </c>
      <c r="D1344" s="252" t="s">
        <v>878</v>
      </c>
      <c r="E1344" s="253" t="e" cm="1">
        <f t="array" aca="1" ref="E1344" ca="1">INDIRECT("xHesaplama!J"&amp;""&amp;ROW(D1340)+70-7*ROUNDDOWN(ROW(D1340)/8,0))</f>
        <v>#N/A</v>
      </c>
      <c r="F1344" s="254" t="s">
        <v>879</v>
      </c>
      <c r="G1344" s="253" t="e" cm="1">
        <f t="array" aca="1" ref="G1344" ca="1">INDIRECT("xHesaplama!K"&amp;""&amp;ROW(D1340)+70-7*ROUNDDOWN(ROW(D1340)/8,0))</f>
        <v>#N/A</v>
      </c>
    </row>
    <row r="1345" spans="2:9" ht="69" customHeight="1" thickBot="1">
      <c r="B1345" s="259" t="s">
        <v>869</v>
      </c>
      <c r="C1345" s="248"/>
      <c r="D1345" s="656"/>
      <c r="E1345" s="656"/>
      <c r="F1345" s="656"/>
      <c r="G1345" s="656"/>
    </row>
    <row r="1346" spans="2:9" ht="31.5" customHeight="1" thickBot="1">
      <c r="B1346" s="260" t="s">
        <v>872</v>
      </c>
      <c r="C1346" s="248"/>
      <c r="D1346" s="657" t="str">
        <f>'1PROJE'!$E$3</f>
        <v>GÜNEŞ PEN</v>
      </c>
      <c r="E1346" s="658"/>
      <c r="F1346" s="658"/>
      <c r="G1346" s="659"/>
    </row>
    <row r="1347" spans="2:9" ht="31.5" customHeight="1" thickBot="1">
      <c r="B1347" s="260" t="s">
        <v>873</v>
      </c>
      <c r="C1347" s="248"/>
      <c r="D1347" s="644" t="str">
        <f>'1PROJE'!$F$3</f>
        <v>GÜRKAN BEY</v>
      </c>
      <c r="E1347" s="645"/>
      <c r="F1347" s="645"/>
      <c r="G1347" s="646"/>
    </row>
    <row r="1348" spans="2:9" ht="31.5" customHeight="1" thickBot="1">
      <c r="B1348" s="260" t="s">
        <v>356</v>
      </c>
      <c r="C1348" s="248"/>
      <c r="D1348" s="647" t="e" cm="1">
        <f t="array" aca="1" ref="D1348" ca="1">INDIRECT("xHesaplama!I"&amp;""&amp;ROW(D1348)+70-7*ROUNDDOWN(ROW(D1348)/8,0))</f>
        <v>#N/A</v>
      </c>
      <c r="E1348" s="648"/>
      <c r="F1348" s="648"/>
      <c r="G1348" s="649"/>
    </row>
    <row r="1349" spans="2:9" ht="31.5" customHeight="1" thickBot="1">
      <c r="B1349" s="260" t="s">
        <v>874</v>
      </c>
      <c r="C1349" s="248"/>
      <c r="D1349" s="650" t="str">
        <f>$H$1</f>
        <v>BOX</v>
      </c>
      <c r="E1349" s="651"/>
      <c r="F1349" s="651"/>
      <c r="G1349" s="652"/>
    </row>
    <row r="1350" spans="2:9" ht="31.5" customHeight="1" thickBot="1">
      <c r="B1350" s="260" t="s">
        <v>875</v>
      </c>
      <c r="C1350" s="248"/>
      <c r="D1350" s="653" t="str">
        <f>'1PROJE'!$G$3</f>
        <v>Z 5001</v>
      </c>
      <c r="E1350" s="654"/>
      <c r="F1350" s="654"/>
      <c r="G1350" s="655"/>
      <c r="I1350" s="250"/>
    </row>
    <row r="1351" spans="2:9" ht="31.5" customHeight="1" thickBot="1">
      <c r="B1351" s="260" t="s">
        <v>876</v>
      </c>
      <c r="D1351" s="653" cm="1">
        <f t="array" aca="1" ref="D1351" ca="1">INDIRECT("xHesaplama!H"&amp;""&amp;ROW(D1348)+70-7*ROUNDDOWN(ROW(D1348)/8,0))</f>
        <v>0</v>
      </c>
      <c r="E1351" s="654"/>
      <c r="F1351" s="654"/>
      <c r="G1351" s="655"/>
    </row>
    <row r="1352" spans="2:9" ht="31.5" customHeight="1" thickBot="1">
      <c r="B1352" s="260" t="s">
        <v>877</v>
      </c>
      <c r="D1352" s="252" t="s">
        <v>878</v>
      </c>
      <c r="E1352" s="253" t="e" cm="1">
        <f t="array" aca="1" ref="E1352" ca="1">INDIRECT("xHesaplama!J"&amp;""&amp;ROW(D1348)+70-7*ROUNDDOWN(ROW(D1348)/8,0))</f>
        <v>#N/A</v>
      </c>
      <c r="F1352" s="254" t="s">
        <v>879</v>
      </c>
      <c r="G1352" s="253" t="e" cm="1">
        <f t="array" aca="1" ref="G1352" ca="1">INDIRECT("xHesaplama!K"&amp;""&amp;ROW(D1348)+70-7*ROUNDDOWN(ROW(D1348)/8,0))</f>
        <v>#N/A</v>
      </c>
    </row>
  </sheetData>
  <mergeCells count="1183">
    <mergeCell ref="D7:G7"/>
    <mergeCell ref="D9:G9"/>
    <mergeCell ref="D10:G10"/>
    <mergeCell ref="D11:G11"/>
    <mergeCell ref="D12:G12"/>
    <mergeCell ref="D13:G13"/>
    <mergeCell ref="D1:G1"/>
    <mergeCell ref="D2:G2"/>
    <mergeCell ref="D3:G3"/>
    <mergeCell ref="D4:G4"/>
    <mergeCell ref="D5:G5"/>
    <mergeCell ref="D6:G6"/>
    <mergeCell ref="D28:G28"/>
    <mergeCell ref="D29:G29"/>
    <mergeCell ref="D30:G30"/>
    <mergeCell ref="D31:G31"/>
    <mergeCell ref="D33:G33"/>
    <mergeCell ref="D34:G34"/>
    <mergeCell ref="D21:G21"/>
    <mergeCell ref="D22:G22"/>
    <mergeCell ref="D23:G23"/>
    <mergeCell ref="D25:G25"/>
    <mergeCell ref="D26:G26"/>
    <mergeCell ref="D27:G27"/>
    <mergeCell ref="D14:G14"/>
    <mergeCell ref="D15:G15"/>
    <mergeCell ref="D17:G17"/>
    <mergeCell ref="D18:G18"/>
    <mergeCell ref="D19:G19"/>
    <mergeCell ref="D20:G20"/>
    <mergeCell ref="D49:G49"/>
    <mergeCell ref="D50:G50"/>
    <mergeCell ref="D51:G51"/>
    <mergeCell ref="D52:G52"/>
    <mergeCell ref="D53:G53"/>
    <mergeCell ref="D54:G54"/>
    <mergeCell ref="D42:G42"/>
    <mergeCell ref="D43:G43"/>
    <mergeCell ref="D44:G44"/>
    <mergeCell ref="D45:G45"/>
    <mergeCell ref="D46:G46"/>
    <mergeCell ref="D47:G47"/>
    <mergeCell ref="D35:G35"/>
    <mergeCell ref="D36:G36"/>
    <mergeCell ref="D37:G37"/>
    <mergeCell ref="D38:G38"/>
    <mergeCell ref="D39:G39"/>
    <mergeCell ref="D41:G41"/>
    <mergeCell ref="D69:G69"/>
    <mergeCell ref="D70:G70"/>
    <mergeCell ref="D71:G71"/>
    <mergeCell ref="D73:G73"/>
    <mergeCell ref="D74:G74"/>
    <mergeCell ref="D75:G75"/>
    <mergeCell ref="D62:G62"/>
    <mergeCell ref="D63:G63"/>
    <mergeCell ref="D65:G65"/>
    <mergeCell ref="D66:G66"/>
    <mergeCell ref="D67:G67"/>
    <mergeCell ref="D68:G68"/>
    <mergeCell ref="D55:G55"/>
    <mergeCell ref="D57:G57"/>
    <mergeCell ref="D58:G58"/>
    <mergeCell ref="D59:G59"/>
    <mergeCell ref="D60:G60"/>
    <mergeCell ref="D61:G61"/>
    <mergeCell ref="D90:G90"/>
    <mergeCell ref="D91:G91"/>
    <mergeCell ref="D92:G92"/>
    <mergeCell ref="D93:G93"/>
    <mergeCell ref="D94:G94"/>
    <mergeCell ref="D95:G95"/>
    <mergeCell ref="D83:G83"/>
    <mergeCell ref="D84:G84"/>
    <mergeCell ref="D85:G85"/>
    <mergeCell ref="D86:G86"/>
    <mergeCell ref="D87:G87"/>
    <mergeCell ref="D89:G89"/>
    <mergeCell ref="D76:G76"/>
    <mergeCell ref="D77:G77"/>
    <mergeCell ref="D78:G78"/>
    <mergeCell ref="D79:G79"/>
    <mergeCell ref="D81:G81"/>
    <mergeCell ref="D82:G82"/>
    <mergeCell ref="D110:G110"/>
    <mergeCell ref="D111:G111"/>
    <mergeCell ref="D113:G113"/>
    <mergeCell ref="D114:G114"/>
    <mergeCell ref="D115:G115"/>
    <mergeCell ref="D116:G116"/>
    <mergeCell ref="D103:G103"/>
    <mergeCell ref="D105:G105"/>
    <mergeCell ref="D106:G106"/>
    <mergeCell ref="D107:G107"/>
    <mergeCell ref="D108:G108"/>
    <mergeCell ref="D109:G109"/>
    <mergeCell ref="D97:G97"/>
    <mergeCell ref="D98:G98"/>
    <mergeCell ref="D99:G99"/>
    <mergeCell ref="D100:G100"/>
    <mergeCell ref="D101:G101"/>
    <mergeCell ref="D102:G102"/>
    <mergeCell ref="D131:G131"/>
    <mergeCell ref="D132:G132"/>
    <mergeCell ref="D133:G133"/>
    <mergeCell ref="D134:G134"/>
    <mergeCell ref="D135:G135"/>
    <mergeCell ref="D137:G137"/>
    <mergeCell ref="D124:G124"/>
    <mergeCell ref="D125:G125"/>
    <mergeCell ref="D126:G126"/>
    <mergeCell ref="D127:G127"/>
    <mergeCell ref="D129:G129"/>
    <mergeCell ref="D130:G130"/>
    <mergeCell ref="D117:G117"/>
    <mergeCell ref="D118:G118"/>
    <mergeCell ref="D119:G119"/>
    <mergeCell ref="D121:G121"/>
    <mergeCell ref="D122:G122"/>
    <mergeCell ref="D123:G123"/>
    <mergeCell ref="D151:G151"/>
    <mergeCell ref="D153:G153"/>
    <mergeCell ref="D154:G154"/>
    <mergeCell ref="D155:G155"/>
    <mergeCell ref="D156:G156"/>
    <mergeCell ref="D157:G157"/>
    <mergeCell ref="D145:G145"/>
    <mergeCell ref="D146:G146"/>
    <mergeCell ref="D147:G147"/>
    <mergeCell ref="D148:G148"/>
    <mergeCell ref="D149:G149"/>
    <mergeCell ref="D150:G150"/>
    <mergeCell ref="D138:G138"/>
    <mergeCell ref="D139:G139"/>
    <mergeCell ref="D140:G140"/>
    <mergeCell ref="D141:G141"/>
    <mergeCell ref="D142:G142"/>
    <mergeCell ref="D143:G143"/>
    <mergeCell ref="D172:G172"/>
    <mergeCell ref="D173:G173"/>
    <mergeCell ref="D174:G174"/>
    <mergeCell ref="D175:G175"/>
    <mergeCell ref="D177:G177"/>
    <mergeCell ref="D178:G178"/>
    <mergeCell ref="D165:G165"/>
    <mergeCell ref="D166:G166"/>
    <mergeCell ref="D167:G167"/>
    <mergeCell ref="D169:G169"/>
    <mergeCell ref="D170:G170"/>
    <mergeCell ref="D171:G171"/>
    <mergeCell ref="D158:G158"/>
    <mergeCell ref="D159:G159"/>
    <mergeCell ref="D161:G161"/>
    <mergeCell ref="D162:G162"/>
    <mergeCell ref="D163:G163"/>
    <mergeCell ref="D164:G164"/>
    <mergeCell ref="D193:G193"/>
    <mergeCell ref="D194:G194"/>
    <mergeCell ref="D195:G195"/>
    <mergeCell ref="D196:G196"/>
    <mergeCell ref="D197:G197"/>
    <mergeCell ref="D198:G198"/>
    <mergeCell ref="D186:G186"/>
    <mergeCell ref="D187:G187"/>
    <mergeCell ref="D188:G188"/>
    <mergeCell ref="D189:G189"/>
    <mergeCell ref="D190:G190"/>
    <mergeCell ref="D191:G191"/>
    <mergeCell ref="D179:G179"/>
    <mergeCell ref="D180:G180"/>
    <mergeCell ref="D181:G181"/>
    <mergeCell ref="D182:G182"/>
    <mergeCell ref="D183:G183"/>
    <mergeCell ref="D185:G185"/>
    <mergeCell ref="D213:G213"/>
    <mergeCell ref="D214:G214"/>
    <mergeCell ref="D215:G215"/>
    <mergeCell ref="D217:G217"/>
    <mergeCell ref="D218:G218"/>
    <mergeCell ref="D219:G219"/>
    <mergeCell ref="D206:G206"/>
    <mergeCell ref="D207:G207"/>
    <mergeCell ref="D209:G209"/>
    <mergeCell ref="D210:G210"/>
    <mergeCell ref="D211:G211"/>
    <mergeCell ref="D212:G212"/>
    <mergeCell ref="D199:G199"/>
    <mergeCell ref="D201:G201"/>
    <mergeCell ref="D202:G202"/>
    <mergeCell ref="D203:G203"/>
    <mergeCell ref="D204:G204"/>
    <mergeCell ref="D205:G205"/>
    <mergeCell ref="D234:G234"/>
    <mergeCell ref="D235:G235"/>
    <mergeCell ref="D236:G236"/>
    <mergeCell ref="D237:G237"/>
    <mergeCell ref="D238:G238"/>
    <mergeCell ref="D239:G239"/>
    <mergeCell ref="D227:G227"/>
    <mergeCell ref="D228:G228"/>
    <mergeCell ref="D229:G229"/>
    <mergeCell ref="D230:G230"/>
    <mergeCell ref="D231:G231"/>
    <mergeCell ref="D233:G233"/>
    <mergeCell ref="D220:G220"/>
    <mergeCell ref="D221:G221"/>
    <mergeCell ref="D222:G222"/>
    <mergeCell ref="D223:G223"/>
    <mergeCell ref="D225:G225"/>
    <mergeCell ref="D226:G226"/>
    <mergeCell ref="D254:G254"/>
    <mergeCell ref="D255:G255"/>
    <mergeCell ref="D257:G257"/>
    <mergeCell ref="D258:G258"/>
    <mergeCell ref="D259:G259"/>
    <mergeCell ref="D260:G260"/>
    <mergeCell ref="D247:G247"/>
    <mergeCell ref="D249:G249"/>
    <mergeCell ref="D250:G250"/>
    <mergeCell ref="D251:G251"/>
    <mergeCell ref="D252:G252"/>
    <mergeCell ref="D253:G253"/>
    <mergeCell ref="D241:G241"/>
    <mergeCell ref="D242:G242"/>
    <mergeCell ref="D243:G243"/>
    <mergeCell ref="D244:G244"/>
    <mergeCell ref="D245:G245"/>
    <mergeCell ref="D246:G246"/>
    <mergeCell ref="D275:G275"/>
    <mergeCell ref="D276:G276"/>
    <mergeCell ref="D277:G277"/>
    <mergeCell ref="D278:G278"/>
    <mergeCell ref="D279:G279"/>
    <mergeCell ref="D281:G281"/>
    <mergeCell ref="D268:G268"/>
    <mergeCell ref="D269:G269"/>
    <mergeCell ref="D270:G270"/>
    <mergeCell ref="D271:G271"/>
    <mergeCell ref="D273:G273"/>
    <mergeCell ref="D274:G274"/>
    <mergeCell ref="D261:G261"/>
    <mergeCell ref="D262:G262"/>
    <mergeCell ref="D263:G263"/>
    <mergeCell ref="D265:G265"/>
    <mergeCell ref="D266:G266"/>
    <mergeCell ref="D267:G267"/>
    <mergeCell ref="D295:G295"/>
    <mergeCell ref="D297:G297"/>
    <mergeCell ref="D298:G298"/>
    <mergeCell ref="D299:G299"/>
    <mergeCell ref="D300:G300"/>
    <mergeCell ref="D301:G301"/>
    <mergeCell ref="D289:G289"/>
    <mergeCell ref="D290:G290"/>
    <mergeCell ref="D291:G291"/>
    <mergeCell ref="D292:G292"/>
    <mergeCell ref="D293:G293"/>
    <mergeCell ref="D294:G294"/>
    <mergeCell ref="D282:G282"/>
    <mergeCell ref="D283:G283"/>
    <mergeCell ref="D284:G284"/>
    <mergeCell ref="D285:G285"/>
    <mergeCell ref="D286:G286"/>
    <mergeCell ref="D287:G287"/>
    <mergeCell ref="D316:G316"/>
    <mergeCell ref="D317:G317"/>
    <mergeCell ref="D318:G318"/>
    <mergeCell ref="D319:G319"/>
    <mergeCell ref="D321:G321"/>
    <mergeCell ref="D322:G322"/>
    <mergeCell ref="D309:G309"/>
    <mergeCell ref="D310:G310"/>
    <mergeCell ref="D311:G311"/>
    <mergeCell ref="D313:G313"/>
    <mergeCell ref="D314:G314"/>
    <mergeCell ref="D315:G315"/>
    <mergeCell ref="D302:G302"/>
    <mergeCell ref="D303:G303"/>
    <mergeCell ref="D305:G305"/>
    <mergeCell ref="D306:G306"/>
    <mergeCell ref="D307:G307"/>
    <mergeCell ref="D308:G308"/>
    <mergeCell ref="D337:G337"/>
    <mergeCell ref="D338:G338"/>
    <mergeCell ref="D339:G339"/>
    <mergeCell ref="D340:G340"/>
    <mergeCell ref="D341:G341"/>
    <mergeCell ref="D342:G342"/>
    <mergeCell ref="D330:G330"/>
    <mergeCell ref="D331:G331"/>
    <mergeCell ref="D332:G332"/>
    <mergeCell ref="D333:G333"/>
    <mergeCell ref="D334:G334"/>
    <mergeCell ref="D335:G335"/>
    <mergeCell ref="D323:G323"/>
    <mergeCell ref="D324:G324"/>
    <mergeCell ref="D325:G325"/>
    <mergeCell ref="D326:G326"/>
    <mergeCell ref="D327:G327"/>
    <mergeCell ref="D329:G329"/>
    <mergeCell ref="D357:G357"/>
    <mergeCell ref="D358:G358"/>
    <mergeCell ref="D359:G359"/>
    <mergeCell ref="D361:G361"/>
    <mergeCell ref="D362:G362"/>
    <mergeCell ref="D363:G363"/>
    <mergeCell ref="D350:G350"/>
    <mergeCell ref="D351:G351"/>
    <mergeCell ref="D353:G353"/>
    <mergeCell ref="D354:G354"/>
    <mergeCell ref="D355:G355"/>
    <mergeCell ref="D356:G356"/>
    <mergeCell ref="D343:G343"/>
    <mergeCell ref="D345:G345"/>
    <mergeCell ref="D346:G346"/>
    <mergeCell ref="D347:G347"/>
    <mergeCell ref="D348:G348"/>
    <mergeCell ref="D349:G349"/>
    <mergeCell ref="D378:G378"/>
    <mergeCell ref="D379:G379"/>
    <mergeCell ref="D380:G380"/>
    <mergeCell ref="D381:G381"/>
    <mergeCell ref="D382:G382"/>
    <mergeCell ref="D383:G383"/>
    <mergeCell ref="D371:G371"/>
    <mergeCell ref="D372:G372"/>
    <mergeCell ref="D373:G373"/>
    <mergeCell ref="D374:G374"/>
    <mergeCell ref="D375:G375"/>
    <mergeCell ref="D377:G377"/>
    <mergeCell ref="D364:G364"/>
    <mergeCell ref="D365:G365"/>
    <mergeCell ref="D366:G366"/>
    <mergeCell ref="D367:G367"/>
    <mergeCell ref="D369:G369"/>
    <mergeCell ref="D370:G370"/>
    <mergeCell ref="D398:G398"/>
    <mergeCell ref="D399:G399"/>
    <mergeCell ref="D401:G401"/>
    <mergeCell ref="D402:G402"/>
    <mergeCell ref="D403:G403"/>
    <mergeCell ref="D404:G404"/>
    <mergeCell ref="D391:G391"/>
    <mergeCell ref="D393:G393"/>
    <mergeCell ref="D394:G394"/>
    <mergeCell ref="D395:G395"/>
    <mergeCell ref="D396:G396"/>
    <mergeCell ref="D397:G397"/>
    <mergeCell ref="D385:G385"/>
    <mergeCell ref="D386:G386"/>
    <mergeCell ref="D387:G387"/>
    <mergeCell ref="D388:G388"/>
    <mergeCell ref="D389:G389"/>
    <mergeCell ref="D390:G390"/>
    <mergeCell ref="D419:G419"/>
    <mergeCell ref="D420:G420"/>
    <mergeCell ref="D421:G421"/>
    <mergeCell ref="D422:G422"/>
    <mergeCell ref="D423:G423"/>
    <mergeCell ref="D425:G425"/>
    <mergeCell ref="D412:G412"/>
    <mergeCell ref="D413:G413"/>
    <mergeCell ref="D414:G414"/>
    <mergeCell ref="D415:G415"/>
    <mergeCell ref="D417:G417"/>
    <mergeCell ref="D418:G418"/>
    <mergeCell ref="D405:G405"/>
    <mergeCell ref="D406:G406"/>
    <mergeCell ref="D407:G407"/>
    <mergeCell ref="D409:G409"/>
    <mergeCell ref="D410:G410"/>
    <mergeCell ref="D411:G411"/>
    <mergeCell ref="D439:G439"/>
    <mergeCell ref="D441:G441"/>
    <mergeCell ref="D442:G442"/>
    <mergeCell ref="D443:G443"/>
    <mergeCell ref="D444:G444"/>
    <mergeCell ref="D445:G445"/>
    <mergeCell ref="D433:G433"/>
    <mergeCell ref="D434:G434"/>
    <mergeCell ref="D435:G435"/>
    <mergeCell ref="D436:G436"/>
    <mergeCell ref="D437:G437"/>
    <mergeCell ref="D438:G438"/>
    <mergeCell ref="D426:G426"/>
    <mergeCell ref="D427:G427"/>
    <mergeCell ref="D428:G428"/>
    <mergeCell ref="D429:G429"/>
    <mergeCell ref="D430:G430"/>
    <mergeCell ref="D431:G431"/>
    <mergeCell ref="D460:G460"/>
    <mergeCell ref="D461:G461"/>
    <mergeCell ref="D462:G462"/>
    <mergeCell ref="D463:G463"/>
    <mergeCell ref="D465:G465"/>
    <mergeCell ref="D466:G466"/>
    <mergeCell ref="D453:G453"/>
    <mergeCell ref="D454:G454"/>
    <mergeCell ref="D455:G455"/>
    <mergeCell ref="D457:G457"/>
    <mergeCell ref="D458:G458"/>
    <mergeCell ref="D459:G459"/>
    <mergeCell ref="D446:G446"/>
    <mergeCell ref="D447:G447"/>
    <mergeCell ref="D449:G449"/>
    <mergeCell ref="D450:G450"/>
    <mergeCell ref="D451:G451"/>
    <mergeCell ref="D452:G452"/>
    <mergeCell ref="D481:G481"/>
    <mergeCell ref="D482:G482"/>
    <mergeCell ref="D483:G483"/>
    <mergeCell ref="D484:G484"/>
    <mergeCell ref="D485:G485"/>
    <mergeCell ref="D486:G486"/>
    <mergeCell ref="D474:G474"/>
    <mergeCell ref="D475:G475"/>
    <mergeCell ref="D476:G476"/>
    <mergeCell ref="D477:G477"/>
    <mergeCell ref="D478:G478"/>
    <mergeCell ref="D479:G479"/>
    <mergeCell ref="D467:G467"/>
    <mergeCell ref="D468:G468"/>
    <mergeCell ref="D469:G469"/>
    <mergeCell ref="D470:G470"/>
    <mergeCell ref="D471:G471"/>
    <mergeCell ref="D473:G473"/>
    <mergeCell ref="D501:G501"/>
    <mergeCell ref="D502:G502"/>
    <mergeCell ref="D503:G503"/>
    <mergeCell ref="D505:G505"/>
    <mergeCell ref="D506:G506"/>
    <mergeCell ref="D507:G507"/>
    <mergeCell ref="D494:G494"/>
    <mergeCell ref="D495:G495"/>
    <mergeCell ref="D497:G497"/>
    <mergeCell ref="D498:G498"/>
    <mergeCell ref="D499:G499"/>
    <mergeCell ref="D500:G500"/>
    <mergeCell ref="D487:G487"/>
    <mergeCell ref="D489:G489"/>
    <mergeCell ref="D490:G490"/>
    <mergeCell ref="D491:G491"/>
    <mergeCell ref="D492:G492"/>
    <mergeCell ref="D493:G493"/>
    <mergeCell ref="D522:G522"/>
    <mergeCell ref="D523:G523"/>
    <mergeCell ref="D524:G524"/>
    <mergeCell ref="D525:G525"/>
    <mergeCell ref="D526:G526"/>
    <mergeCell ref="D527:G527"/>
    <mergeCell ref="D515:G515"/>
    <mergeCell ref="D516:G516"/>
    <mergeCell ref="D517:G517"/>
    <mergeCell ref="D518:G518"/>
    <mergeCell ref="D519:G519"/>
    <mergeCell ref="D521:G521"/>
    <mergeCell ref="D508:G508"/>
    <mergeCell ref="D509:G509"/>
    <mergeCell ref="D510:G510"/>
    <mergeCell ref="D511:G511"/>
    <mergeCell ref="D513:G513"/>
    <mergeCell ref="D514:G514"/>
    <mergeCell ref="D542:G542"/>
    <mergeCell ref="D543:G543"/>
    <mergeCell ref="D545:G545"/>
    <mergeCell ref="D546:G546"/>
    <mergeCell ref="D547:G547"/>
    <mergeCell ref="D548:G548"/>
    <mergeCell ref="D535:G535"/>
    <mergeCell ref="D537:G537"/>
    <mergeCell ref="D538:G538"/>
    <mergeCell ref="D539:G539"/>
    <mergeCell ref="D540:G540"/>
    <mergeCell ref="D541:G541"/>
    <mergeCell ref="D529:G529"/>
    <mergeCell ref="D530:G530"/>
    <mergeCell ref="D531:G531"/>
    <mergeCell ref="D532:G532"/>
    <mergeCell ref="D533:G533"/>
    <mergeCell ref="D534:G534"/>
    <mergeCell ref="D563:G563"/>
    <mergeCell ref="D564:G564"/>
    <mergeCell ref="D565:G565"/>
    <mergeCell ref="D566:G566"/>
    <mergeCell ref="D567:G567"/>
    <mergeCell ref="D569:G569"/>
    <mergeCell ref="D556:G556"/>
    <mergeCell ref="D557:G557"/>
    <mergeCell ref="D558:G558"/>
    <mergeCell ref="D559:G559"/>
    <mergeCell ref="D561:G561"/>
    <mergeCell ref="D562:G562"/>
    <mergeCell ref="D549:G549"/>
    <mergeCell ref="D550:G550"/>
    <mergeCell ref="D551:G551"/>
    <mergeCell ref="D553:G553"/>
    <mergeCell ref="D554:G554"/>
    <mergeCell ref="D555:G555"/>
    <mergeCell ref="D583:G583"/>
    <mergeCell ref="D585:G585"/>
    <mergeCell ref="D586:G586"/>
    <mergeCell ref="D587:G587"/>
    <mergeCell ref="D588:G588"/>
    <mergeCell ref="D589:G589"/>
    <mergeCell ref="D577:G577"/>
    <mergeCell ref="D578:G578"/>
    <mergeCell ref="D579:G579"/>
    <mergeCell ref="D580:G580"/>
    <mergeCell ref="D581:G581"/>
    <mergeCell ref="D582:G582"/>
    <mergeCell ref="D570:G570"/>
    <mergeCell ref="D571:G571"/>
    <mergeCell ref="D572:G572"/>
    <mergeCell ref="D573:G573"/>
    <mergeCell ref="D574:G574"/>
    <mergeCell ref="D575:G575"/>
    <mergeCell ref="D604:G604"/>
    <mergeCell ref="D605:G605"/>
    <mergeCell ref="D606:G606"/>
    <mergeCell ref="D607:G607"/>
    <mergeCell ref="D609:G609"/>
    <mergeCell ref="D610:G610"/>
    <mergeCell ref="D597:G597"/>
    <mergeCell ref="D598:G598"/>
    <mergeCell ref="D599:G599"/>
    <mergeCell ref="D601:G601"/>
    <mergeCell ref="D602:G602"/>
    <mergeCell ref="D603:G603"/>
    <mergeCell ref="D590:G590"/>
    <mergeCell ref="D591:G591"/>
    <mergeCell ref="D593:G593"/>
    <mergeCell ref="D594:G594"/>
    <mergeCell ref="D595:G595"/>
    <mergeCell ref="D596:G596"/>
    <mergeCell ref="D625:G625"/>
    <mergeCell ref="D626:G626"/>
    <mergeCell ref="D627:G627"/>
    <mergeCell ref="D628:G628"/>
    <mergeCell ref="D629:G629"/>
    <mergeCell ref="D630:G630"/>
    <mergeCell ref="D618:G618"/>
    <mergeCell ref="D619:G619"/>
    <mergeCell ref="D620:G620"/>
    <mergeCell ref="D621:G621"/>
    <mergeCell ref="D622:G622"/>
    <mergeCell ref="D623:G623"/>
    <mergeCell ref="D611:G611"/>
    <mergeCell ref="D612:G612"/>
    <mergeCell ref="D613:G613"/>
    <mergeCell ref="D614:G614"/>
    <mergeCell ref="D615:G615"/>
    <mergeCell ref="D617:G617"/>
    <mergeCell ref="D645:G645"/>
    <mergeCell ref="D646:G646"/>
    <mergeCell ref="D647:G647"/>
    <mergeCell ref="D649:G649"/>
    <mergeCell ref="D650:G650"/>
    <mergeCell ref="D651:G651"/>
    <mergeCell ref="D638:G638"/>
    <mergeCell ref="D639:G639"/>
    <mergeCell ref="D641:G641"/>
    <mergeCell ref="D642:G642"/>
    <mergeCell ref="D643:G643"/>
    <mergeCell ref="D644:G644"/>
    <mergeCell ref="D631:G631"/>
    <mergeCell ref="D633:G633"/>
    <mergeCell ref="D634:G634"/>
    <mergeCell ref="D635:G635"/>
    <mergeCell ref="D636:G636"/>
    <mergeCell ref="D637:G637"/>
    <mergeCell ref="D666:G666"/>
    <mergeCell ref="D667:G667"/>
    <mergeCell ref="D668:G668"/>
    <mergeCell ref="D669:G669"/>
    <mergeCell ref="D670:G670"/>
    <mergeCell ref="D671:G671"/>
    <mergeCell ref="D659:G659"/>
    <mergeCell ref="D660:G660"/>
    <mergeCell ref="D661:G661"/>
    <mergeCell ref="D662:G662"/>
    <mergeCell ref="D663:G663"/>
    <mergeCell ref="D665:G665"/>
    <mergeCell ref="D652:G652"/>
    <mergeCell ref="D653:G653"/>
    <mergeCell ref="D654:G654"/>
    <mergeCell ref="D655:G655"/>
    <mergeCell ref="D657:G657"/>
    <mergeCell ref="D658:G658"/>
    <mergeCell ref="D686:G686"/>
    <mergeCell ref="D687:G687"/>
    <mergeCell ref="D689:G689"/>
    <mergeCell ref="D690:G690"/>
    <mergeCell ref="D691:G691"/>
    <mergeCell ref="D692:G692"/>
    <mergeCell ref="D679:G679"/>
    <mergeCell ref="D681:G681"/>
    <mergeCell ref="D682:G682"/>
    <mergeCell ref="D683:G683"/>
    <mergeCell ref="D684:G684"/>
    <mergeCell ref="D685:G685"/>
    <mergeCell ref="D673:G673"/>
    <mergeCell ref="D674:G674"/>
    <mergeCell ref="D675:G675"/>
    <mergeCell ref="D676:G676"/>
    <mergeCell ref="D677:G677"/>
    <mergeCell ref="D678:G678"/>
    <mergeCell ref="D707:G707"/>
    <mergeCell ref="D708:G708"/>
    <mergeCell ref="D709:G709"/>
    <mergeCell ref="D710:G710"/>
    <mergeCell ref="D711:G711"/>
    <mergeCell ref="D713:G713"/>
    <mergeCell ref="D700:G700"/>
    <mergeCell ref="D701:G701"/>
    <mergeCell ref="D702:G702"/>
    <mergeCell ref="D703:G703"/>
    <mergeCell ref="D705:G705"/>
    <mergeCell ref="D706:G706"/>
    <mergeCell ref="D693:G693"/>
    <mergeCell ref="D694:G694"/>
    <mergeCell ref="D695:G695"/>
    <mergeCell ref="D697:G697"/>
    <mergeCell ref="D698:G698"/>
    <mergeCell ref="D699:G699"/>
    <mergeCell ref="D727:G727"/>
    <mergeCell ref="D729:G729"/>
    <mergeCell ref="D730:G730"/>
    <mergeCell ref="D731:G731"/>
    <mergeCell ref="D732:G732"/>
    <mergeCell ref="D733:G733"/>
    <mergeCell ref="D721:G721"/>
    <mergeCell ref="D722:G722"/>
    <mergeCell ref="D723:G723"/>
    <mergeCell ref="D724:G724"/>
    <mergeCell ref="D725:G725"/>
    <mergeCell ref="D726:G726"/>
    <mergeCell ref="D714:G714"/>
    <mergeCell ref="D715:G715"/>
    <mergeCell ref="D716:G716"/>
    <mergeCell ref="D717:G717"/>
    <mergeCell ref="D718:G718"/>
    <mergeCell ref="D719:G719"/>
    <mergeCell ref="D748:G748"/>
    <mergeCell ref="D749:G749"/>
    <mergeCell ref="D750:G750"/>
    <mergeCell ref="D751:G751"/>
    <mergeCell ref="D753:G753"/>
    <mergeCell ref="D754:G754"/>
    <mergeCell ref="D741:G741"/>
    <mergeCell ref="D742:G742"/>
    <mergeCell ref="D743:G743"/>
    <mergeCell ref="D745:G745"/>
    <mergeCell ref="D746:G746"/>
    <mergeCell ref="D747:G747"/>
    <mergeCell ref="D734:G734"/>
    <mergeCell ref="D735:G735"/>
    <mergeCell ref="D737:G737"/>
    <mergeCell ref="D738:G738"/>
    <mergeCell ref="D739:G739"/>
    <mergeCell ref="D740:G740"/>
    <mergeCell ref="D769:G769"/>
    <mergeCell ref="D770:G770"/>
    <mergeCell ref="D771:G771"/>
    <mergeCell ref="D772:G772"/>
    <mergeCell ref="D773:G773"/>
    <mergeCell ref="D774:G774"/>
    <mergeCell ref="D762:G762"/>
    <mergeCell ref="D763:G763"/>
    <mergeCell ref="D764:G764"/>
    <mergeCell ref="D765:G765"/>
    <mergeCell ref="D766:G766"/>
    <mergeCell ref="D767:G767"/>
    <mergeCell ref="D755:G755"/>
    <mergeCell ref="D756:G756"/>
    <mergeCell ref="D757:G757"/>
    <mergeCell ref="D758:G758"/>
    <mergeCell ref="D759:G759"/>
    <mergeCell ref="D761:G761"/>
    <mergeCell ref="D789:G789"/>
    <mergeCell ref="D790:G790"/>
    <mergeCell ref="D791:G791"/>
    <mergeCell ref="D793:G793"/>
    <mergeCell ref="D794:G794"/>
    <mergeCell ref="D795:G795"/>
    <mergeCell ref="D782:G782"/>
    <mergeCell ref="D783:G783"/>
    <mergeCell ref="D785:G785"/>
    <mergeCell ref="D786:G786"/>
    <mergeCell ref="D787:G787"/>
    <mergeCell ref="D788:G788"/>
    <mergeCell ref="D775:G775"/>
    <mergeCell ref="D777:G777"/>
    <mergeCell ref="D778:G778"/>
    <mergeCell ref="D779:G779"/>
    <mergeCell ref="D780:G780"/>
    <mergeCell ref="D781:G781"/>
    <mergeCell ref="D810:G810"/>
    <mergeCell ref="D811:G811"/>
    <mergeCell ref="D812:G812"/>
    <mergeCell ref="D813:G813"/>
    <mergeCell ref="D814:G814"/>
    <mergeCell ref="D815:G815"/>
    <mergeCell ref="D803:G803"/>
    <mergeCell ref="D804:G804"/>
    <mergeCell ref="D805:G805"/>
    <mergeCell ref="D806:G806"/>
    <mergeCell ref="D807:G807"/>
    <mergeCell ref="D809:G809"/>
    <mergeCell ref="D796:G796"/>
    <mergeCell ref="D797:G797"/>
    <mergeCell ref="D798:G798"/>
    <mergeCell ref="D799:G799"/>
    <mergeCell ref="D801:G801"/>
    <mergeCell ref="D802:G802"/>
    <mergeCell ref="D830:G830"/>
    <mergeCell ref="D831:G831"/>
    <mergeCell ref="D833:G833"/>
    <mergeCell ref="D834:G834"/>
    <mergeCell ref="D835:G835"/>
    <mergeCell ref="D836:G836"/>
    <mergeCell ref="D823:G823"/>
    <mergeCell ref="D825:G825"/>
    <mergeCell ref="D826:G826"/>
    <mergeCell ref="D827:G827"/>
    <mergeCell ref="D828:G828"/>
    <mergeCell ref="D829:G829"/>
    <mergeCell ref="D817:G817"/>
    <mergeCell ref="D818:G818"/>
    <mergeCell ref="D819:G819"/>
    <mergeCell ref="D820:G820"/>
    <mergeCell ref="D821:G821"/>
    <mergeCell ref="D822:G822"/>
    <mergeCell ref="D851:G851"/>
    <mergeCell ref="D852:G852"/>
    <mergeCell ref="D853:G853"/>
    <mergeCell ref="D854:G854"/>
    <mergeCell ref="D855:G855"/>
    <mergeCell ref="D857:G857"/>
    <mergeCell ref="D844:G844"/>
    <mergeCell ref="D845:G845"/>
    <mergeCell ref="D846:G846"/>
    <mergeCell ref="D847:G847"/>
    <mergeCell ref="D849:G849"/>
    <mergeCell ref="D850:G850"/>
    <mergeCell ref="D837:G837"/>
    <mergeCell ref="D838:G838"/>
    <mergeCell ref="D839:G839"/>
    <mergeCell ref="D841:G841"/>
    <mergeCell ref="D842:G842"/>
    <mergeCell ref="D843:G843"/>
    <mergeCell ref="D871:G871"/>
    <mergeCell ref="D873:G873"/>
    <mergeCell ref="D874:G874"/>
    <mergeCell ref="D875:G875"/>
    <mergeCell ref="D876:G876"/>
    <mergeCell ref="D877:G877"/>
    <mergeCell ref="D865:G865"/>
    <mergeCell ref="D866:G866"/>
    <mergeCell ref="D867:G867"/>
    <mergeCell ref="D868:G868"/>
    <mergeCell ref="D869:G869"/>
    <mergeCell ref="D870:G870"/>
    <mergeCell ref="D858:G858"/>
    <mergeCell ref="D859:G859"/>
    <mergeCell ref="D860:G860"/>
    <mergeCell ref="D861:G861"/>
    <mergeCell ref="D862:G862"/>
    <mergeCell ref="D863:G863"/>
    <mergeCell ref="D892:G892"/>
    <mergeCell ref="D893:G893"/>
    <mergeCell ref="D894:G894"/>
    <mergeCell ref="D895:G895"/>
    <mergeCell ref="D897:G897"/>
    <mergeCell ref="D898:G898"/>
    <mergeCell ref="D885:G885"/>
    <mergeCell ref="D886:G886"/>
    <mergeCell ref="D887:G887"/>
    <mergeCell ref="D889:G889"/>
    <mergeCell ref="D890:G890"/>
    <mergeCell ref="D891:G891"/>
    <mergeCell ref="D878:G878"/>
    <mergeCell ref="D879:G879"/>
    <mergeCell ref="D881:G881"/>
    <mergeCell ref="D882:G882"/>
    <mergeCell ref="D883:G883"/>
    <mergeCell ref="D884:G884"/>
    <mergeCell ref="D913:G913"/>
    <mergeCell ref="D914:G914"/>
    <mergeCell ref="D915:G915"/>
    <mergeCell ref="D916:G916"/>
    <mergeCell ref="D917:G917"/>
    <mergeCell ref="D918:G918"/>
    <mergeCell ref="D906:G906"/>
    <mergeCell ref="D907:G907"/>
    <mergeCell ref="D908:G908"/>
    <mergeCell ref="D909:G909"/>
    <mergeCell ref="D910:G910"/>
    <mergeCell ref="D911:G911"/>
    <mergeCell ref="D899:G899"/>
    <mergeCell ref="D900:G900"/>
    <mergeCell ref="D901:G901"/>
    <mergeCell ref="D902:G902"/>
    <mergeCell ref="D903:G903"/>
    <mergeCell ref="D905:G905"/>
    <mergeCell ref="D933:G933"/>
    <mergeCell ref="D934:G934"/>
    <mergeCell ref="D935:G935"/>
    <mergeCell ref="D937:G937"/>
    <mergeCell ref="D938:G938"/>
    <mergeCell ref="D939:G939"/>
    <mergeCell ref="D926:G926"/>
    <mergeCell ref="D927:G927"/>
    <mergeCell ref="D929:G929"/>
    <mergeCell ref="D930:G930"/>
    <mergeCell ref="D931:G931"/>
    <mergeCell ref="D932:G932"/>
    <mergeCell ref="D919:G919"/>
    <mergeCell ref="D921:G921"/>
    <mergeCell ref="D922:G922"/>
    <mergeCell ref="D923:G923"/>
    <mergeCell ref="D924:G924"/>
    <mergeCell ref="D925:G925"/>
    <mergeCell ref="D954:G954"/>
    <mergeCell ref="D955:G955"/>
    <mergeCell ref="D956:G956"/>
    <mergeCell ref="D957:G957"/>
    <mergeCell ref="D958:G958"/>
    <mergeCell ref="D959:G959"/>
    <mergeCell ref="D947:G947"/>
    <mergeCell ref="D948:G948"/>
    <mergeCell ref="D949:G949"/>
    <mergeCell ref="D950:G950"/>
    <mergeCell ref="D951:G951"/>
    <mergeCell ref="D953:G953"/>
    <mergeCell ref="D940:G940"/>
    <mergeCell ref="D941:G941"/>
    <mergeCell ref="D942:G942"/>
    <mergeCell ref="D943:G943"/>
    <mergeCell ref="D945:G945"/>
    <mergeCell ref="D946:G946"/>
    <mergeCell ref="D974:G974"/>
    <mergeCell ref="D975:G975"/>
    <mergeCell ref="D977:G977"/>
    <mergeCell ref="D978:G978"/>
    <mergeCell ref="D979:G979"/>
    <mergeCell ref="D980:G980"/>
    <mergeCell ref="D967:G967"/>
    <mergeCell ref="D969:G969"/>
    <mergeCell ref="D970:G970"/>
    <mergeCell ref="D971:G971"/>
    <mergeCell ref="D972:G972"/>
    <mergeCell ref="D973:G973"/>
    <mergeCell ref="D961:G961"/>
    <mergeCell ref="D962:G962"/>
    <mergeCell ref="D963:G963"/>
    <mergeCell ref="D964:G964"/>
    <mergeCell ref="D965:G965"/>
    <mergeCell ref="D966:G966"/>
    <mergeCell ref="D995:G995"/>
    <mergeCell ref="D996:G996"/>
    <mergeCell ref="D997:G997"/>
    <mergeCell ref="D998:G998"/>
    <mergeCell ref="D999:G999"/>
    <mergeCell ref="D1001:G1001"/>
    <mergeCell ref="D988:G988"/>
    <mergeCell ref="D989:G989"/>
    <mergeCell ref="D990:G990"/>
    <mergeCell ref="D991:G991"/>
    <mergeCell ref="D993:G993"/>
    <mergeCell ref="D994:G994"/>
    <mergeCell ref="D981:G981"/>
    <mergeCell ref="D982:G982"/>
    <mergeCell ref="D983:G983"/>
    <mergeCell ref="D985:G985"/>
    <mergeCell ref="D986:G986"/>
    <mergeCell ref="D987:G987"/>
    <mergeCell ref="D1015:G1015"/>
    <mergeCell ref="D1017:G1017"/>
    <mergeCell ref="D1018:G1018"/>
    <mergeCell ref="D1019:G1019"/>
    <mergeCell ref="D1020:G1020"/>
    <mergeCell ref="D1021:G1021"/>
    <mergeCell ref="D1009:G1009"/>
    <mergeCell ref="D1010:G1010"/>
    <mergeCell ref="D1011:G1011"/>
    <mergeCell ref="D1012:G1012"/>
    <mergeCell ref="D1013:G1013"/>
    <mergeCell ref="D1014:G1014"/>
    <mergeCell ref="D1002:G1002"/>
    <mergeCell ref="D1003:G1003"/>
    <mergeCell ref="D1004:G1004"/>
    <mergeCell ref="D1005:G1005"/>
    <mergeCell ref="D1006:G1006"/>
    <mergeCell ref="D1007:G1007"/>
    <mergeCell ref="D1036:G1036"/>
    <mergeCell ref="D1037:G1037"/>
    <mergeCell ref="D1038:G1038"/>
    <mergeCell ref="D1039:G1039"/>
    <mergeCell ref="D1041:G1041"/>
    <mergeCell ref="D1042:G1042"/>
    <mergeCell ref="D1029:G1029"/>
    <mergeCell ref="D1030:G1030"/>
    <mergeCell ref="D1031:G1031"/>
    <mergeCell ref="D1033:G1033"/>
    <mergeCell ref="D1034:G1034"/>
    <mergeCell ref="D1035:G1035"/>
    <mergeCell ref="D1022:G1022"/>
    <mergeCell ref="D1023:G1023"/>
    <mergeCell ref="D1025:G1025"/>
    <mergeCell ref="D1026:G1026"/>
    <mergeCell ref="D1027:G1027"/>
    <mergeCell ref="D1028:G1028"/>
    <mergeCell ref="D1057:G1057"/>
    <mergeCell ref="D1058:G1058"/>
    <mergeCell ref="D1059:G1059"/>
    <mergeCell ref="D1060:G1060"/>
    <mergeCell ref="D1061:G1061"/>
    <mergeCell ref="D1062:G1062"/>
    <mergeCell ref="D1050:G1050"/>
    <mergeCell ref="D1051:G1051"/>
    <mergeCell ref="D1052:G1052"/>
    <mergeCell ref="D1053:G1053"/>
    <mergeCell ref="D1054:G1054"/>
    <mergeCell ref="D1055:G1055"/>
    <mergeCell ref="D1043:G1043"/>
    <mergeCell ref="D1044:G1044"/>
    <mergeCell ref="D1045:G1045"/>
    <mergeCell ref="D1046:G1046"/>
    <mergeCell ref="D1047:G1047"/>
    <mergeCell ref="D1049:G1049"/>
    <mergeCell ref="D1077:G1077"/>
    <mergeCell ref="D1078:G1078"/>
    <mergeCell ref="D1079:G1079"/>
    <mergeCell ref="D1081:G1081"/>
    <mergeCell ref="D1082:G1082"/>
    <mergeCell ref="D1083:G1083"/>
    <mergeCell ref="D1070:G1070"/>
    <mergeCell ref="D1071:G1071"/>
    <mergeCell ref="D1073:G1073"/>
    <mergeCell ref="D1074:G1074"/>
    <mergeCell ref="D1075:G1075"/>
    <mergeCell ref="D1076:G1076"/>
    <mergeCell ref="D1063:G1063"/>
    <mergeCell ref="D1065:G1065"/>
    <mergeCell ref="D1066:G1066"/>
    <mergeCell ref="D1067:G1067"/>
    <mergeCell ref="D1068:G1068"/>
    <mergeCell ref="D1069:G1069"/>
    <mergeCell ref="D1098:G1098"/>
    <mergeCell ref="D1099:G1099"/>
    <mergeCell ref="D1100:G1100"/>
    <mergeCell ref="D1101:G1101"/>
    <mergeCell ref="D1102:G1102"/>
    <mergeCell ref="D1103:G1103"/>
    <mergeCell ref="D1091:G1091"/>
    <mergeCell ref="D1092:G1092"/>
    <mergeCell ref="D1093:G1093"/>
    <mergeCell ref="D1094:G1094"/>
    <mergeCell ref="D1095:G1095"/>
    <mergeCell ref="D1097:G1097"/>
    <mergeCell ref="D1084:G1084"/>
    <mergeCell ref="D1085:G1085"/>
    <mergeCell ref="D1086:G1086"/>
    <mergeCell ref="D1087:G1087"/>
    <mergeCell ref="D1089:G1089"/>
    <mergeCell ref="D1090:G1090"/>
    <mergeCell ref="D1118:G1118"/>
    <mergeCell ref="D1119:G1119"/>
    <mergeCell ref="D1121:G1121"/>
    <mergeCell ref="D1122:G1122"/>
    <mergeCell ref="D1123:G1123"/>
    <mergeCell ref="D1124:G1124"/>
    <mergeCell ref="D1111:G1111"/>
    <mergeCell ref="D1113:G1113"/>
    <mergeCell ref="D1114:G1114"/>
    <mergeCell ref="D1115:G1115"/>
    <mergeCell ref="D1116:G1116"/>
    <mergeCell ref="D1117:G1117"/>
    <mergeCell ref="D1105:G1105"/>
    <mergeCell ref="D1106:G1106"/>
    <mergeCell ref="D1107:G1107"/>
    <mergeCell ref="D1108:G1108"/>
    <mergeCell ref="D1109:G1109"/>
    <mergeCell ref="D1110:G1110"/>
    <mergeCell ref="D1139:G1139"/>
    <mergeCell ref="D1140:G1140"/>
    <mergeCell ref="D1141:G1141"/>
    <mergeCell ref="D1142:G1142"/>
    <mergeCell ref="D1143:G1143"/>
    <mergeCell ref="D1145:G1145"/>
    <mergeCell ref="D1132:G1132"/>
    <mergeCell ref="D1133:G1133"/>
    <mergeCell ref="D1134:G1134"/>
    <mergeCell ref="D1135:G1135"/>
    <mergeCell ref="D1137:G1137"/>
    <mergeCell ref="D1138:G1138"/>
    <mergeCell ref="D1125:G1125"/>
    <mergeCell ref="D1126:G1126"/>
    <mergeCell ref="D1127:G1127"/>
    <mergeCell ref="D1129:G1129"/>
    <mergeCell ref="D1130:G1130"/>
    <mergeCell ref="D1131:G1131"/>
    <mergeCell ref="D1159:G1159"/>
    <mergeCell ref="D1161:G1161"/>
    <mergeCell ref="D1162:G1162"/>
    <mergeCell ref="D1163:G1163"/>
    <mergeCell ref="D1164:G1164"/>
    <mergeCell ref="D1165:G1165"/>
    <mergeCell ref="D1153:G1153"/>
    <mergeCell ref="D1154:G1154"/>
    <mergeCell ref="D1155:G1155"/>
    <mergeCell ref="D1156:G1156"/>
    <mergeCell ref="D1157:G1157"/>
    <mergeCell ref="D1158:G1158"/>
    <mergeCell ref="D1146:G1146"/>
    <mergeCell ref="D1147:G1147"/>
    <mergeCell ref="D1148:G1148"/>
    <mergeCell ref="D1149:G1149"/>
    <mergeCell ref="D1150:G1150"/>
    <mergeCell ref="D1151:G1151"/>
    <mergeCell ref="D1180:G1180"/>
    <mergeCell ref="D1181:G1181"/>
    <mergeCell ref="D1182:G1182"/>
    <mergeCell ref="D1183:G1183"/>
    <mergeCell ref="D1185:G1185"/>
    <mergeCell ref="D1186:G1186"/>
    <mergeCell ref="D1173:G1173"/>
    <mergeCell ref="D1174:G1174"/>
    <mergeCell ref="D1175:G1175"/>
    <mergeCell ref="D1177:G1177"/>
    <mergeCell ref="D1178:G1178"/>
    <mergeCell ref="D1179:G1179"/>
    <mergeCell ref="D1166:G1166"/>
    <mergeCell ref="D1167:G1167"/>
    <mergeCell ref="D1169:G1169"/>
    <mergeCell ref="D1170:G1170"/>
    <mergeCell ref="D1171:G1171"/>
    <mergeCell ref="D1172:G1172"/>
    <mergeCell ref="D1201:G1201"/>
    <mergeCell ref="D1202:G1202"/>
    <mergeCell ref="D1203:G1203"/>
    <mergeCell ref="D1204:G1204"/>
    <mergeCell ref="D1205:G1205"/>
    <mergeCell ref="D1206:G1206"/>
    <mergeCell ref="D1194:G1194"/>
    <mergeCell ref="D1195:G1195"/>
    <mergeCell ref="D1196:G1196"/>
    <mergeCell ref="D1197:G1197"/>
    <mergeCell ref="D1198:G1198"/>
    <mergeCell ref="D1199:G1199"/>
    <mergeCell ref="D1187:G1187"/>
    <mergeCell ref="D1188:G1188"/>
    <mergeCell ref="D1189:G1189"/>
    <mergeCell ref="D1190:G1190"/>
    <mergeCell ref="D1191:G1191"/>
    <mergeCell ref="D1193:G1193"/>
    <mergeCell ref="D1221:G1221"/>
    <mergeCell ref="D1222:G1222"/>
    <mergeCell ref="D1223:G1223"/>
    <mergeCell ref="D1225:G1225"/>
    <mergeCell ref="D1226:G1226"/>
    <mergeCell ref="D1227:G1227"/>
    <mergeCell ref="D1214:G1214"/>
    <mergeCell ref="D1215:G1215"/>
    <mergeCell ref="D1217:G1217"/>
    <mergeCell ref="D1218:G1218"/>
    <mergeCell ref="D1219:G1219"/>
    <mergeCell ref="D1220:G1220"/>
    <mergeCell ref="D1207:G1207"/>
    <mergeCell ref="D1209:G1209"/>
    <mergeCell ref="D1210:G1210"/>
    <mergeCell ref="D1211:G1211"/>
    <mergeCell ref="D1212:G1212"/>
    <mergeCell ref="D1213:G1213"/>
    <mergeCell ref="D1242:G1242"/>
    <mergeCell ref="D1243:G1243"/>
    <mergeCell ref="D1244:G1244"/>
    <mergeCell ref="D1245:G1245"/>
    <mergeCell ref="D1246:G1246"/>
    <mergeCell ref="D1247:G1247"/>
    <mergeCell ref="D1235:G1235"/>
    <mergeCell ref="D1236:G1236"/>
    <mergeCell ref="D1237:G1237"/>
    <mergeCell ref="D1238:G1238"/>
    <mergeCell ref="D1239:G1239"/>
    <mergeCell ref="D1241:G1241"/>
    <mergeCell ref="D1228:G1228"/>
    <mergeCell ref="D1229:G1229"/>
    <mergeCell ref="D1230:G1230"/>
    <mergeCell ref="D1231:G1231"/>
    <mergeCell ref="D1233:G1233"/>
    <mergeCell ref="D1234:G1234"/>
    <mergeCell ref="D1262:G1262"/>
    <mergeCell ref="D1263:G1263"/>
    <mergeCell ref="D1265:G1265"/>
    <mergeCell ref="D1266:G1266"/>
    <mergeCell ref="D1267:G1267"/>
    <mergeCell ref="D1268:G1268"/>
    <mergeCell ref="D1255:G1255"/>
    <mergeCell ref="D1257:G1257"/>
    <mergeCell ref="D1258:G1258"/>
    <mergeCell ref="D1259:G1259"/>
    <mergeCell ref="D1260:G1260"/>
    <mergeCell ref="D1261:G1261"/>
    <mergeCell ref="D1249:G1249"/>
    <mergeCell ref="D1250:G1250"/>
    <mergeCell ref="D1251:G1251"/>
    <mergeCell ref="D1252:G1252"/>
    <mergeCell ref="D1253:G1253"/>
    <mergeCell ref="D1254:G1254"/>
    <mergeCell ref="D1283:G1283"/>
    <mergeCell ref="D1284:G1284"/>
    <mergeCell ref="D1285:G1285"/>
    <mergeCell ref="D1286:G1286"/>
    <mergeCell ref="D1287:G1287"/>
    <mergeCell ref="D1289:G1289"/>
    <mergeCell ref="D1276:G1276"/>
    <mergeCell ref="D1277:G1277"/>
    <mergeCell ref="D1278:G1278"/>
    <mergeCell ref="D1279:G1279"/>
    <mergeCell ref="D1281:G1281"/>
    <mergeCell ref="D1282:G1282"/>
    <mergeCell ref="D1269:G1269"/>
    <mergeCell ref="D1270:G1270"/>
    <mergeCell ref="D1271:G1271"/>
    <mergeCell ref="D1273:G1273"/>
    <mergeCell ref="D1274:G1274"/>
    <mergeCell ref="D1275:G1275"/>
    <mergeCell ref="D1303:G1303"/>
    <mergeCell ref="D1305:G1305"/>
    <mergeCell ref="D1306:G1306"/>
    <mergeCell ref="D1307:G1307"/>
    <mergeCell ref="D1308:G1308"/>
    <mergeCell ref="D1309:G1309"/>
    <mergeCell ref="D1297:G1297"/>
    <mergeCell ref="D1298:G1298"/>
    <mergeCell ref="D1299:G1299"/>
    <mergeCell ref="D1300:G1300"/>
    <mergeCell ref="D1301:G1301"/>
    <mergeCell ref="D1302:G1302"/>
    <mergeCell ref="D1290:G1290"/>
    <mergeCell ref="D1291:G1291"/>
    <mergeCell ref="D1292:G1292"/>
    <mergeCell ref="D1293:G1293"/>
    <mergeCell ref="D1294:G1294"/>
    <mergeCell ref="D1295:G1295"/>
    <mergeCell ref="D1324:G1324"/>
    <mergeCell ref="D1325:G1325"/>
    <mergeCell ref="D1326:G1326"/>
    <mergeCell ref="D1327:G1327"/>
    <mergeCell ref="D1329:G1329"/>
    <mergeCell ref="D1330:G1330"/>
    <mergeCell ref="D1317:G1317"/>
    <mergeCell ref="D1318:G1318"/>
    <mergeCell ref="D1319:G1319"/>
    <mergeCell ref="D1321:G1321"/>
    <mergeCell ref="D1322:G1322"/>
    <mergeCell ref="D1323:G1323"/>
    <mergeCell ref="D1310:G1310"/>
    <mergeCell ref="D1311:G1311"/>
    <mergeCell ref="D1313:G1313"/>
    <mergeCell ref="D1314:G1314"/>
    <mergeCell ref="D1315:G1315"/>
    <mergeCell ref="D1316:G1316"/>
    <mergeCell ref="D1351:G1351"/>
    <mergeCell ref="D1345:G1345"/>
    <mergeCell ref="D1346:G1346"/>
    <mergeCell ref="D1347:G1347"/>
    <mergeCell ref="D1348:G1348"/>
    <mergeCell ref="D1349:G1349"/>
    <mergeCell ref="D1350:G1350"/>
    <mergeCell ref="D1338:G1338"/>
    <mergeCell ref="D1339:G1339"/>
    <mergeCell ref="D1340:G1340"/>
    <mergeCell ref="D1341:G1341"/>
    <mergeCell ref="D1342:G1342"/>
    <mergeCell ref="D1343:G1343"/>
    <mergeCell ref="D1331:G1331"/>
    <mergeCell ref="D1332:G1332"/>
    <mergeCell ref="D1333:G1333"/>
    <mergeCell ref="D1334:G1334"/>
    <mergeCell ref="D1335:G1335"/>
    <mergeCell ref="D1337:G1337"/>
  </mergeCells>
  <pageMargins left="0" right="0" top="0" bottom="0" header="0" footer="0"/>
  <pageSetup paperSize="256" orientation="landscape" horizontalDpi="203" verticalDpi="203"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67714-50B9-4AFF-9DE5-AD2CE3403963}">
  <sheetPr codeName="Sayfa11">
    <tabColor theme="2" tint="-0.249977111117893"/>
  </sheetPr>
  <dimension ref="A1:DF82"/>
  <sheetViews>
    <sheetView zoomScale="55" zoomScaleNormal="55" workbookViewId="0">
      <pane ySplit="1" topLeftCell="A2" activePane="bottomLeft" state="frozen"/>
      <selection activeCell="I23" sqref="I23"/>
      <selection pane="bottomLeft" activeCell="I23" sqref="I23"/>
    </sheetView>
  </sheetViews>
  <sheetFormatPr defaultRowHeight="14.25"/>
  <cols>
    <col min="1" max="1" width="25.875" customWidth="1"/>
    <col min="2" max="2" width="19.125" bestFit="1" customWidth="1"/>
    <col min="3" max="3" width="79.625" bestFit="1" customWidth="1"/>
    <col min="4" max="4" width="30.375" customWidth="1"/>
    <col min="5" max="6" width="19" style="3" customWidth="1"/>
    <col min="7" max="7" width="20.125" customWidth="1"/>
    <col min="8" max="10" width="18.875" customWidth="1"/>
    <col min="17" max="17" width="11.625" customWidth="1"/>
    <col min="19" max="19" width="15.125" customWidth="1"/>
    <col min="20" max="20" width="13.625" customWidth="1"/>
    <col min="21" max="21" width="20.125" customWidth="1"/>
    <col min="22" max="22" width="15.125" customWidth="1"/>
    <col min="23" max="23" width="22.875" customWidth="1"/>
    <col min="24" max="24" width="18.875" customWidth="1"/>
    <col min="25" max="25" width="19" customWidth="1"/>
    <col min="26" max="26" width="14.5" customWidth="1"/>
    <col min="27" max="29" width="13.875" customWidth="1"/>
    <col min="30" max="30" width="14.625" customWidth="1"/>
    <col min="31" max="31" width="12.625" customWidth="1"/>
    <col min="32" max="32" width="12.875" customWidth="1"/>
    <col min="33" max="33" width="14.625" customWidth="1"/>
    <col min="34" max="34" width="13.375" customWidth="1"/>
    <col min="35" max="35" width="16.125" customWidth="1"/>
    <col min="36" max="36" width="15.625" customWidth="1"/>
    <col min="37" max="37" width="16.125" customWidth="1"/>
    <col min="38" max="38" width="13.875" customWidth="1"/>
    <col min="39" max="39" width="15.125" customWidth="1"/>
    <col min="40" max="40" width="12.375" customWidth="1"/>
    <col min="41" max="41" width="12.375" style="1" customWidth="1"/>
    <col min="42" max="60" width="15.125" customWidth="1"/>
    <col min="64" max="64" width="8.625" customWidth="1"/>
  </cols>
  <sheetData>
    <row r="1" spans="1:110" ht="21">
      <c r="A1" s="2" t="s">
        <v>409</v>
      </c>
      <c r="B1" s="2" t="s">
        <v>33</v>
      </c>
      <c r="C1" s="2" t="s">
        <v>14</v>
      </c>
      <c r="D1" s="2" t="s">
        <v>99</v>
      </c>
      <c r="E1" s="10" t="s">
        <v>15</v>
      </c>
      <c r="F1" s="10" t="s">
        <v>505</v>
      </c>
      <c r="G1" s="2" t="s">
        <v>16</v>
      </c>
      <c r="H1" s="2" t="s">
        <v>17</v>
      </c>
      <c r="I1" s="2" t="s">
        <v>504</v>
      </c>
      <c r="J1" s="2" t="s">
        <v>507</v>
      </c>
      <c r="K1" s="2" t="s">
        <v>506</v>
      </c>
      <c r="L1" s="2" t="s">
        <v>508</v>
      </c>
      <c r="M1" s="2" t="s">
        <v>509</v>
      </c>
      <c r="N1" s="2" t="s">
        <v>510</v>
      </c>
      <c r="O1" s="2" t="s">
        <v>511</v>
      </c>
      <c r="P1" s="2" t="s">
        <v>512</v>
      </c>
      <c r="Q1" s="2" t="s">
        <v>513</v>
      </c>
      <c r="R1" s="2" t="s">
        <v>514</v>
      </c>
      <c r="S1" s="2" t="s">
        <v>515</v>
      </c>
      <c r="T1" s="2" t="s">
        <v>516</v>
      </c>
      <c r="U1" s="2" t="s">
        <v>517</v>
      </c>
      <c r="V1" s="2" t="s">
        <v>518</v>
      </c>
      <c r="W1" s="2" t="s">
        <v>519</v>
      </c>
      <c r="X1" s="2" t="s">
        <v>520</v>
      </c>
      <c r="Y1" s="2" t="s">
        <v>521</v>
      </c>
      <c r="Z1" s="2" t="s">
        <v>522</v>
      </c>
      <c r="AA1" s="2" t="s">
        <v>523</v>
      </c>
      <c r="AB1" s="2" t="s">
        <v>524</v>
      </c>
      <c r="AC1" s="2" t="s">
        <v>525</v>
      </c>
      <c r="AD1" s="2" t="s">
        <v>526</v>
      </c>
      <c r="AE1" s="2" t="s">
        <v>527</v>
      </c>
      <c r="AF1" s="2" t="s">
        <v>528</v>
      </c>
      <c r="AG1" s="2" t="s">
        <v>529</v>
      </c>
      <c r="AH1" s="2" t="s">
        <v>530</v>
      </c>
      <c r="AI1" s="2" t="s">
        <v>531</v>
      </c>
      <c r="AJ1" s="2" t="s">
        <v>532</v>
      </c>
      <c r="AK1" s="2" t="s">
        <v>533</v>
      </c>
      <c r="AL1" s="2" t="s">
        <v>534</v>
      </c>
      <c r="AM1" s="2" t="s">
        <v>535</v>
      </c>
      <c r="AN1" s="2" t="s">
        <v>536</v>
      </c>
      <c r="AO1" s="2" t="s">
        <v>537</v>
      </c>
      <c r="AP1" s="2" t="s">
        <v>538</v>
      </c>
      <c r="AQ1" s="2" t="s">
        <v>539</v>
      </c>
      <c r="AR1" s="2" t="s">
        <v>540</v>
      </c>
      <c r="AS1" s="2" t="s">
        <v>541</v>
      </c>
      <c r="AT1" s="2" t="s">
        <v>542</v>
      </c>
      <c r="AU1" s="2" t="s">
        <v>543</v>
      </c>
      <c r="AV1" s="2" t="s">
        <v>544</v>
      </c>
      <c r="AW1" s="2" t="s">
        <v>545</v>
      </c>
      <c r="AX1" s="2" t="s">
        <v>546</v>
      </c>
      <c r="AY1" s="2" t="s">
        <v>547</v>
      </c>
      <c r="AZ1" s="2" t="s">
        <v>548</v>
      </c>
      <c r="BA1" s="2" t="s">
        <v>549</v>
      </c>
      <c r="BB1" s="2" t="s">
        <v>550</v>
      </c>
      <c r="BC1" s="2" t="s">
        <v>551</v>
      </c>
      <c r="BD1" s="2" t="s">
        <v>552</v>
      </c>
      <c r="BE1" s="2" t="s">
        <v>553</v>
      </c>
      <c r="BF1" s="2" t="s">
        <v>554</v>
      </c>
      <c r="BG1" s="2" t="s">
        <v>555</v>
      </c>
      <c r="BH1" s="2" t="s">
        <v>556</v>
      </c>
      <c r="BI1" s="2" t="s">
        <v>557</v>
      </c>
      <c r="BJ1" s="2" t="s">
        <v>558</v>
      </c>
      <c r="BK1" s="2" t="s">
        <v>559</v>
      </c>
      <c r="BL1" s="2" t="s">
        <v>560</v>
      </c>
      <c r="BM1" s="2" t="s">
        <v>561</v>
      </c>
      <c r="BN1" s="2" t="s">
        <v>562</v>
      </c>
      <c r="BO1" s="2" t="s">
        <v>563</v>
      </c>
      <c r="BP1" s="2" t="s">
        <v>564</v>
      </c>
      <c r="BQ1" s="2" t="s">
        <v>565</v>
      </c>
      <c r="BR1" s="2" t="s">
        <v>566</v>
      </c>
      <c r="BS1" s="2" t="s">
        <v>567</v>
      </c>
      <c r="BT1" s="2" t="s">
        <v>568</v>
      </c>
      <c r="BU1" s="2" t="s">
        <v>569</v>
      </c>
      <c r="BV1" s="2" t="s">
        <v>570</v>
      </c>
      <c r="BW1" s="2" t="s">
        <v>571</v>
      </c>
      <c r="BX1" s="2" t="s">
        <v>572</v>
      </c>
      <c r="BY1" s="2" t="s">
        <v>573</v>
      </c>
      <c r="BZ1" s="2" t="s">
        <v>574</v>
      </c>
      <c r="CA1" s="2" t="s">
        <v>575</v>
      </c>
      <c r="CB1" s="2" t="s">
        <v>576</v>
      </c>
      <c r="CC1" s="2" t="s">
        <v>577</v>
      </c>
      <c r="CD1" s="2" t="s">
        <v>578</v>
      </c>
      <c r="CE1" s="2" t="s">
        <v>579</v>
      </c>
      <c r="CF1" s="2" t="s">
        <v>580</v>
      </c>
      <c r="CG1" s="2" t="s">
        <v>581</v>
      </c>
      <c r="CH1" s="2" t="s">
        <v>582</v>
      </c>
      <c r="CI1" s="2" t="s">
        <v>583</v>
      </c>
      <c r="CJ1" s="2" t="s">
        <v>584</v>
      </c>
      <c r="CK1" s="2" t="s">
        <v>585</v>
      </c>
      <c r="CL1" s="2" t="s">
        <v>586</v>
      </c>
      <c r="CM1" s="2" t="s">
        <v>587</v>
      </c>
      <c r="CN1" s="2" t="s">
        <v>588</v>
      </c>
      <c r="CO1" s="2" t="s">
        <v>589</v>
      </c>
      <c r="CP1" s="2" t="s">
        <v>590</v>
      </c>
      <c r="CQ1" s="2" t="s">
        <v>591</v>
      </c>
      <c r="CR1" s="2" t="s">
        <v>592</v>
      </c>
      <c r="CS1" s="2" t="s">
        <v>593</v>
      </c>
      <c r="CT1" s="2" t="s">
        <v>594</v>
      </c>
      <c r="CU1" s="2" t="s">
        <v>595</v>
      </c>
      <c r="CV1" s="2" t="s">
        <v>596</v>
      </c>
      <c r="CW1" s="2" t="s">
        <v>597</v>
      </c>
      <c r="CX1" s="2" t="s">
        <v>598</v>
      </c>
      <c r="CY1" s="2" t="s">
        <v>599</v>
      </c>
      <c r="CZ1" s="2" t="s">
        <v>600</v>
      </c>
      <c r="DA1" s="2" t="s">
        <v>601</v>
      </c>
      <c r="DB1" s="2" t="s">
        <v>602</v>
      </c>
      <c r="DC1" s="2" t="s">
        <v>603</v>
      </c>
      <c r="DD1" s="2" t="s">
        <v>604</v>
      </c>
      <c r="DE1" s="2" t="s">
        <v>605</v>
      </c>
      <c r="DF1" s="2" t="s">
        <v>347</v>
      </c>
    </row>
    <row r="2" spans="1:110" ht="156.94999999999999" customHeight="1">
      <c r="A2" s="9" t="s">
        <v>410</v>
      </c>
      <c r="B2" t="e" vm="1">
        <v>#VALUE!</v>
      </c>
      <c r="C2" s="8" t="s">
        <v>18</v>
      </c>
      <c r="D2" s="9" t="s">
        <v>606</v>
      </c>
      <c r="E2" s="11"/>
      <c r="F2" s="11" t="s">
        <v>608</v>
      </c>
      <c r="H2">
        <v>1000</v>
      </c>
      <c r="J2">
        <f>HLOOKUP(A2,xHesaplama!$AH$26:$DK$46,xHesaplama!$A$27+1,0)</f>
        <v>0</v>
      </c>
      <c r="K2">
        <v>3000</v>
      </c>
      <c r="AO2"/>
    </row>
    <row r="3" spans="1:110" ht="156.94999999999999" customHeight="1">
      <c r="A3" s="9" t="s">
        <v>411</v>
      </c>
      <c r="B3" t="e" vm="2">
        <v>#VALUE!</v>
      </c>
      <c r="C3" s="8" t="s">
        <v>19</v>
      </c>
      <c r="D3" s="9" t="s">
        <v>606</v>
      </c>
      <c r="E3" s="11"/>
      <c r="F3" s="11" t="s">
        <v>608</v>
      </c>
      <c r="J3">
        <f>HLOOKUP(A3,xHesaplama!$AH$26:$DK$46,xHesaplama!$A$27+1,0)</f>
        <v>0</v>
      </c>
      <c r="K3">
        <v>0</v>
      </c>
      <c r="AO3"/>
    </row>
    <row r="4" spans="1:110" ht="156.94999999999999" customHeight="1">
      <c r="A4" s="9" t="s">
        <v>412</v>
      </c>
      <c r="B4" t="e" vm="3">
        <v>#VALUE!</v>
      </c>
      <c r="C4" s="8" t="s">
        <v>0</v>
      </c>
      <c r="D4" s="9" t="s">
        <v>606</v>
      </c>
      <c r="E4" s="11"/>
      <c r="F4" s="11" t="s">
        <v>608</v>
      </c>
      <c r="J4">
        <f>HLOOKUP(A4,xHesaplama!$AH$26:$DK$46,xHesaplama!$A$27+1,0)</f>
        <v>0</v>
      </c>
      <c r="K4">
        <v>0</v>
      </c>
      <c r="AO4"/>
    </row>
    <row r="5" spans="1:110" ht="156.94999999999999" customHeight="1">
      <c r="A5" s="9" t="s">
        <v>413</v>
      </c>
      <c r="B5" t="e" vm="4">
        <v>#VALUE!</v>
      </c>
      <c r="C5" s="8" t="s">
        <v>1</v>
      </c>
      <c r="D5" s="9" t="s">
        <v>606</v>
      </c>
      <c r="E5" s="11"/>
      <c r="F5" s="11" t="s">
        <v>608</v>
      </c>
      <c r="J5">
        <f>HLOOKUP(A5,xHesaplama!$AH$26:$DK$46,xHesaplama!$A$27+1,0)</f>
        <v>0</v>
      </c>
      <c r="K5">
        <v>0</v>
      </c>
      <c r="AO5"/>
    </row>
    <row r="6" spans="1:110" ht="156.94999999999999" customHeight="1">
      <c r="A6" s="9" t="s">
        <v>414</v>
      </c>
      <c r="B6" t="e" vm="5">
        <v>#VALUE!</v>
      </c>
      <c r="C6" s="8" t="s">
        <v>2</v>
      </c>
      <c r="D6" s="9" t="s">
        <v>606</v>
      </c>
      <c r="E6" s="11"/>
      <c r="F6" s="11" t="s">
        <v>608</v>
      </c>
      <c r="J6">
        <f>HLOOKUP(A6,xHesaplama!$AH$26:$DK$46,xHesaplama!$A$27+1,0)</f>
        <v>0</v>
      </c>
      <c r="K6">
        <v>0</v>
      </c>
      <c r="AO6"/>
    </row>
    <row r="7" spans="1:110" ht="156.94999999999999" customHeight="1">
      <c r="A7" s="9" t="s">
        <v>415</v>
      </c>
      <c r="B7" t="e" vm="6">
        <v>#VALUE!</v>
      </c>
      <c r="C7" s="8" t="s">
        <v>3</v>
      </c>
      <c r="D7" s="9" t="s">
        <v>607</v>
      </c>
      <c r="E7" s="11"/>
      <c r="F7" s="11" t="s">
        <v>608</v>
      </c>
      <c r="J7">
        <f>HLOOKUP(A7,xHesaplama!$AH$26:$DK$46,xHesaplama!$A$27+1,0)</f>
        <v>0</v>
      </c>
      <c r="K7">
        <v>0</v>
      </c>
      <c r="AO7"/>
    </row>
    <row r="8" spans="1:110" ht="156.94999999999999" customHeight="1">
      <c r="A8" s="9" t="s">
        <v>416</v>
      </c>
      <c r="B8" t="e" vm="6">
        <v>#VALUE!</v>
      </c>
      <c r="C8" s="8" t="s">
        <v>129</v>
      </c>
      <c r="D8" s="9" t="s">
        <v>607</v>
      </c>
      <c r="E8" s="11"/>
      <c r="F8" s="11" t="s">
        <v>608</v>
      </c>
      <c r="J8">
        <f>HLOOKUP(A8,xHesaplama!$AH$26:$DK$46,xHesaplama!$A$27+1,0)</f>
        <v>0</v>
      </c>
      <c r="K8">
        <v>0</v>
      </c>
      <c r="AO8"/>
    </row>
    <row r="9" spans="1:110" ht="156.94999999999999" customHeight="1">
      <c r="A9" s="9" t="s">
        <v>417</v>
      </c>
      <c r="B9" t="e" vm="7">
        <v>#VALUE!</v>
      </c>
      <c r="C9" s="8" t="s">
        <v>130</v>
      </c>
      <c r="D9" s="9"/>
      <c r="E9" s="11"/>
      <c r="F9" s="11" t="s">
        <v>608</v>
      </c>
      <c r="J9">
        <f>HLOOKUP(A9,xHesaplama!$AH$26:$DK$46,xHesaplama!$A$27+1,0)</f>
        <v>0</v>
      </c>
      <c r="K9">
        <v>0</v>
      </c>
      <c r="AO9"/>
    </row>
    <row r="10" spans="1:110" ht="156.94999999999999" customHeight="1">
      <c r="A10" s="9" t="s">
        <v>418</v>
      </c>
      <c r="B10" t="e" vm="8">
        <v>#VALUE!</v>
      </c>
      <c r="C10" s="8" t="s">
        <v>20</v>
      </c>
      <c r="D10" s="9" t="s">
        <v>606</v>
      </c>
      <c r="E10" s="11"/>
      <c r="F10" s="11" t="s">
        <v>480</v>
      </c>
      <c r="J10">
        <f>HLOOKUP(A10,xHesaplama!$AH$26:$DK$46,xHesaplama!$A$27+1,0)</f>
        <v>0</v>
      </c>
      <c r="K10">
        <v>3000</v>
      </c>
      <c r="AO10"/>
    </row>
    <row r="11" spans="1:110" ht="156.94999999999999" customHeight="1">
      <c r="A11" s="9" t="s">
        <v>419</v>
      </c>
      <c r="B11" t="e" vm="9">
        <v>#VALUE!</v>
      </c>
      <c r="C11" s="8" t="s">
        <v>20</v>
      </c>
      <c r="D11" s="9" t="s">
        <v>606</v>
      </c>
      <c r="E11" s="11"/>
      <c r="F11" s="11" t="s">
        <v>480</v>
      </c>
      <c r="J11">
        <f>HLOOKUP(A11,xHesaplama!$AH$26:$DK$46,xHesaplama!$A$27+1,0)</f>
        <v>0</v>
      </c>
      <c r="K11">
        <v>3000</v>
      </c>
      <c r="AO11"/>
    </row>
    <row r="12" spans="1:110" ht="156.94999999999999" customHeight="1">
      <c r="A12" s="9" t="s">
        <v>420</v>
      </c>
      <c r="B12" t="e" vm="10">
        <v>#VALUE!</v>
      </c>
      <c r="C12" s="8" t="s">
        <v>35</v>
      </c>
      <c r="D12" s="9" t="s">
        <v>606</v>
      </c>
      <c r="E12" s="11"/>
      <c r="F12" s="11" t="s">
        <v>357</v>
      </c>
      <c r="J12">
        <f>HLOOKUP(A12,xHesaplama!$AH$26:$DK$46,xHesaplama!$A$27+1,0)</f>
        <v>0</v>
      </c>
      <c r="K12">
        <v>3000</v>
      </c>
      <c r="AO12"/>
    </row>
    <row r="13" spans="1:110" ht="156.94999999999999" customHeight="1">
      <c r="A13" s="9" t="s">
        <v>421</v>
      </c>
      <c r="B13" t="e" vm="11">
        <v>#VALUE!</v>
      </c>
      <c r="C13" s="8" t="s">
        <v>36</v>
      </c>
      <c r="D13" s="9" t="s">
        <v>606</v>
      </c>
      <c r="E13" s="11"/>
      <c r="F13" s="11" t="s">
        <v>357</v>
      </c>
      <c r="J13">
        <f>HLOOKUP(A13,xHesaplama!$AH$26:$DK$46,xHesaplama!$A$27+1,0)</f>
        <v>0</v>
      </c>
      <c r="K13">
        <v>3000</v>
      </c>
      <c r="AO13"/>
    </row>
    <row r="14" spans="1:110" ht="156.94999999999999" customHeight="1">
      <c r="A14" s="9" t="s">
        <v>422</v>
      </c>
      <c r="B14" t="e" vm="12">
        <v>#VALUE!</v>
      </c>
      <c r="C14" s="8" t="s">
        <v>37</v>
      </c>
      <c r="D14" s="9" t="s">
        <v>606</v>
      </c>
      <c r="E14" s="11"/>
      <c r="F14" s="11" t="s">
        <v>480</v>
      </c>
      <c r="G14" s="7"/>
      <c r="H14" s="7"/>
      <c r="I14" s="7"/>
      <c r="J14">
        <f>HLOOKUP(A14,xHesaplama!$AH$26:$DK$46,xHesaplama!$A$27+1,0)</f>
        <v>0</v>
      </c>
      <c r="K14">
        <v>3000</v>
      </c>
      <c r="AO14"/>
    </row>
    <row r="15" spans="1:110" ht="156.94999999999999" customHeight="1">
      <c r="A15" s="9" t="s">
        <v>423</v>
      </c>
      <c r="B15" t="e" vm="13">
        <v>#VALUE!</v>
      </c>
      <c r="C15" s="8" t="s">
        <v>7</v>
      </c>
      <c r="D15" s="9" t="s">
        <v>606</v>
      </c>
      <c r="E15" s="11"/>
      <c r="F15" s="11" t="s">
        <v>357</v>
      </c>
      <c r="G15" s="7"/>
      <c r="H15" s="7"/>
      <c r="I15" s="7"/>
      <c r="J15">
        <f>HLOOKUP(A15,xHesaplama!$AH$26:$DK$46,xHesaplama!$A$27+1,0)</f>
        <v>0</v>
      </c>
      <c r="K15">
        <v>3000</v>
      </c>
      <c r="AO15"/>
    </row>
    <row r="16" spans="1:110" ht="156.94999999999999" customHeight="1">
      <c r="A16" s="9" t="s">
        <v>422</v>
      </c>
      <c r="B16" t="e" vm="14">
        <v>#VALUE!</v>
      </c>
      <c r="C16" s="8" t="s">
        <v>38</v>
      </c>
      <c r="D16" s="9" t="s">
        <v>606</v>
      </c>
      <c r="E16" s="11"/>
      <c r="F16" s="11" t="s">
        <v>357</v>
      </c>
      <c r="G16" s="7"/>
      <c r="H16" s="7"/>
      <c r="I16" s="7"/>
      <c r="J16">
        <f>HLOOKUP(A16,xHesaplama!$AH$26:$DK$46,xHesaplama!$A$27+1,0)</f>
        <v>0</v>
      </c>
      <c r="K16">
        <v>3000</v>
      </c>
      <c r="AO16"/>
    </row>
    <row r="17" spans="1:41" ht="156.94999999999999" customHeight="1">
      <c r="A17" s="9" t="s">
        <v>424</v>
      </c>
      <c r="B17" t="e" vm="15">
        <v>#VALUE!</v>
      </c>
      <c r="C17" s="8" t="s">
        <v>9</v>
      </c>
      <c r="D17" s="9" t="s">
        <v>606</v>
      </c>
      <c r="E17" s="11"/>
      <c r="F17" s="11" t="s">
        <v>608</v>
      </c>
      <c r="G17" s="7"/>
      <c r="H17" s="7"/>
      <c r="I17" s="7"/>
      <c r="J17">
        <f>HLOOKUP(A17,xHesaplama!$AH$26:$DK$46,xHesaplama!$A$27+1,0)</f>
        <v>0</v>
      </c>
      <c r="K17">
        <v>3000</v>
      </c>
      <c r="AO17"/>
    </row>
    <row r="18" spans="1:41" ht="156.94999999999999" customHeight="1">
      <c r="A18" s="9" t="s">
        <v>425</v>
      </c>
      <c r="B18" t="e" vm="16">
        <v>#VALUE!</v>
      </c>
      <c r="C18" s="8" t="s">
        <v>39</v>
      </c>
      <c r="D18" s="9" t="s">
        <v>606</v>
      </c>
      <c r="E18" s="11"/>
      <c r="F18" s="11" t="s">
        <v>357</v>
      </c>
      <c r="G18" s="7"/>
      <c r="H18" s="7"/>
      <c r="I18" s="7"/>
      <c r="J18">
        <f>HLOOKUP(A18,xHesaplama!$AH$26:$DK$46,xHesaplama!$A$27+1,0)</f>
        <v>0</v>
      </c>
      <c r="K18">
        <v>3000</v>
      </c>
      <c r="AO18"/>
    </row>
    <row r="19" spans="1:41" ht="156.94999999999999" customHeight="1">
      <c r="A19" s="9" t="s">
        <v>426</v>
      </c>
      <c r="B19" t="e" vm="17">
        <v>#VALUE!</v>
      </c>
      <c r="C19" s="8" t="s">
        <v>40</v>
      </c>
      <c r="D19" s="9" t="s">
        <v>606</v>
      </c>
      <c r="E19" s="11"/>
      <c r="F19" s="11" t="s">
        <v>357</v>
      </c>
      <c r="G19" s="7"/>
      <c r="H19" s="7"/>
      <c r="I19" s="7"/>
      <c r="J19">
        <f>HLOOKUP(A19,xHesaplama!$AH$26:$DK$46,xHesaplama!$A$27+1,0)</f>
        <v>0</v>
      </c>
      <c r="K19">
        <v>3000</v>
      </c>
      <c r="AO19"/>
    </row>
    <row r="20" spans="1:41" ht="156.94999999999999" customHeight="1">
      <c r="A20" s="9" t="s">
        <v>427</v>
      </c>
      <c r="B20" t="e" vm="18">
        <v>#VALUE!</v>
      </c>
      <c r="C20" s="8" t="s">
        <v>41</v>
      </c>
      <c r="D20" s="9" t="s">
        <v>606</v>
      </c>
      <c r="E20" s="11"/>
      <c r="F20" s="11" t="s">
        <v>357</v>
      </c>
      <c r="G20" s="7"/>
      <c r="H20" s="7"/>
      <c r="I20" s="7"/>
      <c r="J20">
        <f>HLOOKUP(A20,xHesaplama!$AH$26:$DK$46,xHesaplama!$A$27+1,0)</f>
        <v>0</v>
      </c>
      <c r="K20">
        <v>3000</v>
      </c>
      <c r="AO20"/>
    </row>
    <row r="21" spans="1:41" ht="156.94999999999999" customHeight="1">
      <c r="A21" s="9" t="s">
        <v>428</v>
      </c>
      <c r="B21" t="e" vm="19">
        <v>#VALUE!</v>
      </c>
      <c r="C21" s="8" t="s">
        <v>42</v>
      </c>
      <c r="D21" s="9" t="s">
        <v>606</v>
      </c>
      <c r="E21" s="11"/>
      <c r="F21" s="11" t="s">
        <v>608</v>
      </c>
      <c r="G21" s="7"/>
      <c r="H21" s="7"/>
      <c r="I21" s="7"/>
      <c r="J21">
        <f>HLOOKUP(A21,xHesaplama!$AH$26:$DK$46,xHesaplama!$A$27+1,0)</f>
        <v>0</v>
      </c>
      <c r="K21">
        <v>3000</v>
      </c>
      <c r="AO21"/>
    </row>
    <row r="22" spans="1:41" ht="156.94999999999999" customHeight="1">
      <c r="A22" s="9" t="s">
        <v>429</v>
      </c>
      <c r="B22" t="e" vm="20">
        <v>#VALUE!</v>
      </c>
      <c r="C22" s="8" t="s">
        <v>12</v>
      </c>
      <c r="D22" s="9" t="s">
        <v>606</v>
      </c>
      <c r="E22" s="11"/>
      <c r="F22" s="11" t="s">
        <v>357</v>
      </c>
      <c r="J22">
        <f>HLOOKUP(A22,xHesaplama!$AH$26:$DK$46,xHesaplama!$A$27+1,0)</f>
        <v>0</v>
      </c>
      <c r="K22">
        <v>3000</v>
      </c>
      <c r="AO22"/>
    </row>
    <row r="23" spans="1:41" ht="156.94999999999999" customHeight="1">
      <c r="A23" s="9" t="s">
        <v>430</v>
      </c>
      <c r="B23" t="e" vm="21">
        <v>#VALUE!</v>
      </c>
      <c r="C23" s="8" t="s">
        <v>11</v>
      </c>
      <c r="D23" s="9" t="s">
        <v>606</v>
      </c>
      <c r="E23" s="11"/>
      <c r="F23" s="11" t="s">
        <v>480</v>
      </c>
      <c r="J23">
        <f>HLOOKUP(A23,xHesaplama!$AH$26:$DK$46,xHesaplama!$A$27+1,0)</f>
        <v>0</v>
      </c>
      <c r="K23">
        <v>3000</v>
      </c>
      <c r="AO23"/>
    </row>
    <row r="24" spans="1:41" ht="156.94999999999999" customHeight="1">
      <c r="A24" s="9" t="s">
        <v>431</v>
      </c>
      <c r="B24" t="e" vm="22">
        <v>#VALUE!</v>
      </c>
      <c r="C24" s="8" t="s">
        <v>43</v>
      </c>
      <c r="D24" s="9" t="s">
        <v>606</v>
      </c>
      <c r="E24" s="11"/>
      <c r="F24" s="11" t="s">
        <v>357</v>
      </c>
      <c r="J24">
        <f>HLOOKUP(A24,xHesaplama!$AH$26:$DK$46,xHesaplama!$A$27+1,0)</f>
        <v>0</v>
      </c>
      <c r="K24">
        <v>3000</v>
      </c>
      <c r="AO24"/>
    </row>
    <row r="25" spans="1:41" ht="156.94999999999999" customHeight="1">
      <c r="A25" s="9" t="s">
        <v>432</v>
      </c>
      <c r="B25" t="e" vm="23">
        <v>#VALUE!</v>
      </c>
      <c r="C25" s="8" t="s">
        <v>44</v>
      </c>
      <c r="D25" s="9" t="s">
        <v>606</v>
      </c>
      <c r="E25" s="11"/>
      <c r="F25" s="11" t="s">
        <v>357</v>
      </c>
      <c r="J25">
        <f>HLOOKUP(A25,xHesaplama!$AH$26:$DK$46,xHesaplama!$A$27+1,0)</f>
        <v>0</v>
      </c>
      <c r="K25">
        <v>3000</v>
      </c>
      <c r="AO25"/>
    </row>
    <row r="26" spans="1:41" ht="156.94999999999999" customHeight="1">
      <c r="A26" s="9" t="s">
        <v>433</v>
      </c>
      <c r="B26" t="e" vm="24">
        <v>#VALUE!</v>
      </c>
      <c r="C26" s="8" t="s">
        <v>45</v>
      </c>
      <c r="D26" s="9" t="s">
        <v>606</v>
      </c>
      <c r="E26" s="11"/>
      <c r="F26" s="11" t="s">
        <v>357</v>
      </c>
      <c r="J26">
        <f>HLOOKUP(A26,xHesaplama!$AH$26:$DK$46,xHesaplama!$A$27+1,0)</f>
        <v>0</v>
      </c>
      <c r="K26">
        <v>3000</v>
      </c>
      <c r="AO26"/>
    </row>
    <row r="27" spans="1:41" ht="156.94999999999999" customHeight="1">
      <c r="A27" s="9" t="s">
        <v>434</v>
      </c>
      <c r="B27" t="e" vm="25">
        <v>#VALUE!</v>
      </c>
      <c r="C27" s="8" t="s">
        <v>43</v>
      </c>
      <c r="D27" s="9" t="s">
        <v>606</v>
      </c>
      <c r="E27" s="11"/>
      <c r="F27" s="11" t="s">
        <v>357</v>
      </c>
      <c r="J27">
        <f>HLOOKUP(A27,xHesaplama!$AH$26:$DK$46,xHesaplama!$A$27+1,0)</f>
        <v>0</v>
      </c>
      <c r="K27">
        <v>3000</v>
      </c>
      <c r="AO27"/>
    </row>
    <row r="28" spans="1:41" ht="156.94999999999999" customHeight="1">
      <c r="A28" s="9" t="s">
        <v>435</v>
      </c>
      <c r="B28" t="e" vm="26">
        <v>#VALUE!</v>
      </c>
      <c r="C28" s="8" t="s">
        <v>46</v>
      </c>
      <c r="D28" s="9" t="s">
        <v>606</v>
      </c>
      <c r="E28" s="11"/>
      <c r="F28" s="11" t="s">
        <v>357</v>
      </c>
      <c r="J28">
        <f>HLOOKUP(A28,xHesaplama!$AH$26:$DK$46,xHesaplama!$A$27+1,0)</f>
        <v>0</v>
      </c>
      <c r="K28">
        <v>3000</v>
      </c>
      <c r="AO28"/>
    </row>
    <row r="29" spans="1:41" ht="156.94999999999999" customHeight="1">
      <c r="A29" s="9" t="s">
        <v>436</v>
      </c>
      <c r="B29" t="e" vm="27">
        <v>#VALUE!</v>
      </c>
      <c r="C29" s="8" t="s">
        <v>47</v>
      </c>
      <c r="D29" s="9" t="s">
        <v>606</v>
      </c>
      <c r="E29" s="11"/>
      <c r="F29" s="11" t="s">
        <v>357</v>
      </c>
      <c r="J29">
        <f>HLOOKUP(A29,xHesaplama!$AH$26:$DK$46,xHesaplama!$A$27+1,0)</f>
        <v>0</v>
      </c>
      <c r="K29">
        <v>3000</v>
      </c>
      <c r="AO29"/>
    </row>
    <row r="30" spans="1:41" ht="156.94999999999999" customHeight="1">
      <c r="A30" s="9" t="s">
        <v>437</v>
      </c>
      <c r="B30" t="e" vm="28">
        <v>#VALUE!</v>
      </c>
      <c r="C30" s="8" t="s">
        <v>48</v>
      </c>
      <c r="D30" s="9" t="s">
        <v>606</v>
      </c>
      <c r="E30" s="11"/>
      <c r="F30" s="11" t="s">
        <v>480</v>
      </c>
      <c r="J30">
        <f>HLOOKUP(A30,xHesaplama!$AH$26:$DK$46,xHesaplama!$A$27+1,0)</f>
        <v>0</v>
      </c>
      <c r="K30">
        <v>3000</v>
      </c>
      <c r="AO30"/>
    </row>
    <row r="31" spans="1:41" ht="156.94999999999999" customHeight="1">
      <c r="A31" s="9" t="s">
        <v>438</v>
      </c>
      <c r="B31" t="e" vm="29">
        <v>#VALUE!</v>
      </c>
      <c r="C31" s="8" t="s">
        <v>49</v>
      </c>
      <c r="D31" s="9" t="s">
        <v>606</v>
      </c>
      <c r="E31" s="11"/>
      <c r="F31" s="11" t="s">
        <v>357</v>
      </c>
      <c r="J31">
        <f>HLOOKUP(A31,xHesaplama!$AH$26:$DK$46,xHesaplama!$A$27+1,0)</f>
        <v>0</v>
      </c>
      <c r="K31">
        <v>3000</v>
      </c>
      <c r="AO31"/>
    </row>
    <row r="32" spans="1:41" ht="156.94999999999999" customHeight="1">
      <c r="A32" s="9" t="s">
        <v>439</v>
      </c>
      <c r="B32" t="e" vm="30">
        <v>#VALUE!</v>
      </c>
      <c r="C32" s="8" t="s">
        <v>50</v>
      </c>
      <c r="D32" s="9" t="s">
        <v>606</v>
      </c>
      <c r="E32" s="11"/>
      <c r="F32" s="11" t="s">
        <v>357</v>
      </c>
      <c r="J32">
        <f>HLOOKUP(A32,xHesaplama!$AH$26:$DK$46,xHesaplama!$A$27+1,0)</f>
        <v>0</v>
      </c>
      <c r="K32">
        <v>3000</v>
      </c>
      <c r="AO32"/>
    </row>
    <row r="33" spans="1:41" ht="156.94999999999999" customHeight="1">
      <c r="A33" s="9" t="s">
        <v>440</v>
      </c>
      <c r="B33" t="e" vm="31">
        <v>#VALUE!</v>
      </c>
      <c r="C33" s="8" t="s">
        <v>51</v>
      </c>
      <c r="D33" s="9" t="s">
        <v>606</v>
      </c>
      <c r="E33" s="11"/>
      <c r="F33" s="11" t="s">
        <v>480</v>
      </c>
      <c r="J33">
        <f>HLOOKUP(A33,xHesaplama!$AH$26:$DK$46,xHesaplama!$A$27+1,0)</f>
        <v>0</v>
      </c>
      <c r="K33">
        <v>3000</v>
      </c>
      <c r="AO33"/>
    </row>
    <row r="34" spans="1:41" ht="156.94999999999999" customHeight="1">
      <c r="A34" s="9" t="s">
        <v>441</v>
      </c>
      <c r="B34" t="e" vm="32">
        <v>#VALUE!</v>
      </c>
      <c r="C34" s="8" t="s">
        <v>52</v>
      </c>
      <c r="D34" s="9" t="s">
        <v>606</v>
      </c>
      <c r="E34" s="11"/>
      <c r="F34" s="11" t="s">
        <v>480</v>
      </c>
      <c r="J34">
        <f>HLOOKUP(A34,xHesaplama!$AH$26:$DK$46,xHesaplama!$A$27+1,0)</f>
        <v>0</v>
      </c>
      <c r="K34">
        <v>3000</v>
      </c>
      <c r="AO34"/>
    </row>
    <row r="35" spans="1:41" ht="156.94999999999999" customHeight="1">
      <c r="A35" s="9" t="s">
        <v>442</v>
      </c>
      <c r="B35" t="e" vm="33">
        <v>#VALUE!</v>
      </c>
      <c r="C35" s="8" t="s">
        <v>54</v>
      </c>
      <c r="D35" s="9">
        <v>105</v>
      </c>
      <c r="E35" s="11" t="s">
        <v>53</v>
      </c>
      <c r="F35" s="11" t="s">
        <v>608</v>
      </c>
      <c r="J35">
        <f>HLOOKUP(A35,xHesaplama!$AH$26:$DK$46,xHesaplama!$A$27+1,0)</f>
        <v>0</v>
      </c>
      <c r="K35">
        <v>3000</v>
      </c>
      <c r="AO35"/>
    </row>
    <row r="36" spans="1:41" ht="156.94999999999999" customHeight="1">
      <c r="A36" s="9" t="s">
        <v>443</v>
      </c>
      <c r="B36" t="e" vm="34">
        <v>#VALUE!</v>
      </c>
      <c r="C36" s="8" t="s">
        <v>80</v>
      </c>
      <c r="D36" s="9">
        <v>105</v>
      </c>
      <c r="E36" s="11" t="s">
        <v>55</v>
      </c>
      <c r="F36" s="11" t="s">
        <v>608</v>
      </c>
      <c r="J36">
        <f>HLOOKUP(A36,xHesaplama!$AH$26:$DK$46,xHesaplama!$A$27+1,0)</f>
        <v>0</v>
      </c>
      <c r="K36">
        <v>3000</v>
      </c>
      <c r="AO36"/>
    </row>
    <row r="37" spans="1:41" ht="156.94999999999999" customHeight="1">
      <c r="A37" s="9" t="s">
        <v>444</v>
      </c>
      <c r="B37" t="e" vm="35">
        <v>#VALUE!</v>
      </c>
      <c r="C37" s="8" t="s">
        <v>81</v>
      </c>
      <c r="D37" s="9">
        <v>105</v>
      </c>
      <c r="E37" s="11"/>
      <c r="F37" s="11" t="s">
        <v>608</v>
      </c>
      <c r="J37">
        <f>HLOOKUP(A37,xHesaplama!$AH$26:$DK$46,xHesaplama!$A$27+1,0)</f>
        <v>0</v>
      </c>
      <c r="K37">
        <v>3000</v>
      </c>
      <c r="AO37"/>
    </row>
    <row r="38" spans="1:41" ht="156.94999999999999" customHeight="1">
      <c r="A38" s="9" t="s">
        <v>445</v>
      </c>
      <c r="B38" t="e" vm="36">
        <v>#VALUE!</v>
      </c>
      <c r="C38" s="8" t="s">
        <v>96</v>
      </c>
      <c r="D38" s="9">
        <v>105</v>
      </c>
      <c r="E38" s="11"/>
      <c r="F38" s="11" t="s">
        <v>608</v>
      </c>
      <c r="J38">
        <f>HLOOKUP(A38,xHesaplama!$AH$26:$DK$46,xHesaplama!$A$27+1,0)</f>
        <v>0</v>
      </c>
      <c r="K38">
        <v>3000</v>
      </c>
      <c r="AO38"/>
    </row>
    <row r="39" spans="1:41" ht="156.94999999999999" customHeight="1">
      <c r="A39" s="9" t="s">
        <v>446</v>
      </c>
      <c r="B39" t="e" vm="37">
        <v>#VALUE!</v>
      </c>
      <c r="C39" s="8" t="s">
        <v>30</v>
      </c>
      <c r="D39" s="9">
        <v>105</v>
      </c>
      <c r="E39" s="11" t="s">
        <v>56</v>
      </c>
      <c r="F39" s="11" t="s">
        <v>480</v>
      </c>
      <c r="J39">
        <f>HLOOKUP(A39,xHesaplama!$AH$26:$DK$46,xHesaplama!$A$27+1,0)</f>
        <v>0</v>
      </c>
      <c r="K39">
        <v>3000</v>
      </c>
      <c r="AO39"/>
    </row>
    <row r="40" spans="1:41" ht="156.94999999999999" customHeight="1">
      <c r="A40" s="9" t="s">
        <v>483</v>
      </c>
      <c r="B40" t="e" vm="15">
        <v>#VALUE!</v>
      </c>
      <c r="C40" s="8" t="s">
        <v>9</v>
      </c>
      <c r="D40" s="9">
        <v>105</v>
      </c>
      <c r="E40" s="11"/>
      <c r="F40" s="11" t="s">
        <v>608</v>
      </c>
      <c r="G40" s="7"/>
      <c r="H40" s="7"/>
      <c r="I40" s="7"/>
      <c r="J40">
        <f>HLOOKUP(A40,xHesaplama!$AH$26:$DK$46,xHesaplama!$A$27+1,0)</f>
        <v>0</v>
      </c>
      <c r="K40">
        <v>3000</v>
      </c>
      <c r="AO40"/>
    </row>
    <row r="41" spans="1:41" ht="156.94999999999999" customHeight="1">
      <c r="A41" s="9" t="s">
        <v>482</v>
      </c>
      <c r="B41" t="e" vm="6">
        <v>#VALUE!</v>
      </c>
      <c r="C41" s="8" t="s">
        <v>3</v>
      </c>
      <c r="D41" s="9">
        <v>105</v>
      </c>
      <c r="E41" s="11"/>
      <c r="F41" s="11" t="s">
        <v>608</v>
      </c>
      <c r="J41">
        <f>HLOOKUP(A41,xHesaplama!$AH$26:$DK$46,xHesaplama!$A$27+1,0)</f>
        <v>0</v>
      </c>
      <c r="K41">
        <v>3000</v>
      </c>
      <c r="AO41"/>
    </row>
    <row r="42" spans="1:41" ht="156.94999999999999" customHeight="1">
      <c r="A42" s="9" t="s">
        <v>447</v>
      </c>
      <c r="B42" t="e" vm="38">
        <v>#VALUE!</v>
      </c>
      <c r="C42" s="8" t="s">
        <v>58</v>
      </c>
      <c r="D42" s="9">
        <v>105</v>
      </c>
      <c r="E42" s="11" t="s">
        <v>57</v>
      </c>
      <c r="F42" s="11" t="s">
        <v>357</v>
      </c>
      <c r="J42">
        <f>HLOOKUP(A42,xHesaplama!$AH$26:$DK$46,xHesaplama!$A$27+1,0)</f>
        <v>0</v>
      </c>
      <c r="K42">
        <v>3000</v>
      </c>
      <c r="AO42"/>
    </row>
    <row r="43" spans="1:41" ht="156.94999999999999" customHeight="1">
      <c r="A43" s="9" t="s">
        <v>448</v>
      </c>
      <c r="B43" t="e" vm="7">
        <v>#VALUE!</v>
      </c>
      <c r="C43" s="8" t="s">
        <v>132</v>
      </c>
      <c r="D43" s="9">
        <v>105</v>
      </c>
      <c r="E43" s="11"/>
      <c r="F43" s="11" t="s">
        <v>608</v>
      </c>
      <c r="J43" t="e">
        <f>HLOOKUP(A43,xHesaplama!$AH$26:$DK$46,xHesaplama!$A$27+1,0)</f>
        <v>#N/A</v>
      </c>
      <c r="K43">
        <v>3000</v>
      </c>
      <c r="AO43"/>
    </row>
    <row r="44" spans="1:41" ht="156.94999999999999" customHeight="1">
      <c r="A44" s="9" t="s">
        <v>449</v>
      </c>
      <c r="B44" t="e" vm="39">
        <v>#VALUE!</v>
      </c>
      <c r="C44" s="8" t="s">
        <v>131</v>
      </c>
      <c r="D44" s="9">
        <v>105</v>
      </c>
      <c r="E44" s="11"/>
      <c r="F44" s="11" t="s">
        <v>357</v>
      </c>
      <c r="J44">
        <f>HLOOKUP(A44,xHesaplama!$AH$26:$DK$46,xHesaplama!$A$27+1,0)</f>
        <v>0</v>
      </c>
      <c r="K44">
        <v>3000</v>
      </c>
      <c r="AO44"/>
    </row>
    <row r="45" spans="1:41" ht="156.94999999999999" customHeight="1">
      <c r="A45" s="9" t="s">
        <v>450</v>
      </c>
      <c r="B45" t="e" vm="40">
        <v>#VALUE!</v>
      </c>
      <c r="C45" s="8" t="s">
        <v>60</v>
      </c>
      <c r="D45" s="9">
        <v>105</v>
      </c>
      <c r="E45" s="11" t="s">
        <v>59</v>
      </c>
      <c r="F45" s="11" t="s">
        <v>357</v>
      </c>
      <c r="J45">
        <f>HLOOKUP(A45,xHesaplama!$AH$26:$DK$46,xHesaplama!$A$27+1,0)</f>
        <v>0</v>
      </c>
      <c r="K45">
        <v>3000</v>
      </c>
      <c r="AO45"/>
    </row>
    <row r="46" spans="1:41" ht="156.94999999999999" customHeight="1">
      <c r="A46" s="9" t="s">
        <v>451</v>
      </c>
      <c r="B46" t="e" vm="41">
        <v>#VALUE!</v>
      </c>
      <c r="C46" s="8" t="s">
        <v>62</v>
      </c>
      <c r="D46" s="9">
        <v>105</v>
      </c>
      <c r="E46" s="11" t="s">
        <v>61</v>
      </c>
      <c r="F46" s="11" t="s">
        <v>357</v>
      </c>
      <c r="J46">
        <f>HLOOKUP(A46,xHesaplama!$AH$26:$DK$46,xHesaplama!$A$27+1,0)</f>
        <v>0</v>
      </c>
      <c r="K46">
        <v>3000</v>
      </c>
      <c r="AO46"/>
    </row>
    <row r="47" spans="1:41" ht="156.94999999999999" customHeight="1">
      <c r="A47" s="9" t="s">
        <v>452</v>
      </c>
      <c r="B47" t="e" vm="42">
        <v>#VALUE!</v>
      </c>
      <c r="C47" s="8" t="s">
        <v>64</v>
      </c>
      <c r="D47" s="9">
        <v>105</v>
      </c>
      <c r="E47" s="11" t="s">
        <v>63</v>
      </c>
      <c r="F47" s="11" t="s">
        <v>608</v>
      </c>
      <c r="J47">
        <f>HLOOKUP(A47,xHesaplama!$AH$26:$DK$46,xHesaplama!$A$27+1,0)</f>
        <v>0</v>
      </c>
      <c r="K47">
        <v>3000</v>
      </c>
      <c r="AO47"/>
    </row>
    <row r="48" spans="1:41" ht="156.94999999999999" customHeight="1">
      <c r="A48" s="9" t="s">
        <v>453</v>
      </c>
      <c r="B48" t="e" vm="43">
        <v>#VALUE!</v>
      </c>
      <c r="C48" s="8" t="s">
        <v>97</v>
      </c>
      <c r="D48" s="9">
        <v>105</v>
      </c>
      <c r="E48" s="11" t="s">
        <v>65</v>
      </c>
      <c r="F48" s="11" t="s">
        <v>608</v>
      </c>
      <c r="J48">
        <f>HLOOKUP(A48,xHesaplama!$AH$26:$DK$46,xHesaplama!$A$27+1,0)</f>
        <v>0</v>
      </c>
      <c r="K48">
        <v>3000</v>
      </c>
      <c r="AO48"/>
    </row>
    <row r="49" spans="1:41" ht="156.94999999999999" customHeight="1">
      <c r="A49" s="9" t="s">
        <v>484</v>
      </c>
      <c r="B49" t="e" vm="21">
        <v>#VALUE!</v>
      </c>
      <c r="C49" s="8" t="s">
        <v>11</v>
      </c>
      <c r="D49" s="9">
        <v>110</v>
      </c>
      <c r="E49" s="11"/>
      <c r="F49" s="11" t="s">
        <v>480</v>
      </c>
      <c r="J49">
        <f>HLOOKUP(A49,xHesaplama!$AH$26:$DK$46,xHesaplama!$A$27+1,0)</f>
        <v>0</v>
      </c>
      <c r="K49">
        <v>3000</v>
      </c>
      <c r="AO49"/>
    </row>
    <row r="50" spans="1:41" ht="156.94999999999999" customHeight="1">
      <c r="A50" s="9" t="s">
        <v>458</v>
      </c>
      <c r="B50" t="e" vm="44">
        <v>#VALUE!</v>
      </c>
      <c r="C50" s="8" t="s">
        <v>66</v>
      </c>
      <c r="D50" s="9">
        <v>110</v>
      </c>
      <c r="E50" s="11"/>
      <c r="F50" s="11" t="s">
        <v>608</v>
      </c>
      <c r="J50">
        <f>HLOOKUP(A50,xHesaplama!$AH$26:$DK$46,xHesaplama!$A$27+1,0)</f>
        <v>0</v>
      </c>
      <c r="K50">
        <v>3000</v>
      </c>
      <c r="AO50"/>
    </row>
    <row r="51" spans="1:41" ht="156.94999999999999" customHeight="1">
      <c r="A51" s="9" t="s">
        <v>485</v>
      </c>
      <c r="B51" t="e" vm="19">
        <v>#VALUE!</v>
      </c>
      <c r="C51" s="8" t="s">
        <v>42</v>
      </c>
      <c r="D51" s="9">
        <v>110</v>
      </c>
      <c r="E51" s="11"/>
      <c r="F51" s="11" t="s">
        <v>608</v>
      </c>
      <c r="G51" s="7"/>
      <c r="H51" s="7"/>
      <c r="I51" s="7"/>
      <c r="J51">
        <f>HLOOKUP(A51,xHesaplama!$AH$26:$DK$46,xHesaplama!$A$27+1,0)</f>
        <v>0</v>
      </c>
      <c r="K51">
        <v>3000</v>
      </c>
      <c r="AO51"/>
    </row>
    <row r="52" spans="1:41" ht="156.94999999999999" customHeight="1">
      <c r="A52" s="9" t="s">
        <v>454</v>
      </c>
      <c r="B52" t="e" vm="45">
        <v>#VALUE!</v>
      </c>
      <c r="C52" s="8" t="s">
        <v>68</v>
      </c>
      <c r="D52" s="9">
        <v>110</v>
      </c>
      <c r="E52" s="11" t="s">
        <v>67</v>
      </c>
      <c r="F52" s="11" t="s">
        <v>480</v>
      </c>
      <c r="J52">
        <f>HLOOKUP(A52,xHesaplama!$AH$26:$DK$46,xHesaplama!$A$27+1,0)</f>
        <v>0</v>
      </c>
      <c r="K52">
        <v>3000</v>
      </c>
      <c r="AO52"/>
    </row>
    <row r="53" spans="1:41" ht="156.94999999999999" customHeight="1">
      <c r="A53" s="9" t="s">
        <v>455</v>
      </c>
      <c r="B53" t="e" vm="46">
        <v>#VALUE!</v>
      </c>
      <c r="C53" s="8" t="s">
        <v>70</v>
      </c>
      <c r="D53" s="9">
        <v>110</v>
      </c>
      <c r="E53" s="11" t="s">
        <v>69</v>
      </c>
      <c r="F53" s="11" t="s">
        <v>608</v>
      </c>
      <c r="J53">
        <f>HLOOKUP(A53,xHesaplama!$AH$26:$DK$46,xHesaplama!$A$27+1,0)</f>
        <v>0</v>
      </c>
      <c r="K53">
        <v>3000</v>
      </c>
      <c r="AO53"/>
    </row>
    <row r="54" spans="1:41" ht="156.94999999999999" customHeight="1">
      <c r="A54" s="9" t="s">
        <v>456</v>
      </c>
      <c r="B54" t="e" vm="47">
        <v>#VALUE!</v>
      </c>
      <c r="C54" s="8" t="s">
        <v>72</v>
      </c>
      <c r="D54" s="9">
        <v>110</v>
      </c>
      <c r="E54" s="11" t="s">
        <v>71</v>
      </c>
      <c r="F54" s="11" t="s">
        <v>608</v>
      </c>
      <c r="J54">
        <f>HLOOKUP(A54,xHesaplama!$AH$26:$DK$46,xHesaplama!$A$27+1,0)</f>
        <v>0</v>
      </c>
      <c r="K54">
        <v>3000</v>
      </c>
      <c r="AO54"/>
    </row>
    <row r="55" spans="1:41" ht="156.94999999999999" customHeight="1">
      <c r="A55" s="9" t="s">
        <v>457</v>
      </c>
      <c r="B55" t="e" vm="48">
        <v>#VALUE!</v>
      </c>
      <c r="C55" s="8" t="s">
        <v>74</v>
      </c>
      <c r="D55" s="9">
        <v>110</v>
      </c>
      <c r="E55" s="11" t="s">
        <v>73</v>
      </c>
      <c r="F55" s="11" t="s">
        <v>480</v>
      </c>
      <c r="J55">
        <f>HLOOKUP(A55,xHesaplama!$AH$26:$DK$46,xHesaplama!$A$27+1,0)</f>
        <v>0</v>
      </c>
      <c r="K55">
        <v>3000</v>
      </c>
      <c r="AO55"/>
    </row>
    <row r="56" spans="1:41" ht="156.94999999999999" customHeight="1">
      <c r="A56" s="9" t="s">
        <v>459</v>
      </c>
      <c r="B56" t="e" vm="49">
        <v>#VALUE!</v>
      </c>
      <c r="C56" s="8" t="s">
        <v>78</v>
      </c>
      <c r="D56" s="9">
        <v>110</v>
      </c>
      <c r="E56" s="11" t="s">
        <v>77</v>
      </c>
      <c r="F56" s="11" t="s">
        <v>357</v>
      </c>
      <c r="J56">
        <f>HLOOKUP(A56,xHesaplama!$AH$26:$DK$46,xHesaplama!$A$27+1,0)</f>
        <v>0</v>
      </c>
      <c r="K56">
        <v>3000</v>
      </c>
      <c r="AO56"/>
    </row>
    <row r="57" spans="1:41" ht="156.94999999999999" customHeight="1">
      <c r="A57" s="9" t="s">
        <v>476</v>
      </c>
      <c r="B57" t="e" vm="50">
        <v>#VALUE!</v>
      </c>
      <c r="C57" s="8" t="s">
        <v>40</v>
      </c>
      <c r="D57" s="9">
        <v>110</v>
      </c>
      <c r="E57" s="11">
        <v>9761001</v>
      </c>
      <c r="F57" s="11" t="s">
        <v>357</v>
      </c>
      <c r="J57">
        <f>HLOOKUP(A57,xHesaplama!$AH$26:$DK$46,xHesaplama!$A$27+1,0)</f>
        <v>0</v>
      </c>
      <c r="K57">
        <v>3000</v>
      </c>
      <c r="AO57"/>
    </row>
    <row r="58" spans="1:41" ht="156.94999999999999" customHeight="1">
      <c r="A58" s="9" t="s">
        <v>460</v>
      </c>
      <c r="B58" t="e" vm="51">
        <v>#VALUE!</v>
      </c>
      <c r="C58" s="8" t="s">
        <v>54</v>
      </c>
      <c r="D58" s="9">
        <v>110</v>
      </c>
      <c r="E58" s="11" t="s">
        <v>83</v>
      </c>
      <c r="F58" s="11" t="s">
        <v>608</v>
      </c>
      <c r="J58">
        <f>HLOOKUP(A58,xHesaplama!$AH$26:$DK$46,xHesaplama!$A$27+1,0)</f>
        <v>1.1919999999999999</v>
      </c>
      <c r="K58">
        <v>3000</v>
      </c>
      <c r="AO58"/>
    </row>
    <row r="59" spans="1:41" ht="156.94999999999999" customHeight="1">
      <c r="A59" s="9" t="s">
        <v>461</v>
      </c>
      <c r="B59" t="e" vm="52">
        <v>#VALUE!</v>
      </c>
      <c r="C59" s="8" t="s">
        <v>79</v>
      </c>
      <c r="D59" s="9">
        <v>110</v>
      </c>
      <c r="E59" s="11" t="s">
        <v>84</v>
      </c>
      <c r="F59" s="11" t="s">
        <v>608</v>
      </c>
      <c r="J59">
        <f>HLOOKUP(A59,xHesaplama!$AH$26:$DK$46,xHesaplama!$A$27+1,0)</f>
        <v>1.1919999999999999</v>
      </c>
      <c r="K59">
        <v>3000</v>
      </c>
      <c r="AO59"/>
    </row>
    <row r="60" spans="1:41" ht="156.94999999999999" customHeight="1">
      <c r="A60" s="9" t="s">
        <v>462</v>
      </c>
      <c r="B60" t="e" vm="53">
        <v>#VALUE!</v>
      </c>
      <c r="C60" s="8" t="s">
        <v>80</v>
      </c>
      <c r="D60" s="9">
        <v>110</v>
      </c>
      <c r="E60" s="11"/>
      <c r="F60" s="11" t="s">
        <v>608</v>
      </c>
      <c r="J60">
        <f>HLOOKUP(A60,xHesaplama!$AH$26:$DK$46,xHesaplama!$A$27+1,0)</f>
        <v>0</v>
      </c>
      <c r="K60">
        <v>3000</v>
      </c>
      <c r="AO60"/>
    </row>
    <row r="61" spans="1:41" ht="156.94999999999999" customHeight="1">
      <c r="A61" s="9" t="s">
        <v>463</v>
      </c>
      <c r="B61" t="e" vm="54">
        <v>#VALUE!</v>
      </c>
      <c r="C61" s="8" t="s">
        <v>81</v>
      </c>
      <c r="D61" s="9">
        <v>110</v>
      </c>
      <c r="E61" s="11"/>
      <c r="F61" s="11" t="s">
        <v>608</v>
      </c>
      <c r="J61">
        <f>HLOOKUP(A61,xHesaplama!$AH$26:$DK$46,xHesaplama!$A$27+1,0)</f>
        <v>0</v>
      </c>
      <c r="AO61"/>
    </row>
    <row r="62" spans="1:41" ht="156.94999999999999" customHeight="1">
      <c r="A62" s="9" t="s">
        <v>489</v>
      </c>
      <c r="B62" t="e" vm="18">
        <v>#VALUE!</v>
      </c>
      <c r="C62" s="8" t="s">
        <v>41</v>
      </c>
      <c r="D62" s="9">
        <v>110</v>
      </c>
      <c r="E62" s="11"/>
      <c r="F62" s="11" t="s">
        <v>357</v>
      </c>
      <c r="G62" s="7"/>
      <c r="H62" s="7"/>
      <c r="I62" s="7"/>
      <c r="J62">
        <f>HLOOKUP(A62,xHesaplama!$AH$26:$DK$46,xHesaplama!$A$27+1,0)</f>
        <v>36</v>
      </c>
      <c r="AO62"/>
    </row>
    <row r="63" spans="1:41" ht="156.94999999999999" customHeight="1">
      <c r="A63" s="9" t="s">
        <v>490</v>
      </c>
      <c r="B63" t="e" vm="6">
        <v>#VALUE!</v>
      </c>
      <c r="C63" s="8" t="s">
        <v>3</v>
      </c>
      <c r="D63" s="9">
        <v>110</v>
      </c>
      <c r="E63" s="11"/>
      <c r="F63" s="11" t="s">
        <v>608</v>
      </c>
      <c r="J63">
        <f>HLOOKUP(A63,xHesaplama!$AH$26:$DK$46,xHesaplama!$A$27+1,0)</f>
        <v>1.0920000000000001</v>
      </c>
      <c r="AO63"/>
    </row>
    <row r="64" spans="1:41" ht="156.94999999999999" customHeight="1">
      <c r="A64" s="9" t="s">
        <v>491</v>
      </c>
      <c r="B64" t="e" vm="49">
        <v>#VALUE!</v>
      </c>
      <c r="C64" s="8" t="s">
        <v>78</v>
      </c>
      <c r="D64" s="9">
        <v>110</v>
      </c>
      <c r="E64" s="11" t="s">
        <v>77</v>
      </c>
      <c r="F64" s="11" t="s">
        <v>357</v>
      </c>
      <c r="J64">
        <f>HLOOKUP(A64,xHesaplama!$AH$26:$DK$46,xHesaplama!$A$27+1,0)</f>
        <v>1</v>
      </c>
      <c r="AO64"/>
    </row>
    <row r="65" spans="1:41" ht="156.94999999999999" customHeight="1">
      <c r="A65" s="9" t="s">
        <v>492</v>
      </c>
      <c r="B65" t="e" vm="50">
        <v>#VALUE!</v>
      </c>
      <c r="C65" s="8" t="s">
        <v>40</v>
      </c>
      <c r="D65" s="9">
        <v>110</v>
      </c>
      <c r="E65" s="11">
        <v>9761001</v>
      </c>
      <c r="F65" s="11" t="s">
        <v>357</v>
      </c>
      <c r="J65">
        <f>HLOOKUP(A65,xHesaplama!$AH$26:$DK$46,xHesaplama!$A$27+1,0)</f>
        <v>1</v>
      </c>
      <c r="AO65"/>
    </row>
    <row r="66" spans="1:41" ht="156.94999999999999" customHeight="1">
      <c r="A66" s="9" t="s">
        <v>493</v>
      </c>
      <c r="B66" t="e" vm="15">
        <v>#VALUE!</v>
      </c>
      <c r="C66" s="8" t="s">
        <v>9</v>
      </c>
      <c r="D66" s="9">
        <v>110</v>
      </c>
      <c r="E66" s="11"/>
      <c r="F66" s="11" t="s">
        <v>608</v>
      </c>
      <c r="G66" s="7"/>
      <c r="H66" s="7"/>
      <c r="I66" s="7"/>
      <c r="J66">
        <f>HLOOKUP(A66,xHesaplama!$AH$26:$DK$46,xHesaplama!$A$27+1,0)</f>
        <v>5.23</v>
      </c>
      <c r="AO66"/>
    </row>
    <row r="67" spans="1:41" ht="156.94999999999999" customHeight="1">
      <c r="A67" s="9" t="s">
        <v>494</v>
      </c>
      <c r="B67" t="e" vm="7">
        <v>#VALUE!</v>
      </c>
      <c r="C67" s="8" t="s">
        <v>130</v>
      </c>
      <c r="D67" s="9">
        <v>110</v>
      </c>
      <c r="E67" s="11"/>
      <c r="F67" s="11" t="s">
        <v>608</v>
      </c>
      <c r="J67">
        <f>HLOOKUP(A67,xHesaplama!$AH$26:$DK$46,xHesaplama!$A$27+1,0)</f>
        <v>4.6100000000000003</v>
      </c>
      <c r="AO67"/>
    </row>
    <row r="68" spans="1:41" ht="156.94999999999999" customHeight="1">
      <c r="A68" s="9" t="s">
        <v>495</v>
      </c>
      <c r="B68" t="e" vm="21">
        <v>#VALUE!</v>
      </c>
      <c r="C68" s="8" t="s">
        <v>11</v>
      </c>
      <c r="D68" s="9">
        <v>110</v>
      </c>
      <c r="E68" s="11"/>
      <c r="F68" s="11" t="s">
        <v>480</v>
      </c>
      <c r="J68">
        <f>HLOOKUP(A68,xHesaplama!$AH$26:$DK$46,xHesaplama!$A$27+1,0)</f>
        <v>1</v>
      </c>
      <c r="AO68"/>
    </row>
    <row r="69" spans="1:41" ht="156.94999999999999" customHeight="1">
      <c r="A69" s="9" t="s">
        <v>496</v>
      </c>
      <c r="B69" t="e" vm="44">
        <v>#VALUE!</v>
      </c>
      <c r="C69" s="8" t="s">
        <v>66</v>
      </c>
      <c r="D69" s="9">
        <v>110</v>
      </c>
      <c r="E69" s="11"/>
      <c r="F69" s="11" t="s">
        <v>608</v>
      </c>
      <c r="J69">
        <f>HLOOKUP(A69,xHesaplama!$AH$26:$DK$46,xHesaplama!$A$27+1,0)</f>
        <v>1.0880000000000001</v>
      </c>
      <c r="AO69"/>
    </row>
    <row r="70" spans="1:41" ht="156.94999999999999" customHeight="1">
      <c r="A70" s="9" t="s">
        <v>488</v>
      </c>
      <c r="B70" t="e" vm="19">
        <v>#VALUE!</v>
      </c>
      <c r="C70" s="8" t="s">
        <v>42</v>
      </c>
      <c r="D70" s="9">
        <v>110</v>
      </c>
      <c r="E70" s="11"/>
      <c r="F70" s="11" t="s">
        <v>608</v>
      </c>
      <c r="G70" s="7"/>
      <c r="H70" s="7"/>
      <c r="I70" s="7"/>
      <c r="J70">
        <f>HLOOKUP(A70,xHesaplama!$AH$26:$DK$46,xHesaplama!$A$27+1,0)</f>
        <v>2.1800000000000002</v>
      </c>
      <c r="AO70"/>
    </row>
    <row r="71" spans="1:41" ht="156.94999999999999" customHeight="1">
      <c r="A71" s="9" t="s">
        <v>464</v>
      </c>
      <c r="B71" t="e" vm="55">
        <v>#VALUE!</v>
      </c>
      <c r="C71" s="8" t="s">
        <v>30</v>
      </c>
      <c r="D71" s="9">
        <v>110</v>
      </c>
      <c r="E71" s="11" t="s">
        <v>85</v>
      </c>
      <c r="F71" s="11" t="s">
        <v>480</v>
      </c>
      <c r="J71">
        <f>HLOOKUP(A71,xHesaplama!$AH$26:$DK$46,xHesaplama!$A$27+1,0)</f>
        <v>1</v>
      </c>
      <c r="AO71"/>
    </row>
    <row r="72" spans="1:41" ht="156.94999999999999" customHeight="1">
      <c r="A72" s="9" t="s">
        <v>465</v>
      </c>
      <c r="B72" t="e" vm="56">
        <v>#VALUE!</v>
      </c>
      <c r="C72" s="8" t="s">
        <v>35</v>
      </c>
      <c r="D72" s="9">
        <v>110</v>
      </c>
      <c r="E72" s="11" t="s">
        <v>86</v>
      </c>
      <c r="F72" s="11" t="s">
        <v>357</v>
      </c>
      <c r="J72">
        <f>HLOOKUP(A72,xHesaplama!$AH$26:$DK$46,xHesaplama!$A$27+1,0)</f>
        <v>1</v>
      </c>
      <c r="AO72"/>
    </row>
    <row r="73" spans="1:41" ht="156.94999999999999" customHeight="1">
      <c r="A73" s="9" t="s">
        <v>466</v>
      </c>
      <c r="B73" t="e" vm="57">
        <v>#VALUE!</v>
      </c>
      <c r="C73" s="8" t="s">
        <v>7</v>
      </c>
      <c r="D73" s="9">
        <v>110</v>
      </c>
      <c r="E73" s="11" t="s">
        <v>87</v>
      </c>
      <c r="F73" s="11" t="s">
        <v>357</v>
      </c>
      <c r="J73">
        <f>HLOOKUP(A73,xHesaplama!$AH$26:$DK$46,xHesaplama!$A$27+1,0)</f>
        <v>1</v>
      </c>
      <c r="AO73"/>
    </row>
    <row r="74" spans="1:41" ht="156.94999999999999" customHeight="1">
      <c r="A74" s="9" t="s">
        <v>467</v>
      </c>
      <c r="B74" t="e" vm="58">
        <v>#VALUE!</v>
      </c>
      <c r="C74" s="8" t="s">
        <v>89</v>
      </c>
      <c r="D74" s="9">
        <v>110</v>
      </c>
      <c r="E74" s="11" t="s">
        <v>88</v>
      </c>
      <c r="F74" s="11" t="s">
        <v>480</v>
      </c>
      <c r="J74">
        <f>HLOOKUP(A74,xHesaplama!$AH$26:$DK$46,xHesaplama!$A$27+1,0)</f>
        <v>2</v>
      </c>
      <c r="AO74"/>
    </row>
    <row r="75" spans="1:41" ht="156.94999999999999" customHeight="1">
      <c r="A75" s="9" t="s">
        <v>468</v>
      </c>
      <c r="B75" t="e" vm="59">
        <v>#VALUE!</v>
      </c>
      <c r="C75" s="8" t="s">
        <v>64</v>
      </c>
      <c r="D75" s="9">
        <v>110</v>
      </c>
      <c r="E75" s="11" t="s">
        <v>90</v>
      </c>
      <c r="F75" s="11" t="s">
        <v>608</v>
      </c>
      <c r="J75">
        <f>HLOOKUP(A75,xHesaplama!$AH$26:$DK$46,xHesaplama!$A$27+1,0)</f>
        <v>1.0880000000000001</v>
      </c>
      <c r="AO75"/>
    </row>
    <row r="76" spans="1:41" ht="156.94999999999999" customHeight="1">
      <c r="A76" s="9" t="s">
        <v>469</v>
      </c>
      <c r="B76" t="e" vm="60">
        <v>#VALUE!</v>
      </c>
      <c r="C76" s="8" t="s">
        <v>82</v>
      </c>
      <c r="D76" s="9">
        <v>110</v>
      </c>
      <c r="E76" s="11" t="s">
        <v>65</v>
      </c>
      <c r="F76" s="11" t="s">
        <v>608</v>
      </c>
      <c r="J76">
        <f>HLOOKUP(A76,xHesaplama!$AH$26:$DK$46,xHesaplama!$A$27+1,0)</f>
        <v>1.085</v>
      </c>
      <c r="AO76"/>
    </row>
    <row r="77" spans="1:41" ht="156.94999999999999" customHeight="1">
      <c r="A77" s="9" t="s">
        <v>470</v>
      </c>
      <c r="B77" t="e" vm="45">
        <v>#VALUE!</v>
      </c>
      <c r="C77" s="8" t="s">
        <v>68</v>
      </c>
      <c r="D77" s="9">
        <v>110</v>
      </c>
      <c r="E77" s="11" t="s">
        <v>91</v>
      </c>
      <c r="F77" s="11" t="s">
        <v>480</v>
      </c>
      <c r="J77">
        <f>HLOOKUP(A77,xHesaplama!$AH$26:$DK$46,xHesaplama!$A$27+1,0)</f>
        <v>4</v>
      </c>
      <c r="AO77"/>
    </row>
    <row r="78" spans="1:41" ht="156.94999999999999" customHeight="1">
      <c r="A78" s="9" t="s">
        <v>471</v>
      </c>
      <c r="B78" t="e" vm="61">
        <v>#VALUE!</v>
      </c>
      <c r="C78" s="8" t="s">
        <v>70</v>
      </c>
      <c r="D78" s="9">
        <v>110</v>
      </c>
      <c r="E78" s="11" t="s">
        <v>92</v>
      </c>
      <c r="F78" s="11" t="s">
        <v>608</v>
      </c>
      <c r="J78">
        <f>HLOOKUP(A78,xHesaplama!$AH$26:$DK$46,xHesaplama!$A$27+1,0)</f>
        <v>4.62</v>
      </c>
      <c r="AO78"/>
    </row>
    <row r="79" spans="1:41" ht="156.94999999999999" customHeight="1">
      <c r="A79" s="9" t="s">
        <v>472</v>
      </c>
      <c r="B79" t="e" vm="62">
        <v>#VALUE!</v>
      </c>
      <c r="C79" s="8" t="s">
        <v>72</v>
      </c>
      <c r="D79" s="9">
        <v>110</v>
      </c>
      <c r="E79" s="11" t="s">
        <v>93</v>
      </c>
      <c r="F79" s="11" t="s">
        <v>608</v>
      </c>
      <c r="J79">
        <f>HLOOKUP(A79,xHesaplama!$AH$26:$DK$46,xHesaplama!$A$27+1,0)</f>
        <v>4.62</v>
      </c>
      <c r="AO79"/>
    </row>
    <row r="80" spans="1:41" ht="156.94999999999999" customHeight="1">
      <c r="A80" s="9" t="s">
        <v>473</v>
      </c>
      <c r="B80" t="e" vm="63">
        <v>#VALUE!</v>
      </c>
      <c r="C80" s="8" t="s">
        <v>95</v>
      </c>
      <c r="D80" s="9">
        <v>110</v>
      </c>
      <c r="E80" s="11" t="s">
        <v>94</v>
      </c>
      <c r="F80" s="11" t="s">
        <v>608</v>
      </c>
      <c r="J80">
        <f>HLOOKUP(A80,xHesaplama!$AH$26:$DK$46,xHesaplama!$A$27+1,0)</f>
        <v>4.6139999999999999</v>
      </c>
      <c r="AO80"/>
    </row>
    <row r="81" spans="1:41" ht="156.94999999999999" customHeight="1">
      <c r="A81" s="9" t="s">
        <v>474</v>
      </c>
      <c r="B81" t="e" vm="64">
        <v>#VALUE!</v>
      </c>
      <c r="C81" s="8" t="s">
        <v>74</v>
      </c>
      <c r="D81" s="9">
        <v>110</v>
      </c>
      <c r="E81" s="11" t="s">
        <v>73</v>
      </c>
      <c r="F81" s="11" t="s">
        <v>480</v>
      </c>
      <c r="J81">
        <f>HLOOKUP(A81,xHesaplama!$AH$26:$DK$46,xHesaplama!$A$27+1,0)</f>
        <v>2</v>
      </c>
      <c r="AO81"/>
    </row>
    <row r="82" spans="1:41" ht="156.94999999999999" customHeight="1">
      <c r="A82" s="9" t="s">
        <v>475</v>
      </c>
      <c r="B82" t="e" vm="65">
        <v>#VALUE!</v>
      </c>
      <c r="C82" s="8" t="s">
        <v>76</v>
      </c>
      <c r="D82" s="9">
        <v>110</v>
      </c>
      <c r="E82" s="11" t="s">
        <v>75</v>
      </c>
      <c r="F82" s="11" t="s">
        <v>357</v>
      </c>
      <c r="J82">
        <f>HLOOKUP(A82,xHesaplama!$AH$26:$DK$46,xHesaplama!$A$27+1,0)</f>
        <v>2</v>
      </c>
      <c r="AO82"/>
    </row>
  </sheetData>
  <phoneticPr fontId="8" type="noConversion"/>
  <conditionalFormatting sqref="C3:C6 E3:J6 L3:BJ82 A7:A9 C7:J10 C11:C13 E11:J13 D11:D34 A41 C41 E41:J41 A63 C63 E63:J63 A67 C67 E67:J67">
    <cfRule type="cellIs" dxfId="0" priority="7" operator="equal">
      <formula>1</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15</vt:i4>
      </vt:variant>
      <vt:variant>
        <vt:lpstr>Adlandırılmış Aralıklar</vt:lpstr>
      </vt:variant>
      <vt:variant>
        <vt:i4>18</vt:i4>
      </vt:variant>
    </vt:vector>
  </HeadingPairs>
  <TitlesOfParts>
    <vt:vector size="33" baseType="lpstr">
      <vt:lpstr>1PROJE</vt:lpstr>
      <vt:lpstr>2TEKLF</vt:lpstr>
      <vt:lpstr>3TEKLFX</vt:lpstr>
      <vt:lpstr>4POZ</vt:lpstr>
      <vt:lpstr>5IMALAT</vt:lpstr>
      <vt:lpstr>xHesaplama</vt:lpstr>
      <vt:lpstr>REÇETE</vt:lpstr>
      <vt:lpstr>6RECETE</vt:lpstr>
      <vt:lpstr>Poz Reçete</vt:lpstr>
      <vt:lpstr>ÇEKİ LİST</vt:lpstr>
      <vt:lpstr>x Açılır Listeler</vt:lpstr>
      <vt:lpstr>x Malzemeler ve Özellikleri</vt:lpstr>
      <vt:lpstr>zip etiket TR</vt:lpstr>
      <vt:lpstr>zip etiket ENG</vt:lpstr>
      <vt:lpstr>x Malzemeler ve Özellikleri (2)</vt:lpstr>
      <vt:lpstr>_622_OPAK</vt:lpstr>
      <vt:lpstr>BLACOUT_B92</vt:lpstr>
      <vt:lpstr>COPACO</vt:lpstr>
      <vt:lpstr>OPAK_622</vt:lpstr>
      <vt:lpstr>SCREEN</vt:lpstr>
      <vt:lpstr>SOLTİS_86</vt:lpstr>
      <vt:lpstr>SOLTİS_88</vt:lpstr>
      <vt:lpstr>SOLTİS_92</vt:lpstr>
      <vt:lpstr>SOLTİS_96</vt:lpstr>
      <vt:lpstr>SOLTİS_W96</vt:lpstr>
      <vt:lpstr>ŞEFFAF</vt:lpstr>
      <vt:lpstr>'2TEKLF'!Yazdırma_Alanı</vt:lpstr>
      <vt:lpstr>'3TEKLFX'!Yazdırma_Alanı</vt:lpstr>
      <vt:lpstr>'4POZ'!Yazdırma_Alanı</vt:lpstr>
      <vt:lpstr>'5IMALAT'!Yazdırma_Alanı</vt:lpstr>
      <vt:lpstr>'Poz Reçete'!Yazdırma_Alanı</vt:lpstr>
      <vt:lpstr>'zip etiket ENG'!Yazdırma_Alanı</vt:lpstr>
      <vt:lpstr>'zip etiket TR'!Yazdırma_Alanı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Abdulkadir Keleş</dc:creator>
  <cp:lastModifiedBy>PROJE PERDE</cp:lastModifiedBy>
  <cp:lastPrinted>2026-01-02T11:07:13Z</cp:lastPrinted>
  <dcterms:created xsi:type="dcterms:W3CDTF">2024-11-14T13:23:32Z</dcterms:created>
  <dcterms:modified xsi:type="dcterms:W3CDTF">2026-01-02T11:07:14Z</dcterms:modified>
</cp:coreProperties>
</file>