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iu/Dropbox/WCHIU-Documents/!Projects-Current/Cardiotox/CalciumFluxData/QTposnegIVIVE/"/>
    </mc:Choice>
  </mc:AlternateContent>
  <xr:revisionPtr revIDLastSave="0" documentId="10_ncr:8100000_{A7E38D92-40BE-044C-8E70-EE8B53E64B02}" xr6:coauthVersionLast="34" xr6:coauthVersionMax="34" xr10:uidLastSave="{00000000-0000-0000-0000-000000000000}"/>
  <bookViews>
    <workbookView xWindow="10420" yWindow="1980" windowWidth="24200" windowHeight="1686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" l="1"/>
  <c r="C17" i="2"/>
  <c r="C15" i="2"/>
  <c r="C11" i="2"/>
  <c r="C8" i="2"/>
  <c r="C7" i="2"/>
  <c r="C5" i="2"/>
  <c r="C3" i="2"/>
  <c r="B14" i="1"/>
  <c r="B12" i="1"/>
  <c r="B11" i="1"/>
  <c r="B8" i="1"/>
  <c r="B6" i="1"/>
  <c r="B5" i="1"/>
  <c r="B2" i="1"/>
  <c r="B4" i="1"/>
  <c r="N15" i="2"/>
  <c r="N13" i="2"/>
  <c r="N10" i="2"/>
  <c r="N7" i="2"/>
  <c r="N6" i="2"/>
  <c r="M13" i="2"/>
  <c r="L14" i="2"/>
  <c r="L12" i="2"/>
  <c r="L9" i="2"/>
  <c r="L8" i="2"/>
  <c r="L4" i="2"/>
  <c r="L3" i="2"/>
  <c r="L5" i="2"/>
  <c r="L11" i="2"/>
  <c r="I19" i="2"/>
  <c r="I18" i="2"/>
  <c r="I17" i="2"/>
  <c r="I15" i="2"/>
  <c r="I14" i="2"/>
  <c r="I13" i="2"/>
  <c r="I12" i="2"/>
  <c r="I11" i="2"/>
  <c r="I10" i="2"/>
  <c r="I6" i="2"/>
  <c r="I9" i="2"/>
  <c r="I8" i="2"/>
  <c r="I7" i="2"/>
  <c r="I5" i="2"/>
  <c r="I4" i="2"/>
  <c r="I3" i="2"/>
  <c r="H5" i="1"/>
  <c r="J4" i="1"/>
  <c r="H4" i="1"/>
  <c r="H11" i="1"/>
  <c r="H9" i="1"/>
  <c r="H7" i="1"/>
  <c r="D4" i="1"/>
  <c r="D14" i="1"/>
  <c r="D13" i="1"/>
  <c r="D12" i="1"/>
  <c r="J11" i="1"/>
  <c r="D6" i="1"/>
  <c r="D10" i="1"/>
  <c r="F10" i="1"/>
  <c r="E10" i="1"/>
  <c r="J9" i="1"/>
  <c r="D9" i="1"/>
  <c r="I9" i="1"/>
  <c r="E9" i="1"/>
  <c r="F9" i="1"/>
  <c r="E8" i="1"/>
  <c r="E4" i="1"/>
  <c r="D8" i="1"/>
  <c r="J7" i="1"/>
  <c r="F7" i="1"/>
  <c r="E7" i="1"/>
  <c r="D7" i="1"/>
  <c r="F6" i="1"/>
  <c r="E6" i="1"/>
  <c r="J5" i="1"/>
  <c r="D3" i="1"/>
  <c r="E3" i="1"/>
  <c r="F3" i="1"/>
  <c r="E2" i="1"/>
</calcChain>
</file>

<file path=xl/sharedStrings.xml><?xml version="1.0" encoding="utf-8"?>
<sst xmlns="http://schemas.openxmlformats.org/spreadsheetml/2006/main" count="179" uniqueCount="95">
  <si>
    <t>N-acetylprocainamide</t>
  </si>
  <si>
    <t>FracFreePlasma</t>
  </si>
  <si>
    <t>Chemical</t>
  </si>
  <si>
    <t>SlopemsecuMtot</t>
  </si>
  <si>
    <t>Chain et al. 2013</t>
  </si>
  <si>
    <t>SlopeGSD</t>
  </si>
  <si>
    <t>Friberg et al. 2006</t>
  </si>
  <si>
    <t>NA</t>
  </si>
  <si>
    <t>Emaxmsec</t>
  </si>
  <si>
    <t>KduMtot</t>
  </si>
  <si>
    <t>Le Coz et al. 1995</t>
  </si>
  <si>
    <t>Chain et al. 2011</t>
  </si>
  <si>
    <t>Piergies et al., 1987</t>
  </si>
  <si>
    <t>Karbwang et al. 1993</t>
  </si>
  <si>
    <t>Shi et al. 1995</t>
  </si>
  <si>
    <t>Mao et al., 2011</t>
  </si>
  <si>
    <t>nHill</t>
  </si>
  <si>
    <t>Maison-Blanche et al. 2014</t>
  </si>
  <si>
    <t>Dixon et al. 2008</t>
  </si>
  <si>
    <t>Darpo et al. 2013</t>
  </si>
  <si>
    <t>FracFreeMedia</t>
  </si>
  <si>
    <t>Thibonnier et al. 1984; Lima &amp; Boudoulas 1998</t>
  </si>
  <si>
    <t>References</t>
  </si>
  <si>
    <t>CmaxLinuMtot</t>
  </si>
  <si>
    <t>CmaxHilluMtot</t>
  </si>
  <si>
    <t>QTc0Linmsec</t>
  </si>
  <si>
    <t>QTc0Hillmsec</t>
  </si>
  <si>
    <t>Cisapride</t>
  </si>
  <si>
    <t>Citalopram hydrobromide</t>
  </si>
  <si>
    <t>Disopyramide phosphate</t>
  </si>
  <si>
    <t>Dofetilide</t>
  </si>
  <si>
    <t>Moxifloxacin hydrochloride</t>
  </si>
  <si>
    <t>Drug treatment</t>
  </si>
  <si>
    <t>Quinidine sulfate</t>
  </si>
  <si>
    <t>Sematilide</t>
  </si>
  <si>
    <t>Sotalol</t>
  </si>
  <si>
    <t>Vernacalant</t>
  </si>
  <si>
    <t>Cabazitaxel</t>
  </si>
  <si>
    <t>Lamotrigine</t>
  </si>
  <si>
    <t>Mifepristone</t>
  </si>
  <si>
    <t>Negative for clinical QTc prolongation in "healthy" population</t>
  </si>
  <si>
    <t>Positive for clinical QTc prolongation in "healthy" population</t>
  </si>
  <si>
    <t>Linear</t>
  </si>
  <si>
    <t>Hill</t>
  </si>
  <si>
    <t>Cmax (uM Free)</t>
  </si>
  <si>
    <t>Slope = 0</t>
  </si>
  <si>
    <t>QTc0 (msec)</t>
  </si>
  <si>
    <t>Citalopram</t>
  </si>
  <si>
    <t>Disopyramide</t>
  </si>
  <si>
    <t>Moxifloxacin</t>
  </si>
  <si>
    <t>Quinidine</t>
  </si>
  <si>
    <t>Slope = 3025</t>
  </si>
  <si>
    <t>Slope = 64.9</t>
  </si>
  <si>
    <t>Slope = 15.0</t>
  </si>
  <si>
    <t>Emax = 97.4; n = 1; Kd = 2.69</t>
  </si>
  <si>
    <t>Emax = 131; n = 2.9; Kd = 0.00135</t>
  </si>
  <si>
    <t>Slope = 4.01</t>
  </si>
  <si>
    <t>Slope = 2.51</t>
  </si>
  <si>
    <t>Emax = 170; n = 1; Kd = 8.74</t>
  </si>
  <si>
    <t>Slope = 199</t>
  </si>
  <si>
    <t>Slope = 39.1</t>
  </si>
  <si>
    <t>Emax = 90.5; n = 1; Kd = 1.38</t>
  </si>
  <si>
    <t>Slope = 5.99</t>
  </si>
  <si>
    <t>Emax = 20.3; n = 1; Kd = 3.78</t>
  </si>
  <si>
    <t>0.02-0.0395</t>
  </si>
  <si>
    <t>0.25-0.50</t>
  </si>
  <si>
    <t>0.17-0.37</t>
  </si>
  <si>
    <t>0.3-0.5</t>
  </si>
  <si>
    <t>0.1-0.77</t>
  </si>
  <si>
    <t>0.53-0.63</t>
  </si>
  <si>
    <t>0.05-0.066</t>
  </si>
  <si>
    <t>0.01-0.2</t>
  </si>
  <si>
    <t>Free fraction plasma[1]</t>
  </si>
  <si>
    <t>Free fraction in media[2]</t>
  </si>
  <si>
    <t>In Vivo Model Type[3]</t>
  </si>
  <si>
    <t>Other parameters[4]</t>
  </si>
  <si>
    <t>[1]Range reported in literature</t>
  </si>
  <si>
    <t>[2]Free_media calculated using Armitage model</t>
  </si>
  <si>
    <t>[3]Model formulas are linear (QTc = QTc0 + Slope * Cfree) and Hill (QTc = QTc0 + Emax * Cfree^n/(Kd^n + Cfree^n)</t>
  </si>
  <si>
    <t>[4]Units of other model parameters, converted from original units to: Slope (msec/uM free), Emax (msec), Kd (uM free)</t>
  </si>
  <si>
    <t>Free fraction in media (midpoint)</t>
  </si>
  <si>
    <t>Free fraction in plasma (midpoint)</t>
  </si>
  <si>
    <t>0.445-0.724</t>
  </si>
  <si>
    <t>0.568-0.869</t>
  </si>
  <si>
    <t>0.746-0.965</t>
  </si>
  <si>
    <t>0.902-0.998</t>
  </si>
  <si>
    <t>0.885-0.998</t>
  </si>
  <si>
    <t>0.974-0.99</t>
  </si>
  <si>
    <t>0.545-0.972</t>
  </si>
  <si>
    <t>0.984-0.991</t>
  </si>
  <si>
    <t>0.995-0.999</t>
  </si>
  <si>
    <t>0.262-0.924</t>
  </si>
  <si>
    <t>0.000213-0.915</t>
  </si>
  <si>
    <t>0.857-.999</t>
  </si>
  <si>
    <t>0.024-0.092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</si>
</sst>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readingOrder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workbookViewId="0">
      <selection activeCell="F3" sqref="F3"/>
    </sheetView>
  </sheetViews>
  <sheetFormatPr baseColWidth="10" defaultRowHeight="16" x14ac:dyDescent="0.2"/>
  <cols>
    <col min="1" max="1" width="22" customWidth="1"/>
  </cols>
  <sheetData>
    <row r="1" spans="1:13" x14ac:dyDescent="0.2">
      <c r="A1" t="s">
        <v>2</v>
      </c>
      <c r="B1" t="s">
        <v>1</v>
      </c>
      <c r="C1" t="s">
        <v>20</v>
      </c>
      <c r="D1" t="s">
        <v>23</v>
      </c>
      <c r="E1" t="s">
        <v>3</v>
      </c>
      <c r="F1" t="s">
        <v>5</v>
      </c>
      <c r="G1" t="s">
        <v>25</v>
      </c>
      <c r="H1" t="s">
        <v>24</v>
      </c>
      <c r="I1" t="s">
        <v>8</v>
      </c>
      <c r="J1" t="s">
        <v>9</v>
      </c>
      <c r="K1" t="s">
        <v>16</v>
      </c>
      <c r="L1" t="s">
        <v>26</v>
      </c>
      <c r="M1" t="s">
        <v>22</v>
      </c>
    </row>
    <row r="2" spans="1:13" x14ac:dyDescent="0.2">
      <c r="A2" t="s">
        <v>27</v>
      </c>
      <c r="B2">
        <f>(0.02+0.0395)/2</f>
        <v>2.9749999999999999E-2</v>
      </c>
      <c r="C2" s="2">
        <v>0.58450000000000002</v>
      </c>
      <c r="D2">
        <v>0.93600000000000005</v>
      </c>
      <c r="E2">
        <f>0.09*1000</f>
        <v>90</v>
      </c>
      <c r="F2">
        <v>1</v>
      </c>
      <c r="G2">
        <v>386</v>
      </c>
      <c r="H2" t="s">
        <v>7</v>
      </c>
      <c r="I2" t="s">
        <v>7</v>
      </c>
      <c r="J2" t="s">
        <v>7</v>
      </c>
      <c r="K2" t="s">
        <v>7</v>
      </c>
      <c r="L2">
        <v>386</v>
      </c>
      <c r="M2" t="s">
        <v>4</v>
      </c>
    </row>
    <row r="3" spans="1:13" x14ac:dyDescent="0.2">
      <c r="A3" t="s">
        <v>47</v>
      </c>
      <c r="B3">
        <v>0.2</v>
      </c>
      <c r="C3" s="2">
        <v>0.71849999999999992</v>
      </c>
      <c r="D3">
        <f>1.8/324.39*1000</f>
        <v>5.5488763525386116</v>
      </c>
      <c r="E3">
        <f>40*324.39/1000</f>
        <v>12.975599999999998</v>
      </c>
      <c r="F3">
        <f>EXP(0.702)</f>
        <v>2.0177842430771791</v>
      </c>
      <c r="G3">
        <v>425</v>
      </c>
      <c r="H3" t="s">
        <v>7</v>
      </c>
      <c r="I3" t="s">
        <v>7</v>
      </c>
      <c r="J3" t="s">
        <v>7</v>
      </c>
      <c r="K3" t="s">
        <v>7</v>
      </c>
      <c r="L3">
        <v>425</v>
      </c>
      <c r="M3" t="s">
        <v>6</v>
      </c>
    </row>
    <row r="4" spans="1:13" x14ac:dyDescent="0.2">
      <c r="A4" t="s">
        <v>48</v>
      </c>
      <c r="B4">
        <f>(0.25+0.5)/2</f>
        <v>0.375</v>
      </c>
      <c r="C4" s="2">
        <v>0.85549999999999993</v>
      </c>
      <c r="D4">
        <f>1.1 / 339.5 * 1000/B4</f>
        <v>8.6401570937653407</v>
      </c>
      <c r="E4">
        <f>44.25*339.5/1000*B4</f>
        <v>5.6335781250000005</v>
      </c>
      <c r="F4">
        <v>1</v>
      </c>
      <c r="G4">
        <v>450</v>
      </c>
      <c r="H4">
        <f>3 / 339.5 * 1000/B4</f>
        <v>23.564064801178205</v>
      </c>
      <c r="I4">
        <v>97.4</v>
      </c>
      <c r="J4">
        <f>0.913/339.5*1000/B4</f>
        <v>7.1713303878252335</v>
      </c>
      <c r="K4">
        <v>1</v>
      </c>
      <c r="L4">
        <v>450</v>
      </c>
      <c r="M4" t="s">
        <v>21</v>
      </c>
    </row>
    <row r="5" spans="1:13" x14ac:dyDescent="0.2">
      <c r="A5" t="s">
        <v>30</v>
      </c>
      <c r="B5">
        <f>(0.17+0.37)/2</f>
        <v>0.27</v>
      </c>
      <c r="C5" s="2">
        <v>0.95</v>
      </c>
      <c r="D5" t="s">
        <v>7</v>
      </c>
      <c r="E5" t="s">
        <v>7</v>
      </c>
      <c r="F5" t="s">
        <v>7</v>
      </c>
      <c r="G5" t="s">
        <v>7</v>
      </c>
      <c r="H5">
        <f>6 / 441.5</f>
        <v>1.3590033975084938E-2</v>
      </c>
      <c r="I5">
        <v>131</v>
      </c>
      <c r="J5">
        <f>2.2/441.5</f>
        <v>4.9830124575311443E-3</v>
      </c>
      <c r="K5">
        <v>2.9</v>
      </c>
      <c r="L5">
        <v>368</v>
      </c>
      <c r="M5" t="s">
        <v>10</v>
      </c>
    </row>
    <row r="6" spans="1:13" x14ac:dyDescent="0.2">
      <c r="A6" t="s">
        <v>49</v>
      </c>
      <c r="B6">
        <f>(0.3+0.5)/2</f>
        <v>0.4</v>
      </c>
      <c r="C6" s="2">
        <v>0.9415</v>
      </c>
      <c r="D6">
        <f>1771 / 401.4</f>
        <v>4.4120577977080222</v>
      </c>
      <c r="E6">
        <f>4*401.4/1000</f>
        <v>1.6055999999999999</v>
      </c>
      <c r="F6">
        <f>EXP(0.83)</f>
        <v>2.2933187402641826</v>
      </c>
      <c r="G6">
        <v>396</v>
      </c>
      <c r="H6" t="s">
        <v>7</v>
      </c>
      <c r="I6" t="s">
        <v>7</v>
      </c>
      <c r="J6" t="s">
        <v>7</v>
      </c>
      <c r="K6" t="s">
        <v>7</v>
      </c>
      <c r="L6">
        <v>396</v>
      </c>
      <c r="M6" t="s">
        <v>11</v>
      </c>
    </row>
    <row r="7" spans="1:13" x14ac:dyDescent="0.2">
      <c r="A7" t="s">
        <v>0</v>
      </c>
      <c r="B7">
        <v>0.3</v>
      </c>
      <c r="C7" s="2">
        <v>0.98199999999999998</v>
      </c>
      <c r="D7">
        <f>36/ 313.8 * 1000</f>
        <v>114.7227533460803</v>
      </c>
      <c r="E7">
        <f>2.4*313.8/1000</f>
        <v>0.75312000000000001</v>
      </c>
      <c r="F7">
        <f>EXP(0.2/2.4)</f>
        <v>1.086904049521229</v>
      </c>
      <c r="G7">
        <v>440</v>
      </c>
      <c r="H7">
        <f>36/ 313.8 * 1000</f>
        <v>114.7227533460803</v>
      </c>
      <c r="I7">
        <v>170</v>
      </c>
      <c r="J7">
        <f>9.14 /313.8*1000</f>
        <v>29.126832377310389</v>
      </c>
      <c r="K7">
        <v>1</v>
      </c>
      <c r="L7">
        <v>440</v>
      </c>
      <c r="M7" t="s">
        <v>12</v>
      </c>
    </row>
    <row r="8" spans="1:13" x14ac:dyDescent="0.2">
      <c r="A8" t="s">
        <v>50</v>
      </c>
      <c r="B8">
        <f>(0.1+0.77)/2</f>
        <v>0.435</v>
      </c>
      <c r="C8" s="2">
        <v>0.75849999999999995</v>
      </c>
      <c r="D8">
        <f>3.3/ 324.4 * 1000</f>
        <v>10.172626387176326</v>
      </c>
      <c r="E8">
        <f>613 *324.4/1000*B8</f>
        <v>86.502881999999985</v>
      </c>
      <c r="F8">
        <v>1</v>
      </c>
      <c r="G8">
        <v>407</v>
      </c>
      <c r="H8" t="s">
        <v>7</v>
      </c>
      <c r="I8" t="s">
        <v>7</v>
      </c>
      <c r="J8" t="s">
        <v>7</v>
      </c>
      <c r="K8" t="s">
        <v>7</v>
      </c>
      <c r="L8">
        <v>407</v>
      </c>
      <c r="M8" t="s">
        <v>13</v>
      </c>
    </row>
    <row r="9" spans="1:13" x14ac:dyDescent="0.2">
      <c r="A9" t="s">
        <v>34</v>
      </c>
      <c r="B9">
        <v>0.96</v>
      </c>
      <c r="C9" s="2">
        <v>0.98750000000000004</v>
      </c>
      <c r="D9">
        <f>1120/367.9</f>
        <v>3.044305517803751</v>
      </c>
      <c r="E9">
        <f>0.102*367.9</f>
        <v>37.525799999999997</v>
      </c>
      <c r="F9">
        <f>EXP(0.025/0.102)</f>
        <v>1.2777465763366265</v>
      </c>
      <c r="G9">
        <v>394</v>
      </c>
      <c r="H9">
        <f>1120/367.9</f>
        <v>3.044305517803751</v>
      </c>
      <c r="I9">
        <f>AVERAGE(95,86)</f>
        <v>90.5</v>
      </c>
      <c r="J9">
        <f>AVERAGE(642,414)/367.9</f>
        <v>1.4351726012503399</v>
      </c>
      <c r="K9">
        <v>1</v>
      </c>
      <c r="L9">
        <v>394</v>
      </c>
      <c r="M9" t="s">
        <v>14</v>
      </c>
    </row>
    <row r="10" spans="1:13" x14ac:dyDescent="0.2">
      <c r="A10" t="s">
        <v>35</v>
      </c>
      <c r="B10">
        <v>1</v>
      </c>
      <c r="C10" s="2">
        <v>0.997</v>
      </c>
      <c r="D10">
        <f>932 / 272.36</f>
        <v>3.4219415479512407</v>
      </c>
      <c r="E10">
        <f>22*272.36/1000</f>
        <v>5.9919200000000004</v>
      </c>
      <c r="F10">
        <f>EXP(0.34)</f>
        <v>1.4049475905635938</v>
      </c>
      <c r="G10">
        <v>380</v>
      </c>
      <c r="H10" t="s">
        <v>7</v>
      </c>
      <c r="I10" t="s">
        <v>7</v>
      </c>
      <c r="J10" t="s">
        <v>7</v>
      </c>
      <c r="K10" t="s">
        <v>7</v>
      </c>
      <c r="L10">
        <v>380</v>
      </c>
      <c r="M10" t="s">
        <v>11</v>
      </c>
    </row>
    <row r="11" spans="1:13" x14ac:dyDescent="0.2">
      <c r="A11" t="s">
        <v>36</v>
      </c>
      <c r="B11">
        <f>(0.53+0.63)/2</f>
        <v>0.58000000000000007</v>
      </c>
      <c r="C11" s="2">
        <v>0.59299999999999997</v>
      </c>
      <c r="D11" t="s">
        <v>7</v>
      </c>
      <c r="E11" t="s">
        <v>7</v>
      </c>
      <c r="F11" t="s">
        <v>7</v>
      </c>
      <c r="G11" t="s">
        <v>7</v>
      </c>
      <c r="H11">
        <f>6.8/ 349.5 * 1000</f>
        <v>19.456366237482115</v>
      </c>
      <c r="I11">
        <v>20.3</v>
      </c>
      <c r="J11">
        <f>2.28/349.5*1000</f>
        <v>6.5236051502145918</v>
      </c>
      <c r="K11">
        <v>1</v>
      </c>
      <c r="L11">
        <v>424</v>
      </c>
      <c r="M11" t="s">
        <v>15</v>
      </c>
    </row>
    <row r="12" spans="1:13" x14ac:dyDescent="0.2">
      <c r="A12" t="s">
        <v>37</v>
      </c>
      <c r="B12">
        <f>(0.05+0.066)/2</f>
        <v>5.8000000000000003E-2</v>
      </c>
      <c r="C12" s="2">
        <v>0.45760650000000003</v>
      </c>
      <c r="D12">
        <f>1800/835.93</f>
        <v>2.1532903472778822</v>
      </c>
      <c r="E12">
        <v>0</v>
      </c>
      <c r="F12">
        <v>1</v>
      </c>
      <c r="G12">
        <v>400</v>
      </c>
      <c r="H12" t="s">
        <v>7</v>
      </c>
      <c r="I12" t="s">
        <v>7</v>
      </c>
      <c r="J12" t="s">
        <v>7</v>
      </c>
      <c r="K12" t="s">
        <v>7</v>
      </c>
      <c r="L12">
        <v>400</v>
      </c>
      <c r="M12" t="s">
        <v>17</v>
      </c>
    </row>
    <row r="13" spans="1:13" x14ac:dyDescent="0.2">
      <c r="A13" t="s">
        <v>38</v>
      </c>
      <c r="B13">
        <v>0.45</v>
      </c>
      <c r="C13" s="2">
        <v>0.92799999999999994</v>
      </c>
      <c r="D13">
        <f>14000/256.091</f>
        <v>54.66806721048377</v>
      </c>
      <c r="E13">
        <v>0</v>
      </c>
      <c r="F13">
        <v>1</v>
      </c>
      <c r="G13">
        <v>400</v>
      </c>
      <c r="H13" t="s">
        <v>7</v>
      </c>
      <c r="I13" t="s">
        <v>7</v>
      </c>
      <c r="J13" t="s">
        <v>7</v>
      </c>
      <c r="K13" t="s">
        <v>7</v>
      </c>
      <c r="L13">
        <v>400</v>
      </c>
      <c r="M13" t="s">
        <v>18</v>
      </c>
    </row>
    <row r="14" spans="1:13" x14ac:dyDescent="0.2">
      <c r="A14" t="s">
        <v>39</v>
      </c>
      <c r="B14">
        <f>(0.01+0.02)/2</f>
        <v>1.4999999999999999E-2</v>
      </c>
      <c r="C14" s="2">
        <v>5.7999999999999996E-2</v>
      </c>
      <c r="D14">
        <f>6000/429.6</f>
        <v>13.966480446927374</v>
      </c>
      <c r="E14">
        <v>0</v>
      </c>
      <c r="F14">
        <v>1</v>
      </c>
      <c r="G14">
        <v>400</v>
      </c>
      <c r="H14" t="s">
        <v>7</v>
      </c>
      <c r="I14" t="s">
        <v>7</v>
      </c>
      <c r="J14" t="s">
        <v>7</v>
      </c>
      <c r="K14" t="s">
        <v>7</v>
      </c>
      <c r="L14">
        <v>400</v>
      </c>
      <c r="M14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D17" sqref="D17:D19"/>
    </sheetView>
  </sheetViews>
  <sheetFormatPr baseColWidth="10" defaultRowHeight="16" x14ac:dyDescent="0.2"/>
  <cols>
    <col min="1" max="2" width="24" customWidth="1"/>
    <col min="3" max="3" width="11.6640625" customWidth="1"/>
    <col min="4" max="4" width="16" customWidth="1"/>
    <col min="8" max="8" width="24.33203125" customWidth="1"/>
    <col min="11" max="11" width="21.33203125" customWidth="1"/>
  </cols>
  <sheetData>
    <row r="1" spans="1:14" x14ac:dyDescent="0.2">
      <c r="A1" t="s">
        <v>32</v>
      </c>
      <c r="B1" t="s">
        <v>72</v>
      </c>
      <c r="C1" t="s">
        <v>81</v>
      </c>
      <c r="D1" t="s">
        <v>73</v>
      </c>
      <c r="E1" t="s">
        <v>80</v>
      </c>
      <c r="F1" t="s">
        <v>74</v>
      </c>
      <c r="G1" t="s">
        <v>46</v>
      </c>
      <c r="H1" t="s">
        <v>75</v>
      </c>
      <c r="I1" t="s">
        <v>44</v>
      </c>
      <c r="K1" t="s">
        <v>22</v>
      </c>
      <c r="L1" t="s">
        <v>3</v>
      </c>
      <c r="M1" t="s">
        <v>8</v>
      </c>
      <c r="N1" t="s">
        <v>9</v>
      </c>
    </row>
    <row r="2" spans="1:14" x14ac:dyDescent="0.2">
      <c r="A2" t="s">
        <v>41</v>
      </c>
      <c r="E2" s="2"/>
    </row>
    <row r="3" spans="1:14" x14ac:dyDescent="0.2">
      <c r="A3" t="s">
        <v>27</v>
      </c>
      <c r="B3" t="s">
        <v>64</v>
      </c>
      <c r="C3">
        <f>(0.02+0.0395)/2</f>
        <v>2.9749999999999999E-2</v>
      </c>
      <c r="D3" t="s">
        <v>82</v>
      </c>
      <c r="E3" s="2">
        <v>0.58450000000000002</v>
      </c>
      <c r="F3" t="s">
        <v>42</v>
      </c>
      <c r="G3">
        <v>386</v>
      </c>
      <c r="H3" t="s">
        <v>51</v>
      </c>
      <c r="I3" s="2">
        <f>0.936*C3</f>
        <v>2.7845999999999999E-2</v>
      </c>
      <c r="K3" t="s">
        <v>4</v>
      </c>
      <c r="L3">
        <f>0.09*1000/C3</f>
        <v>3025.2100840336134</v>
      </c>
    </row>
    <row r="4" spans="1:14" x14ac:dyDescent="0.2">
      <c r="A4" s="1" t="s">
        <v>28</v>
      </c>
      <c r="B4" s="1">
        <v>0.2</v>
      </c>
      <c r="C4">
        <v>0.2</v>
      </c>
      <c r="D4" t="s">
        <v>83</v>
      </c>
      <c r="E4" s="2">
        <v>0.71849999999999992</v>
      </c>
      <c r="F4" t="s">
        <v>42</v>
      </c>
      <c r="G4">
        <v>425</v>
      </c>
      <c r="H4" t="s">
        <v>52</v>
      </c>
      <c r="I4" s="5">
        <f>1.8/324.39*1000*C4</f>
        <v>1.1097752705077224</v>
      </c>
      <c r="K4" t="s">
        <v>6</v>
      </c>
      <c r="L4">
        <f>40*324.39/1000/C4</f>
        <v>64.877999999999986</v>
      </c>
      <c r="N4" t="s">
        <v>7</v>
      </c>
    </row>
    <row r="5" spans="1:14" x14ac:dyDescent="0.2">
      <c r="A5" s="1" t="s">
        <v>29</v>
      </c>
      <c r="B5" s="1" t="s">
        <v>65</v>
      </c>
      <c r="C5">
        <f>(0.25+0.5)/2</f>
        <v>0.375</v>
      </c>
      <c r="D5" t="s">
        <v>84</v>
      </c>
      <c r="E5" s="2">
        <v>0.85549999999999993</v>
      </c>
      <c r="F5" t="s">
        <v>42</v>
      </c>
      <c r="G5">
        <v>450</v>
      </c>
      <c r="H5" t="s">
        <v>53</v>
      </c>
      <c r="I5" s="5">
        <f>1.1 / 339.5 * 1000</f>
        <v>3.240058910162003</v>
      </c>
      <c r="K5" t="s">
        <v>21</v>
      </c>
      <c r="L5">
        <f>44.25*339.5/1000</f>
        <v>15.022875000000001</v>
      </c>
      <c r="N5" t="s">
        <v>7</v>
      </c>
    </row>
    <row r="6" spans="1:14" x14ac:dyDescent="0.2">
      <c r="A6" s="1"/>
      <c r="B6" s="1"/>
      <c r="F6" t="s">
        <v>43</v>
      </c>
      <c r="G6">
        <v>450</v>
      </c>
      <c r="H6" t="s">
        <v>54</v>
      </c>
      <c r="I6" s="5">
        <f>3 / 339.5 * 1000</f>
        <v>8.8365243004418268</v>
      </c>
      <c r="M6">
        <v>97.4</v>
      </c>
      <c r="N6">
        <f>0.913/339.5*1000</f>
        <v>2.6892488954344627</v>
      </c>
    </row>
    <row r="7" spans="1:14" x14ac:dyDescent="0.2">
      <c r="A7" s="1" t="s">
        <v>30</v>
      </c>
      <c r="B7" s="1" t="s">
        <v>66</v>
      </c>
      <c r="C7">
        <f>(0.17+0.37)/2</f>
        <v>0.27</v>
      </c>
      <c r="D7" t="s">
        <v>85</v>
      </c>
      <c r="E7" s="2">
        <v>0.95</v>
      </c>
      <c r="F7" t="s">
        <v>43</v>
      </c>
      <c r="G7">
        <v>368</v>
      </c>
      <c r="H7" t="s">
        <v>55</v>
      </c>
      <c r="I7" s="3">
        <f>6 / 441.5*C7</f>
        <v>3.6693091732729333E-3</v>
      </c>
      <c r="K7" t="s">
        <v>10</v>
      </c>
      <c r="M7">
        <v>131</v>
      </c>
      <c r="N7">
        <f>2.2/441.5*C7</f>
        <v>1.3454133635334091E-3</v>
      </c>
    </row>
    <row r="8" spans="1:14" x14ac:dyDescent="0.2">
      <c r="A8" s="1" t="s">
        <v>31</v>
      </c>
      <c r="B8" s="1" t="s">
        <v>67</v>
      </c>
      <c r="C8">
        <f>(0.3+0.5)/2</f>
        <v>0.4</v>
      </c>
      <c r="D8" t="s">
        <v>86</v>
      </c>
      <c r="E8" s="2">
        <v>0.9415</v>
      </c>
      <c r="F8" t="s">
        <v>42</v>
      </c>
      <c r="G8">
        <v>396</v>
      </c>
      <c r="H8" t="s">
        <v>56</v>
      </c>
      <c r="I8" s="5">
        <f>1771 / 401.4*C8</f>
        <v>1.7648231190832089</v>
      </c>
      <c r="K8" t="s">
        <v>11</v>
      </c>
      <c r="L8">
        <f>4*401.4/1000/C8</f>
        <v>4.0139999999999993</v>
      </c>
    </row>
    <row r="9" spans="1:14" x14ac:dyDescent="0.2">
      <c r="A9" s="1" t="s">
        <v>0</v>
      </c>
      <c r="B9" s="1">
        <v>0.3</v>
      </c>
      <c r="C9">
        <v>0.3</v>
      </c>
      <c r="D9" t="s">
        <v>87</v>
      </c>
      <c r="E9" s="2">
        <v>0.98199999999999998</v>
      </c>
      <c r="F9" t="s">
        <v>42</v>
      </c>
      <c r="G9">
        <v>440</v>
      </c>
      <c r="H9" t="s">
        <v>57</v>
      </c>
      <c r="I9" s="6">
        <f>36/ 313.8 * 1000*C9</f>
        <v>34.416826003824085</v>
      </c>
      <c r="K9" t="s">
        <v>12</v>
      </c>
      <c r="L9">
        <f>2.4*313.8/1000/C9</f>
        <v>2.5104000000000002</v>
      </c>
    </row>
    <row r="10" spans="1:14" x14ac:dyDescent="0.2">
      <c r="A10" s="1"/>
      <c r="B10" s="1"/>
      <c r="F10" t="s">
        <v>43</v>
      </c>
      <c r="G10">
        <v>440</v>
      </c>
      <c r="H10" t="s">
        <v>58</v>
      </c>
      <c r="I10" s="6">
        <f>36/ 313.8 * 1000*C9</f>
        <v>34.416826003824085</v>
      </c>
      <c r="M10">
        <v>170</v>
      </c>
      <c r="N10">
        <f>9.14 /313.8*1000*C9</f>
        <v>8.7380497131931172</v>
      </c>
    </row>
    <row r="11" spans="1:14" x14ac:dyDescent="0.2">
      <c r="A11" s="1" t="s">
        <v>33</v>
      </c>
      <c r="B11" s="1" t="s">
        <v>68</v>
      </c>
      <c r="C11">
        <f>(0.1+0.77)/2</f>
        <v>0.435</v>
      </c>
      <c r="D11" t="s">
        <v>88</v>
      </c>
      <c r="E11" s="2">
        <v>0.75849999999999995</v>
      </c>
      <c r="F11" t="s">
        <v>42</v>
      </c>
      <c r="G11">
        <v>407</v>
      </c>
      <c r="H11" t="s">
        <v>59</v>
      </c>
      <c r="I11" s="5">
        <f>3.3/ 324.4 * 1000*C11</f>
        <v>4.4250924784217016</v>
      </c>
      <c r="K11" t="s">
        <v>13</v>
      </c>
      <c r="L11">
        <f>613 *324.4/1000</f>
        <v>198.85719999999998</v>
      </c>
    </row>
    <row r="12" spans="1:14" x14ac:dyDescent="0.2">
      <c r="A12" s="1" t="s">
        <v>34</v>
      </c>
      <c r="B12" s="1">
        <v>0.96</v>
      </c>
      <c r="C12">
        <v>0.96</v>
      </c>
      <c r="D12" t="s">
        <v>89</v>
      </c>
      <c r="E12" s="2">
        <v>0.98750000000000004</v>
      </c>
      <c r="F12" t="s">
        <v>42</v>
      </c>
      <c r="G12">
        <v>394</v>
      </c>
      <c r="H12" t="s">
        <v>60</v>
      </c>
      <c r="I12" s="5">
        <f>1120/367.9*C12</f>
        <v>2.9225332970916007</v>
      </c>
      <c r="K12" t="s">
        <v>14</v>
      </c>
      <c r="L12">
        <f>0.102*367.9/C12</f>
        <v>39.089374999999997</v>
      </c>
    </row>
    <row r="13" spans="1:14" x14ac:dyDescent="0.2">
      <c r="A13" s="1"/>
      <c r="B13" s="1"/>
      <c r="F13" t="s">
        <v>43</v>
      </c>
      <c r="G13">
        <v>394</v>
      </c>
      <c r="H13" t="s">
        <v>61</v>
      </c>
      <c r="I13" s="5">
        <f>1120/367.9*C12</f>
        <v>2.9225332970916007</v>
      </c>
      <c r="M13">
        <f>AVERAGE(95,86)</f>
        <v>90.5</v>
      </c>
      <c r="N13">
        <f>AVERAGE(642,414)/367.9*C12</f>
        <v>1.3777656972003263</v>
      </c>
    </row>
    <row r="14" spans="1:14" x14ac:dyDescent="0.2">
      <c r="A14" s="1" t="s">
        <v>35</v>
      </c>
      <c r="B14" s="1">
        <v>1</v>
      </c>
      <c r="C14">
        <v>1</v>
      </c>
      <c r="D14" t="s">
        <v>90</v>
      </c>
      <c r="E14" s="2">
        <v>0.997</v>
      </c>
      <c r="F14" t="s">
        <v>42</v>
      </c>
      <c r="G14">
        <v>380</v>
      </c>
      <c r="H14" t="s">
        <v>62</v>
      </c>
      <c r="I14" s="5">
        <f>932 / 272.36*C14</f>
        <v>3.4219415479512407</v>
      </c>
      <c r="K14" t="s">
        <v>11</v>
      </c>
      <c r="L14">
        <f>22*272.36/1000/C14</f>
        <v>5.9919200000000004</v>
      </c>
    </row>
    <row r="15" spans="1:14" x14ac:dyDescent="0.2">
      <c r="A15" s="1" t="s">
        <v>36</v>
      </c>
      <c r="B15" s="1" t="s">
        <v>69</v>
      </c>
      <c r="C15">
        <f>(0.53+0.63)/2</f>
        <v>0.58000000000000007</v>
      </c>
      <c r="D15" t="s">
        <v>91</v>
      </c>
      <c r="E15" s="2">
        <v>0.59299999999999997</v>
      </c>
      <c r="F15" t="s">
        <v>43</v>
      </c>
      <c r="G15">
        <v>424</v>
      </c>
      <c r="H15" t="s">
        <v>63</v>
      </c>
      <c r="I15" s="6">
        <f>6.8/ 349.5 * 1000*C15</f>
        <v>11.284692417739628</v>
      </c>
      <c r="K15" t="s">
        <v>15</v>
      </c>
      <c r="M15">
        <v>20.3</v>
      </c>
      <c r="N15">
        <f>2.28/349.5*1000*C15</f>
        <v>3.7836909871244635</v>
      </c>
    </row>
    <row r="16" spans="1:14" x14ac:dyDescent="0.2">
      <c r="A16" s="1" t="s">
        <v>40</v>
      </c>
      <c r="B16" s="1"/>
    </row>
    <row r="17" spans="1:12" x14ac:dyDescent="0.2">
      <c r="A17" s="1" t="s">
        <v>37</v>
      </c>
      <c r="B17" s="1" t="s">
        <v>70</v>
      </c>
      <c r="C17">
        <f>(0.05+0.066)/2</f>
        <v>5.8000000000000003E-2</v>
      </c>
      <c r="D17" t="s">
        <v>92</v>
      </c>
      <c r="E17" s="2">
        <v>0.45760650000000003</v>
      </c>
      <c r="F17" t="s">
        <v>42</v>
      </c>
      <c r="G17">
        <v>400</v>
      </c>
      <c r="H17" t="s">
        <v>45</v>
      </c>
      <c r="I17" s="4">
        <f>1800/835.93*C17</f>
        <v>0.12489084014211717</v>
      </c>
      <c r="K17" t="s">
        <v>17</v>
      </c>
      <c r="L17">
        <v>0</v>
      </c>
    </row>
    <row r="18" spans="1:12" x14ac:dyDescent="0.2">
      <c r="A18" s="1" t="s">
        <v>38</v>
      </c>
      <c r="B18" s="1">
        <v>0.45</v>
      </c>
      <c r="C18">
        <v>0.45</v>
      </c>
      <c r="D18" t="s">
        <v>93</v>
      </c>
      <c r="E18" s="2">
        <v>0.92799999999999994</v>
      </c>
      <c r="F18" t="s">
        <v>42</v>
      </c>
      <c r="G18">
        <v>400</v>
      </c>
      <c r="H18" t="s">
        <v>45</v>
      </c>
      <c r="I18" s="6">
        <f>14000/256.091*C18</f>
        <v>24.600630244717696</v>
      </c>
      <c r="K18" t="s">
        <v>18</v>
      </c>
      <c r="L18">
        <v>0</v>
      </c>
    </row>
    <row r="19" spans="1:12" x14ac:dyDescent="0.2">
      <c r="A19" s="1" t="s">
        <v>39</v>
      </c>
      <c r="B19" s="1" t="s">
        <v>71</v>
      </c>
      <c r="C19">
        <f>(0.01+0.02)/2</f>
        <v>1.4999999999999999E-2</v>
      </c>
      <c r="D19" t="s">
        <v>94</v>
      </c>
      <c r="E19" s="2">
        <v>5.7999999999999996E-2</v>
      </c>
      <c r="F19" t="s">
        <v>42</v>
      </c>
      <c r="G19">
        <v>400</v>
      </c>
      <c r="H19" t="s">
        <v>45</v>
      </c>
      <c r="I19" s="4">
        <f>6000/429.6*C19</f>
        <v>0.20949720670391062</v>
      </c>
      <c r="K19" t="s">
        <v>19</v>
      </c>
      <c r="L19">
        <v>0</v>
      </c>
    </row>
    <row r="21" spans="1:12" x14ac:dyDescent="0.2">
      <c r="A21" s="1" t="s">
        <v>76</v>
      </c>
      <c r="B21" s="1"/>
    </row>
    <row r="22" spans="1:12" x14ac:dyDescent="0.2">
      <c r="A22" s="1" t="s">
        <v>77</v>
      </c>
      <c r="B22" s="1"/>
    </row>
    <row r="23" spans="1:12" x14ac:dyDescent="0.2">
      <c r="A23" s="1" t="s">
        <v>78</v>
      </c>
      <c r="B23" s="1"/>
    </row>
    <row r="24" spans="1:12" x14ac:dyDescent="0.2">
      <c r="A24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Weihsueh Chiu</dc:creator>
  <cp:lastModifiedBy>Weihsueh Chiu</cp:lastModifiedBy>
  <dcterms:created xsi:type="dcterms:W3CDTF">2018-03-28T23:18:36Z</dcterms:created>
  <dcterms:modified xsi:type="dcterms:W3CDTF">2018-07-23T18:53:59Z</dcterms:modified>
</cp:coreProperties>
</file>