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chiu/Dropbox/WCHIU-Documents/!Projects-Current/Cardiotox/CalciumFluxData/QTposnegIVIVE/"/>
    </mc:Choice>
  </mc:AlternateContent>
  <xr:revisionPtr revIDLastSave="0" documentId="10_ncr:8100000_{2AF7DA1C-3E72-9F40-BD57-40B508782563}" xr6:coauthVersionLast="34" xr6:coauthVersionMax="34" xr10:uidLastSave="{00000000-0000-0000-0000-000000000000}"/>
  <bookViews>
    <workbookView xWindow="4820" yWindow="3900" windowWidth="24580" windowHeight="14340" xr2:uid="{00000000-000D-0000-FFFF-FFFF00000000}"/>
  </bookViews>
  <sheets>
    <sheet name="Sheet1" sheetId="1" r:id="rId1"/>
    <sheet name="Sheet2" sheetId="2" r:id="rId2"/>
    <sheet name="Variability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3" i="3"/>
  <c r="B6" i="3"/>
  <c r="B4" i="3"/>
  <c r="H5" i="3"/>
  <c r="G5" i="3"/>
  <c r="F5" i="3"/>
  <c r="H7" i="3"/>
  <c r="G7" i="3"/>
  <c r="F7" i="3"/>
  <c r="H3" i="3"/>
  <c r="G3" i="3"/>
  <c r="F3" i="3"/>
  <c r="H2" i="3"/>
  <c r="G2" i="3"/>
  <c r="F2" i="3"/>
  <c r="H4" i="3"/>
  <c r="G4" i="3"/>
  <c r="F4" i="3"/>
  <c r="H6" i="3"/>
  <c r="G6" i="3"/>
  <c r="F6" i="3"/>
  <c r="L15" i="2"/>
  <c r="L13" i="2"/>
  <c r="L10" i="2"/>
  <c r="L7" i="2"/>
  <c r="L6" i="2"/>
  <c r="K13" i="2"/>
  <c r="J14" i="2"/>
  <c r="J12" i="2"/>
  <c r="J9" i="2"/>
  <c r="J8" i="2"/>
  <c r="J4" i="2"/>
  <c r="J3" i="2"/>
  <c r="J5" i="2"/>
  <c r="J11" i="2"/>
  <c r="G19" i="2"/>
  <c r="G18" i="2"/>
  <c r="G17" i="2"/>
  <c r="G15" i="2"/>
  <c r="G14" i="2"/>
  <c r="G13" i="2"/>
  <c r="G12" i="2"/>
  <c r="G11" i="2"/>
  <c r="G10" i="2"/>
  <c r="G6" i="2"/>
  <c r="G9" i="2"/>
  <c r="G8" i="2"/>
  <c r="G7" i="2"/>
  <c r="G5" i="2"/>
  <c r="G4" i="2"/>
  <c r="G3" i="2"/>
  <c r="H5" i="1"/>
  <c r="J4" i="1"/>
  <c r="H4" i="1"/>
  <c r="H11" i="1"/>
  <c r="H9" i="1"/>
  <c r="H7" i="1"/>
  <c r="D4" i="1"/>
  <c r="D14" i="1"/>
  <c r="D12" i="1"/>
  <c r="J11" i="1"/>
  <c r="D6" i="1"/>
  <c r="D10" i="1"/>
  <c r="F10" i="1"/>
  <c r="E10" i="1"/>
  <c r="J9" i="1"/>
  <c r="D9" i="1"/>
  <c r="I9" i="1"/>
  <c r="E9" i="1"/>
  <c r="F9" i="1"/>
  <c r="E8" i="1"/>
  <c r="E4" i="1"/>
  <c r="D8" i="1"/>
  <c r="J7" i="1"/>
  <c r="F7" i="1"/>
  <c r="E7" i="1"/>
  <c r="D7" i="1"/>
  <c r="F6" i="1"/>
  <c r="E6" i="1"/>
  <c r="J5" i="1"/>
  <c r="D3" i="1"/>
  <c r="E3" i="1"/>
  <c r="F3" i="1"/>
  <c r="E2" i="1"/>
</calcChain>
</file>

<file path=xl/sharedStrings.xml><?xml version="1.0" encoding="utf-8"?>
<sst xmlns="http://schemas.openxmlformats.org/spreadsheetml/2006/main" count="176" uniqueCount="78">
  <si>
    <t>N-acetylprocainamide</t>
  </si>
  <si>
    <t>FracFreePlasma</t>
  </si>
  <si>
    <t>Chemical</t>
  </si>
  <si>
    <t>SlopemsecuMtot</t>
  </si>
  <si>
    <t>Chain et al. 2013</t>
  </si>
  <si>
    <t>SlopeGSD</t>
  </si>
  <si>
    <t>Friberg et al. 2006</t>
  </si>
  <si>
    <t>NA</t>
  </si>
  <si>
    <t>Emaxmsec</t>
  </si>
  <si>
    <t>KduMtot</t>
  </si>
  <si>
    <t>Le Coz et al. 1995</t>
  </si>
  <si>
    <t>Chain et al. 2011</t>
  </si>
  <si>
    <t>Piergies et al., 1987</t>
  </si>
  <si>
    <t>Karbwang et al. 1993</t>
  </si>
  <si>
    <t>Shi et al. 1995</t>
  </si>
  <si>
    <t>Mao et al., 2011</t>
  </si>
  <si>
    <t>nHill</t>
  </si>
  <si>
    <t>Maison-Blanche et al. 2014</t>
  </si>
  <si>
    <t>Dixon et al. 2008</t>
  </si>
  <si>
    <t>Darpo et al. 2013</t>
  </si>
  <si>
    <t>FracFreeMedia</t>
  </si>
  <si>
    <t>Thibonnier et al. 1984; Lima &amp; Boudoulas 1998</t>
  </si>
  <si>
    <t>References</t>
  </si>
  <si>
    <t>CmaxLinuMtot</t>
  </si>
  <si>
    <t>CmaxHilluMtot</t>
  </si>
  <si>
    <t>QTc0Linmsec</t>
  </si>
  <si>
    <t>QTc0Hillmsec</t>
  </si>
  <si>
    <t>Cisapride</t>
  </si>
  <si>
    <t>Citalopram hydrobromide</t>
  </si>
  <si>
    <t>Disopyramide phosphate</t>
  </si>
  <si>
    <t>Dofetilide</t>
  </si>
  <si>
    <t>Moxifloxacin hydrochloride</t>
  </si>
  <si>
    <t>Drug treatment</t>
  </si>
  <si>
    <t>Quinidine sulfate</t>
  </si>
  <si>
    <t>Sematilide</t>
  </si>
  <si>
    <t>Sotalol</t>
  </si>
  <si>
    <t>Vernacalant</t>
  </si>
  <si>
    <t>Cabazitaxel</t>
  </si>
  <si>
    <t>Lamotrigine</t>
  </si>
  <si>
    <t>Mifepristone</t>
  </si>
  <si>
    <t>Negative for clinical QTc prolongation in "healthy" population</t>
  </si>
  <si>
    <t>Positive for clinical QTc prolongation in "healthy" population</t>
  </si>
  <si>
    <t>Linear</t>
  </si>
  <si>
    <t>Hill</t>
  </si>
  <si>
    <t>Cmax (uM Free)</t>
  </si>
  <si>
    <t>Slope = 0</t>
  </si>
  <si>
    <t>QTc0 (msec)</t>
  </si>
  <si>
    <t>Free fraction in media[1]</t>
  </si>
  <si>
    <t>In Vivo Model Type[2]</t>
  </si>
  <si>
    <t>Other parameters[3]</t>
  </si>
  <si>
    <t>[2]Model formulas are linear (QTc = QTc0 + Slope * Cfree) and Hill (QTc = QTc0 + Emax * Cfree^n/(Kd^n + Cfree^n)</t>
  </si>
  <si>
    <t>Free fraction in plasma[1]</t>
  </si>
  <si>
    <t>[1]Experimental values &gt; 1 were set to 1</t>
  </si>
  <si>
    <t>[3]Units of other model parameters converted from original units to: Slope (msec/uM free), Emax (msec), Kd (uM free)</t>
  </si>
  <si>
    <t>Slope = 1260</t>
  </si>
  <si>
    <t>Slope = 16.8</t>
  </si>
  <si>
    <t>Slope = 15.0</t>
  </si>
  <si>
    <t>Emax = 97.4; n = 1; Kd = 2.69</t>
  </si>
  <si>
    <t>Emax = 131; n = 2.9; Kd = 0.0031</t>
  </si>
  <si>
    <t>Slope = 1.61</t>
  </si>
  <si>
    <t>Slope = 0.770</t>
  </si>
  <si>
    <t>Emax = 170; n = 1; Kd = 28.5</t>
  </si>
  <si>
    <t>Slope = 199</t>
  </si>
  <si>
    <t>Slope = 44.3</t>
  </si>
  <si>
    <t>Emax = 90.5; n = 1; Kd = 1.22</t>
  </si>
  <si>
    <t>Slope = 6.51</t>
  </si>
  <si>
    <t>Emax = 20.3; n = 1; Kd = 5.14</t>
  </si>
  <si>
    <t>Citalopram</t>
  </si>
  <si>
    <t>Disopyramide</t>
  </si>
  <si>
    <t>Moxifloxacin</t>
  </si>
  <si>
    <t>Quinidine</t>
  </si>
  <si>
    <t>BSV.pct.p50</t>
  </si>
  <si>
    <t>BSV.pct.p2.5</t>
  </si>
  <si>
    <t>BSV.pct.p97.5</t>
  </si>
  <si>
    <t>SD.p50</t>
  </si>
  <si>
    <t>SD.p97.5</t>
  </si>
  <si>
    <t>CmaxTotuM</t>
  </si>
  <si>
    <t>SD.p2.5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</si>
</sst>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 readingOrder="1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85" workbookViewId="0">
      <selection activeCell="D14" sqref="D14"/>
    </sheetView>
  </sheetViews>
  <sheetFormatPr baseColWidth="10" defaultRowHeight="16" x14ac:dyDescent="0.2"/>
  <cols>
    <col min="1" max="1" width="22" customWidth="1"/>
  </cols>
  <sheetData>
    <row r="1" spans="1:13" x14ac:dyDescent="0.2">
      <c r="A1" t="s">
        <v>2</v>
      </c>
      <c r="B1" t="s">
        <v>1</v>
      </c>
      <c r="C1" t="s">
        <v>20</v>
      </c>
      <c r="D1" t="s">
        <v>23</v>
      </c>
      <c r="E1" t="s">
        <v>3</v>
      </c>
      <c r="F1" t="s">
        <v>5</v>
      </c>
      <c r="G1" t="s">
        <v>25</v>
      </c>
      <c r="H1" t="s">
        <v>24</v>
      </c>
      <c r="I1" t="s">
        <v>8</v>
      </c>
      <c r="J1" t="s">
        <v>9</v>
      </c>
      <c r="K1" t="s">
        <v>16</v>
      </c>
      <c r="L1" t="s">
        <v>26</v>
      </c>
      <c r="M1" t="s">
        <v>22</v>
      </c>
    </row>
    <row r="2" spans="1:13" x14ac:dyDescent="0.2">
      <c r="A2" t="s">
        <v>27</v>
      </c>
      <c r="B2">
        <v>7.153996E-2</v>
      </c>
      <c r="C2" s="2">
        <v>0.61563976666666675</v>
      </c>
      <c r="D2">
        <v>0.93600000000000005</v>
      </c>
      <c r="E2">
        <f>0.09*1000</f>
        <v>90</v>
      </c>
      <c r="F2">
        <v>1</v>
      </c>
      <c r="G2">
        <v>386</v>
      </c>
      <c r="H2" t="s">
        <v>7</v>
      </c>
      <c r="I2" t="s">
        <v>7</v>
      </c>
      <c r="J2" t="s">
        <v>7</v>
      </c>
      <c r="K2" t="s">
        <v>7</v>
      </c>
      <c r="L2">
        <v>386</v>
      </c>
      <c r="M2" t="s">
        <v>4</v>
      </c>
    </row>
    <row r="3" spans="1:13" x14ac:dyDescent="0.2">
      <c r="A3" t="s">
        <v>67</v>
      </c>
      <c r="B3">
        <v>0.77276573333333332</v>
      </c>
      <c r="C3" s="2">
        <v>1</v>
      </c>
      <c r="D3">
        <f>1.8/324.39*1000</f>
        <v>5.5488763525386116</v>
      </c>
      <c r="E3">
        <f>40*324.39/1000</f>
        <v>12.975599999999998</v>
      </c>
      <c r="F3">
        <f>EXP(0.702)</f>
        <v>2.0177842430771791</v>
      </c>
      <c r="G3">
        <v>425</v>
      </c>
      <c r="H3" t="s">
        <v>7</v>
      </c>
      <c r="I3" t="s">
        <v>7</v>
      </c>
      <c r="J3" t="s">
        <v>7</v>
      </c>
      <c r="K3" t="s">
        <v>7</v>
      </c>
      <c r="L3">
        <v>425</v>
      </c>
      <c r="M3" t="s">
        <v>6</v>
      </c>
    </row>
    <row r="4" spans="1:13" x14ac:dyDescent="0.2">
      <c r="A4" t="s">
        <v>68</v>
      </c>
      <c r="B4">
        <v>0.67132716666666659</v>
      </c>
      <c r="C4" s="2">
        <v>0.95362703333333343</v>
      </c>
      <c r="D4">
        <f>1.1 / 339.5 * 1000/B4</f>
        <v>4.8263485689843773</v>
      </c>
      <c r="E4">
        <f>44.25*339.5/1000*B4</f>
        <v>10.085264108937499</v>
      </c>
      <c r="F4">
        <v>1</v>
      </c>
      <c r="G4">
        <v>450</v>
      </c>
      <c r="H4">
        <f>3 / 339.5 * 1000/B4</f>
        <v>13.162768824502848</v>
      </c>
      <c r="I4">
        <v>97.4</v>
      </c>
      <c r="J4">
        <f>0.913/339.5*1000/B4</f>
        <v>4.0058693122570332</v>
      </c>
      <c r="K4">
        <v>1</v>
      </c>
      <c r="L4">
        <v>450</v>
      </c>
      <c r="M4" t="s">
        <v>21</v>
      </c>
    </row>
    <row r="5" spans="1:13" x14ac:dyDescent="0.2">
      <c r="A5" t="s">
        <v>30</v>
      </c>
      <c r="B5">
        <v>0.62228526750520763</v>
      </c>
      <c r="C5" s="2">
        <v>0.86372186666666673</v>
      </c>
      <c r="D5" t="s">
        <v>7</v>
      </c>
      <c r="E5" t="s">
        <v>7</v>
      </c>
      <c r="F5" t="s">
        <v>7</v>
      </c>
      <c r="G5" t="s">
        <v>7</v>
      </c>
      <c r="H5">
        <f>6 / 441.5</f>
        <v>1.3590033975084938E-2</v>
      </c>
      <c r="I5">
        <v>131</v>
      </c>
      <c r="J5">
        <f>2.2/441.5</f>
        <v>4.9830124575311443E-3</v>
      </c>
      <c r="K5">
        <v>2.9</v>
      </c>
      <c r="L5">
        <v>368</v>
      </c>
      <c r="M5" t="s">
        <v>10</v>
      </c>
    </row>
    <row r="6" spans="1:13" x14ac:dyDescent="0.2">
      <c r="A6" t="s">
        <v>69</v>
      </c>
      <c r="B6">
        <v>1</v>
      </c>
      <c r="C6" s="2">
        <v>0.93441779999999997</v>
      </c>
      <c r="D6">
        <f>1771 / 401.4</f>
        <v>4.4120577977080222</v>
      </c>
      <c r="E6">
        <f>4*401.4/1000</f>
        <v>1.6055999999999999</v>
      </c>
      <c r="F6">
        <f>EXP(0.83)</f>
        <v>2.2933187402641826</v>
      </c>
      <c r="G6">
        <v>396</v>
      </c>
      <c r="H6" t="s">
        <v>7</v>
      </c>
      <c r="I6" t="s">
        <v>7</v>
      </c>
      <c r="J6" t="s">
        <v>7</v>
      </c>
      <c r="K6" t="s">
        <v>7</v>
      </c>
      <c r="L6">
        <v>396</v>
      </c>
      <c r="M6" t="s">
        <v>11</v>
      </c>
    </row>
    <row r="7" spans="1:13" x14ac:dyDescent="0.2">
      <c r="A7" t="s">
        <v>0</v>
      </c>
      <c r="B7">
        <v>0.97758890000000009</v>
      </c>
      <c r="C7" s="2">
        <v>0.96495150000000007</v>
      </c>
      <c r="D7">
        <f>36/ 313.8 * 1000</f>
        <v>114.7227533460803</v>
      </c>
      <c r="E7">
        <f>2.4*313.8/1000</f>
        <v>0.75312000000000001</v>
      </c>
      <c r="F7">
        <f>EXP(0.2/2.4)</f>
        <v>1.086904049521229</v>
      </c>
      <c r="G7">
        <v>440</v>
      </c>
      <c r="H7">
        <f>36/ 313.8 * 1000</f>
        <v>114.7227533460803</v>
      </c>
      <c r="I7">
        <v>170</v>
      </c>
      <c r="J7">
        <f>9.14 /313.8*1000</f>
        <v>29.126832377310389</v>
      </c>
      <c r="K7">
        <v>1</v>
      </c>
      <c r="L7">
        <v>440</v>
      </c>
      <c r="M7" t="s">
        <v>12</v>
      </c>
    </row>
    <row r="8" spans="1:13" x14ac:dyDescent="0.2">
      <c r="A8" t="s">
        <v>70</v>
      </c>
      <c r="B8">
        <v>0.37482516666666665</v>
      </c>
      <c r="C8" s="2">
        <v>0.67525616666666666</v>
      </c>
      <c r="D8">
        <f>3.3/ 324.4 * 1000</f>
        <v>10.172626387176326</v>
      </c>
      <c r="E8">
        <f>613 *324.4/1000*B8</f>
        <v>74.536683132866656</v>
      </c>
      <c r="F8">
        <v>1</v>
      </c>
      <c r="G8">
        <v>407</v>
      </c>
      <c r="H8" t="s">
        <v>7</v>
      </c>
      <c r="I8" t="s">
        <v>7</v>
      </c>
      <c r="J8" t="s">
        <v>7</v>
      </c>
      <c r="K8" t="s">
        <v>7</v>
      </c>
      <c r="L8">
        <v>407</v>
      </c>
      <c r="M8" t="s">
        <v>13</v>
      </c>
    </row>
    <row r="9" spans="1:13" x14ac:dyDescent="0.2">
      <c r="A9" t="s">
        <v>34</v>
      </c>
      <c r="B9">
        <v>0.84736216666666664</v>
      </c>
      <c r="C9" s="2">
        <v>0.95518626666666673</v>
      </c>
      <c r="D9">
        <f>1120/367.9</f>
        <v>3.044305517803751</v>
      </c>
      <c r="E9">
        <f>0.102*367.9</f>
        <v>37.525799999999997</v>
      </c>
      <c r="F9">
        <f>EXP(0.025/0.102)</f>
        <v>1.2777465763366265</v>
      </c>
      <c r="G9">
        <v>394</v>
      </c>
      <c r="H9">
        <f>1120/367.9</f>
        <v>3.044305517803751</v>
      </c>
      <c r="I9">
        <f>AVERAGE(95,86)</f>
        <v>90.5</v>
      </c>
      <c r="J9">
        <f>AVERAGE(642,414)/367.9</f>
        <v>1.4351726012503399</v>
      </c>
      <c r="K9">
        <v>1</v>
      </c>
      <c r="L9">
        <v>394</v>
      </c>
      <c r="M9" t="s">
        <v>14</v>
      </c>
    </row>
    <row r="10" spans="1:13" x14ac:dyDescent="0.2">
      <c r="A10" t="s">
        <v>35</v>
      </c>
      <c r="B10">
        <v>0.92038573333333329</v>
      </c>
      <c r="C10" s="2">
        <v>0.96771299999999993</v>
      </c>
      <c r="D10">
        <f>932 / 272.36</f>
        <v>3.4219415479512407</v>
      </c>
      <c r="E10">
        <f>22*272.36/1000</f>
        <v>5.9919200000000004</v>
      </c>
      <c r="F10">
        <f>EXP(0.34)</f>
        <v>1.4049475905635938</v>
      </c>
      <c r="G10">
        <v>380</v>
      </c>
      <c r="H10" t="s">
        <v>7</v>
      </c>
      <c r="I10" t="s">
        <v>7</v>
      </c>
      <c r="J10" t="s">
        <v>7</v>
      </c>
      <c r="K10" t="s">
        <v>7</v>
      </c>
      <c r="L10">
        <v>380</v>
      </c>
      <c r="M10" t="s">
        <v>11</v>
      </c>
    </row>
    <row r="11" spans="1:13" x14ac:dyDescent="0.2">
      <c r="A11" t="s">
        <v>36</v>
      </c>
      <c r="B11">
        <v>0.78847376666666669</v>
      </c>
      <c r="C11" s="2">
        <v>0.96632123333333331</v>
      </c>
      <c r="D11" t="s">
        <v>7</v>
      </c>
      <c r="E11" t="s">
        <v>7</v>
      </c>
      <c r="F11" t="s">
        <v>7</v>
      </c>
      <c r="G11" t="s">
        <v>7</v>
      </c>
      <c r="H11">
        <f>6.8/ 349.5 * 1000</f>
        <v>19.456366237482115</v>
      </c>
      <c r="I11">
        <v>20.3</v>
      </c>
      <c r="J11">
        <f>2.28/349.5*1000</f>
        <v>6.5236051502145918</v>
      </c>
      <c r="K11">
        <v>1</v>
      </c>
      <c r="L11">
        <v>424</v>
      </c>
      <c r="M11" t="s">
        <v>15</v>
      </c>
    </row>
    <row r="12" spans="1:13" x14ac:dyDescent="0.2">
      <c r="A12" t="s">
        <v>37</v>
      </c>
      <c r="B12">
        <v>0.20414099999999999</v>
      </c>
      <c r="C12" s="2">
        <v>0.70450633333333335</v>
      </c>
      <c r="D12">
        <f>1800/835.93</f>
        <v>2.1532903472778822</v>
      </c>
      <c r="E12">
        <v>0</v>
      </c>
      <c r="F12">
        <v>1</v>
      </c>
      <c r="G12">
        <v>400</v>
      </c>
      <c r="H12" t="s">
        <v>7</v>
      </c>
      <c r="I12" t="s">
        <v>7</v>
      </c>
      <c r="J12" t="s">
        <v>7</v>
      </c>
      <c r="K12" t="s">
        <v>7</v>
      </c>
      <c r="L12">
        <v>400</v>
      </c>
      <c r="M12" t="s">
        <v>17</v>
      </c>
    </row>
    <row r="13" spans="1:13" x14ac:dyDescent="0.2">
      <c r="A13" t="s">
        <v>38</v>
      </c>
      <c r="B13">
        <v>0.87167343333333325</v>
      </c>
      <c r="C13" s="2">
        <v>1</v>
      </c>
      <c r="D13">
        <f>9600/256.091</f>
        <v>37.486674658617446</v>
      </c>
      <c r="E13">
        <v>0</v>
      </c>
      <c r="F13">
        <v>1</v>
      </c>
      <c r="G13">
        <v>400</v>
      </c>
      <c r="H13" t="s">
        <v>7</v>
      </c>
      <c r="I13" t="s">
        <v>7</v>
      </c>
      <c r="J13" t="s">
        <v>7</v>
      </c>
      <c r="K13" t="s">
        <v>7</v>
      </c>
      <c r="L13">
        <v>400</v>
      </c>
      <c r="M13" t="s">
        <v>18</v>
      </c>
    </row>
    <row r="14" spans="1:13" x14ac:dyDescent="0.2">
      <c r="A14" t="s">
        <v>39</v>
      </c>
      <c r="B14">
        <v>1.7468846666666666E-2</v>
      </c>
      <c r="C14" s="2">
        <v>0.58320119999999998</v>
      </c>
      <c r="D14">
        <f>6000/429.6</f>
        <v>13.966480446927374</v>
      </c>
      <c r="E14">
        <v>0</v>
      </c>
      <c r="F14">
        <v>1</v>
      </c>
      <c r="G14">
        <v>400</v>
      </c>
      <c r="H14" t="s">
        <v>7</v>
      </c>
      <c r="I14" t="s">
        <v>7</v>
      </c>
      <c r="J14" t="s">
        <v>7</v>
      </c>
      <c r="K14" t="s">
        <v>7</v>
      </c>
      <c r="L14">
        <v>400</v>
      </c>
      <c r="M14" t="s">
        <v>19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G13" sqref="G13"/>
    </sheetView>
  </sheetViews>
  <sheetFormatPr baseColWidth="10" defaultRowHeight="16" x14ac:dyDescent="0.2"/>
  <cols>
    <col min="1" max="1" width="24" customWidth="1"/>
    <col min="2" max="2" width="11.6640625" customWidth="1"/>
    <col min="6" max="6" width="24.33203125" customWidth="1"/>
    <col min="9" max="9" width="21.33203125" customWidth="1"/>
  </cols>
  <sheetData>
    <row r="1" spans="1:12" x14ac:dyDescent="0.2">
      <c r="A1" t="s">
        <v>32</v>
      </c>
      <c r="B1" t="s">
        <v>51</v>
      </c>
      <c r="C1" t="s">
        <v>47</v>
      </c>
      <c r="D1" t="s">
        <v>48</v>
      </c>
      <c r="E1" t="s">
        <v>46</v>
      </c>
      <c r="F1" t="s">
        <v>49</v>
      </c>
      <c r="G1" t="s">
        <v>44</v>
      </c>
      <c r="I1" t="s">
        <v>22</v>
      </c>
      <c r="J1" t="s">
        <v>3</v>
      </c>
      <c r="K1" t="s">
        <v>8</v>
      </c>
      <c r="L1" t="s">
        <v>9</v>
      </c>
    </row>
    <row r="2" spans="1:12" x14ac:dyDescent="0.2">
      <c r="A2" t="s">
        <v>41</v>
      </c>
      <c r="C2" s="2"/>
    </row>
    <row r="3" spans="1:12" x14ac:dyDescent="0.2">
      <c r="A3" t="s">
        <v>27</v>
      </c>
      <c r="B3" s="2">
        <v>7.153996E-2</v>
      </c>
      <c r="C3" s="2">
        <v>0.61563976666666675</v>
      </c>
      <c r="D3" t="s">
        <v>42</v>
      </c>
      <c r="E3">
        <v>386</v>
      </c>
      <c r="F3" t="s">
        <v>54</v>
      </c>
      <c r="G3" s="2">
        <f>0.936*B3</f>
        <v>6.6961402560000008E-2</v>
      </c>
      <c r="I3" t="s">
        <v>4</v>
      </c>
      <c r="J3">
        <f>0.09*1000/B3</f>
        <v>1258.0381649640285</v>
      </c>
    </row>
    <row r="4" spans="1:12" x14ac:dyDescent="0.2">
      <c r="A4" s="1" t="s">
        <v>28</v>
      </c>
      <c r="B4" s="2">
        <v>0.77276573333333332</v>
      </c>
      <c r="C4" s="2">
        <v>1</v>
      </c>
      <c r="D4" t="s">
        <v>42</v>
      </c>
      <c r="E4">
        <v>425</v>
      </c>
      <c r="F4" t="s">
        <v>55</v>
      </c>
      <c r="G4" s="5">
        <f>1.8/324.39*1000*B4</f>
        <v>4.2879815037454918</v>
      </c>
      <c r="I4" t="s">
        <v>6</v>
      </c>
      <c r="J4">
        <f>40*324.39/1000/B4</f>
        <v>16.791117204472314</v>
      </c>
      <c r="L4" t="s">
        <v>7</v>
      </c>
    </row>
    <row r="5" spans="1:12" x14ac:dyDescent="0.2">
      <c r="A5" s="1" t="s">
        <v>29</v>
      </c>
      <c r="B5" s="2">
        <v>0.67132716666666659</v>
      </c>
      <c r="C5" s="2">
        <v>0.95362703333333343</v>
      </c>
      <c r="D5" t="s">
        <v>42</v>
      </c>
      <c r="E5">
        <v>450</v>
      </c>
      <c r="F5" t="s">
        <v>56</v>
      </c>
      <c r="G5" s="5">
        <f>1.1 / 339.5 * 1000</f>
        <v>3.240058910162003</v>
      </c>
      <c r="I5" t="s">
        <v>21</v>
      </c>
      <c r="J5">
        <f>44.25*339.5/1000</f>
        <v>15.022875000000001</v>
      </c>
      <c r="L5" t="s">
        <v>7</v>
      </c>
    </row>
    <row r="6" spans="1:12" x14ac:dyDescent="0.2">
      <c r="A6" s="1"/>
      <c r="B6" s="2"/>
      <c r="C6" s="2"/>
      <c r="D6" t="s">
        <v>43</v>
      </c>
      <c r="E6">
        <v>450</v>
      </c>
      <c r="F6" t="s">
        <v>57</v>
      </c>
      <c r="G6" s="5">
        <f>3 / 339.5 * 1000</f>
        <v>8.8365243004418268</v>
      </c>
      <c r="K6">
        <v>97.4</v>
      </c>
      <c r="L6">
        <f>0.913/339.5*1000</f>
        <v>2.6892488954344627</v>
      </c>
    </row>
    <row r="7" spans="1:12" x14ac:dyDescent="0.2">
      <c r="A7" s="1" t="s">
        <v>30</v>
      </c>
      <c r="B7" s="2">
        <v>0.62228526750520763</v>
      </c>
      <c r="C7" s="2">
        <v>0.86372186666666673</v>
      </c>
      <c r="D7" t="s">
        <v>43</v>
      </c>
      <c r="E7">
        <v>368</v>
      </c>
      <c r="F7" t="s">
        <v>58</v>
      </c>
      <c r="G7" s="3">
        <f>6 / 441.5*B7</f>
        <v>8.4568779275905909E-3</v>
      </c>
      <c r="I7" t="s">
        <v>10</v>
      </c>
      <c r="K7">
        <v>131</v>
      </c>
      <c r="L7">
        <f>2.2/441.5*B7</f>
        <v>3.1008552401165504E-3</v>
      </c>
    </row>
    <row r="8" spans="1:12" x14ac:dyDescent="0.2">
      <c r="A8" s="1" t="s">
        <v>31</v>
      </c>
      <c r="B8" s="2">
        <v>1</v>
      </c>
      <c r="C8" s="2">
        <v>0.93441779999999997</v>
      </c>
      <c r="D8" t="s">
        <v>42</v>
      </c>
      <c r="E8">
        <v>396</v>
      </c>
      <c r="F8" t="s">
        <v>59</v>
      </c>
      <c r="G8" s="5">
        <f>1771 / 401.4*B8</f>
        <v>4.4120577977080222</v>
      </c>
      <c r="I8" t="s">
        <v>11</v>
      </c>
      <c r="J8">
        <f>4*401.4/1000/B8</f>
        <v>1.6055999999999999</v>
      </c>
    </row>
    <row r="9" spans="1:12" x14ac:dyDescent="0.2">
      <c r="A9" s="1" t="s">
        <v>0</v>
      </c>
      <c r="B9" s="2">
        <v>0.97758890000000009</v>
      </c>
      <c r="C9" s="2">
        <v>0.96495150000000007</v>
      </c>
      <c r="D9" t="s">
        <v>42</v>
      </c>
      <c r="E9">
        <v>440</v>
      </c>
      <c r="F9" t="s">
        <v>60</v>
      </c>
      <c r="G9" s="6">
        <f>36/ 313.8 * 1000*B9</f>
        <v>112.15169024856597</v>
      </c>
      <c r="I9" t="s">
        <v>12</v>
      </c>
      <c r="J9">
        <f>2.4*313.8/1000/B9</f>
        <v>0.77038517929162242</v>
      </c>
    </row>
    <row r="10" spans="1:12" x14ac:dyDescent="0.2">
      <c r="A10" s="1"/>
      <c r="B10" s="2"/>
      <c r="C10" s="2"/>
      <c r="D10" t="s">
        <v>43</v>
      </c>
      <c r="E10">
        <v>440</v>
      </c>
      <c r="F10" t="s">
        <v>61</v>
      </c>
      <c r="G10" s="6">
        <f>36/ 313.8 * 1000*B9</f>
        <v>112.15169024856597</v>
      </c>
      <c r="K10">
        <v>170</v>
      </c>
      <c r="L10">
        <f>9.14 /313.8*1000*B9</f>
        <v>28.47406802421925</v>
      </c>
    </row>
    <row r="11" spans="1:12" x14ac:dyDescent="0.2">
      <c r="A11" s="1" t="s">
        <v>33</v>
      </c>
      <c r="B11" s="2">
        <v>0.37482516666666665</v>
      </c>
      <c r="C11" s="2">
        <v>0.67525616666666666</v>
      </c>
      <c r="D11" t="s">
        <v>42</v>
      </c>
      <c r="E11">
        <v>407</v>
      </c>
      <c r="F11" t="s">
        <v>62</v>
      </c>
      <c r="G11" s="5">
        <f>3.3/ 324.4 * 1000*B11</f>
        <v>3.8129563810110976</v>
      </c>
      <c r="I11" t="s">
        <v>13</v>
      </c>
      <c r="J11">
        <f>613 *324.4/1000</f>
        <v>198.85719999999998</v>
      </c>
    </row>
    <row r="12" spans="1:12" x14ac:dyDescent="0.2">
      <c r="A12" s="1" t="s">
        <v>34</v>
      </c>
      <c r="B12" s="2">
        <v>0.84736216666666664</v>
      </c>
      <c r="C12" s="2">
        <v>0.95518626666666673</v>
      </c>
      <c r="D12" t="s">
        <v>42</v>
      </c>
      <c r="E12">
        <v>394</v>
      </c>
      <c r="F12" t="s">
        <v>63</v>
      </c>
      <c r="G12" s="5">
        <f>1120/367.9*B12</f>
        <v>2.5796293195614748</v>
      </c>
      <c r="I12" t="s">
        <v>14</v>
      </c>
      <c r="J12">
        <f>0.102*367.9/B12</f>
        <v>44.285432458730256</v>
      </c>
    </row>
    <row r="13" spans="1:12" x14ac:dyDescent="0.2">
      <c r="A13" s="1"/>
      <c r="B13" s="2"/>
      <c r="C13" s="2"/>
      <c r="D13" t="s">
        <v>43</v>
      </c>
      <c r="E13">
        <v>394</v>
      </c>
      <c r="F13" t="s">
        <v>64</v>
      </c>
      <c r="G13" s="5">
        <f>1120/367.9*B12</f>
        <v>2.5796293195614748</v>
      </c>
      <c r="K13">
        <f>AVERAGE(95,86)</f>
        <v>90.5</v>
      </c>
      <c r="L13">
        <f>AVERAGE(642,414)/367.9*B12</f>
        <v>1.2161109649361239</v>
      </c>
    </row>
    <row r="14" spans="1:12" x14ac:dyDescent="0.2">
      <c r="A14" s="1" t="s">
        <v>35</v>
      </c>
      <c r="B14" s="2">
        <v>0.92038573333333329</v>
      </c>
      <c r="C14" s="2">
        <v>0.96771299999999993</v>
      </c>
      <c r="D14" t="s">
        <v>42</v>
      </c>
      <c r="E14">
        <v>380</v>
      </c>
      <c r="F14" t="s">
        <v>65</v>
      </c>
      <c r="G14" s="5">
        <f>932 / 272.36*B14</f>
        <v>3.1495061810349045</v>
      </c>
      <c r="I14" t="s">
        <v>11</v>
      </c>
      <c r="J14">
        <f>22*272.36/1000/B14</f>
        <v>6.5102269439784166</v>
      </c>
    </row>
    <row r="15" spans="1:12" x14ac:dyDescent="0.2">
      <c r="A15" s="1" t="s">
        <v>36</v>
      </c>
      <c r="B15" s="2">
        <v>0.78847376666666669</v>
      </c>
      <c r="C15" s="2">
        <v>0.96632123333333331</v>
      </c>
      <c r="D15" t="s">
        <v>43</v>
      </c>
      <c r="E15">
        <v>424</v>
      </c>
      <c r="F15" t="s">
        <v>66</v>
      </c>
      <c r="G15" s="6">
        <f>6.8/ 349.5 * 1000*B15</f>
        <v>15.340834372913685</v>
      </c>
      <c r="I15" t="s">
        <v>15</v>
      </c>
      <c r="K15">
        <v>20.3</v>
      </c>
      <c r="L15">
        <f>2.28/349.5*1000*B15</f>
        <v>5.1436915250357647</v>
      </c>
    </row>
    <row r="16" spans="1:12" x14ac:dyDescent="0.2">
      <c r="A16" s="1" t="s">
        <v>40</v>
      </c>
      <c r="B16" s="2"/>
      <c r="C16" s="2"/>
    </row>
    <row r="17" spans="1:10" x14ac:dyDescent="0.2">
      <c r="A17" s="1" t="s">
        <v>37</v>
      </c>
      <c r="B17" s="2">
        <v>0.20414099999999999</v>
      </c>
      <c r="C17" s="2">
        <v>0.70450633333333335</v>
      </c>
      <c r="D17" t="s">
        <v>42</v>
      </c>
      <c r="E17">
        <v>400</v>
      </c>
      <c r="F17" t="s">
        <v>45</v>
      </c>
      <c r="G17" s="4">
        <f>1800/835.93*B17</f>
        <v>0.43957484478365411</v>
      </c>
      <c r="I17" t="s">
        <v>17</v>
      </c>
      <c r="J17">
        <v>0</v>
      </c>
    </row>
    <row r="18" spans="1:10" x14ac:dyDescent="0.2">
      <c r="A18" s="1" t="s">
        <v>38</v>
      </c>
      <c r="B18" s="2">
        <v>0.87167343333333325</v>
      </c>
      <c r="C18" s="2">
        <v>1</v>
      </c>
      <c r="D18" t="s">
        <v>42</v>
      </c>
      <c r="E18">
        <v>400</v>
      </c>
      <c r="F18" t="s">
        <v>45</v>
      </c>
      <c r="G18" s="6">
        <f>14000/256.091*B18</f>
        <v>47.652701839059809</v>
      </c>
      <c r="I18" t="s">
        <v>18</v>
      </c>
      <c r="J18">
        <v>0</v>
      </c>
    </row>
    <row r="19" spans="1:10" x14ac:dyDescent="0.2">
      <c r="A19" s="1" t="s">
        <v>39</v>
      </c>
      <c r="B19" s="2">
        <v>1.7468846666666666E-2</v>
      </c>
      <c r="C19" s="2">
        <v>0.58320119999999998</v>
      </c>
      <c r="D19" t="s">
        <v>42</v>
      </c>
      <c r="E19">
        <v>400</v>
      </c>
      <c r="F19" t="s">
        <v>45</v>
      </c>
      <c r="G19" s="4">
        <f>6000/429.6*B19</f>
        <v>0.24397830540037244</v>
      </c>
      <c r="I19" t="s">
        <v>19</v>
      </c>
      <c r="J19">
        <v>0</v>
      </c>
    </row>
    <row r="21" spans="1:10" x14ac:dyDescent="0.2">
      <c r="A21" s="1" t="s">
        <v>52</v>
      </c>
    </row>
    <row r="22" spans="1:10" x14ac:dyDescent="0.2">
      <c r="A22" s="1" t="s">
        <v>50</v>
      </c>
    </row>
    <row r="23" spans="1:10" x14ac:dyDescent="0.2">
      <c r="A23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9E71-EF45-7140-B66F-02130C3D580E}">
  <dimension ref="A1:M7"/>
  <sheetViews>
    <sheetView workbookViewId="0">
      <selection activeCell="C2" sqref="C2"/>
    </sheetView>
  </sheetViews>
  <sheetFormatPr baseColWidth="10" defaultRowHeight="16" x14ac:dyDescent="0.2"/>
  <cols>
    <col min="1" max="1" width="28.6640625" customWidth="1"/>
    <col min="2" max="2" width="12.5" customWidth="1"/>
  </cols>
  <sheetData>
    <row r="1" spans="1:13" x14ac:dyDescent="0.2">
      <c r="A1" t="s">
        <v>2</v>
      </c>
      <c r="B1" t="s">
        <v>76</v>
      </c>
      <c r="C1" t="s">
        <v>71</v>
      </c>
      <c r="D1" t="s">
        <v>72</v>
      </c>
      <c r="E1" t="s">
        <v>73</v>
      </c>
      <c r="F1" t="s">
        <v>74</v>
      </c>
      <c r="G1" t="s">
        <v>77</v>
      </c>
      <c r="H1" t="s">
        <v>75</v>
      </c>
      <c r="J1" t="s">
        <v>22</v>
      </c>
    </row>
    <row r="2" spans="1:13" x14ac:dyDescent="0.2">
      <c r="A2" t="s">
        <v>27</v>
      </c>
      <c r="B2">
        <v>0.93600000000000005</v>
      </c>
      <c r="C2" s="8">
        <v>0.48199999999999998</v>
      </c>
      <c r="D2" s="8">
        <v>0.21940000000000001</v>
      </c>
      <c r="E2" s="8">
        <v>0.93500000000000005</v>
      </c>
      <c r="F2">
        <f>SQRT(LN(C2^2+1))</f>
        <v>0.45705778359994292</v>
      </c>
      <c r="G2">
        <f t="shared" ref="G2" si="0">SQRT(LN(D2^2+1))</f>
        <v>0.21682640968874006</v>
      </c>
      <c r="H2">
        <f t="shared" ref="H2" si="1">SQRT(LN(E2^2+1))</f>
        <v>0.79258768640654054</v>
      </c>
      <c r="J2" t="s">
        <v>4</v>
      </c>
      <c r="L2" s="8"/>
      <c r="M2" s="8"/>
    </row>
    <row r="3" spans="1:13" x14ac:dyDescent="0.2">
      <c r="A3" t="s">
        <v>67</v>
      </c>
      <c r="B3">
        <f>1.8/324.39*1000</f>
        <v>5.5488763525386116</v>
      </c>
      <c r="C3" s="8">
        <v>0.70199999999999996</v>
      </c>
      <c r="D3" s="8">
        <v>0.378</v>
      </c>
      <c r="E3" s="8">
        <v>1.1639999999999999</v>
      </c>
      <c r="F3">
        <f>SQRT(LN(C3^2+1))</f>
        <v>0.63297411529679115</v>
      </c>
      <c r="G3">
        <f t="shared" ref="G3" si="2">SQRT(LN(D3^2+1))</f>
        <v>0.36545162791866442</v>
      </c>
      <c r="H3">
        <f t="shared" ref="H3" si="3">SQRT(LN(E3^2+1))</f>
        <v>0.92547099637667118</v>
      </c>
      <c r="J3" t="s">
        <v>6</v>
      </c>
      <c r="L3" s="8"/>
      <c r="M3" s="8"/>
    </row>
    <row r="4" spans="1:13" x14ac:dyDescent="0.2">
      <c r="A4" t="s">
        <v>69</v>
      </c>
      <c r="B4">
        <f>1771 / 401.4</f>
        <v>4.4120577977080222</v>
      </c>
      <c r="C4" s="7">
        <v>0.83</v>
      </c>
      <c r="D4" s="7">
        <v>0.79</v>
      </c>
      <c r="E4" s="7">
        <v>0.96</v>
      </c>
      <c r="F4">
        <f>SQRT(LN(C4^2+1))</f>
        <v>0.72393192320945376</v>
      </c>
      <c r="G4">
        <f t="shared" ref="G4" si="4">SQRT(LN(D4^2+1))</f>
        <v>0.69638625503266516</v>
      </c>
      <c r="H4">
        <f t="shared" ref="H4" si="5">SQRT(LN(E4^2+1))</f>
        <v>0.80818201684000734</v>
      </c>
      <c r="J4" t="s">
        <v>11</v>
      </c>
      <c r="L4" s="8"/>
      <c r="M4" s="8"/>
    </row>
    <row r="5" spans="1:13" x14ac:dyDescent="0.2">
      <c r="A5" t="s">
        <v>69</v>
      </c>
      <c r="B5">
        <v>10.3</v>
      </c>
      <c r="C5" s="7">
        <v>0.41</v>
      </c>
      <c r="D5" s="7">
        <v>0.28999999999999998</v>
      </c>
      <c r="E5" s="7">
        <v>0.53</v>
      </c>
      <c r="F5">
        <f>SQRT(LN(C5^2+1))</f>
        <v>0.39418079250454774</v>
      </c>
      <c r="G5">
        <f t="shared" ref="G5" si="6">SQRT(LN(D5^2+1))</f>
        <v>0.28416570814422537</v>
      </c>
      <c r="H5">
        <f t="shared" ref="H5" si="7">SQRT(LN(E5^2+1))</f>
        <v>0.49755698754509847</v>
      </c>
      <c r="J5" t="s">
        <v>4</v>
      </c>
      <c r="L5" s="8"/>
      <c r="M5" s="8"/>
    </row>
    <row r="6" spans="1:13" x14ac:dyDescent="0.2">
      <c r="A6" t="s">
        <v>35</v>
      </c>
      <c r="B6">
        <f>932 / 272.36</f>
        <v>3.4219415479512407</v>
      </c>
      <c r="C6" s="7">
        <v>0.34</v>
      </c>
      <c r="D6" s="7">
        <v>0.26</v>
      </c>
      <c r="E6" s="7">
        <v>0.47</v>
      </c>
      <c r="F6">
        <f>SQRT(LN(C6^2+1))</f>
        <v>0.33074518404837999</v>
      </c>
      <c r="G6">
        <f t="shared" ref="G6:H6" si="8">SQRT(LN(D6^2+1))</f>
        <v>0.25575992365543143</v>
      </c>
      <c r="H6">
        <f t="shared" si="8"/>
        <v>0.44675305448611385</v>
      </c>
      <c r="J6" t="s">
        <v>11</v>
      </c>
      <c r="L6" s="8"/>
      <c r="M6" s="8"/>
    </row>
    <row r="7" spans="1:13" x14ac:dyDescent="0.2">
      <c r="A7" t="s">
        <v>35</v>
      </c>
      <c r="B7">
        <v>5.6050000000000004</v>
      </c>
      <c r="C7" s="7">
        <v>0.497</v>
      </c>
      <c r="D7" s="7">
        <v>0.182</v>
      </c>
      <c r="E7" s="7">
        <v>1.08</v>
      </c>
      <c r="F7">
        <f>SQRT(LN(C7^2+1))</f>
        <v>0.46983814659244777</v>
      </c>
      <c r="G7">
        <f t="shared" ref="G7" si="9">SQRT(LN(D7^2+1))</f>
        <v>0.18051931103236285</v>
      </c>
      <c r="H7">
        <f t="shared" ref="H7" si="10">SQRT(LN(E7^2+1))</f>
        <v>0.87924217581723119</v>
      </c>
      <c r="J7" t="s">
        <v>4</v>
      </c>
      <c r="L7" s="8"/>
      <c r="M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Variability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Weihsueh Chiu</dc:creator>
  <cp:lastModifiedBy>Weihsueh Chiu</cp:lastModifiedBy>
  <dcterms:created xsi:type="dcterms:W3CDTF">2018-03-28T23:18:36Z</dcterms:created>
  <dcterms:modified xsi:type="dcterms:W3CDTF">2018-07-24T20:07:38Z</dcterms:modified>
</cp:coreProperties>
</file>