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07"/>
  <workbookPr defaultThemeVersion="166925"/>
  <xr:revisionPtr revIDLastSave="260" documentId="11_9248486D44C93C52631DEA188F3E8C1851038387" xr6:coauthVersionLast="47" xr6:coauthVersionMax="47" xr10:uidLastSave="{4A30A8E0-2139-4965-A3B3-A991AD77F09D}"/>
  <bookViews>
    <workbookView xWindow="240" yWindow="105" windowWidth="14805" windowHeight="8010" xr2:uid="{00000000-000D-0000-FFFF-FFFF00000000}"/>
  </bookViews>
  <sheets>
    <sheet name="Arkusz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9" i="1" l="1"/>
  <c r="J23" i="1"/>
  <c r="J22" i="1"/>
  <c r="J2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N17" i="1"/>
  <c r="F17" i="1"/>
  <c r="F18" i="1"/>
  <c r="F19" i="1"/>
  <c r="F20" i="1"/>
  <c r="F21" i="1"/>
  <c r="F22" i="1"/>
  <c r="F23" i="1"/>
  <c r="E24" i="1"/>
  <c r="F24" i="1"/>
  <c r="H24" i="1"/>
  <c r="A4" i="1"/>
  <c r="D4" i="1"/>
  <c r="E4" i="1"/>
  <c r="A5" i="1"/>
  <c r="D5" i="1"/>
  <c r="E5" i="1"/>
  <c r="A6" i="1"/>
  <c r="D6" i="1"/>
  <c r="E6" i="1"/>
  <c r="A7" i="1"/>
  <c r="D7" i="1"/>
  <c r="E7" i="1"/>
  <c r="A8" i="1"/>
  <c r="D8" i="1"/>
  <c r="E8" i="1"/>
  <c r="A9" i="1"/>
  <c r="D9" i="1"/>
  <c r="E9" i="1"/>
  <c r="A10" i="1"/>
  <c r="D10" i="1"/>
  <c r="E10" i="1"/>
  <c r="A11" i="1"/>
  <c r="D11" i="1"/>
  <c r="E11" i="1"/>
  <c r="A12" i="1"/>
  <c r="D12" i="1"/>
  <c r="E12" i="1"/>
  <c r="A13" i="1"/>
  <c r="D13" i="1"/>
  <c r="E13" i="1"/>
  <c r="A14" i="1"/>
  <c r="D14" i="1"/>
  <c r="E14" i="1"/>
  <c r="A15" i="1"/>
  <c r="D15" i="1"/>
  <c r="E15" i="1"/>
  <c r="A16" i="1"/>
  <c r="D16" i="1"/>
  <c r="E16" i="1"/>
  <c r="K12" i="1"/>
  <c r="M9" i="1"/>
  <c r="E25" i="1"/>
  <c r="J15" i="1"/>
  <c r="A17" i="1"/>
  <c r="E17" i="1" s="1"/>
  <c r="A18" i="1"/>
  <c r="E18" i="1" s="1"/>
  <c r="A19" i="1"/>
  <c r="E19" i="1" s="1"/>
  <c r="A20" i="1"/>
  <c r="E20" i="1" s="1"/>
  <c r="A21" i="1"/>
  <c r="E21" i="1" s="1"/>
  <c r="A22" i="1"/>
  <c r="E22" i="1" s="1"/>
  <c r="A23" i="1"/>
  <c r="E23" i="1" s="1"/>
  <c r="D23" i="1"/>
  <c r="I23" i="1" s="1"/>
  <c r="D17" i="1"/>
  <c r="D18" i="1"/>
  <c r="I18" i="1" s="1"/>
  <c r="D19" i="1"/>
  <c r="I19" i="1" s="1"/>
  <c r="D20" i="1"/>
  <c r="I20" i="1" s="1"/>
  <c r="D21" i="1"/>
  <c r="I21" i="1" s="1"/>
  <c r="D22" i="1"/>
  <c r="I22" i="1" s="1"/>
  <c r="I17" i="1" l="1"/>
  <c r="I24" i="1" s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G24" i="1" l="1"/>
  <c r="J17" i="1"/>
  <c r="L17" i="1"/>
  <c r="K17" i="1" l="1"/>
  <c r="L9" i="1"/>
  <c r="K9" i="1"/>
  <c r="J19" i="1"/>
  <c r="L19" i="1" l="1"/>
  <c r="K19" i="1"/>
  <c r="O17" i="1" l="1"/>
  <c r="O19" i="1"/>
  <c r="M17" i="1"/>
  <c r="M19" i="1"/>
</calcChain>
</file>

<file path=xl/sharedStrings.xml><?xml version="1.0" encoding="utf-8"?>
<sst xmlns="http://schemas.openxmlformats.org/spreadsheetml/2006/main" count="22" uniqueCount="21">
  <si>
    <t>T[K]</t>
  </si>
  <si>
    <t>T</t>
  </si>
  <si>
    <t>U</t>
  </si>
  <si>
    <t>R</t>
  </si>
  <si>
    <t>1/T[x]</t>
  </si>
  <si>
    <t>ln(R)[y]</t>
  </si>
  <si>
    <t>x*y</t>
  </si>
  <si>
    <t>x^2</t>
  </si>
  <si>
    <t>y^2</t>
  </si>
  <si>
    <t>k[ev/K]</t>
  </si>
  <si>
    <t>a</t>
  </si>
  <si>
    <t>b</t>
  </si>
  <si>
    <t>Eg</t>
  </si>
  <si>
    <t>u(Eg)/Eg</t>
  </si>
  <si>
    <t>u(R)/R</t>
  </si>
  <si>
    <t>u(a)</t>
  </si>
  <si>
    <t>u(b)</t>
  </si>
  <si>
    <t>u(Eg)</t>
  </si>
  <si>
    <t>U(Eg)</t>
  </si>
  <si>
    <t>u(R)</t>
  </si>
  <si>
    <t>U(R)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</si>
</sst>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Arkusz1!$E$4:$E$23</c:f>
              <c:numCache>
                <c:formatCode>General</c:formatCode>
                <c:ptCount val="20"/>
                <c:pt idx="0">
                  <c:v>3.3557046979865771E-3</c:v>
                </c:pt>
                <c:pt idx="1">
                  <c:v>3.3003300330033004E-3</c:v>
                </c:pt>
                <c:pt idx="2">
                  <c:v>3.246753246753247E-3</c:v>
                </c:pt>
                <c:pt idx="3">
                  <c:v>3.1948881789137379E-3</c:v>
                </c:pt>
                <c:pt idx="4">
                  <c:v>3.1446540880503146E-3</c:v>
                </c:pt>
                <c:pt idx="5">
                  <c:v>3.0959752321981426E-3</c:v>
                </c:pt>
                <c:pt idx="6">
                  <c:v>3.0487804878048782E-3</c:v>
                </c:pt>
                <c:pt idx="7">
                  <c:v>3.003003003003003E-3</c:v>
                </c:pt>
                <c:pt idx="8">
                  <c:v>2.9585798816568047E-3</c:v>
                </c:pt>
                <c:pt idx="9">
                  <c:v>2.9154518950437317E-3</c:v>
                </c:pt>
                <c:pt idx="10">
                  <c:v>2.8735632183908046E-3</c:v>
                </c:pt>
                <c:pt idx="11">
                  <c:v>2.8328611898016999E-3</c:v>
                </c:pt>
                <c:pt idx="12">
                  <c:v>2.7932960893854749E-3</c:v>
                </c:pt>
                <c:pt idx="13">
                  <c:v>2.7548209366391185E-3</c:v>
                </c:pt>
                <c:pt idx="14">
                  <c:v>2.717391304347826E-3</c:v>
                </c:pt>
                <c:pt idx="15">
                  <c:v>2.6809651474530832E-3</c:v>
                </c:pt>
                <c:pt idx="16">
                  <c:v>2.6455026455026454E-3</c:v>
                </c:pt>
                <c:pt idx="17">
                  <c:v>2.6109660574412533E-3</c:v>
                </c:pt>
                <c:pt idx="18">
                  <c:v>2.5773195876288659E-3</c:v>
                </c:pt>
                <c:pt idx="19">
                  <c:v>2.5445292620865142E-3</c:v>
                </c:pt>
              </c:numCache>
            </c:numRef>
          </c:xVal>
          <c:yVal>
            <c:numRef>
              <c:f>Arkusz1!$F$4:$F$23</c:f>
              <c:numCache>
                <c:formatCode>General</c:formatCode>
                <c:ptCount val="20"/>
                <c:pt idx="0">
                  <c:v>6.633318433280377</c:v>
                </c:pt>
                <c:pt idx="1">
                  <c:v>6.3969296552161463</c:v>
                </c:pt>
                <c:pt idx="2">
                  <c:v>6.1654178542314195</c:v>
                </c:pt>
                <c:pt idx="3">
                  <c:v>5.9401712527204316</c:v>
                </c:pt>
                <c:pt idx="4">
                  <c:v>5.730099782973574</c:v>
                </c:pt>
                <c:pt idx="5">
                  <c:v>5.521460917862246</c:v>
                </c:pt>
                <c:pt idx="6">
                  <c:v>5.2983173665480363</c:v>
                </c:pt>
                <c:pt idx="7">
                  <c:v>5.1059454739005803</c:v>
                </c:pt>
                <c:pt idx="8">
                  <c:v>4.9126548857360524</c:v>
                </c:pt>
                <c:pt idx="9">
                  <c:v>4.718498871295095</c:v>
                </c:pt>
                <c:pt idx="10">
                  <c:v>4.536891345234797</c:v>
                </c:pt>
                <c:pt idx="11">
                  <c:v>4.3385970767465452</c:v>
                </c:pt>
                <c:pt idx="12">
                  <c:v>4.1526134703460764</c:v>
                </c:pt>
                <c:pt idx="13">
                  <c:v>3.970291913552122</c:v>
                </c:pt>
                <c:pt idx="14">
                  <c:v>3.8155121050473024</c:v>
                </c:pt>
                <c:pt idx="15">
                  <c:v>3.6428355156125294</c:v>
                </c:pt>
                <c:pt idx="16">
                  <c:v>3.4719664525503626</c:v>
                </c:pt>
                <c:pt idx="17">
                  <c:v>3.3178157727231046</c:v>
                </c:pt>
                <c:pt idx="18">
                  <c:v>3.1863526331626408</c:v>
                </c:pt>
                <c:pt idx="19">
                  <c:v>3.044522437723423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29-448F-B435-1E3707AA5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055176"/>
        <c:axId val="2130057224"/>
      </c:scatterChart>
      <c:valAx>
        <c:axId val="2130055176"/>
        <c:scaling>
          <c:orientation val="minMax"/>
          <c:min val="2.3999999999999998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057224"/>
        <c:crosses val="autoZero"/>
        <c:crossBetween val="midCat"/>
      </c:valAx>
      <c:valAx>
        <c:axId val="2130057224"/>
        <c:scaling>
          <c:orientation val="minMax"/>
          <c:min val="2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055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Arkusz1!$P$4:$P$23</c:f>
              <c:numCache>
                <c:formatCode>General</c:formatCode>
                <c:ptCount val="20"/>
                <c:pt idx="0">
                  <c:v>298</c:v>
                </c:pt>
                <c:pt idx="1">
                  <c:v>303</c:v>
                </c:pt>
                <c:pt idx="2">
                  <c:v>308</c:v>
                </c:pt>
                <c:pt idx="3">
                  <c:v>313</c:v>
                </c:pt>
                <c:pt idx="4">
                  <c:v>318</c:v>
                </c:pt>
                <c:pt idx="5">
                  <c:v>323</c:v>
                </c:pt>
                <c:pt idx="6">
                  <c:v>328</c:v>
                </c:pt>
                <c:pt idx="7">
                  <c:v>333</c:v>
                </c:pt>
                <c:pt idx="8">
                  <c:v>338</c:v>
                </c:pt>
                <c:pt idx="9">
                  <c:v>343</c:v>
                </c:pt>
                <c:pt idx="10">
                  <c:v>348</c:v>
                </c:pt>
                <c:pt idx="11">
                  <c:v>353</c:v>
                </c:pt>
                <c:pt idx="12">
                  <c:v>358</c:v>
                </c:pt>
                <c:pt idx="13">
                  <c:v>363</c:v>
                </c:pt>
                <c:pt idx="14">
                  <c:v>368</c:v>
                </c:pt>
                <c:pt idx="15">
                  <c:v>373</c:v>
                </c:pt>
                <c:pt idx="16">
                  <c:v>378</c:v>
                </c:pt>
                <c:pt idx="17">
                  <c:v>383</c:v>
                </c:pt>
                <c:pt idx="18">
                  <c:v>388</c:v>
                </c:pt>
                <c:pt idx="19">
                  <c:v>393</c:v>
                </c:pt>
              </c:numCache>
            </c:numRef>
          </c:cat>
          <c:val>
            <c:numRef>
              <c:f>Arkusz1!$Q$4:$Q$23</c:f>
              <c:numCache>
                <c:formatCode>General</c:formatCode>
                <c:ptCount val="20"/>
                <c:pt idx="0">
                  <c:v>760</c:v>
                </c:pt>
                <c:pt idx="1">
                  <c:v>600</c:v>
                </c:pt>
                <c:pt idx="2">
                  <c:v>475.99999999999994</c:v>
                </c:pt>
                <c:pt idx="3">
                  <c:v>380</c:v>
                </c:pt>
                <c:pt idx="4">
                  <c:v>308</c:v>
                </c:pt>
                <c:pt idx="5">
                  <c:v>250</c:v>
                </c:pt>
                <c:pt idx="6">
                  <c:v>200</c:v>
                </c:pt>
                <c:pt idx="7">
                  <c:v>165</c:v>
                </c:pt>
                <c:pt idx="8">
                  <c:v>136</c:v>
                </c:pt>
                <c:pt idx="9">
                  <c:v>112.00000000000001</c:v>
                </c:pt>
                <c:pt idx="10">
                  <c:v>93.4</c:v>
                </c:pt>
                <c:pt idx="11">
                  <c:v>76.599999999999994</c:v>
                </c:pt>
                <c:pt idx="12">
                  <c:v>63.6</c:v>
                </c:pt>
                <c:pt idx="13">
                  <c:v>53</c:v>
                </c:pt>
                <c:pt idx="14">
                  <c:v>45.4</c:v>
                </c:pt>
                <c:pt idx="15">
                  <c:v>38.200000000000003</c:v>
                </c:pt>
                <c:pt idx="16">
                  <c:v>32.200000000000003</c:v>
                </c:pt>
                <c:pt idx="17">
                  <c:v>27.6</c:v>
                </c:pt>
                <c:pt idx="18">
                  <c:v>24.2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B7-4524-8E44-897877CD7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145223"/>
        <c:axId val="283147271"/>
      </c:lineChart>
      <c:catAx>
        <c:axId val="283145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147271"/>
        <c:crosses val="autoZero"/>
        <c:auto val="1"/>
        <c:lblAlgn val="ctr"/>
        <c:lblOffset val="100"/>
        <c:noMultiLvlLbl val="0"/>
      </c:catAx>
      <c:valAx>
        <c:axId val="283147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145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34</xdr:row>
      <xdr:rowOff>0</xdr:rowOff>
    </xdr:from>
    <xdr:to>
      <xdr:col>11</xdr:col>
      <xdr:colOff>885825</xdr:colOff>
      <xdr:row>51</xdr:row>
      <xdr:rowOff>114300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EB107148-4170-FCB0-7874-4A6E681BE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200025</xdr:colOff>
      <xdr:row>5</xdr:row>
      <xdr:rowOff>104775</xdr:rowOff>
    </xdr:from>
    <xdr:to>
      <xdr:col>26</xdr:col>
      <xdr:colOff>504825</xdr:colOff>
      <xdr:row>19</xdr:row>
      <xdr:rowOff>180975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DD8125A-A103-1851-7DCC-DDDAF4B99A3A}"/>
            </a:ext>
            <a:ext uri="{147F2762-F138-4A5C-976F-8EAC2B608ADB}">
              <a16:predDERef xmlns:a16="http://schemas.microsoft.com/office/drawing/2014/main" pred="{A2839777-675C-A4E9-DC93-6628BD455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Q25"/>
  <sheetViews>
    <sheetView tabSelected="1" topLeftCell="C4" workbookViewId="0">
      <selection activeCell="E8" sqref="E8"/>
    </sheetView>
  </sheetViews>
  <sheetFormatPr defaultRowHeight="15"/>
  <cols>
    <col min="5" max="5" width="12.5703125" bestFit="1" customWidth="1"/>
    <col min="8" max="8" width="12.140625" bestFit="1" customWidth="1"/>
    <col min="10" max="10" width="14.85546875" customWidth="1"/>
    <col min="11" max="11" width="12.28515625" customWidth="1"/>
    <col min="12" max="12" width="15.28515625" customWidth="1"/>
    <col min="13" max="13" width="11.42578125" bestFit="1" customWidth="1"/>
    <col min="14" max="14" width="14.42578125" customWidth="1"/>
  </cols>
  <sheetData>
    <row r="3" spans="1:1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</row>
    <row r="4" spans="1:17">
      <c r="A4">
        <f>273+B4</f>
        <v>298</v>
      </c>
      <c r="B4">
        <v>25</v>
      </c>
      <c r="C4">
        <v>3.8</v>
      </c>
      <c r="D4">
        <f>C4/0.005</f>
        <v>760</v>
      </c>
      <c r="E4">
        <f>1/A4</f>
        <v>3.3557046979865771E-3</v>
      </c>
      <c r="F4" s="1">
        <f t="shared" ref="F4:F16" si="0">LN(D4)</f>
        <v>6.633318433280377</v>
      </c>
      <c r="P4">
        <v>298</v>
      </c>
      <c r="Q4">
        <v>760</v>
      </c>
    </row>
    <row r="5" spans="1:17">
      <c r="A5">
        <f t="shared" ref="A5:A23" si="1">273+B5</f>
        <v>303</v>
      </c>
      <c r="B5">
        <v>30</v>
      </c>
      <c r="C5">
        <v>3</v>
      </c>
      <c r="D5">
        <f t="shared" ref="D5:D22" si="2">C5/0.005</f>
        <v>600</v>
      </c>
      <c r="E5">
        <f>1/A5</f>
        <v>3.3003300330033004E-3</v>
      </c>
      <c r="F5" s="1">
        <f t="shared" si="0"/>
        <v>6.3969296552161463</v>
      </c>
      <c r="P5">
        <v>303</v>
      </c>
      <c r="Q5">
        <v>600</v>
      </c>
    </row>
    <row r="6" spans="1:17">
      <c r="A6">
        <f t="shared" si="1"/>
        <v>308</v>
      </c>
      <c r="B6">
        <v>35</v>
      </c>
      <c r="C6">
        <v>2.38</v>
      </c>
      <c r="D6">
        <f t="shared" si="2"/>
        <v>475.99999999999994</v>
      </c>
      <c r="E6">
        <f>1/A6</f>
        <v>3.246753246753247E-3</v>
      </c>
      <c r="F6" s="1">
        <f t="shared" si="0"/>
        <v>6.1654178542314195</v>
      </c>
      <c r="P6">
        <v>308</v>
      </c>
      <c r="Q6">
        <v>475.99999999999994</v>
      </c>
    </row>
    <row r="7" spans="1:17">
      <c r="A7">
        <f t="shared" si="1"/>
        <v>313</v>
      </c>
      <c r="B7">
        <v>40</v>
      </c>
      <c r="C7">
        <v>1.9</v>
      </c>
      <c r="D7">
        <f t="shared" si="2"/>
        <v>380</v>
      </c>
      <c r="E7">
        <f>1/A7</f>
        <v>3.1948881789137379E-3</v>
      </c>
      <c r="F7" s="1">
        <f t="shared" si="0"/>
        <v>5.9401712527204316</v>
      </c>
      <c r="P7">
        <v>313</v>
      </c>
      <c r="Q7">
        <v>380</v>
      </c>
    </row>
    <row r="8" spans="1:17">
      <c r="A8">
        <f t="shared" si="1"/>
        <v>318</v>
      </c>
      <c r="B8">
        <v>45</v>
      </c>
      <c r="C8">
        <v>1.54</v>
      </c>
      <c r="D8">
        <f t="shared" si="2"/>
        <v>308</v>
      </c>
      <c r="E8">
        <f>1/A8</f>
        <v>3.1446540880503146E-3</v>
      </c>
      <c r="F8" s="1">
        <f t="shared" si="0"/>
        <v>5.730099782973574</v>
      </c>
      <c r="P8">
        <v>318</v>
      </c>
      <c r="Q8">
        <v>308</v>
      </c>
    </row>
    <row r="9" spans="1:17">
      <c r="A9">
        <f t="shared" si="1"/>
        <v>323</v>
      </c>
      <c r="B9">
        <v>50</v>
      </c>
      <c r="C9">
        <v>1.25</v>
      </c>
      <c r="D9">
        <f t="shared" si="2"/>
        <v>250</v>
      </c>
      <c r="E9">
        <f>1/A9</f>
        <v>3.0959752321981426E-3</v>
      </c>
      <c r="F9" s="1">
        <f t="shared" si="0"/>
        <v>5.521460917862246</v>
      </c>
      <c r="K9">
        <f>(7*(I24-J17*G24-K17*F24))/(5*(7*H24-E24*E24))</f>
        <v>3285.8298996199419</v>
      </c>
      <c r="L9">
        <f>(7*(I24-J17*G24-K17*F24))</f>
        <v>3.954912242051023E-3</v>
      </c>
      <c r="M9">
        <f>(5*(7*H24-E24*E24))</f>
        <v>1.2036265914156029E-6</v>
      </c>
      <c r="P9">
        <v>323</v>
      </c>
      <c r="Q9">
        <v>250</v>
      </c>
    </row>
    <row r="10" spans="1:17">
      <c r="A10">
        <f t="shared" si="1"/>
        <v>328</v>
      </c>
      <c r="B10">
        <v>55</v>
      </c>
      <c r="C10">
        <v>1</v>
      </c>
      <c r="D10">
        <f t="shared" si="2"/>
        <v>200</v>
      </c>
      <c r="E10">
        <f>1/A10</f>
        <v>3.0487804878048782E-3</v>
      </c>
      <c r="F10" s="1">
        <f t="shared" si="0"/>
        <v>5.2983173665480363</v>
      </c>
      <c r="P10">
        <v>328</v>
      </c>
      <c r="Q10">
        <v>200</v>
      </c>
    </row>
    <row r="11" spans="1:17">
      <c r="A11">
        <f t="shared" si="1"/>
        <v>333</v>
      </c>
      <c r="B11">
        <v>60</v>
      </c>
      <c r="C11">
        <v>0.82499999999999996</v>
      </c>
      <c r="D11">
        <f t="shared" si="2"/>
        <v>165</v>
      </c>
      <c r="E11">
        <f>1/A11</f>
        <v>3.003003003003003E-3</v>
      </c>
      <c r="F11" s="1">
        <f t="shared" si="0"/>
        <v>5.1059454739005803</v>
      </c>
      <c r="P11">
        <v>333</v>
      </c>
      <c r="Q11">
        <v>165</v>
      </c>
    </row>
    <row r="12" spans="1:17">
      <c r="A12">
        <f t="shared" si="1"/>
        <v>338</v>
      </c>
      <c r="B12">
        <v>65</v>
      </c>
      <c r="C12">
        <v>0.68</v>
      </c>
      <c r="D12">
        <f t="shared" si="2"/>
        <v>136</v>
      </c>
      <c r="E12">
        <f>1/A12</f>
        <v>2.9585798816568047E-3</v>
      </c>
      <c r="F12" s="1">
        <f t="shared" si="0"/>
        <v>4.9126548857360524</v>
      </c>
      <c r="K12">
        <f>SQRT(H24/7)</f>
        <v>2.6482841193769847E-3</v>
      </c>
      <c r="P12">
        <v>338</v>
      </c>
      <c r="Q12">
        <v>136</v>
      </c>
    </row>
    <row r="13" spans="1:17">
      <c r="A13">
        <f t="shared" si="1"/>
        <v>343</v>
      </c>
      <c r="B13">
        <v>70</v>
      </c>
      <c r="C13">
        <v>0.56000000000000005</v>
      </c>
      <c r="D13">
        <f t="shared" si="2"/>
        <v>112.00000000000001</v>
      </c>
      <c r="E13">
        <f>1/A13</f>
        <v>2.9154518950437317E-3</v>
      </c>
      <c r="F13" s="1">
        <f t="shared" si="0"/>
        <v>4.718498871295095</v>
      </c>
      <c r="M13">
        <v>-0.04</v>
      </c>
      <c r="P13">
        <v>343</v>
      </c>
      <c r="Q13">
        <v>112.00000000000001</v>
      </c>
    </row>
    <row r="14" spans="1:17">
      <c r="A14">
        <f t="shared" si="1"/>
        <v>348</v>
      </c>
      <c r="B14">
        <v>75</v>
      </c>
      <c r="C14">
        <v>0.46700000000000003</v>
      </c>
      <c r="D14">
        <f t="shared" si="2"/>
        <v>93.4</v>
      </c>
      <c r="E14">
        <f>1/A14</f>
        <v>2.8735632183908046E-3</v>
      </c>
      <c r="F14" s="1">
        <f t="shared" si="0"/>
        <v>4.536891345234797</v>
      </c>
      <c r="J14" t="s">
        <v>9</v>
      </c>
      <c r="P14">
        <v>348</v>
      </c>
      <c r="Q14">
        <v>93.4</v>
      </c>
    </row>
    <row r="15" spans="1:17">
      <c r="A15">
        <f t="shared" si="1"/>
        <v>353</v>
      </c>
      <c r="B15">
        <v>80</v>
      </c>
      <c r="C15">
        <v>0.38300000000000001</v>
      </c>
      <c r="D15">
        <f t="shared" si="2"/>
        <v>76.599999999999994</v>
      </c>
      <c r="E15">
        <f>1/A15</f>
        <v>2.8328611898016999E-3</v>
      </c>
      <c r="F15" s="1">
        <f t="shared" si="0"/>
        <v>4.3385970767465452</v>
      </c>
      <c r="J15">
        <f>8.617*10^(-5)</f>
        <v>8.617000000000001E-5</v>
      </c>
      <c r="P15">
        <v>353</v>
      </c>
      <c r="Q15">
        <v>76.599999999999994</v>
      </c>
    </row>
    <row r="16" spans="1:17">
      <c r="A16">
        <f t="shared" si="1"/>
        <v>358</v>
      </c>
      <c r="B16">
        <v>85</v>
      </c>
      <c r="C16">
        <v>0.318</v>
      </c>
      <c r="D16">
        <f t="shared" si="2"/>
        <v>63.6</v>
      </c>
      <c r="E16">
        <f>1/A16</f>
        <v>2.7932960893854749E-3</v>
      </c>
      <c r="F16" s="1">
        <f t="shared" si="0"/>
        <v>4.1526134703460764</v>
      </c>
      <c r="J16" t="s">
        <v>10</v>
      </c>
      <c r="K16" t="s">
        <v>11</v>
      </c>
      <c r="L16" t="s">
        <v>12</v>
      </c>
      <c r="M16" t="s">
        <v>13</v>
      </c>
      <c r="N16" t="s">
        <v>3</v>
      </c>
      <c r="O16" t="s">
        <v>14</v>
      </c>
      <c r="P16">
        <v>358</v>
      </c>
      <c r="Q16">
        <v>63.6</v>
      </c>
    </row>
    <row r="17" spans="1:17">
      <c r="A17">
        <f t="shared" si="1"/>
        <v>363</v>
      </c>
      <c r="B17" s="1">
        <v>90</v>
      </c>
      <c r="C17" s="1">
        <v>0.26500000000000001</v>
      </c>
      <c r="D17" s="1">
        <f t="shared" si="2"/>
        <v>53</v>
      </c>
      <c r="E17" s="1">
        <f>1/A17</f>
        <v>2.7548209366391185E-3</v>
      </c>
      <c r="F17" s="1">
        <f t="shared" ref="F17:F22" si="3">LN(D17)</f>
        <v>3.970291913552122</v>
      </c>
      <c r="G17">
        <f>E17*F17</f>
        <v>1.0937443288022375E-2</v>
      </c>
      <c r="H17">
        <f>E17*E17</f>
        <v>7.5890383929452304E-6</v>
      </c>
      <c r="I17">
        <f>F17*F17</f>
        <v>15.76321787881737</v>
      </c>
      <c r="J17">
        <f>(E24*F24-7*G24)/(E24*E24-7*H24)</f>
        <v>4446.7604007686023</v>
      </c>
      <c r="K17">
        <f>(F24-J17*E24)/7</f>
        <v>-8.2794030058218002</v>
      </c>
      <c r="L17">
        <f>J17*2*J15</f>
        <v>0.76635468746846103</v>
      </c>
      <c r="M17">
        <f>L19/L17</f>
        <v>1.2890768497090773E-2</v>
      </c>
      <c r="N17">
        <f>EXP(K17)</f>
        <v>2.5368860545668903E-4</v>
      </c>
      <c r="O17">
        <f>N19/N17</f>
        <v>0.15180536307239151</v>
      </c>
      <c r="P17">
        <v>363</v>
      </c>
      <c r="Q17">
        <v>53</v>
      </c>
    </row>
    <row r="18" spans="1:17">
      <c r="A18">
        <f t="shared" si="1"/>
        <v>368</v>
      </c>
      <c r="B18" s="1">
        <v>95</v>
      </c>
      <c r="C18" s="1">
        <v>0.22700000000000001</v>
      </c>
      <c r="D18" s="1">
        <f t="shared" si="2"/>
        <v>45.4</v>
      </c>
      <c r="E18" s="1">
        <f>1/A18</f>
        <v>2.717391304347826E-3</v>
      </c>
      <c r="F18" s="1">
        <f t="shared" si="3"/>
        <v>3.8155121050473024</v>
      </c>
      <c r="G18">
        <f t="shared" ref="G18:G23" si="4">E18*F18</f>
        <v>1.0368239415889409E-2</v>
      </c>
      <c r="H18">
        <f t="shared" ref="H18:H23" si="5">E18*E18</f>
        <v>7.3842155009451789E-6</v>
      </c>
      <c r="I18">
        <f t="shared" ref="I18:I24" si="6">F18*F18</f>
        <v>14.558132623762496</v>
      </c>
      <c r="J18" t="s">
        <v>15</v>
      </c>
      <c r="K18" t="s">
        <v>16</v>
      </c>
      <c r="L18" t="s">
        <v>17</v>
      </c>
      <c r="M18" t="s">
        <v>18</v>
      </c>
      <c r="N18" t="s">
        <v>19</v>
      </c>
      <c r="O18" t="s">
        <v>20</v>
      </c>
      <c r="P18">
        <v>368</v>
      </c>
      <c r="Q18">
        <v>45.4</v>
      </c>
    </row>
    <row r="19" spans="1:17">
      <c r="A19">
        <f t="shared" si="1"/>
        <v>373</v>
      </c>
      <c r="B19" s="1">
        <v>100</v>
      </c>
      <c r="C19" s="1">
        <v>0.191</v>
      </c>
      <c r="D19" s="1">
        <f t="shared" si="2"/>
        <v>38.200000000000003</v>
      </c>
      <c r="E19" s="1">
        <f>1/A19</f>
        <v>2.6809651474530832E-3</v>
      </c>
      <c r="F19" s="1">
        <f t="shared" si="3"/>
        <v>3.6428355156125294</v>
      </c>
      <c r="G19">
        <f t="shared" si="4"/>
        <v>9.7663150552614736E-3</v>
      </c>
      <c r="H19">
        <f t="shared" si="5"/>
        <v>7.1875741218581317E-6</v>
      </c>
      <c r="I19">
        <f t="shared" si="6"/>
        <v>13.270250593808003</v>
      </c>
      <c r="J19">
        <f>SQRT((7*(I24-J17*G24-K17*F24))/(5*(7*H24-E24*E24)))</f>
        <v>57.322158888338649</v>
      </c>
      <c r="K19">
        <f>J19*SQRT(H24/7)</f>
        <v>0.15180536307239151</v>
      </c>
      <c r="L19">
        <f>J19*2*J15</f>
        <v>9.8789008628162832E-3</v>
      </c>
      <c r="M19">
        <f>L19*2</f>
        <v>1.9757801725632566E-2</v>
      </c>
      <c r="N19">
        <f>N17*K19</f>
        <v>3.8511290858681362E-5</v>
      </c>
      <c r="O19">
        <f>N19*2</f>
        <v>7.7022581717362725E-5</v>
      </c>
      <c r="P19">
        <v>373</v>
      </c>
      <c r="Q19">
        <v>38.200000000000003</v>
      </c>
    </row>
    <row r="20" spans="1:17">
      <c r="A20">
        <f t="shared" si="1"/>
        <v>378</v>
      </c>
      <c r="B20" s="1">
        <v>105</v>
      </c>
      <c r="C20" s="1">
        <v>0.161</v>
      </c>
      <c r="D20" s="1">
        <f t="shared" si="2"/>
        <v>32.200000000000003</v>
      </c>
      <c r="E20" s="1">
        <f>1/A20</f>
        <v>2.6455026455026454E-3</v>
      </c>
      <c r="F20" s="1">
        <f t="shared" si="3"/>
        <v>3.4719664525503626</v>
      </c>
      <c r="G20">
        <f t="shared" si="4"/>
        <v>9.1850964353184187E-3</v>
      </c>
      <c r="H20">
        <f t="shared" si="5"/>
        <v>6.9986842473614956E-6</v>
      </c>
      <c r="I20">
        <f t="shared" si="6"/>
        <v>12.054551047635149</v>
      </c>
      <c r="P20">
        <v>378</v>
      </c>
      <c r="Q20">
        <v>32.200000000000003</v>
      </c>
    </row>
    <row r="21" spans="1:17">
      <c r="A21">
        <f t="shared" si="1"/>
        <v>383</v>
      </c>
      <c r="B21" s="1">
        <v>110</v>
      </c>
      <c r="C21" s="1">
        <v>0.13800000000000001</v>
      </c>
      <c r="D21" s="1">
        <f t="shared" si="2"/>
        <v>27.6</v>
      </c>
      <c r="E21" s="1">
        <f>1/A21</f>
        <v>2.6109660574412533E-3</v>
      </c>
      <c r="F21" s="1">
        <f t="shared" si="3"/>
        <v>3.3178157727231046</v>
      </c>
      <c r="G21">
        <f t="shared" si="4"/>
        <v>8.66270436742325E-3</v>
      </c>
      <c r="H21">
        <f t="shared" si="5"/>
        <v>6.8171437531103219E-6</v>
      </c>
      <c r="I21">
        <f t="shared" si="6"/>
        <v>11.007901501730212</v>
      </c>
      <c r="J21">
        <f>(7*(I24-J17*G24-K17*F24))/(5*(7*H24-E24*E24))</f>
        <v>3285.8298996199419</v>
      </c>
      <c r="P21">
        <v>383</v>
      </c>
      <c r="Q21">
        <v>27.6</v>
      </c>
    </row>
    <row r="22" spans="1:17">
      <c r="A22">
        <f t="shared" si="1"/>
        <v>388</v>
      </c>
      <c r="B22" s="1">
        <v>115</v>
      </c>
      <c r="C22" s="1">
        <v>0.121</v>
      </c>
      <c r="D22" s="1">
        <f t="shared" si="2"/>
        <v>24.2</v>
      </c>
      <c r="E22" s="1">
        <f>1/A22</f>
        <v>2.5773195876288659E-3</v>
      </c>
      <c r="F22" s="1">
        <f t="shared" si="3"/>
        <v>3.1863526331626408</v>
      </c>
      <c r="G22">
        <f t="shared" si="4"/>
        <v>8.2122490545428889E-3</v>
      </c>
      <c r="H22">
        <f t="shared" si="5"/>
        <v>6.6425762567754273E-6</v>
      </c>
      <c r="I22">
        <f t="shared" si="6"/>
        <v>10.152843102862494</v>
      </c>
      <c r="J22">
        <f>(7*H24-E24*E24)</f>
        <v>2.4072531828312057E-7</v>
      </c>
      <c r="P22">
        <v>388</v>
      </c>
      <c r="Q22">
        <v>24.2</v>
      </c>
    </row>
    <row r="23" spans="1:17">
      <c r="A23">
        <f t="shared" si="1"/>
        <v>393</v>
      </c>
      <c r="B23" s="1">
        <v>120</v>
      </c>
      <c r="C23" s="1">
        <v>0.105</v>
      </c>
      <c r="D23" s="1">
        <f>C23/0.005</f>
        <v>21</v>
      </c>
      <c r="E23" s="1">
        <f>1/A23</f>
        <v>2.5445292620865142E-3</v>
      </c>
      <c r="F23" s="1">
        <f>LN(D23)</f>
        <v>3.044522437723423</v>
      </c>
      <c r="G23">
        <f t="shared" si="4"/>
        <v>7.746876431866217E-3</v>
      </c>
      <c r="H23">
        <f t="shared" si="5"/>
        <v>6.4746291656145407E-6</v>
      </c>
      <c r="I23">
        <f t="shared" si="6"/>
        <v>9.2691168738013747</v>
      </c>
      <c r="J23">
        <f>(I24-J17*G24-K17*F24)</f>
        <v>5.6498746315014614E-4</v>
      </c>
      <c r="P23">
        <v>393</v>
      </c>
      <c r="Q23">
        <v>21</v>
      </c>
    </row>
    <row r="24" spans="1:17">
      <c r="E24">
        <f>SUM(E17:E23)</f>
        <v>1.8531494941099305E-2</v>
      </c>
      <c r="F24">
        <f t="shared" ref="F24:I24" si="7">SUM(F17:F23)</f>
        <v>24.449296830371484</v>
      </c>
      <c r="G24">
        <f t="shared" si="7"/>
        <v>6.487892404832403E-2</v>
      </c>
      <c r="H24">
        <f t="shared" si="7"/>
        <v>4.9093861438610324E-5</v>
      </c>
      <c r="I24">
        <f t="shared" si="7"/>
        <v>86.076013622417108</v>
      </c>
    </row>
    <row r="25" spans="1:17">
      <c r="E25">
        <f>E24*E24</f>
        <v>3.4341630475198914E-4</v>
      </c>
    </row>
  </sheetData>
  <sortState xmlns:xlrd2="http://schemas.microsoft.com/office/spreadsheetml/2017/richdata2" ref="C4:C23">
    <sortCondition descending="1" ref="C4:C2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Szulc Mateusz</cp:lastModifiedBy>
  <cp:revision/>
  <dcterms:created xsi:type="dcterms:W3CDTF">2023-11-29T11:04:40Z</dcterms:created>
  <dcterms:modified xsi:type="dcterms:W3CDTF">2024-01-15T19:58:42Z</dcterms:modified>
  <cp:category/>
  <cp:contentStatus/>
</cp:coreProperties>
</file>